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comments4.xml" ContentType="application/vnd.openxmlformats-officedocument.spreadsheetml.comments+xml"/>
  <Override PartName="/xl/drawings/drawing7.xml" ContentType="application/vnd.openxmlformats-officedocument.drawing+xml"/>
  <Override PartName="/xl/tables/table6.xml" ContentType="application/vnd.openxmlformats-officedocument.spreadsheetml.table+xml"/>
  <Override PartName="/xl/comments5.xml" ContentType="application/vnd.openxmlformats-officedocument.spreadsheetml.comments+xml"/>
  <Override PartName="/xl/drawings/drawing8.xml" ContentType="application/vnd.openxmlformats-officedocument.drawing+xml"/>
  <Override PartName="/xl/tables/table7.xml" ContentType="application/vnd.openxmlformats-officedocument.spreadsheetml.table+xml"/>
  <Override PartName="/xl/comments6.xml" ContentType="application/vnd.openxmlformats-officedocument.spreadsheetml.comments+xml"/>
  <Override PartName="/xl/drawings/drawing9.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0.xml" ContentType="application/vnd.openxmlformats-officedocument.spreadsheetml.table+xml"/>
  <Override PartName="/xl/drawings/drawing13.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filterPrivacy="1"/>
  <xr:revisionPtr revIDLastSave="0" documentId="13_ncr:1_{72F40A51-282E-4C14-8C5E-EB73BF512F90}" xr6:coauthVersionLast="47" xr6:coauthVersionMax="47" xr10:uidLastSave="{00000000-0000-0000-0000-000000000000}"/>
  <workbookProtection workbookAlgorithmName="SHA-512" workbookHashValue="2Tf89h8p9kOJphIS4rFpZ8SKfNQHA1C5lBkw4vLbaDM+MkP2a6Q6YllmtzjSMxE7UMKSR9jj3vJgSWMcyYegPA==" workbookSaltValue="cKNGwJiwn43EUzQ++oSkXQ==" workbookSpinCount="100000" lockStructure="1"/>
  <bookViews>
    <workbookView xWindow="-108" yWindow="-108" windowWidth="23256" windowHeight="12576" tabRatio="783" xr2:uid="{00000000-000D-0000-FFFF-FFFF00000000}"/>
  </bookViews>
  <sheets>
    <sheet name="Read Me" sheetId="1" r:id="rId1"/>
    <sheet name="Project Info" sheetId="15" r:id="rId2"/>
    <sheet name="Coastal Tidal Wetland" sheetId="14" r:id="rId3"/>
    <sheet name="Delta Wetland" sheetId="16" r:id="rId4"/>
    <sheet name="Grassland" sheetId="20" r:id="rId5"/>
    <sheet name="Mountain Meadow" sheetId="18" r:id="rId6"/>
    <sheet name="Seasonal Inland Wetland" sheetId="17" r:id="rId7"/>
    <sheet name="Trees" sheetId="21" r:id="rId8"/>
    <sheet name="N Apply" sheetId="22" r:id="rId9"/>
    <sheet name="GHG Summary" sheetId="4" r:id="rId10"/>
    <sheet name="Co-benefits Summary" sheetId="5" r:id="rId11"/>
    <sheet name="Acronyms" sheetId="6" r:id="rId12"/>
    <sheet name="Documentation" sheetId="8" r:id="rId13"/>
    <sheet name="CCIRTS &lt;HIDE&gt;" sheetId="9" state="hidden" r:id="rId14"/>
  </sheets>
  <definedNames>
    <definedName name="_ftn1" localSheetId="12">Documentation!#REF!</definedName>
    <definedName name="Agency">'Project Info'!$D$25</definedName>
    <definedName name="CTW">'Project Info'!$B$38</definedName>
    <definedName name="CTW_acres">'Coastal Tidal Wetland'!$I$34</definedName>
    <definedName name="CTW_CO2">'Coastal Tidal Wetland'!$I$33</definedName>
    <definedName name="CTW_NOx">'Coastal Tidal Wetland'!$I$36</definedName>
    <definedName name="CTW_PM2.5">'Coastal Tidal Wetland'!$I$37</definedName>
    <definedName name="CTW_trees">'Coastal Tidal Wetland'!$I$35</definedName>
    <definedName name="Delta">'Project Info'!$B$39</definedName>
    <definedName name="Delta_acres">'Delta Wetland'!$I$32</definedName>
    <definedName name="Delta_CO2">'Delta Wetland'!$I$31</definedName>
    <definedName name="Delta_NOx">'Delta Wetland'!$I$34</definedName>
    <definedName name="Delta_PM2.5">'Delta Wetland'!$I$35</definedName>
    <definedName name="Delta_trees">'Delta Wetland'!$I$33</definedName>
    <definedName name="Funds_CCI">'Project Info'!$C$33</definedName>
    <definedName name="Funds_Other">'Project Info'!$C$34</definedName>
    <definedName name="Funds_Program">'Project Info'!$C$32</definedName>
    <definedName name="Funds_Total">'Project Info'!$C$35</definedName>
    <definedName name="GW">'Project Info'!$B$40</definedName>
    <definedName name="GW_acres">Grassland!$I$34</definedName>
    <definedName name="GW_CO2">Grassland!$I$33</definedName>
    <definedName name="GW_NOx">Grassland!$I$36</definedName>
    <definedName name="GW_PM2.5">Grassland!$I$37</definedName>
    <definedName name="GW_trees">Grassland!$I$35</definedName>
    <definedName name="MM">'Project Info'!$B$41</definedName>
    <definedName name="MM_acres">'Mountain Meadow'!$I$32</definedName>
    <definedName name="MM_CO2">'Mountain Meadow'!$I$31</definedName>
    <definedName name="MM_NOx">'Mountain Meadow'!$I$34</definedName>
    <definedName name="MM_PM2.5">'Mountain Meadow'!$I$35</definedName>
    <definedName name="MM_trees">'Mountain Meadow'!$I$33</definedName>
    <definedName name="_xlnm.Print_Area" localSheetId="10">'Co-benefits Summary'!$B$11:$C$11</definedName>
    <definedName name="_xlnm.Print_Area" localSheetId="12">Documentation!$A$9:$D$26</definedName>
    <definedName name="_xlnm.Print_Area" localSheetId="9">'GHG Summary'!$B$1:$C$23</definedName>
    <definedName name="Program">'Project Info'!$C$25</definedName>
    <definedName name="ProjectName">'Project Info'!$C$24</definedName>
    <definedName name="ProjectType">'Project Info'!$C$26</definedName>
    <definedName name="SIW">'Project Info'!$B$42</definedName>
    <definedName name="SIW_acres">'Seasonal Inland Wetland'!$I$34</definedName>
    <definedName name="SIW_CO2">'Seasonal Inland Wetland'!$I$33</definedName>
    <definedName name="SIW_NOx">'Seasonal Inland Wetland'!$I$36</definedName>
    <definedName name="SIW_PM2.5">'Seasonal Inland Wetland'!$I$37</definedName>
    <definedName name="SIW_trees">'Seasonal Inland Wetland'!$I$35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5" i="15" l="1"/>
  <c r="G42" i="15" l="1"/>
  <c r="G41" i="15"/>
  <c r="G39" i="15"/>
  <c r="G38" i="15"/>
  <c r="B4" i="20"/>
  <c r="B4" i="18"/>
  <c r="B4" i="16"/>
  <c r="B4" i="14"/>
  <c r="B4" i="17"/>
  <c r="B33" i="14" l="1"/>
  <c r="B34" i="14"/>
  <c r="B32" i="18"/>
  <c r="B31" i="18"/>
  <c r="B33" i="17"/>
  <c r="B34" i="17"/>
  <c r="B32" i="16"/>
  <c r="B31" i="16"/>
  <c r="B33" i="20"/>
  <c r="B34" i="20"/>
  <c r="C1" i="15"/>
  <c r="AK38" i="17" l="1"/>
  <c r="AK39" i="17"/>
  <c r="AK40" i="17"/>
  <c r="AK41" i="17"/>
  <c r="AK42" i="17"/>
  <c r="AK43" i="17"/>
  <c r="AK44" i="17"/>
  <c r="AK45" i="17"/>
  <c r="AK46" i="17"/>
  <c r="AK37" i="17"/>
  <c r="AB102" i="14" l="1"/>
  <c r="AB103" i="14"/>
  <c r="AB104" i="14"/>
  <c r="AB105" i="14"/>
  <c r="AB106" i="14"/>
  <c r="AB107" i="14"/>
  <c r="AB108" i="14"/>
  <c r="AB109" i="14"/>
  <c r="AB110" i="14"/>
  <c r="AB101" i="14"/>
  <c r="O2" i="9" l="1"/>
  <c r="E2" i="9"/>
  <c r="D2" i="9"/>
  <c r="B20" i="5"/>
  <c r="B21" i="5"/>
  <c r="B22" i="5"/>
  <c r="B23" i="5"/>
  <c r="B19" i="5"/>
  <c r="E19" i="5"/>
  <c r="D19" i="5"/>
  <c r="C19" i="5"/>
  <c r="C11" i="5" s="1"/>
  <c r="C9" i="5"/>
  <c r="C9" i="4"/>
  <c r="E18" i="22" l="1"/>
  <c r="F18" i="22" s="1"/>
  <c r="E19" i="22"/>
  <c r="F19" i="22" s="1"/>
  <c r="E20" i="22"/>
  <c r="F20" i="22" s="1"/>
  <c r="E21" i="22"/>
  <c r="F21" i="22" s="1"/>
  <c r="E22" i="22"/>
  <c r="F22" i="22" s="1"/>
  <c r="E23" i="22"/>
  <c r="F23" i="22" s="1"/>
  <c r="E24" i="22"/>
  <c r="F24" i="22" s="1"/>
  <c r="E25" i="22"/>
  <c r="F25" i="22" s="1"/>
  <c r="E26" i="22"/>
  <c r="F26" i="22" s="1"/>
  <c r="E27" i="22"/>
  <c r="F27" i="22" s="1"/>
  <c r="C14" i="4"/>
  <c r="C13" i="4"/>
  <c r="C12" i="4"/>
  <c r="I34" i="17"/>
  <c r="E41" i="21"/>
  <c r="AC28" i="16" s="1"/>
  <c r="G41" i="21"/>
  <c r="I41" i="21"/>
  <c r="C41" i="21"/>
  <c r="V21" i="20"/>
  <c r="W21" i="20"/>
  <c r="V22" i="20"/>
  <c r="W22" i="20"/>
  <c r="V23" i="20"/>
  <c r="W23" i="20"/>
  <c r="V24" i="20"/>
  <c r="W24" i="20"/>
  <c r="V25" i="20"/>
  <c r="W25" i="20"/>
  <c r="V26" i="20"/>
  <c r="W26" i="20"/>
  <c r="V27" i="20"/>
  <c r="W27" i="20"/>
  <c r="V28" i="20"/>
  <c r="W28" i="20"/>
  <c r="V29" i="20"/>
  <c r="W29" i="20"/>
  <c r="W20" i="20"/>
  <c r="V20" i="20"/>
  <c r="AF41" i="20"/>
  <c r="AF42" i="20"/>
  <c r="AF43" i="20"/>
  <c r="AF44" i="20"/>
  <c r="AF45" i="20"/>
  <c r="AF46" i="20"/>
  <c r="AF47" i="20"/>
  <c r="AF48" i="20"/>
  <c r="AF49" i="20"/>
  <c r="AF40" i="20"/>
  <c r="U41" i="20"/>
  <c r="V41" i="20"/>
  <c r="W41" i="20"/>
  <c r="X41" i="20"/>
  <c r="Z41" i="20"/>
  <c r="AA41" i="20"/>
  <c r="AB41" i="20"/>
  <c r="AC41" i="20"/>
  <c r="AD41" i="20"/>
  <c r="AE41" i="20"/>
  <c r="U42" i="20"/>
  <c r="V42" i="20"/>
  <c r="W42" i="20"/>
  <c r="X42" i="20"/>
  <c r="Z42" i="20"/>
  <c r="AA42" i="20"/>
  <c r="AB42" i="20"/>
  <c r="AC42" i="20"/>
  <c r="AD42" i="20"/>
  <c r="AE42" i="20"/>
  <c r="U43" i="20"/>
  <c r="V43" i="20"/>
  <c r="W43" i="20"/>
  <c r="X43" i="20"/>
  <c r="Z43" i="20"/>
  <c r="AA43" i="20"/>
  <c r="AB43" i="20"/>
  <c r="AC43" i="20"/>
  <c r="AD43" i="20"/>
  <c r="AE43" i="20"/>
  <c r="U44" i="20"/>
  <c r="V44" i="20"/>
  <c r="W44" i="20"/>
  <c r="X44" i="20"/>
  <c r="Z44" i="20"/>
  <c r="AA44" i="20"/>
  <c r="AB44" i="20"/>
  <c r="AC44" i="20"/>
  <c r="AD44" i="20"/>
  <c r="AE44" i="20"/>
  <c r="U45" i="20"/>
  <c r="V45" i="20"/>
  <c r="W45" i="20"/>
  <c r="X45" i="20"/>
  <c r="Z45" i="20"/>
  <c r="AA45" i="20"/>
  <c r="AB45" i="20"/>
  <c r="AC45" i="20"/>
  <c r="AD45" i="20"/>
  <c r="AE45" i="20"/>
  <c r="U46" i="20"/>
  <c r="V46" i="20"/>
  <c r="W46" i="20"/>
  <c r="X46" i="20"/>
  <c r="Z46" i="20"/>
  <c r="AA46" i="20"/>
  <c r="AB46" i="20"/>
  <c r="AC46" i="20"/>
  <c r="AD46" i="20"/>
  <c r="AE46" i="20"/>
  <c r="U47" i="20"/>
  <c r="V47" i="20"/>
  <c r="W47" i="20"/>
  <c r="X47" i="20"/>
  <c r="Z47" i="20"/>
  <c r="AA47" i="20"/>
  <c r="AB47" i="20"/>
  <c r="AC47" i="20"/>
  <c r="AD47" i="20"/>
  <c r="AE47" i="20"/>
  <c r="U48" i="20"/>
  <c r="V48" i="20"/>
  <c r="W48" i="20"/>
  <c r="X48" i="20"/>
  <c r="Z48" i="20"/>
  <c r="AA48" i="20"/>
  <c r="AB48" i="20"/>
  <c r="AC48" i="20"/>
  <c r="AD48" i="20"/>
  <c r="AE48" i="20"/>
  <c r="U49" i="20"/>
  <c r="V49" i="20"/>
  <c r="W49" i="20"/>
  <c r="X49" i="20"/>
  <c r="Z49" i="20"/>
  <c r="AA49" i="20"/>
  <c r="AB49" i="20"/>
  <c r="AC49" i="20"/>
  <c r="AD49" i="20"/>
  <c r="AE49" i="20"/>
  <c r="AE40" i="20"/>
  <c r="AC40" i="20"/>
  <c r="AA40" i="20"/>
  <c r="W40" i="20"/>
  <c r="V40" i="20"/>
  <c r="AD40" i="20"/>
  <c r="AB40" i="20"/>
  <c r="Z40" i="20"/>
  <c r="X40" i="20"/>
  <c r="U40" i="20"/>
  <c r="T57" i="20"/>
  <c r="U57" i="20"/>
  <c r="V57" i="20"/>
  <c r="W57" i="20"/>
  <c r="T58" i="20"/>
  <c r="U58" i="20"/>
  <c r="V58" i="20"/>
  <c r="W58" i="20"/>
  <c r="T59" i="20"/>
  <c r="U59" i="20"/>
  <c r="V59" i="20"/>
  <c r="W59" i="20"/>
  <c r="T60" i="20"/>
  <c r="U60" i="20"/>
  <c r="V60" i="20"/>
  <c r="W60" i="20"/>
  <c r="T61" i="20"/>
  <c r="U61" i="20"/>
  <c r="V61" i="20"/>
  <c r="W61" i="20"/>
  <c r="T62" i="20"/>
  <c r="U62" i="20"/>
  <c r="V62" i="20"/>
  <c r="W62" i="20"/>
  <c r="T63" i="20"/>
  <c r="U63" i="20"/>
  <c r="V63" i="20"/>
  <c r="W63" i="20"/>
  <c r="T64" i="20"/>
  <c r="U64" i="20"/>
  <c r="V64" i="20"/>
  <c r="W64" i="20"/>
  <c r="T65" i="20"/>
  <c r="U65" i="20"/>
  <c r="V65" i="20"/>
  <c r="W65" i="20"/>
  <c r="W56" i="20"/>
  <c r="T56" i="20"/>
  <c r="U56" i="20"/>
  <c r="V56" i="20"/>
  <c r="V66" i="20" s="1"/>
  <c r="AJ50" i="20"/>
  <c r="AK50" i="20" s="1"/>
  <c r="T41" i="20" s="1"/>
  <c r="AJ51" i="20"/>
  <c r="AK51" i="20" s="1"/>
  <c r="T42" i="20" s="1"/>
  <c r="AJ52" i="20"/>
  <c r="AK52" i="20" s="1"/>
  <c r="T43" i="20" s="1"/>
  <c r="AJ53" i="20"/>
  <c r="AK53" i="20" s="1"/>
  <c r="T44" i="20" s="1"/>
  <c r="AJ54" i="20"/>
  <c r="AK54" i="20" s="1"/>
  <c r="T45" i="20" s="1"/>
  <c r="AJ55" i="20"/>
  <c r="AK55" i="20" s="1"/>
  <c r="T46" i="20" s="1"/>
  <c r="AJ56" i="20"/>
  <c r="AK56" i="20" s="1"/>
  <c r="T47" i="20" s="1"/>
  <c r="AJ57" i="20"/>
  <c r="AK57" i="20" s="1"/>
  <c r="T48" i="20" s="1"/>
  <c r="AJ58" i="20"/>
  <c r="AK58" i="20" s="1"/>
  <c r="T49" i="20" s="1"/>
  <c r="AJ49" i="20"/>
  <c r="AK49" i="20" s="1"/>
  <c r="T40" i="20" s="1"/>
  <c r="AK45" i="20"/>
  <c r="X64" i="20" s="1"/>
  <c r="AK40" i="20"/>
  <c r="AG44" i="20" s="1"/>
  <c r="V21" i="17"/>
  <c r="X21" i="17"/>
  <c r="Y21" i="17"/>
  <c r="V22" i="17"/>
  <c r="X22" i="17"/>
  <c r="Y22" i="17"/>
  <c r="V23" i="17"/>
  <c r="X23" i="17"/>
  <c r="Y23" i="17"/>
  <c r="V24" i="17"/>
  <c r="X24" i="17"/>
  <c r="Y24" i="17"/>
  <c r="V25" i="17"/>
  <c r="X25" i="17"/>
  <c r="Y25" i="17"/>
  <c r="V26" i="17"/>
  <c r="X26" i="17"/>
  <c r="Y26" i="17"/>
  <c r="V27" i="17"/>
  <c r="X27" i="17"/>
  <c r="Y27" i="17"/>
  <c r="V28" i="17"/>
  <c r="X28" i="17"/>
  <c r="Y28" i="17"/>
  <c r="V29" i="17"/>
  <c r="X29" i="17"/>
  <c r="Y29" i="17"/>
  <c r="U41" i="17"/>
  <c r="V41" i="17"/>
  <c r="W41" i="17"/>
  <c r="X41" i="17"/>
  <c r="Z41" i="17"/>
  <c r="AA41" i="17"/>
  <c r="AB41" i="17"/>
  <c r="AC41" i="17"/>
  <c r="AD41" i="17"/>
  <c r="AE41" i="17"/>
  <c r="AF41" i="17"/>
  <c r="AG41" i="17"/>
  <c r="U42" i="17"/>
  <c r="V42" i="17"/>
  <c r="W42" i="17"/>
  <c r="X42" i="17"/>
  <c r="Z42" i="17"/>
  <c r="AA42" i="17"/>
  <c r="AB42" i="17"/>
  <c r="AC42" i="17"/>
  <c r="AD42" i="17"/>
  <c r="AE42" i="17"/>
  <c r="AF42" i="17"/>
  <c r="AG42" i="17"/>
  <c r="U43" i="17"/>
  <c r="V43" i="17"/>
  <c r="W43" i="17"/>
  <c r="X43" i="17"/>
  <c r="Z43" i="17"/>
  <c r="AA43" i="17"/>
  <c r="AB43" i="17"/>
  <c r="AC43" i="17"/>
  <c r="AD43" i="17"/>
  <c r="AE43" i="17"/>
  <c r="AF43" i="17"/>
  <c r="AG43" i="17"/>
  <c r="U44" i="17"/>
  <c r="V44" i="17"/>
  <c r="W44" i="17"/>
  <c r="X44" i="17"/>
  <c r="Z44" i="17"/>
  <c r="AA44" i="17"/>
  <c r="AB44" i="17"/>
  <c r="AC44" i="17"/>
  <c r="AD44" i="17"/>
  <c r="AE44" i="17"/>
  <c r="AF44" i="17"/>
  <c r="AG44" i="17"/>
  <c r="U45" i="17"/>
  <c r="V45" i="17"/>
  <c r="W45" i="17"/>
  <c r="X45" i="17"/>
  <c r="Z45" i="17"/>
  <c r="AA45" i="17"/>
  <c r="AB45" i="17"/>
  <c r="AC45" i="17"/>
  <c r="AD45" i="17"/>
  <c r="AE45" i="17"/>
  <c r="AF45" i="17"/>
  <c r="AG45" i="17"/>
  <c r="U46" i="17"/>
  <c r="V46" i="17"/>
  <c r="W46" i="17"/>
  <c r="X46" i="17"/>
  <c r="Z46" i="17"/>
  <c r="AA46" i="17"/>
  <c r="AB46" i="17"/>
  <c r="AC46" i="17"/>
  <c r="AD46" i="17"/>
  <c r="AE46" i="17"/>
  <c r="AF46" i="17"/>
  <c r="AG46" i="17"/>
  <c r="U47" i="17"/>
  <c r="V47" i="17"/>
  <c r="W47" i="17"/>
  <c r="X47" i="17"/>
  <c r="Z47" i="17"/>
  <c r="AA47" i="17"/>
  <c r="AB47" i="17"/>
  <c r="AC47" i="17"/>
  <c r="AD47" i="17"/>
  <c r="AE47" i="17"/>
  <c r="AF47" i="17"/>
  <c r="AG47" i="17"/>
  <c r="U48" i="17"/>
  <c r="V48" i="17"/>
  <c r="W48" i="17"/>
  <c r="X48" i="17"/>
  <c r="Z48" i="17"/>
  <c r="AA48" i="17"/>
  <c r="AB48" i="17"/>
  <c r="AC48" i="17"/>
  <c r="AD48" i="17"/>
  <c r="AE48" i="17"/>
  <c r="AF48" i="17"/>
  <c r="AG48" i="17"/>
  <c r="U49" i="17"/>
  <c r="V49" i="17"/>
  <c r="W49" i="17"/>
  <c r="X49" i="17"/>
  <c r="Z49" i="17"/>
  <c r="AA49" i="17"/>
  <c r="AB49" i="17"/>
  <c r="AC49" i="17"/>
  <c r="AD49" i="17"/>
  <c r="AE49" i="17"/>
  <c r="AF49" i="17"/>
  <c r="AG49" i="17"/>
  <c r="AL41" i="17"/>
  <c r="Y44" i="17" s="1"/>
  <c r="T44" i="17" s="1"/>
  <c r="AL45" i="17"/>
  <c r="Y48" i="17" s="1"/>
  <c r="T48" i="17" s="1"/>
  <c r="AL46" i="17"/>
  <c r="Y49" i="17" s="1"/>
  <c r="T49" i="17" s="1"/>
  <c r="AL42" i="17"/>
  <c r="Y45" i="17" s="1"/>
  <c r="T45" i="17" s="1"/>
  <c r="AL43" i="17"/>
  <c r="Y46" i="17" s="1"/>
  <c r="T46" i="17" s="1"/>
  <c r="AL44" i="17"/>
  <c r="Y47" i="17" s="1"/>
  <c r="T47" i="17" s="1"/>
  <c r="AF40" i="17"/>
  <c r="AD40" i="17"/>
  <c r="AB40" i="17"/>
  <c r="Z40" i="17"/>
  <c r="X40" i="17"/>
  <c r="T58" i="17"/>
  <c r="U58" i="17"/>
  <c r="V58" i="17"/>
  <c r="W58" i="17"/>
  <c r="T59" i="17"/>
  <c r="U59" i="17"/>
  <c r="V59" i="17"/>
  <c r="W59" i="17"/>
  <c r="T60" i="17"/>
  <c r="U60" i="17"/>
  <c r="V60" i="17"/>
  <c r="W60" i="17"/>
  <c r="T61" i="17"/>
  <c r="U61" i="17"/>
  <c r="V61" i="17"/>
  <c r="W61" i="17"/>
  <c r="T62" i="17"/>
  <c r="U62" i="17"/>
  <c r="V62" i="17"/>
  <c r="W62" i="17"/>
  <c r="T63" i="17"/>
  <c r="U63" i="17"/>
  <c r="V63" i="17"/>
  <c r="W63" i="17"/>
  <c r="T64" i="17"/>
  <c r="U64" i="17"/>
  <c r="V64" i="17"/>
  <c r="W64" i="17"/>
  <c r="T65" i="17"/>
  <c r="U65" i="17"/>
  <c r="V65" i="17"/>
  <c r="W65" i="17"/>
  <c r="T57" i="17"/>
  <c r="U57" i="17"/>
  <c r="V57" i="17"/>
  <c r="W57" i="17"/>
  <c r="U56" i="17"/>
  <c r="V56" i="17"/>
  <c r="T73" i="17"/>
  <c r="U73" i="17"/>
  <c r="V73" i="17"/>
  <c r="T74" i="17"/>
  <c r="U74" i="17"/>
  <c r="V74" i="17"/>
  <c r="T75" i="17"/>
  <c r="U75" i="17"/>
  <c r="V75" i="17"/>
  <c r="T76" i="17"/>
  <c r="U76" i="17"/>
  <c r="V76" i="17"/>
  <c r="T77" i="17"/>
  <c r="U77" i="17"/>
  <c r="V77" i="17"/>
  <c r="T78" i="17"/>
  <c r="U78" i="17"/>
  <c r="V78" i="17"/>
  <c r="T79" i="17"/>
  <c r="U79" i="17"/>
  <c r="V79" i="17"/>
  <c r="T80" i="17"/>
  <c r="U80" i="17"/>
  <c r="V80" i="17"/>
  <c r="T81" i="17"/>
  <c r="U81" i="17"/>
  <c r="V81" i="17"/>
  <c r="W73" i="17"/>
  <c r="W74" i="17"/>
  <c r="W75" i="17"/>
  <c r="W76" i="17"/>
  <c r="W77" i="17"/>
  <c r="W78" i="17"/>
  <c r="W79" i="17"/>
  <c r="W80" i="17"/>
  <c r="W81" i="17"/>
  <c r="W72" i="17"/>
  <c r="V20" i="17"/>
  <c r="X20" i="17"/>
  <c r="Y20" i="17"/>
  <c r="AL38" i="17"/>
  <c r="Y41" i="17" s="1"/>
  <c r="T41" i="17" s="1"/>
  <c r="AL39" i="17"/>
  <c r="Y42" i="17" s="1"/>
  <c r="T42" i="17" s="1"/>
  <c r="AL40" i="17"/>
  <c r="Y43" i="17" s="1"/>
  <c r="T43" i="17" s="1"/>
  <c r="AL37" i="17"/>
  <c r="Y40" i="17" s="1"/>
  <c r="T40" i="17" s="1"/>
  <c r="AG40" i="17"/>
  <c r="AE40" i="17"/>
  <c r="AC40" i="17"/>
  <c r="AA40" i="17"/>
  <c r="W40" i="17"/>
  <c r="V40" i="17"/>
  <c r="U40" i="17"/>
  <c r="T56" i="17"/>
  <c r="W56" i="17"/>
  <c r="T72" i="17"/>
  <c r="U72" i="17"/>
  <c r="V72" i="17"/>
  <c r="T112" i="17"/>
  <c r="X57" i="17" s="1"/>
  <c r="T107" i="17"/>
  <c r="AH40" i="17" s="1"/>
  <c r="AF50" i="17"/>
  <c r="AD50" i="17"/>
  <c r="AB50" i="17"/>
  <c r="Z50" i="17"/>
  <c r="N19" i="18"/>
  <c r="N20" i="18"/>
  <c r="N21" i="18"/>
  <c r="N22" i="18"/>
  <c r="N23" i="18"/>
  <c r="N24" i="18"/>
  <c r="N25" i="18"/>
  <c r="N26" i="18"/>
  <c r="N27" i="18"/>
  <c r="N18" i="18"/>
  <c r="O19" i="18"/>
  <c r="O20" i="18"/>
  <c r="O21" i="18"/>
  <c r="O22" i="18"/>
  <c r="O23" i="18"/>
  <c r="O24" i="18"/>
  <c r="O25" i="18"/>
  <c r="O26" i="18"/>
  <c r="O27" i="18"/>
  <c r="O18" i="18"/>
  <c r="P27" i="18"/>
  <c r="Q27" i="18"/>
  <c r="S27" i="18"/>
  <c r="P22" i="18"/>
  <c r="Q22" i="18"/>
  <c r="S22" i="18"/>
  <c r="P23" i="18"/>
  <c r="Q23" i="18"/>
  <c r="S23" i="18"/>
  <c r="P24" i="18"/>
  <c r="Q24" i="18"/>
  <c r="S24" i="18"/>
  <c r="P25" i="18"/>
  <c r="Q25" i="18"/>
  <c r="S25" i="18"/>
  <c r="P26" i="18"/>
  <c r="Q26" i="18"/>
  <c r="S26" i="18"/>
  <c r="P19" i="18"/>
  <c r="Q19" i="18"/>
  <c r="S19" i="18"/>
  <c r="P20" i="18"/>
  <c r="Q20" i="18"/>
  <c r="S20" i="18"/>
  <c r="P21" i="18"/>
  <c r="Q21" i="18"/>
  <c r="S21" i="18"/>
  <c r="S18" i="18"/>
  <c r="Q18" i="18"/>
  <c r="P18" i="18"/>
  <c r="M37" i="18"/>
  <c r="R19" i="18" s="1"/>
  <c r="R19" i="16"/>
  <c r="S19" i="16"/>
  <c r="T19" i="16"/>
  <c r="V19" i="16"/>
  <c r="W19" i="16"/>
  <c r="X19" i="16"/>
  <c r="AA19" i="16"/>
  <c r="AB19" i="16"/>
  <c r="R20" i="16"/>
  <c r="S20" i="16"/>
  <c r="T20" i="16"/>
  <c r="V20" i="16"/>
  <c r="W20" i="16"/>
  <c r="X20" i="16"/>
  <c r="AA20" i="16"/>
  <c r="AB20" i="16"/>
  <c r="R21" i="16"/>
  <c r="S21" i="16"/>
  <c r="T21" i="16"/>
  <c r="V21" i="16"/>
  <c r="W21" i="16"/>
  <c r="X21" i="16"/>
  <c r="AA21" i="16"/>
  <c r="AB21" i="16"/>
  <c r="R22" i="16"/>
  <c r="S22" i="16"/>
  <c r="T22" i="16"/>
  <c r="V22" i="16"/>
  <c r="W22" i="16"/>
  <c r="X22" i="16"/>
  <c r="AA22" i="16"/>
  <c r="AB22" i="16"/>
  <c r="R23" i="16"/>
  <c r="S23" i="16"/>
  <c r="T23" i="16"/>
  <c r="V23" i="16"/>
  <c r="W23" i="16"/>
  <c r="X23" i="16"/>
  <c r="AA23" i="16"/>
  <c r="AB23" i="16"/>
  <c r="R24" i="16"/>
  <c r="S24" i="16"/>
  <c r="T24" i="16"/>
  <c r="V24" i="16"/>
  <c r="W24" i="16"/>
  <c r="X24" i="16"/>
  <c r="AA24" i="16"/>
  <c r="AB24" i="16"/>
  <c r="R25" i="16"/>
  <c r="S25" i="16"/>
  <c r="T25" i="16"/>
  <c r="V25" i="16"/>
  <c r="W25" i="16"/>
  <c r="X25" i="16"/>
  <c r="AA25" i="16"/>
  <c r="AB25" i="16"/>
  <c r="R26" i="16"/>
  <c r="S26" i="16"/>
  <c r="T26" i="16"/>
  <c r="V26" i="16"/>
  <c r="W26" i="16"/>
  <c r="X26" i="16"/>
  <c r="AA26" i="16"/>
  <c r="AB26" i="16"/>
  <c r="R27" i="16"/>
  <c r="S27" i="16"/>
  <c r="T27" i="16"/>
  <c r="V27" i="16"/>
  <c r="W27" i="16"/>
  <c r="X27" i="16"/>
  <c r="AA27" i="16"/>
  <c r="AB27" i="16"/>
  <c r="R36" i="16"/>
  <c r="S36" i="16"/>
  <c r="T36" i="16"/>
  <c r="U36" i="16"/>
  <c r="V36" i="16"/>
  <c r="R37" i="16"/>
  <c r="S37" i="16"/>
  <c r="T37" i="16"/>
  <c r="U37" i="16"/>
  <c r="V37" i="16"/>
  <c r="R38" i="16"/>
  <c r="S38" i="16"/>
  <c r="T38" i="16"/>
  <c r="U38" i="16"/>
  <c r="V38" i="16"/>
  <c r="R39" i="16"/>
  <c r="S39" i="16"/>
  <c r="T39" i="16"/>
  <c r="U39" i="16"/>
  <c r="V39" i="16"/>
  <c r="R40" i="16"/>
  <c r="S40" i="16"/>
  <c r="T40" i="16"/>
  <c r="U40" i="16"/>
  <c r="V40" i="16"/>
  <c r="R41" i="16"/>
  <c r="S41" i="16"/>
  <c r="T41" i="16"/>
  <c r="U41" i="16"/>
  <c r="V41" i="16"/>
  <c r="R42" i="16"/>
  <c r="S42" i="16"/>
  <c r="T42" i="16"/>
  <c r="U42" i="16"/>
  <c r="V42" i="16"/>
  <c r="R43" i="16"/>
  <c r="S43" i="16"/>
  <c r="T43" i="16"/>
  <c r="U43" i="16"/>
  <c r="V43" i="16"/>
  <c r="R44" i="16"/>
  <c r="S44" i="16"/>
  <c r="T44" i="16"/>
  <c r="U44" i="16"/>
  <c r="V44" i="16"/>
  <c r="V35" i="16"/>
  <c r="U35" i="16"/>
  <c r="R52" i="16"/>
  <c r="S52" i="16"/>
  <c r="T52" i="16"/>
  <c r="U52" i="16"/>
  <c r="R53" i="16"/>
  <c r="S53" i="16"/>
  <c r="T53" i="16"/>
  <c r="U53" i="16"/>
  <c r="R54" i="16"/>
  <c r="S54" i="16"/>
  <c r="T54" i="16"/>
  <c r="U54" i="16"/>
  <c r="R55" i="16"/>
  <c r="S55" i="16"/>
  <c r="T55" i="16"/>
  <c r="U55" i="16"/>
  <c r="R56" i="16"/>
  <c r="S56" i="16"/>
  <c r="T56" i="16"/>
  <c r="U56" i="16"/>
  <c r="R57" i="16"/>
  <c r="S57" i="16"/>
  <c r="T57" i="16"/>
  <c r="U57" i="16"/>
  <c r="R58" i="16"/>
  <c r="S58" i="16"/>
  <c r="T58" i="16"/>
  <c r="U58" i="16"/>
  <c r="R59" i="16"/>
  <c r="S59" i="16"/>
  <c r="T59" i="16"/>
  <c r="U59" i="16"/>
  <c r="R60" i="16"/>
  <c r="S60" i="16"/>
  <c r="T60" i="16"/>
  <c r="U60" i="16"/>
  <c r="S51" i="16"/>
  <c r="T51" i="16"/>
  <c r="T35" i="16"/>
  <c r="R35" i="16"/>
  <c r="S35" i="16"/>
  <c r="U51" i="16"/>
  <c r="R51" i="16"/>
  <c r="AB18" i="16"/>
  <c r="AA18" i="16"/>
  <c r="X18" i="16"/>
  <c r="W18" i="16"/>
  <c r="V18" i="16"/>
  <c r="T18" i="16"/>
  <c r="S18" i="16"/>
  <c r="R18" i="16"/>
  <c r="AF35" i="16"/>
  <c r="W38" i="16" s="1"/>
  <c r="AF22" i="16"/>
  <c r="U19" i="16" s="1"/>
  <c r="AF38" i="14"/>
  <c r="AF39" i="14"/>
  <c r="AF40" i="14"/>
  <c r="AF41" i="14"/>
  <c r="AF42" i="14"/>
  <c r="AF43" i="14"/>
  <c r="AF44" i="14"/>
  <c r="AF45" i="14"/>
  <c r="AF46" i="14"/>
  <c r="AF37" i="14"/>
  <c r="AB54" i="14"/>
  <c r="AB55" i="14"/>
  <c r="AC55" i="14" s="1"/>
  <c r="AB56" i="14"/>
  <c r="AC56" i="14" s="1"/>
  <c r="AB57" i="14"/>
  <c r="AC57" i="14" s="1"/>
  <c r="AB58" i="14"/>
  <c r="AC58" i="14" s="1"/>
  <c r="AB59" i="14"/>
  <c r="AC59" i="14" s="1"/>
  <c r="AB60" i="14"/>
  <c r="AB61" i="14"/>
  <c r="AC61" i="14" s="1"/>
  <c r="AB62" i="14"/>
  <c r="AC62" i="14" s="1"/>
  <c r="AB53" i="14"/>
  <c r="AC54" i="14"/>
  <c r="AC60" i="14"/>
  <c r="AA54" i="14"/>
  <c r="AA55" i="14"/>
  <c r="AA56" i="14"/>
  <c r="AA57" i="14"/>
  <c r="AA58" i="14"/>
  <c r="AA59" i="14"/>
  <c r="AA60" i="14"/>
  <c r="AA61" i="14"/>
  <c r="AA62" i="14"/>
  <c r="AA53" i="14"/>
  <c r="AC70" i="14"/>
  <c r="AC71" i="14"/>
  <c r="AC72" i="14"/>
  <c r="AC73" i="14"/>
  <c r="AC74" i="14"/>
  <c r="AC75" i="14"/>
  <c r="AC76" i="14"/>
  <c r="AC77" i="14"/>
  <c r="AC78" i="14"/>
  <c r="AC69" i="14"/>
  <c r="AA86" i="14"/>
  <c r="AA87" i="14"/>
  <c r="AA88" i="14"/>
  <c r="AA89" i="14"/>
  <c r="AA90" i="14"/>
  <c r="AA91" i="14"/>
  <c r="AA92" i="14"/>
  <c r="AA93" i="14"/>
  <c r="AA94" i="14"/>
  <c r="AA85" i="14"/>
  <c r="AB86" i="14"/>
  <c r="AB87" i="14"/>
  <c r="AB88" i="14"/>
  <c r="AB89" i="14"/>
  <c r="AB90" i="14"/>
  <c r="AB91" i="14"/>
  <c r="AB92" i="14"/>
  <c r="AB93" i="14"/>
  <c r="AB94" i="14"/>
  <c r="AB85" i="14"/>
  <c r="AA102" i="14"/>
  <c r="AA103" i="14"/>
  <c r="AA104" i="14"/>
  <c r="AA105" i="14"/>
  <c r="AA106" i="14"/>
  <c r="AA107" i="14"/>
  <c r="AA108" i="14"/>
  <c r="AA109" i="14"/>
  <c r="AA110" i="14"/>
  <c r="AA101" i="14"/>
  <c r="AG118" i="14"/>
  <c r="AG119" i="14"/>
  <c r="AG120" i="14"/>
  <c r="AG121" i="14"/>
  <c r="AG122" i="14"/>
  <c r="AG123" i="14"/>
  <c r="AG124" i="14"/>
  <c r="AG125" i="14"/>
  <c r="AG126" i="14"/>
  <c r="AG117" i="14"/>
  <c r="AC118" i="14"/>
  <c r="AC119" i="14"/>
  <c r="AC120" i="14"/>
  <c r="AE120" i="14" s="1"/>
  <c r="AC121" i="14"/>
  <c r="AC122" i="14"/>
  <c r="AC123" i="14"/>
  <c r="AC124" i="14"/>
  <c r="AC125" i="14"/>
  <c r="AC126" i="14"/>
  <c r="AC117" i="14"/>
  <c r="AL118" i="14"/>
  <c r="AM118" i="14" s="1"/>
  <c r="Z118" i="14" s="1"/>
  <c r="AL119" i="14"/>
  <c r="AM119" i="14" s="1"/>
  <c r="Z119" i="14" s="1"/>
  <c r="AL120" i="14"/>
  <c r="AM120" i="14" s="1"/>
  <c r="Z120" i="14" s="1"/>
  <c r="AL121" i="14"/>
  <c r="AM121" i="14" s="1"/>
  <c r="Z121" i="14" s="1"/>
  <c r="AL122" i="14"/>
  <c r="AM122" i="14" s="1"/>
  <c r="Z122" i="14" s="1"/>
  <c r="AL123" i="14"/>
  <c r="AM123" i="14" s="1"/>
  <c r="Z123" i="14" s="1"/>
  <c r="AL124" i="14"/>
  <c r="AM124" i="14" s="1"/>
  <c r="Z124" i="14" s="1"/>
  <c r="AL125" i="14"/>
  <c r="AM125" i="14" s="1"/>
  <c r="Z125" i="14" s="1"/>
  <c r="AL126" i="14"/>
  <c r="AM126" i="14" s="1"/>
  <c r="Z126" i="14" s="1"/>
  <c r="AL117" i="14"/>
  <c r="AM117" i="14" s="1"/>
  <c r="Z117" i="14" s="1"/>
  <c r="AL36" i="14"/>
  <c r="AI119" i="14" s="1"/>
  <c r="AL45" i="14"/>
  <c r="AD93" i="14" s="1"/>
  <c r="AA118" i="14"/>
  <c r="AB118" i="14"/>
  <c r="AD118" i="14"/>
  <c r="AA119" i="14"/>
  <c r="AB119" i="14"/>
  <c r="AD119" i="14"/>
  <c r="AA120" i="14"/>
  <c r="AB120" i="14"/>
  <c r="AD120" i="14"/>
  <c r="AA121" i="14"/>
  <c r="AB121" i="14"/>
  <c r="AD121" i="14"/>
  <c r="AA122" i="14"/>
  <c r="AB122" i="14"/>
  <c r="AD122" i="14"/>
  <c r="AA123" i="14"/>
  <c r="AB123" i="14"/>
  <c r="AD123" i="14"/>
  <c r="AA124" i="14"/>
  <c r="AB124" i="14"/>
  <c r="AD124" i="14"/>
  <c r="AA125" i="14"/>
  <c r="AB125" i="14"/>
  <c r="AD125" i="14"/>
  <c r="AA126" i="14"/>
  <c r="AB126" i="14"/>
  <c r="AD126" i="14"/>
  <c r="AD117" i="14"/>
  <c r="AB117" i="14"/>
  <c r="AA117" i="14"/>
  <c r="AF118" i="14"/>
  <c r="AH118" i="14"/>
  <c r="AF119" i="14"/>
  <c r="AH119" i="14"/>
  <c r="AF120" i="14"/>
  <c r="AH120" i="14"/>
  <c r="AF121" i="14"/>
  <c r="AH121" i="14"/>
  <c r="AF122" i="14"/>
  <c r="AH122" i="14"/>
  <c r="AF123" i="14"/>
  <c r="AH123" i="14"/>
  <c r="AI123" i="14"/>
  <c r="AF124" i="14"/>
  <c r="AH124" i="14"/>
  <c r="AF125" i="14"/>
  <c r="AH125" i="14"/>
  <c r="AF126" i="14"/>
  <c r="AH126" i="14"/>
  <c r="Z102" i="14"/>
  <c r="AC102" i="14"/>
  <c r="AD102" i="14"/>
  <c r="AE102" i="14"/>
  <c r="AF102" i="14"/>
  <c r="AG102" i="14"/>
  <c r="Z103" i="14"/>
  <c r="AC103" i="14"/>
  <c r="AD103" i="14"/>
  <c r="AE103" i="14"/>
  <c r="AG103" i="14"/>
  <c r="Z104" i="14"/>
  <c r="AC104" i="14"/>
  <c r="AD104" i="14"/>
  <c r="AE104" i="14"/>
  <c r="AG104" i="14"/>
  <c r="Z105" i="14"/>
  <c r="AC105" i="14"/>
  <c r="AD105" i="14"/>
  <c r="AE105" i="14"/>
  <c r="AG105" i="14"/>
  <c r="Z106" i="14"/>
  <c r="AC106" i="14"/>
  <c r="AD106" i="14"/>
  <c r="AE106" i="14"/>
  <c r="AF106" i="14"/>
  <c r="AG106" i="14"/>
  <c r="Z107" i="14"/>
  <c r="AC107" i="14"/>
  <c r="AD107" i="14"/>
  <c r="AE107" i="14"/>
  <c r="AG107" i="14"/>
  <c r="Z108" i="14"/>
  <c r="AC108" i="14"/>
  <c r="AD108" i="14"/>
  <c r="AE108" i="14"/>
  <c r="AG108" i="14"/>
  <c r="Z109" i="14"/>
  <c r="AC109" i="14"/>
  <c r="AD109" i="14"/>
  <c r="AE109" i="14"/>
  <c r="AF109" i="14"/>
  <c r="AG109" i="14"/>
  <c r="Z110" i="14"/>
  <c r="AC110" i="14"/>
  <c r="AD110" i="14"/>
  <c r="AE110" i="14"/>
  <c r="AF110" i="14"/>
  <c r="AG110" i="14"/>
  <c r="Z86" i="14"/>
  <c r="AC86" i="14"/>
  <c r="Z87" i="14"/>
  <c r="AC87" i="14"/>
  <c r="Z88" i="14"/>
  <c r="AC88" i="14"/>
  <c r="Z89" i="14"/>
  <c r="AC89" i="14"/>
  <c r="Z90" i="14"/>
  <c r="AC90" i="14"/>
  <c r="Z91" i="14"/>
  <c r="AC91" i="14"/>
  <c r="Z92" i="14"/>
  <c r="AC92" i="14"/>
  <c r="Z93" i="14"/>
  <c r="AC93" i="14"/>
  <c r="Z94" i="14"/>
  <c r="AC94" i="14"/>
  <c r="AA70" i="14"/>
  <c r="Z38" i="14" s="1"/>
  <c r="AB70" i="14"/>
  <c r="AD70" i="14"/>
  <c r="AA71" i="14"/>
  <c r="Z39" i="14" s="1"/>
  <c r="AB71" i="14"/>
  <c r="AD71" i="14"/>
  <c r="AA72" i="14"/>
  <c r="Z40" i="14" s="1"/>
  <c r="AB72" i="14"/>
  <c r="AD72" i="14"/>
  <c r="AA73" i="14"/>
  <c r="Z41" i="14" s="1"/>
  <c r="AB73" i="14"/>
  <c r="AD73" i="14"/>
  <c r="AA74" i="14"/>
  <c r="Z42" i="14" s="1"/>
  <c r="AB74" i="14"/>
  <c r="AD74" i="14"/>
  <c r="AA75" i="14"/>
  <c r="Z75" i="14" s="1"/>
  <c r="AB75" i="14"/>
  <c r="AD75" i="14"/>
  <c r="AA76" i="14"/>
  <c r="Z76" i="14" s="1"/>
  <c r="AB76" i="14"/>
  <c r="AD76" i="14"/>
  <c r="AA77" i="14"/>
  <c r="Z77" i="14" s="1"/>
  <c r="AB77" i="14"/>
  <c r="AD77" i="14"/>
  <c r="AA78" i="14"/>
  <c r="Z46" i="14" s="1"/>
  <c r="AB78" i="14"/>
  <c r="AD78" i="14"/>
  <c r="Z54" i="14"/>
  <c r="AD54" i="14"/>
  <c r="AE54" i="14"/>
  <c r="AF54" i="14"/>
  <c r="Z55" i="14"/>
  <c r="AD55" i="14"/>
  <c r="AE55" i="14"/>
  <c r="AF55" i="14"/>
  <c r="Z56" i="14"/>
  <c r="AD56" i="14"/>
  <c r="AE56" i="14"/>
  <c r="AF56" i="14"/>
  <c r="Z57" i="14"/>
  <c r="AD57" i="14"/>
  <c r="AE57" i="14"/>
  <c r="AF57" i="14"/>
  <c r="Z58" i="14"/>
  <c r="AD58" i="14"/>
  <c r="AE58" i="14"/>
  <c r="AF58" i="14"/>
  <c r="Z59" i="14"/>
  <c r="AD59" i="14"/>
  <c r="AE59" i="14"/>
  <c r="AF59" i="14"/>
  <c r="Z60" i="14"/>
  <c r="AD60" i="14"/>
  <c r="AE60" i="14"/>
  <c r="AF60" i="14"/>
  <c r="Z61" i="14"/>
  <c r="AD61" i="14"/>
  <c r="AE61" i="14"/>
  <c r="AF61" i="14"/>
  <c r="Z62" i="14"/>
  <c r="AD62" i="14"/>
  <c r="AE62" i="14"/>
  <c r="AF62" i="14"/>
  <c r="AA38" i="14"/>
  <c r="AB38" i="14"/>
  <c r="AC38" i="14"/>
  <c r="AD38" i="14"/>
  <c r="AE38" i="14"/>
  <c r="AA39" i="14"/>
  <c r="AB39" i="14"/>
  <c r="AC39" i="14"/>
  <c r="AD39" i="14"/>
  <c r="AA40" i="14"/>
  <c r="AB40" i="14"/>
  <c r="AC40" i="14"/>
  <c r="AD40" i="14"/>
  <c r="AE40" i="14"/>
  <c r="AA41" i="14"/>
  <c r="AB41" i="14"/>
  <c r="AC41" i="14"/>
  <c r="AD41" i="14"/>
  <c r="AA42" i="14"/>
  <c r="AB42" i="14"/>
  <c r="AC42" i="14"/>
  <c r="AD42" i="14"/>
  <c r="AA43" i="14"/>
  <c r="AB43" i="14"/>
  <c r="AC43" i="14"/>
  <c r="AD43" i="14"/>
  <c r="AE43" i="14"/>
  <c r="AA44" i="14"/>
  <c r="AB44" i="14"/>
  <c r="AC44" i="14"/>
  <c r="AD44" i="14"/>
  <c r="AA45" i="14"/>
  <c r="AB45" i="14"/>
  <c r="AC45" i="14"/>
  <c r="AD45" i="14"/>
  <c r="AA46" i="14"/>
  <c r="AB46" i="14"/>
  <c r="AC46" i="14"/>
  <c r="AD46" i="14"/>
  <c r="AB21" i="14"/>
  <c r="AE21" i="14"/>
  <c r="AF21" i="14"/>
  <c r="AB22" i="14"/>
  <c r="AE22" i="14"/>
  <c r="AF22" i="14"/>
  <c r="AB23" i="14"/>
  <c r="AE23" i="14"/>
  <c r="AF23" i="14"/>
  <c r="AB24" i="14"/>
  <c r="AE24" i="14"/>
  <c r="AF24" i="14"/>
  <c r="AB25" i="14"/>
  <c r="AE25" i="14"/>
  <c r="AF25" i="14"/>
  <c r="AB26" i="14"/>
  <c r="AE26" i="14"/>
  <c r="AF26" i="14"/>
  <c r="AB27" i="14"/>
  <c r="AE27" i="14"/>
  <c r="AF27" i="14"/>
  <c r="AB28" i="14"/>
  <c r="AE28" i="14"/>
  <c r="AF28" i="14"/>
  <c r="AB29" i="14"/>
  <c r="AE29" i="14"/>
  <c r="AF29" i="14"/>
  <c r="AB20" i="14"/>
  <c r="AE20" i="14"/>
  <c r="AF20" i="14"/>
  <c r="AA37" i="14"/>
  <c r="AC37" i="14"/>
  <c r="AB37" i="14"/>
  <c r="AD37" i="14"/>
  <c r="AE37" i="14"/>
  <c r="Z53" i="14"/>
  <c r="AD53" i="14"/>
  <c r="AE53" i="14"/>
  <c r="AF53" i="14"/>
  <c r="AA69" i="14"/>
  <c r="Z37" i="14" s="1"/>
  <c r="AB69" i="14"/>
  <c r="AD69" i="14"/>
  <c r="Z85" i="14"/>
  <c r="AC85" i="14"/>
  <c r="AC101" i="14"/>
  <c r="Z101" i="14"/>
  <c r="AD101" i="14"/>
  <c r="AE101" i="14"/>
  <c r="AF101" i="14"/>
  <c r="AF117" i="14"/>
  <c r="AH117" i="14"/>
  <c r="AI117" i="14"/>
  <c r="AG101" i="14"/>
  <c r="AF47" i="14"/>
  <c r="J20" i="17"/>
  <c r="J21" i="17"/>
  <c r="J22" i="17"/>
  <c r="J23" i="17"/>
  <c r="J24" i="17"/>
  <c r="J25" i="17"/>
  <c r="J26" i="17"/>
  <c r="J27" i="17"/>
  <c r="J28" i="17"/>
  <c r="J29" i="17"/>
  <c r="F22" i="21"/>
  <c r="F23" i="21"/>
  <c r="F24" i="21"/>
  <c r="F25" i="21"/>
  <c r="F26" i="21"/>
  <c r="F27" i="21"/>
  <c r="F28" i="21"/>
  <c r="F29" i="21"/>
  <c r="F30" i="21"/>
  <c r="F31" i="21"/>
  <c r="F32" i="21"/>
  <c r="F33" i="21"/>
  <c r="D22" i="21"/>
  <c r="D23" i="21"/>
  <c r="D24" i="21"/>
  <c r="D25" i="21"/>
  <c r="D26" i="21"/>
  <c r="H22" i="21"/>
  <c r="H23" i="21"/>
  <c r="H24" i="21"/>
  <c r="H25" i="21"/>
  <c r="H26" i="21"/>
  <c r="J22" i="21"/>
  <c r="J23" i="21"/>
  <c r="J24" i="21"/>
  <c r="J25" i="21"/>
  <c r="J26" i="21"/>
  <c r="D27" i="21"/>
  <c r="D28" i="21"/>
  <c r="D29" i="21"/>
  <c r="D30" i="21"/>
  <c r="D31" i="21"/>
  <c r="H27" i="21"/>
  <c r="H28" i="21"/>
  <c r="H29" i="21"/>
  <c r="H30" i="21"/>
  <c r="H31" i="21"/>
  <c r="J27" i="21"/>
  <c r="J28" i="21"/>
  <c r="J29" i="21"/>
  <c r="J30" i="21"/>
  <c r="J31" i="21"/>
  <c r="J20" i="20"/>
  <c r="J21" i="20"/>
  <c r="J22" i="20"/>
  <c r="J23" i="20"/>
  <c r="J24" i="20"/>
  <c r="J25" i="20"/>
  <c r="J26" i="20"/>
  <c r="J27" i="20"/>
  <c r="J28" i="20"/>
  <c r="J29" i="20"/>
  <c r="F18" i="16"/>
  <c r="F19" i="16"/>
  <c r="F20" i="16"/>
  <c r="F21" i="16"/>
  <c r="F22" i="16"/>
  <c r="F23" i="16"/>
  <c r="F24" i="16"/>
  <c r="F25" i="16"/>
  <c r="F26" i="16"/>
  <c r="F27" i="16"/>
  <c r="N20" i="14"/>
  <c r="N21" i="14"/>
  <c r="N22" i="14"/>
  <c r="N23" i="14"/>
  <c r="N24" i="14"/>
  <c r="N25" i="14"/>
  <c r="N26" i="14"/>
  <c r="N27" i="14"/>
  <c r="N28" i="14"/>
  <c r="N29" i="14"/>
  <c r="D18" i="22"/>
  <c r="D19" i="22"/>
  <c r="D20" i="22"/>
  <c r="D21" i="22"/>
  <c r="D22" i="22"/>
  <c r="D23" i="22"/>
  <c r="D24" i="22"/>
  <c r="D25" i="22"/>
  <c r="D26" i="22"/>
  <c r="D27" i="22"/>
  <c r="B6" i="22"/>
  <c r="B3" i="22"/>
  <c r="B1" i="22"/>
  <c r="J20" i="21"/>
  <c r="J21" i="21"/>
  <c r="J32" i="21"/>
  <c r="J33" i="21"/>
  <c r="J34" i="21"/>
  <c r="J35" i="21"/>
  <c r="J36" i="21"/>
  <c r="J37" i="21"/>
  <c r="J38" i="21"/>
  <c r="J39" i="21"/>
  <c r="H20" i="21"/>
  <c r="H21" i="21"/>
  <c r="H32" i="21"/>
  <c r="H33" i="21"/>
  <c r="H34" i="21"/>
  <c r="H35" i="21"/>
  <c r="H36" i="21"/>
  <c r="H37" i="21"/>
  <c r="H38" i="21"/>
  <c r="H39" i="21"/>
  <c r="F20" i="21"/>
  <c r="F21" i="21"/>
  <c r="F34" i="21"/>
  <c r="F35" i="21"/>
  <c r="F36" i="21"/>
  <c r="F37" i="21"/>
  <c r="F38" i="21"/>
  <c r="F39" i="21"/>
  <c r="D20" i="21"/>
  <c r="D21" i="21"/>
  <c r="D32" i="21"/>
  <c r="D33" i="21"/>
  <c r="D34" i="21"/>
  <c r="D35" i="21"/>
  <c r="D36" i="21"/>
  <c r="D37" i="21"/>
  <c r="D38" i="21"/>
  <c r="D39" i="21"/>
  <c r="B6" i="21"/>
  <c r="B3" i="21"/>
  <c r="B1" i="21"/>
  <c r="D25" i="15"/>
  <c r="B32" i="15" s="1"/>
  <c r="P20" i="20"/>
  <c r="P29" i="20"/>
  <c r="N29" i="20"/>
  <c r="L29" i="20"/>
  <c r="H29" i="20"/>
  <c r="F29" i="20"/>
  <c r="D29" i="20"/>
  <c r="P28" i="20"/>
  <c r="N28" i="20"/>
  <c r="L28" i="20"/>
  <c r="H28" i="20"/>
  <c r="F28" i="20"/>
  <c r="D28" i="20"/>
  <c r="P27" i="20"/>
  <c r="N27" i="20"/>
  <c r="L27" i="20"/>
  <c r="H27" i="20"/>
  <c r="F27" i="20"/>
  <c r="D27" i="20"/>
  <c r="P26" i="20"/>
  <c r="N26" i="20"/>
  <c r="L26" i="20"/>
  <c r="H26" i="20"/>
  <c r="F26" i="20"/>
  <c r="D26" i="20"/>
  <c r="P25" i="20"/>
  <c r="N25" i="20"/>
  <c r="L25" i="20"/>
  <c r="H25" i="20"/>
  <c r="F25" i="20"/>
  <c r="D25" i="20"/>
  <c r="P24" i="20"/>
  <c r="N24" i="20"/>
  <c r="L24" i="20"/>
  <c r="H24" i="20"/>
  <c r="F24" i="20"/>
  <c r="D24" i="20"/>
  <c r="P23" i="20"/>
  <c r="N23" i="20"/>
  <c r="L23" i="20"/>
  <c r="H23" i="20"/>
  <c r="F23" i="20"/>
  <c r="D23" i="20"/>
  <c r="P22" i="20"/>
  <c r="N22" i="20"/>
  <c r="L22" i="20"/>
  <c r="H22" i="20"/>
  <c r="F22" i="20"/>
  <c r="D22" i="20"/>
  <c r="P21" i="20"/>
  <c r="N21" i="20"/>
  <c r="L21" i="20"/>
  <c r="H21" i="20"/>
  <c r="F21" i="20"/>
  <c r="D21" i="20"/>
  <c r="N20" i="20"/>
  <c r="L20" i="20"/>
  <c r="H20" i="20"/>
  <c r="F20" i="20"/>
  <c r="D20" i="20"/>
  <c r="B6" i="20"/>
  <c r="B3" i="20"/>
  <c r="B1" i="20"/>
  <c r="P20" i="17"/>
  <c r="P21" i="17"/>
  <c r="P22" i="17"/>
  <c r="P23" i="17"/>
  <c r="P24" i="17"/>
  <c r="P25" i="17"/>
  <c r="P26" i="17"/>
  <c r="P27" i="17"/>
  <c r="P28" i="17"/>
  <c r="P29" i="17"/>
  <c r="N20" i="17"/>
  <c r="N21" i="17"/>
  <c r="N22" i="17"/>
  <c r="N23" i="17"/>
  <c r="N24" i="17"/>
  <c r="N25" i="17"/>
  <c r="N26" i="17"/>
  <c r="N27" i="17"/>
  <c r="N28" i="17"/>
  <c r="N29" i="17"/>
  <c r="L20" i="17"/>
  <c r="L21" i="17"/>
  <c r="L22" i="17"/>
  <c r="L23" i="17"/>
  <c r="L24" i="17"/>
  <c r="L25" i="17"/>
  <c r="L26" i="17"/>
  <c r="L27" i="17"/>
  <c r="L28" i="17"/>
  <c r="L29" i="17"/>
  <c r="H20" i="17"/>
  <c r="H21" i="17"/>
  <c r="H22" i="17"/>
  <c r="H23" i="17"/>
  <c r="H24" i="17"/>
  <c r="H25" i="17"/>
  <c r="H26" i="17"/>
  <c r="H27" i="17"/>
  <c r="H28" i="17"/>
  <c r="H29" i="17"/>
  <c r="D20" i="17"/>
  <c r="D21" i="17"/>
  <c r="D22" i="17"/>
  <c r="D23" i="17"/>
  <c r="D24" i="17"/>
  <c r="D25" i="17"/>
  <c r="D26" i="17"/>
  <c r="D27" i="17"/>
  <c r="D28" i="17"/>
  <c r="D29" i="17"/>
  <c r="F20" i="17"/>
  <c r="F21" i="17"/>
  <c r="F22" i="17"/>
  <c r="F23" i="17"/>
  <c r="F24" i="17"/>
  <c r="F25" i="17"/>
  <c r="F26" i="17"/>
  <c r="F27" i="17"/>
  <c r="F28" i="17"/>
  <c r="F29" i="17"/>
  <c r="D18" i="18"/>
  <c r="D19" i="18"/>
  <c r="D20" i="18"/>
  <c r="D21" i="18"/>
  <c r="D22" i="18"/>
  <c r="D23" i="18"/>
  <c r="D24" i="18"/>
  <c r="D25" i="18"/>
  <c r="D26" i="18"/>
  <c r="D27" i="18"/>
  <c r="B6" i="18"/>
  <c r="B3" i="18"/>
  <c r="B1" i="18"/>
  <c r="B6" i="17"/>
  <c r="B3" i="17"/>
  <c r="B1" i="17"/>
  <c r="D18" i="16"/>
  <c r="D19" i="16"/>
  <c r="D20" i="16"/>
  <c r="D21" i="16"/>
  <c r="D22" i="16"/>
  <c r="D23" i="16"/>
  <c r="D24" i="16"/>
  <c r="D25" i="16"/>
  <c r="D26" i="16"/>
  <c r="D27" i="16"/>
  <c r="H18" i="16"/>
  <c r="H19" i="16"/>
  <c r="H20" i="16"/>
  <c r="H21" i="16"/>
  <c r="H22" i="16"/>
  <c r="H23" i="16"/>
  <c r="H24" i="16"/>
  <c r="H25" i="16"/>
  <c r="H26" i="16"/>
  <c r="H27" i="16"/>
  <c r="B6" i="16"/>
  <c r="B3" i="16"/>
  <c r="B1" i="16"/>
  <c r="T20" i="14"/>
  <c r="T21" i="14"/>
  <c r="T22" i="14"/>
  <c r="T23" i="14"/>
  <c r="T24" i="14"/>
  <c r="T25" i="14"/>
  <c r="T26" i="14"/>
  <c r="T27" i="14"/>
  <c r="T28" i="14"/>
  <c r="T29" i="14"/>
  <c r="R20" i="14"/>
  <c r="R21" i="14"/>
  <c r="R22" i="14"/>
  <c r="R23" i="14"/>
  <c r="R24" i="14"/>
  <c r="R25" i="14"/>
  <c r="R26" i="14"/>
  <c r="R27" i="14"/>
  <c r="R28" i="14"/>
  <c r="R29" i="14"/>
  <c r="P20" i="14"/>
  <c r="P21" i="14"/>
  <c r="P22" i="14"/>
  <c r="P23" i="14"/>
  <c r="P24" i="14"/>
  <c r="P25" i="14"/>
  <c r="P26" i="14"/>
  <c r="P27" i="14"/>
  <c r="P28" i="14"/>
  <c r="P29" i="14"/>
  <c r="L20" i="14"/>
  <c r="L21" i="14"/>
  <c r="L22" i="14"/>
  <c r="L23" i="14"/>
  <c r="L24" i="14"/>
  <c r="L25" i="14"/>
  <c r="L26" i="14"/>
  <c r="L27" i="14"/>
  <c r="L28" i="14"/>
  <c r="L29" i="14"/>
  <c r="J20" i="14"/>
  <c r="J21" i="14"/>
  <c r="J22" i="14"/>
  <c r="J23" i="14"/>
  <c r="J24" i="14"/>
  <c r="J25" i="14"/>
  <c r="J26" i="14"/>
  <c r="J27" i="14"/>
  <c r="J28" i="14"/>
  <c r="J29" i="14"/>
  <c r="F20" i="14"/>
  <c r="F21" i="14"/>
  <c r="F22" i="14"/>
  <c r="F23" i="14"/>
  <c r="F24" i="14"/>
  <c r="F25" i="14"/>
  <c r="F26" i="14"/>
  <c r="F27" i="14"/>
  <c r="F28" i="14"/>
  <c r="F29" i="14"/>
  <c r="D20" i="14"/>
  <c r="D21" i="14"/>
  <c r="D22" i="14"/>
  <c r="D23" i="14"/>
  <c r="D24" i="14"/>
  <c r="D25" i="14"/>
  <c r="D26" i="14"/>
  <c r="D27" i="14"/>
  <c r="D28" i="14"/>
  <c r="D29" i="14"/>
  <c r="V20" i="14"/>
  <c r="V21" i="14"/>
  <c r="V22" i="14"/>
  <c r="V23" i="14"/>
  <c r="V24" i="14"/>
  <c r="V25" i="14"/>
  <c r="V26" i="14"/>
  <c r="V27" i="14"/>
  <c r="V28" i="14"/>
  <c r="V29" i="14"/>
  <c r="H20" i="14"/>
  <c r="H21" i="14"/>
  <c r="H22" i="14"/>
  <c r="H23" i="14"/>
  <c r="H24" i="14"/>
  <c r="H25" i="14"/>
  <c r="H26" i="14"/>
  <c r="H27" i="14"/>
  <c r="H28" i="14"/>
  <c r="H29" i="14"/>
  <c r="C7" i="15"/>
  <c r="C4" i="15"/>
  <c r="C3" i="15"/>
  <c r="D34" i="15"/>
  <c r="D33" i="15"/>
  <c r="D32" i="15"/>
  <c r="D31" i="15"/>
  <c r="D30" i="15"/>
  <c r="D29" i="15"/>
  <c r="D28" i="15"/>
  <c r="D24" i="15"/>
  <c r="AF108" i="14" l="1"/>
  <c r="Y108" i="14" s="1"/>
  <c r="AG27" i="14" s="1"/>
  <c r="AE125" i="14"/>
  <c r="Y125" i="14" s="1"/>
  <c r="AH28" i="14" s="1"/>
  <c r="U45" i="16"/>
  <c r="AE42" i="14"/>
  <c r="AF105" i="14"/>
  <c r="AI125" i="14"/>
  <c r="AI122" i="14"/>
  <c r="AE124" i="14"/>
  <c r="Y40" i="20"/>
  <c r="AE46" i="14"/>
  <c r="Y46" i="14" s="1"/>
  <c r="Z29" i="14" s="1"/>
  <c r="AE39" i="14"/>
  <c r="AE72" i="14"/>
  <c r="AF104" i="14"/>
  <c r="Z74" i="14"/>
  <c r="Z45" i="14"/>
  <c r="Y48" i="20"/>
  <c r="AG41" i="20"/>
  <c r="V56" i="16"/>
  <c r="Q56" i="16" s="1"/>
  <c r="Z23" i="16" s="1"/>
  <c r="V57" i="16"/>
  <c r="W37" i="16"/>
  <c r="Q37" i="16" s="1"/>
  <c r="Y20" i="16" s="1"/>
  <c r="U26" i="16"/>
  <c r="W41" i="16"/>
  <c r="Q41" i="16" s="1"/>
  <c r="Y24" i="16" s="1"/>
  <c r="S61" i="16"/>
  <c r="T61" i="16"/>
  <c r="V59" i="16"/>
  <c r="X28" i="16"/>
  <c r="I32" i="16" s="1"/>
  <c r="G40" i="15"/>
  <c r="D26" i="15" s="1"/>
  <c r="Y59" i="14"/>
  <c r="AA26" i="14" s="1"/>
  <c r="AG127" i="14"/>
  <c r="AE126" i="14"/>
  <c r="AE118" i="14"/>
  <c r="Y93" i="14"/>
  <c r="AD28" i="14" s="1"/>
  <c r="AE122" i="14"/>
  <c r="Y122" i="14" s="1"/>
  <c r="AH25" i="14" s="1"/>
  <c r="AE123" i="14"/>
  <c r="Y123" i="14" s="1"/>
  <c r="AH26" i="14" s="1"/>
  <c r="Y57" i="14"/>
  <c r="AA24" i="14" s="1"/>
  <c r="Y109" i="14"/>
  <c r="AG28" i="14" s="1"/>
  <c r="Y101" i="14"/>
  <c r="AG20" i="14" s="1"/>
  <c r="Y62" i="14"/>
  <c r="AA29" i="14" s="1"/>
  <c r="Y106" i="14"/>
  <c r="AG25" i="14" s="1"/>
  <c r="AE121" i="14"/>
  <c r="Y38" i="14"/>
  <c r="Z21" i="14" s="1"/>
  <c r="AC127" i="14"/>
  <c r="AE127" i="14" s="1"/>
  <c r="Y42" i="14"/>
  <c r="Z25" i="14" s="1"/>
  <c r="Y61" i="14"/>
  <c r="AA28" i="14" s="1"/>
  <c r="AE119" i="14"/>
  <c r="Y119" i="14" s="1"/>
  <c r="AH22" i="14" s="1"/>
  <c r="Y39" i="14"/>
  <c r="Z22" i="14" s="1"/>
  <c r="Y105" i="14"/>
  <c r="AG24" i="14" s="1"/>
  <c r="Y40" i="14"/>
  <c r="Z23" i="14" s="1"/>
  <c r="C5" i="15"/>
  <c r="V50" i="20"/>
  <c r="W50" i="20"/>
  <c r="AA50" i="20"/>
  <c r="AG46" i="20"/>
  <c r="Y46" i="20"/>
  <c r="X59" i="20"/>
  <c r="AH49" i="17"/>
  <c r="S49" i="17" s="1"/>
  <c r="T29" i="17" s="1"/>
  <c r="I33" i="18"/>
  <c r="B33" i="18" s="1"/>
  <c r="I35" i="18"/>
  <c r="I34" i="18"/>
  <c r="B14" i="14"/>
  <c r="I34" i="14"/>
  <c r="O28" i="18"/>
  <c r="I32" i="18" s="1"/>
  <c r="Y37" i="14"/>
  <c r="Z20" i="14" s="1"/>
  <c r="Y104" i="14"/>
  <c r="AG23" i="14" s="1"/>
  <c r="I37" i="17"/>
  <c r="AA63" i="14"/>
  <c r="Y54" i="14"/>
  <c r="AA21" i="14" s="1"/>
  <c r="AA111" i="14"/>
  <c r="Y56" i="14"/>
  <c r="AA23" i="14" s="1"/>
  <c r="Y55" i="14"/>
  <c r="AA22" i="14" s="1"/>
  <c r="AC79" i="14"/>
  <c r="AB95" i="14"/>
  <c r="AC53" i="14"/>
  <c r="Y53" i="14" s="1"/>
  <c r="I36" i="20"/>
  <c r="B2" i="9"/>
  <c r="A2" i="9"/>
  <c r="C15" i="4"/>
  <c r="N2" i="9"/>
  <c r="I35" i="16"/>
  <c r="X30" i="20"/>
  <c r="AI30" i="14"/>
  <c r="S40" i="17"/>
  <c r="T20" i="17" s="1"/>
  <c r="AH45" i="17"/>
  <c r="S45" i="17" s="1"/>
  <c r="T25" i="17" s="1"/>
  <c r="AH41" i="17"/>
  <c r="B18" i="4"/>
  <c r="B21" i="4"/>
  <c r="B12" i="4"/>
  <c r="C27" i="15"/>
  <c r="I33" i="16"/>
  <c r="I34" i="16"/>
  <c r="I35" i="17"/>
  <c r="I36" i="17"/>
  <c r="I35" i="14"/>
  <c r="I36" i="14"/>
  <c r="I37" i="14"/>
  <c r="Z30" i="17"/>
  <c r="T28" i="18"/>
  <c r="X56" i="20"/>
  <c r="S56" i="20" s="1"/>
  <c r="U20" i="20" s="1"/>
  <c r="X62" i="20"/>
  <c r="S62" i="20" s="1"/>
  <c r="U26" i="20" s="1"/>
  <c r="AG48" i="20"/>
  <c r="S48" i="20" s="1"/>
  <c r="T28" i="20" s="1"/>
  <c r="Y41" i="20"/>
  <c r="S41" i="20" s="1"/>
  <c r="T21" i="20" s="1"/>
  <c r="X65" i="20"/>
  <c r="S65" i="20" s="1"/>
  <c r="U29" i="20" s="1"/>
  <c r="X57" i="20"/>
  <c r="S57" i="20" s="1"/>
  <c r="U21" i="20" s="1"/>
  <c r="Y45" i="20"/>
  <c r="AG43" i="20"/>
  <c r="S64" i="20"/>
  <c r="U28" i="20" s="1"/>
  <c r="X60" i="20"/>
  <c r="S60" i="20" s="1"/>
  <c r="U24" i="20" s="1"/>
  <c r="AG45" i="20"/>
  <c r="Y43" i="20"/>
  <c r="S43" i="20" s="1"/>
  <c r="T23" i="20" s="1"/>
  <c r="X63" i="20"/>
  <c r="S63" i="20" s="1"/>
  <c r="U27" i="20" s="1"/>
  <c r="S59" i="20"/>
  <c r="U23" i="20" s="1"/>
  <c r="X58" i="20"/>
  <c r="S58" i="20" s="1"/>
  <c r="U22" i="20" s="1"/>
  <c r="AG47" i="20"/>
  <c r="AG42" i="20"/>
  <c r="Y42" i="20"/>
  <c r="X61" i="20"/>
  <c r="S61" i="20" s="1"/>
  <c r="U25" i="20" s="1"/>
  <c r="AG40" i="20"/>
  <c r="AG49" i="20"/>
  <c r="S49" i="20" s="1"/>
  <c r="T29" i="20" s="1"/>
  <c r="S29" i="20" s="1"/>
  <c r="Y47" i="20"/>
  <c r="AE50" i="20"/>
  <c r="Y49" i="20"/>
  <c r="Y44" i="20"/>
  <c r="S44" i="20" s="1"/>
  <c r="T24" i="20" s="1"/>
  <c r="AH46" i="17"/>
  <c r="S46" i="17" s="1"/>
  <c r="T26" i="17" s="1"/>
  <c r="AH42" i="17"/>
  <c r="S42" i="17" s="1"/>
  <c r="T22" i="17" s="1"/>
  <c r="AH47" i="17"/>
  <c r="S47" i="17" s="1"/>
  <c r="T27" i="17" s="1"/>
  <c r="AH43" i="17"/>
  <c r="S43" i="17" s="1"/>
  <c r="T23" i="17" s="1"/>
  <c r="AH48" i="17"/>
  <c r="S48" i="17" s="1"/>
  <c r="T28" i="17" s="1"/>
  <c r="AH44" i="17"/>
  <c r="S44" i="17" s="1"/>
  <c r="T24" i="17" s="1"/>
  <c r="R26" i="18"/>
  <c r="M26" i="18" s="1"/>
  <c r="R24" i="18"/>
  <c r="M24" i="18" s="1"/>
  <c r="R22" i="18"/>
  <c r="M22" i="18" s="1"/>
  <c r="R25" i="18"/>
  <c r="M25" i="18" s="1"/>
  <c r="R23" i="18"/>
  <c r="M23" i="18" s="1"/>
  <c r="R27" i="18"/>
  <c r="M27" i="18" s="1"/>
  <c r="Y60" i="14"/>
  <c r="AA27" i="14" s="1"/>
  <c r="Y58" i="14"/>
  <c r="AA25" i="14" s="1"/>
  <c r="Z73" i="14"/>
  <c r="Z44" i="14"/>
  <c r="Z72" i="14"/>
  <c r="Y72" i="14" s="1"/>
  <c r="AC23" i="14" s="1"/>
  <c r="Z43" i="14"/>
  <c r="Y43" i="14" s="1"/>
  <c r="Z26" i="14" s="1"/>
  <c r="AE117" i="14"/>
  <c r="Y117" i="14" s="1"/>
  <c r="Z69" i="14"/>
  <c r="Z71" i="14"/>
  <c r="Z78" i="14"/>
  <c r="Z70" i="14"/>
  <c r="Y110" i="14"/>
  <c r="AG29" i="14" s="1"/>
  <c r="Y102" i="14"/>
  <c r="AG21" i="14" s="1"/>
  <c r="V60" i="16"/>
  <c r="V52" i="16"/>
  <c r="W43" i="16"/>
  <c r="W39" i="16"/>
  <c r="Q39" i="16" s="1"/>
  <c r="Y22" i="16" s="1"/>
  <c r="U25" i="16"/>
  <c r="V55" i="16"/>
  <c r="Q55" i="16" s="1"/>
  <c r="Z22" i="16" s="1"/>
  <c r="W35" i="16"/>
  <c r="U24" i="16"/>
  <c r="U18" i="16"/>
  <c r="V51" i="16"/>
  <c r="Q51" i="16" s="1"/>
  <c r="Z18" i="16" s="1"/>
  <c r="V58" i="16"/>
  <c r="Q58" i="16" s="1"/>
  <c r="Z25" i="16" s="1"/>
  <c r="W44" i="16"/>
  <c r="Q44" i="16" s="1"/>
  <c r="Y27" i="16" s="1"/>
  <c r="W40" i="16"/>
  <c r="Q40" i="16" s="1"/>
  <c r="Y23" i="16" s="1"/>
  <c r="W36" i="16"/>
  <c r="Q36" i="16" s="1"/>
  <c r="Y19" i="16" s="1"/>
  <c r="U23" i="16"/>
  <c r="V53" i="16"/>
  <c r="U22" i="16"/>
  <c r="Q52" i="16"/>
  <c r="Z19" i="16" s="1"/>
  <c r="U21" i="16"/>
  <c r="U20" i="16"/>
  <c r="V54" i="16"/>
  <c r="W42" i="16"/>
  <c r="Q42" i="16" s="1"/>
  <c r="Y25" i="16" s="1"/>
  <c r="U27" i="16"/>
  <c r="Q38" i="16"/>
  <c r="Y21" i="16" s="1"/>
  <c r="Q43" i="16"/>
  <c r="Y26" i="16" s="1"/>
  <c r="Q53" i="16"/>
  <c r="Z20" i="16" s="1"/>
  <c r="Q59" i="16"/>
  <c r="Z26" i="16" s="1"/>
  <c r="Q54" i="16"/>
  <c r="Z21" i="16" s="1"/>
  <c r="Q60" i="16"/>
  <c r="Z27" i="16" s="1"/>
  <c r="Q57" i="16"/>
  <c r="Z24" i="16" s="1"/>
  <c r="AC50" i="20"/>
  <c r="X61" i="17"/>
  <c r="S61" i="17" s="1"/>
  <c r="U25" i="17" s="1"/>
  <c r="V66" i="17"/>
  <c r="X59" i="17"/>
  <c r="S59" i="17" s="1"/>
  <c r="U23" i="17" s="1"/>
  <c r="X50" i="17"/>
  <c r="X64" i="17"/>
  <c r="S64" i="17" s="1"/>
  <c r="U28" i="17" s="1"/>
  <c r="X62" i="17"/>
  <c r="S62" i="17" s="1"/>
  <c r="U26" i="17" s="1"/>
  <c r="S76" i="17"/>
  <c r="W24" i="17" s="1"/>
  <c r="X65" i="17"/>
  <c r="S65" i="17" s="1"/>
  <c r="U29" i="17" s="1"/>
  <c r="X60" i="17"/>
  <c r="S60" i="17" s="1"/>
  <c r="U24" i="17" s="1"/>
  <c r="X63" i="17"/>
  <c r="S63" i="17" s="1"/>
  <c r="U27" i="17" s="1"/>
  <c r="X58" i="17"/>
  <c r="S58" i="17" s="1"/>
  <c r="U22" i="17" s="1"/>
  <c r="S78" i="17"/>
  <c r="W26" i="17" s="1"/>
  <c r="W82" i="17"/>
  <c r="S81" i="17"/>
  <c r="W29" i="17" s="1"/>
  <c r="S80" i="17"/>
  <c r="W28" i="17" s="1"/>
  <c r="S77" i="17"/>
  <c r="W25" i="17" s="1"/>
  <c r="S79" i="17"/>
  <c r="W27" i="17" s="1"/>
  <c r="X56" i="17"/>
  <c r="S56" i="17" s="1"/>
  <c r="U20" i="17" s="1"/>
  <c r="S57" i="17"/>
  <c r="U21" i="17" s="1"/>
  <c r="S74" i="17"/>
  <c r="W22" i="17" s="1"/>
  <c r="S75" i="17"/>
  <c r="W23" i="17" s="1"/>
  <c r="S73" i="17"/>
  <c r="W21" i="17" s="1"/>
  <c r="S72" i="17"/>
  <c r="W20" i="17" s="1"/>
  <c r="S41" i="17"/>
  <c r="T21" i="17" s="1"/>
  <c r="R20" i="18"/>
  <c r="M20" i="18" s="1"/>
  <c r="R18" i="18"/>
  <c r="M18" i="18" s="1"/>
  <c r="R21" i="18"/>
  <c r="M21" i="18" s="1"/>
  <c r="M19" i="18"/>
  <c r="B13" i="18"/>
  <c r="Q35" i="16"/>
  <c r="B13" i="16"/>
  <c r="AE76" i="14"/>
  <c r="Y76" i="14" s="1"/>
  <c r="AC27" i="14" s="1"/>
  <c r="AE41" i="14"/>
  <c r="Y41" i="14" s="1"/>
  <c r="AE78" i="14"/>
  <c r="AI124" i="14"/>
  <c r="Y124" i="14" s="1"/>
  <c r="AH27" i="14" s="1"/>
  <c r="AE44" i="14"/>
  <c r="AD90" i="14"/>
  <c r="Y90" i="14" s="1"/>
  <c r="AD25" i="14" s="1"/>
  <c r="AD87" i="14"/>
  <c r="Y87" i="14" s="1"/>
  <c r="AD22" i="14" s="1"/>
  <c r="AF107" i="14"/>
  <c r="Y107" i="14" s="1"/>
  <c r="AG26" i="14" s="1"/>
  <c r="AI121" i="14"/>
  <c r="AD85" i="14"/>
  <c r="Y85" i="14" s="1"/>
  <c r="AE69" i="14"/>
  <c r="AE45" i="14"/>
  <c r="Y45" i="14" s="1"/>
  <c r="Z28" i="14" s="1"/>
  <c r="AE70" i="14"/>
  <c r="AD92" i="14"/>
  <c r="Y92" i="14" s="1"/>
  <c r="AD27" i="14" s="1"/>
  <c r="AI120" i="14"/>
  <c r="Y120" i="14" s="1"/>
  <c r="AH23" i="14" s="1"/>
  <c r="AE74" i="14"/>
  <c r="Y74" i="14" s="1"/>
  <c r="AC25" i="14" s="1"/>
  <c r="AD88" i="14"/>
  <c r="Y88" i="14" s="1"/>
  <c r="AD23" i="14" s="1"/>
  <c r="AD89" i="14"/>
  <c r="Y89" i="14" s="1"/>
  <c r="AD24" i="14" s="1"/>
  <c r="AE77" i="14"/>
  <c r="Y77" i="14" s="1"/>
  <c r="AC28" i="14" s="1"/>
  <c r="AE75" i="14"/>
  <c r="Y75" i="14" s="1"/>
  <c r="AC26" i="14" s="1"/>
  <c r="AE73" i="14"/>
  <c r="AE71" i="14"/>
  <c r="AD94" i="14"/>
  <c r="Y94" i="14" s="1"/>
  <c r="AD29" i="14" s="1"/>
  <c r="AD86" i="14"/>
  <c r="Y86" i="14" s="1"/>
  <c r="AD21" i="14" s="1"/>
  <c r="AD91" i="14"/>
  <c r="Y91" i="14" s="1"/>
  <c r="AD26" i="14" s="1"/>
  <c r="AI126" i="14"/>
  <c r="AI118" i="14"/>
  <c r="AF103" i="14"/>
  <c r="Y103" i="14" s="1"/>
  <c r="B15" i="14"/>
  <c r="B15" i="17"/>
  <c r="B12" i="18"/>
  <c r="B14" i="17"/>
  <c r="B12" i="16"/>
  <c r="Q27" i="16" l="1"/>
  <c r="S24" i="17"/>
  <c r="S42" i="20"/>
  <c r="T22" i="20" s="1"/>
  <c r="S45" i="20"/>
  <c r="T25" i="20" s="1"/>
  <c r="S46" i="20"/>
  <c r="T26" i="20" s="1"/>
  <c r="Q19" i="16"/>
  <c r="Y121" i="14"/>
  <c r="AH24" i="14" s="1"/>
  <c r="Q25" i="16"/>
  <c r="Q20" i="16"/>
  <c r="Q23" i="16"/>
  <c r="Y126" i="14"/>
  <c r="AH29" i="14" s="1"/>
  <c r="Y118" i="14"/>
  <c r="AH21" i="14" s="1"/>
  <c r="Y71" i="14"/>
  <c r="AC22" i="14" s="1"/>
  <c r="Y78" i="14"/>
  <c r="AC29" i="14" s="1"/>
  <c r="S23" i="20"/>
  <c r="S28" i="20"/>
  <c r="S29" i="17"/>
  <c r="M28" i="18"/>
  <c r="M29" i="18" s="1"/>
  <c r="I31" i="18" s="1"/>
  <c r="Y23" i="14"/>
  <c r="Y26" i="14"/>
  <c r="E20" i="5"/>
  <c r="S21" i="17"/>
  <c r="S27" i="17"/>
  <c r="S22" i="17"/>
  <c r="S24" i="20"/>
  <c r="S21" i="20"/>
  <c r="S22" i="20"/>
  <c r="S26" i="20"/>
  <c r="S47" i="20"/>
  <c r="T27" i="20" s="1"/>
  <c r="S27" i="20" s="1"/>
  <c r="S25" i="20"/>
  <c r="Y50" i="20"/>
  <c r="S40" i="20"/>
  <c r="T20" i="20" s="1"/>
  <c r="U30" i="20"/>
  <c r="S66" i="20"/>
  <c r="B15" i="20"/>
  <c r="I37" i="20"/>
  <c r="E21" i="5" s="1"/>
  <c r="I35" i="20"/>
  <c r="E23" i="5" s="1"/>
  <c r="I34" i="20"/>
  <c r="S28" i="17"/>
  <c r="S23" i="17"/>
  <c r="S26" i="17"/>
  <c r="U30" i="17"/>
  <c r="T30" i="17"/>
  <c r="W30" i="17"/>
  <c r="S25" i="17"/>
  <c r="AG22" i="14"/>
  <c r="Y111" i="14"/>
  <c r="AG30" i="14" s="1"/>
  <c r="Y28" i="14"/>
  <c r="AH20" i="14"/>
  <c r="Y25" i="14"/>
  <c r="AD20" i="14"/>
  <c r="Y95" i="14"/>
  <c r="AD30" i="14" s="1"/>
  <c r="Z24" i="14"/>
  <c r="Y24" i="14" s="1"/>
  <c r="Y73" i="14"/>
  <c r="AC24" i="14" s="1"/>
  <c r="Y69" i="14"/>
  <c r="Y63" i="14"/>
  <c r="AA30" i="14" s="1"/>
  <c r="AA20" i="14"/>
  <c r="Y70" i="14"/>
  <c r="AC21" i="14" s="1"/>
  <c r="Y21" i="14" s="1"/>
  <c r="Y44" i="14"/>
  <c r="Z27" i="14" s="1"/>
  <c r="Y27" i="14" s="1"/>
  <c r="Q21" i="16"/>
  <c r="Q22" i="16"/>
  <c r="Q26" i="16"/>
  <c r="Q24" i="16"/>
  <c r="Q45" i="16"/>
  <c r="Y18" i="16"/>
  <c r="Y28" i="16" s="1"/>
  <c r="Z28" i="16"/>
  <c r="Q61" i="16"/>
  <c r="B14" i="20"/>
  <c r="S66" i="17"/>
  <c r="S82" i="17"/>
  <c r="S50" i="17"/>
  <c r="Q18" i="16" l="1"/>
  <c r="Q28" i="16" s="1"/>
  <c r="Q29" i="16" s="1"/>
  <c r="I31" i="16" s="1"/>
  <c r="T30" i="20"/>
  <c r="Y22" i="14"/>
  <c r="Y29" i="14"/>
  <c r="Y127" i="14"/>
  <c r="AH30" i="14" s="1"/>
  <c r="S50" i="20"/>
  <c r="E22" i="5"/>
  <c r="D22" i="5" s="1"/>
  <c r="D14" i="5" s="1"/>
  <c r="D21" i="5"/>
  <c r="D13" i="5" s="1"/>
  <c r="E13" i="5"/>
  <c r="C21" i="5"/>
  <c r="C13" i="5" s="1"/>
  <c r="AA2" i="9" s="1"/>
  <c r="E12" i="5"/>
  <c r="D20" i="5"/>
  <c r="D12" i="5" s="1"/>
  <c r="C20" i="5"/>
  <c r="C12" i="5" s="1"/>
  <c r="Z2" i="9" s="1"/>
  <c r="E15" i="5"/>
  <c r="D23" i="5"/>
  <c r="D15" i="5" s="1"/>
  <c r="C23" i="5"/>
  <c r="C15" i="5" s="1"/>
  <c r="AE2" i="9" s="1"/>
  <c r="AC20" i="14"/>
  <c r="Y20" i="14" s="1"/>
  <c r="Y79" i="14"/>
  <c r="AC30" i="14" s="1"/>
  <c r="Y47" i="14"/>
  <c r="Z30" i="14" s="1"/>
  <c r="S20" i="20"/>
  <c r="S20" i="17"/>
  <c r="Y30" i="14" l="1"/>
  <c r="Y31" i="14" s="1"/>
  <c r="I33" i="14" s="1"/>
  <c r="E14" i="5"/>
  <c r="C22" i="5"/>
  <c r="C14" i="5" s="1"/>
  <c r="AB2" i="9" s="1"/>
  <c r="AF2" i="9" s="1"/>
  <c r="S30" i="20"/>
  <c r="S31" i="20" s="1"/>
  <c r="S30" i="17"/>
  <c r="S31" i="17" s="1"/>
  <c r="I33" i="17" s="1"/>
  <c r="I33" i="20" l="1"/>
  <c r="C20" i="4" s="1"/>
  <c r="B6" i="14"/>
  <c r="B3" i="14"/>
  <c r="B1" i="14"/>
  <c r="C22" i="4" l="1"/>
  <c r="C18" i="4"/>
  <c r="C21" i="4" s="1"/>
  <c r="C19" i="4"/>
  <c r="C6" i="6"/>
  <c r="C4" i="6"/>
  <c r="C3" i="6"/>
  <c r="C1" i="6"/>
  <c r="T2" i="9" l="1"/>
  <c r="B6" i="5"/>
  <c r="B4" i="5"/>
  <c r="B3" i="5"/>
  <c r="B1" i="5"/>
  <c r="C3" i="8" l="1"/>
  <c r="C4" i="8"/>
  <c r="C6" i="8"/>
  <c r="C1" i="8"/>
  <c r="B3" i="4"/>
  <c r="B4" i="4"/>
  <c r="B6" i="4"/>
  <c r="B1" i="4"/>
  <c r="E25" i="8" l="1"/>
  <c r="D18" i="8"/>
  <c r="D19" i="8"/>
  <c r="D1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9" authorId="0" shapeId="0" xr:uid="{00000000-0006-0000-0200-000001000000}">
      <text>
        <r>
          <rPr>
            <sz val="9"/>
            <color indexed="81"/>
            <rFont val="Tahoma"/>
            <family val="2"/>
          </rPr>
          <t>Break the project site into sections if it is useful to align with other application materials.</t>
        </r>
      </text>
    </comment>
    <comment ref="C19" authorId="0" shapeId="0" xr:uid="{00000000-0006-0000-0200-000002000000}">
      <text>
        <r>
          <rPr>
            <sz val="9"/>
            <color indexed="81"/>
            <rFont val="Tahoma"/>
            <family val="2"/>
          </rPr>
          <t>This input calculates the GHG soil benefit from converting land from a seasonal wetland to a tidal wetland at the project site. An input of zero is allowed.</t>
        </r>
      </text>
    </comment>
    <comment ref="E19" authorId="0" shapeId="0" xr:uid="{00000000-0006-0000-0200-000003000000}">
      <text>
        <r>
          <rPr>
            <sz val="9"/>
            <color indexed="81"/>
            <rFont val="Tahoma"/>
            <family val="2"/>
          </rPr>
          <t>This input calculates the GHG soil benefit from converting land from a seasonal wetland to a tidal wetland at the project site. An input of zero is allowed.</t>
        </r>
      </text>
    </comment>
    <comment ref="G19" authorId="0" shapeId="0" xr:uid="{00000000-0006-0000-0200-000004000000}">
      <text>
        <r>
          <rPr>
            <sz val="9"/>
            <color indexed="81"/>
            <rFont val="Tahoma"/>
            <family val="2"/>
          </rPr>
          <t>This input calculates the GHG soil benefit from converting land from a seasonal wetland to a tidal wetland at the project site. An input of zero is allowed.</t>
        </r>
      </text>
    </comment>
    <comment ref="I19" authorId="0" shapeId="0" xr:uid="{00000000-0006-0000-0200-000005000000}">
      <text>
        <r>
          <rPr>
            <sz val="9"/>
            <color indexed="81"/>
            <rFont val="Tahoma"/>
            <family val="2"/>
          </rPr>
          <t>This input calculates the GHG soil benefit from converting land from farmland (existing cropland and/or pasture) to a tidal wetland at the project site. An input of zero is allowed.</t>
        </r>
      </text>
    </comment>
    <comment ref="K19" authorId="0" shapeId="0" xr:uid="{00000000-0006-0000-0200-000006000000}">
      <text>
        <r>
          <rPr>
            <sz val="9"/>
            <color indexed="81"/>
            <rFont val="Tahoma"/>
            <family val="2"/>
          </rPr>
          <t>This input calculates the GHG soil benefit from converting land from farmland (existing cropland) to grassland with native perennial grasses at the project site. An input of zero is allowed.</t>
        </r>
      </text>
    </comment>
    <comment ref="M19" authorId="0" shapeId="0" xr:uid="{00000000-0006-0000-0200-000007000000}">
      <text>
        <r>
          <rPr>
            <sz val="9"/>
            <color indexed="81"/>
            <rFont val="Tahoma"/>
            <family val="2"/>
          </rPr>
          <t>This input calculates the GHG benefit from avoided nitrogen fertilizer application on land converted from farmland.  If no historical application rate information is available, either use the "N Apply" worksheet to estimate the rate, or leave this field blank.</t>
        </r>
      </text>
    </comment>
    <comment ref="O19" authorId="0" shapeId="0" xr:uid="{00000000-0006-0000-0200-000008000000}">
      <text>
        <r>
          <rPr>
            <sz val="9"/>
            <color indexed="81"/>
            <rFont val="Tahoma"/>
            <family val="2"/>
          </rPr>
          <t>This input calculates the GHG soil benefit from restoring land to tidal wetland at the project site. An input of zero is allowed.</t>
        </r>
      </text>
    </comment>
    <comment ref="Q19" authorId="0" shapeId="0" xr:uid="{00000000-0006-0000-0200-000009000000}">
      <text>
        <r>
          <rPr>
            <sz val="9"/>
            <color indexed="81"/>
            <rFont val="Tahoma"/>
            <family val="2"/>
          </rPr>
          <t>This input calculates the methane emissions created from restoring land to tidal wetland at the project site. An input of zero is allowed.</t>
        </r>
      </text>
    </comment>
    <comment ref="S19" authorId="0" shapeId="0" xr:uid="{00000000-0006-0000-0200-00000A000000}">
      <text>
        <r>
          <rPr>
            <sz val="9"/>
            <color indexed="81"/>
            <rFont val="Tahoma"/>
            <family val="2"/>
          </rPr>
          <t>This input calculates the GHG soil benefit from restoring land to grassland with native perennial grasses at the project site. An input of zero is allowed.</t>
        </r>
      </text>
    </comment>
    <comment ref="U19" authorId="0" shapeId="0" xr:uid="{00000000-0006-0000-0200-00000B000000}">
      <text>
        <r>
          <rPr>
            <sz val="9"/>
            <color indexed="81"/>
            <rFont val="Tahoma"/>
            <family val="2"/>
          </rPr>
          <t>Input the USDA soil order identified on grassland at the project site using the SoilWeb tool.</t>
        </r>
      </text>
    </comment>
    <comment ref="AC53" authorId="0" shapeId="0" xr:uid="{00000000-0006-0000-0200-00000C000000}">
      <text>
        <r>
          <rPr>
            <sz val="9"/>
            <color indexed="81"/>
            <rFont val="Tahoma"/>
            <family val="2"/>
          </rPr>
          <t>The smaller of fresh water months and wet months.</t>
        </r>
      </text>
    </comment>
    <comment ref="Z69" authorId="0" shapeId="0" xr:uid="{00000000-0006-0000-0200-00000D000000}">
      <text>
        <r>
          <rPr>
            <sz val="9"/>
            <color indexed="81"/>
            <rFont val="Tahoma"/>
            <family val="2"/>
          </rPr>
          <t>Weight averaged frequency by area, (seasonal managed wetland and farmland) to wetland. (Farmland is drained for 12 mo/yr).</t>
        </r>
      </text>
    </comment>
    <comment ref="AB101" authorId="0" shapeId="0" xr:uid="{00000000-0006-0000-0200-00000E000000}">
      <text>
        <r>
          <rPr>
            <sz val="9"/>
            <color indexed="81"/>
            <rFont val="Tahoma"/>
            <family val="2"/>
          </rPr>
          <t>Weight averaged frequency by area, (seasonal wetland and farmland) to wetland.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7" authorId="0" shapeId="0" xr:uid="{00000000-0006-0000-0300-000001000000}">
      <text>
        <r>
          <rPr>
            <sz val="9"/>
            <color indexed="81"/>
            <rFont val="Tahoma"/>
            <family val="2"/>
          </rPr>
          <t>Break the project site into sections if it is useful to align with other application materials.</t>
        </r>
      </text>
    </comment>
    <comment ref="C17" authorId="0" shapeId="0" xr:uid="{00000000-0006-0000-0300-000002000000}">
      <text>
        <r>
          <rPr>
            <sz val="9"/>
            <color indexed="81"/>
            <rFont val="Tahoma"/>
            <family val="2"/>
          </rPr>
          <t>This input calculates the GHG soil benefit from converting land in the California Delta from drained farmland (existing cropland and pasture land) at the project site. An input of zero is allowed.</t>
        </r>
      </text>
    </comment>
    <comment ref="E17" authorId="0" shapeId="0" xr:uid="{00000000-0006-0000-0300-000003000000}">
      <text>
        <r>
          <rPr>
            <sz val="9"/>
            <color indexed="81"/>
            <rFont val="Tahoma"/>
            <family val="2"/>
          </rPr>
          <t>This input calculates the GHG benefit from avoided nitrogen fertilizer application on land converted from farmland.  If no historical application rate information is available, either use the "N Apply" worksheet to estimate the rate, or leave this field blank.</t>
        </r>
      </text>
    </comment>
    <comment ref="G17" authorId="0" shapeId="0" xr:uid="{00000000-0006-0000-0300-000004000000}">
      <text>
        <r>
          <rPr>
            <sz val="9"/>
            <color indexed="81"/>
            <rFont val="Tahoma"/>
            <family val="2"/>
          </rPr>
          <t>This input calculates the GHG soil benefit from converting land in the California Delta to  wetland at the project site. An input larger than zero is required.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9" authorId="0" shapeId="0" xr:uid="{00000000-0006-0000-0400-000001000000}">
      <text>
        <r>
          <rPr>
            <sz val="9"/>
            <color indexed="81"/>
            <rFont val="Tahoma"/>
            <family val="2"/>
          </rPr>
          <t>Break the project site into sections if it is useful to align with other application materials.</t>
        </r>
      </text>
    </comment>
    <comment ref="C19" authorId="0" shapeId="0" xr:uid="{00000000-0006-0000-0400-000002000000}">
      <text>
        <r>
          <rPr>
            <sz val="9"/>
            <color indexed="81"/>
            <rFont val="Tahoma"/>
            <family val="2"/>
          </rPr>
          <t>This input calculates the GHG soil benefit from converting land from moderately degraded grassland (area that has been overgrazed or overrun by non-native annual grasses) at the project site. An input of "0" is allowed.</t>
        </r>
      </text>
    </comment>
    <comment ref="E19" authorId="0" shapeId="0" xr:uid="{00000000-0006-0000-0400-000003000000}">
      <text>
        <r>
          <rPr>
            <sz val="9"/>
            <color indexed="81"/>
            <rFont val="Tahoma"/>
            <family val="2"/>
          </rPr>
          <t>This input calculates the GHG soil benefit from converting land from severely degraded grassland (area with soil physically disturbed by vehicles, livestock or erosion) at the project site. An input of "0" is allowed.</t>
        </r>
      </text>
    </comment>
    <comment ref="G19" authorId="0" shapeId="0" xr:uid="{00000000-0006-0000-0400-000004000000}">
      <text>
        <r>
          <rPr>
            <sz val="9"/>
            <color indexed="81"/>
            <rFont val="Tahoma"/>
            <family val="2"/>
          </rPr>
          <t>This input calculates the GHG soil benefit from converting land from farmland (cropland) at the project site. An input of "0" is allowed.</t>
        </r>
      </text>
    </comment>
    <comment ref="I19" authorId="0" shapeId="0" xr:uid="{00000000-0006-0000-0400-000005000000}">
      <text>
        <r>
          <rPr>
            <sz val="9"/>
            <color indexed="81"/>
            <rFont val="Tahoma"/>
            <family val="2"/>
          </rPr>
          <t>This input calculates the GHG benefit from avoided nitrogen fertilizer application on land converted from farmland.  If no historical application rate information is available, either use the "N Apply" worksheet to estimate the rate, or leave this field blank.</t>
        </r>
      </text>
    </comment>
    <comment ref="K19" authorId="0" shapeId="0" xr:uid="{00000000-0006-0000-0400-000006000000}">
      <text>
        <r>
          <rPr>
            <sz val="9"/>
            <color indexed="81"/>
            <rFont val="Tahoma"/>
            <family val="2"/>
          </rPr>
          <t>This input calculates the GHG soil benefit from restoring woodland at the project site. An input of "0" is allowed.</t>
        </r>
      </text>
    </comment>
    <comment ref="M19" authorId="0" shapeId="0" xr:uid="{00000000-0006-0000-0400-000007000000}">
      <text>
        <r>
          <rPr>
            <sz val="9"/>
            <color indexed="81"/>
            <rFont val="Tahoma"/>
            <family val="2"/>
          </rPr>
          <t>This input calculates the GHG soil benefit from restoring grassland with native perennial grasses at the project site. An input of "0" is allowed.</t>
        </r>
      </text>
    </comment>
    <comment ref="O19" authorId="0" shapeId="0" xr:uid="{00000000-0006-0000-0400-000008000000}">
      <text>
        <r>
          <rPr>
            <sz val="9"/>
            <color indexed="81"/>
            <rFont val="Tahoma"/>
            <family val="2"/>
          </rPr>
          <t>Input the USDA soil order identified at the project site using the SoilWeb tool.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7" authorId="0" shapeId="0" xr:uid="{00000000-0006-0000-0500-000001000000}">
      <text>
        <r>
          <rPr>
            <sz val="9"/>
            <color indexed="81"/>
            <rFont val="Tahoma"/>
            <family val="2"/>
          </rPr>
          <t>Break the project site into sections if it is useful to align with other application materials.</t>
        </r>
      </text>
    </comment>
    <comment ref="C17" authorId="0" shapeId="0" xr:uid="{00000000-0006-0000-0500-000002000000}">
      <text>
        <r>
          <rPr>
            <sz val="9"/>
            <color indexed="81"/>
            <rFont val="Tahoma"/>
            <family val="2"/>
          </rPr>
          <t>This input calculates the GHG soil benefit from restoring mountain meadows at the project site. An input larger than zero is required.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9" authorId="0" shapeId="0" xr:uid="{00000000-0006-0000-0600-000001000000}">
      <text>
        <r>
          <rPr>
            <sz val="9"/>
            <color indexed="81"/>
            <rFont val="Tahoma"/>
            <family val="2"/>
          </rPr>
          <t>Break the project site into sections if it is useful to align with other application materials.</t>
        </r>
      </text>
    </comment>
    <comment ref="C19" authorId="0" shapeId="0" xr:uid="{00000000-0006-0000-0600-000002000000}">
      <text>
        <r>
          <rPr>
            <sz val="9"/>
            <color indexed="81"/>
            <rFont val="Tahoma"/>
            <family val="2"/>
          </rPr>
          <t>This input calculates the GHG soil benefit from converting land from moderately degraded wetlands and grasslands (area that has been overgrazed or overrun by non-native annual grasses) at the project site. An input of "0" is allowed.</t>
        </r>
      </text>
    </comment>
    <comment ref="E19" authorId="0" shapeId="0" xr:uid="{00000000-0006-0000-0600-000003000000}">
      <text>
        <r>
          <rPr>
            <sz val="9"/>
            <color indexed="81"/>
            <rFont val="Tahoma"/>
            <family val="2"/>
          </rPr>
          <t>This input calculates the GHG soil benefit from converting land from severely degraded wetlands and grasslands (area with soil physically disturbed by vehicles, livestock or erosion) at the project site. An input of "0" is allowed.</t>
        </r>
      </text>
    </comment>
    <comment ref="G19" authorId="0" shapeId="0" xr:uid="{00000000-0006-0000-0600-000004000000}">
      <text>
        <r>
          <rPr>
            <sz val="9"/>
            <color indexed="81"/>
            <rFont val="Tahoma"/>
            <family val="2"/>
          </rPr>
          <t>This input calculates the GHG soil benefit from converting land from farmland (cropland) at the project site. An input of "0" is allowed.</t>
        </r>
      </text>
    </comment>
    <comment ref="I19" authorId="0" shapeId="0" xr:uid="{00000000-0006-0000-0600-000005000000}">
      <text>
        <r>
          <rPr>
            <sz val="9"/>
            <color indexed="81"/>
            <rFont val="Tahoma"/>
            <family val="2"/>
          </rPr>
          <t>This input calculates the GHG benefit from avoided nitrogen fertilizer application on land converted from farmland.  If no historical application rate information is available, either use the "N Apply" worksheet to estimate the rate, or leave this field blank.</t>
        </r>
      </text>
    </comment>
    <comment ref="K19" authorId="0" shapeId="0" xr:uid="{00000000-0006-0000-0600-000006000000}">
      <text>
        <r>
          <rPr>
            <sz val="9"/>
            <color indexed="81"/>
            <rFont val="Tahoma"/>
            <family val="2"/>
          </rPr>
          <t>This input calculates the GHG soil benefit from restoring seasonal ior intermittent wetlands at the project site. An input larger than zero is required.</t>
        </r>
      </text>
    </comment>
    <comment ref="M19" authorId="0" shapeId="0" xr:uid="{00000000-0006-0000-0600-000007000000}">
      <text>
        <r>
          <rPr>
            <sz val="9"/>
            <color indexed="81"/>
            <rFont val="Tahoma"/>
            <family val="2"/>
          </rPr>
          <t>This input calculates the GHG soil benefit from restoring grassland with native perennial grasses at the project site. An input of "0" is allowed.</t>
        </r>
      </text>
    </comment>
    <comment ref="O19" authorId="0" shapeId="0" xr:uid="{00000000-0006-0000-0600-000008000000}">
      <text>
        <r>
          <rPr>
            <sz val="9"/>
            <color indexed="81"/>
            <rFont val="Tahoma"/>
            <family val="2"/>
          </rPr>
          <t>Input the USDA soil order identified on grassland at the project site using the SoilWeb tool.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9" authorId="0" shapeId="0" xr:uid="{00000000-0006-0000-0700-000001000000}">
      <text>
        <r>
          <rPr>
            <sz val="9"/>
            <color indexed="81"/>
            <rFont val="Tahoma"/>
            <family val="2"/>
          </rPr>
          <t>Match each row in this worksheet to the Group Identifier row in the i-Tree report.</t>
        </r>
      </text>
    </comment>
    <comment ref="C19" authorId="0" shapeId="0" xr:uid="{00000000-0006-0000-0700-000002000000}">
      <text>
        <r>
          <rPr>
            <sz val="9"/>
            <color indexed="81"/>
            <rFont val="Tahoma"/>
            <family val="2"/>
          </rPr>
          <t>Enter the number of trees associated with the Group Identifier.</t>
        </r>
      </text>
    </comment>
    <comment ref="E19" authorId="0" shapeId="0" xr:uid="{00000000-0006-0000-0700-000003000000}">
      <text>
        <r>
          <rPr>
            <sz val="9"/>
            <color indexed="81"/>
            <rFont val="Tahoma"/>
            <family val="2"/>
          </rPr>
          <t>Enter the pounds of carbon dioxide sequestered associated with the Group Identifier.</t>
        </r>
      </text>
    </comment>
    <comment ref="G19" authorId="0" shapeId="0" xr:uid="{00000000-0006-0000-0700-000004000000}">
      <text>
        <r>
          <rPr>
            <sz val="9"/>
            <color indexed="81"/>
            <rFont val="Tahoma"/>
            <family val="2"/>
          </rPr>
          <t>Enter the pounds of nitrogen oxide removed associated with the Group Identifier.</t>
        </r>
      </text>
    </comment>
    <comment ref="I19" authorId="0" shapeId="0" xr:uid="{00000000-0006-0000-0700-000005000000}">
      <text>
        <r>
          <rPr>
            <sz val="9"/>
            <color indexed="81"/>
            <rFont val="Tahoma"/>
            <family val="2"/>
          </rPr>
          <t>Enter the pounds of particulate matter less than 2.5 microns removed associated with the Group Identifier.</t>
        </r>
      </text>
    </comment>
  </commentList>
</comments>
</file>

<file path=xl/sharedStrings.xml><?xml version="1.0" encoding="utf-8"?>
<sst xmlns="http://schemas.openxmlformats.org/spreadsheetml/2006/main" count="1446" uniqueCount="543">
  <si>
    <t>California Air Resources Board</t>
  </si>
  <si>
    <t xml:space="preserve">California Climate Investments </t>
  </si>
  <si>
    <t>ABOUT:</t>
  </si>
  <si>
    <t>More information:</t>
  </si>
  <si>
    <t>GGRFProgram@arb.ca.gov</t>
  </si>
  <si>
    <t>www.arb.ca.gov/cci-resources</t>
  </si>
  <si>
    <t>www.arb.ca.gov/cci-cobenefits</t>
  </si>
  <si>
    <t>· Questions on this Benefits Calculator Tool should be sent to:</t>
  </si>
  <si>
    <t>Note to applicants:</t>
  </si>
  <si>
    <t>Third-party tools:</t>
  </si>
  <si>
    <t xml:space="preserve">Available at: </t>
  </si>
  <si>
    <t>Project Name:</t>
  </si>
  <si>
    <t>Applicant ID:</t>
  </si>
  <si>
    <t>Contact Name:</t>
  </si>
  <si>
    <t>Contact Phone Number:</t>
  </si>
  <si>
    <t>Contact Email:</t>
  </si>
  <si>
    <t>Date Calculator Completed:</t>
  </si>
  <si>
    <t>Total Funds ($):</t>
  </si>
  <si>
    <t>Green</t>
  </si>
  <si>
    <t>Blue</t>
  </si>
  <si>
    <t>Grey</t>
  </si>
  <si>
    <t>Yellow</t>
  </si>
  <si>
    <t>Required input</t>
  </si>
  <si>
    <t>Optional input*</t>
  </si>
  <si>
    <t>*See "Documentation" tab for additional information</t>
  </si>
  <si>
    <t>Helpful hints</t>
  </si>
  <si>
    <t>Output field (not modifiable)</t>
  </si>
  <si>
    <t>Key for color-coded fields:</t>
  </si>
  <si>
    <t>Available at:</t>
  </si>
  <si>
    <t xml:space="preserve">Project Name </t>
  </si>
  <si>
    <t>Project Information</t>
  </si>
  <si>
    <r>
      <t>Total GHG Emission Reductions per Total Funds (MTCO</t>
    </r>
    <r>
      <rPr>
        <vertAlign val="subscript"/>
        <sz val="12"/>
        <color theme="1"/>
        <rFont val="Avenir LT Std 55 Roman"/>
        <family val="2"/>
      </rPr>
      <t>2</t>
    </r>
    <r>
      <rPr>
        <sz val="12"/>
        <color theme="1"/>
        <rFont val="Avenir LT Std 55 Roman"/>
        <family val="2"/>
      </rPr>
      <t>e/$)</t>
    </r>
  </si>
  <si>
    <t>• List of tree species
• Documentation supporting tree planting site characteristics</t>
  </si>
  <si>
    <t>Tree Planting</t>
  </si>
  <si>
    <t>Completed?</t>
  </si>
  <si>
    <t>Additional Documentation</t>
  </si>
  <si>
    <t>Project-Specific Documentation</t>
  </si>
  <si>
    <t>Documentation Description</t>
  </si>
  <si>
    <t>General Documentation</t>
  </si>
  <si>
    <t>Contact information for the person who can answer project specific questions from staff reviewers on the quantification calculations.</t>
  </si>
  <si>
    <t xml:space="preserve">Some applicant-provided data may require additional documentation to substantiate the inputs. </t>
  </si>
  <si>
    <t>Applicants must use this Benefits Calculator Tool to report the estimated GHG benefits and selected co-benefits associated with proposed projects.</t>
  </si>
  <si>
    <t>Paper copies of supporting materials must be available upon request by agency staff.</t>
  </si>
  <si>
    <t xml:space="preserve">This includes supporting materials to verify the accuracy of project-specific inputs and electronic documentation that is complete and sufficient to allow the calculations to be reviewed and replicated.  </t>
  </si>
  <si>
    <t>Input</t>
  </si>
  <si>
    <t>Category</t>
  </si>
  <si>
    <t>Required?</t>
  </si>
  <si>
    <t>Result</t>
  </si>
  <si>
    <t>The following table is provided as a guide to applicants; additional data and/or information may be necessary to support project-specific input assumptions.</t>
  </si>
  <si>
    <t>Step 1: Identify and input basic project information</t>
  </si>
  <si>
    <t>Step 2: Input detailed project information</t>
  </si>
  <si>
    <t>Local NOx emission reductions (lbs)</t>
  </si>
  <si>
    <t>Local PM2.5 emission reductions (lbs)</t>
  </si>
  <si>
    <t>Per Total Funds</t>
  </si>
  <si>
    <t>Acronym</t>
  </si>
  <si>
    <t>Term</t>
  </si>
  <si>
    <t>CARB</t>
  </si>
  <si>
    <t>Value</t>
  </si>
  <si>
    <r>
      <t>Per Additional California Climate Invesments Funds (MTCO</t>
    </r>
    <r>
      <rPr>
        <vertAlign val="subscript"/>
        <sz val="12"/>
        <color theme="1"/>
        <rFont val="Avenir LT Std 55 Roman"/>
        <family val="2"/>
      </rPr>
      <t>2</t>
    </r>
    <r>
      <rPr>
        <sz val="12"/>
        <color theme="1"/>
        <rFont val="Avenir LT Std 55 Roman"/>
        <family val="2"/>
      </rPr>
      <t>e)</t>
    </r>
  </si>
  <si>
    <r>
      <t>Per Total Funds  (MTCO</t>
    </r>
    <r>
      <rPr>
        <vertAlign val="subscript"/>
        <sz val="12"/>
        <color theme="1"/>
        <rFont val="Avenir LT Std 55 Roman"/>
        <family val="2"/>
      </rPr>
      <t>2</t>
    </r>
    <r>
      <rPr>
        <sz val="12"/>
        <color theme="1"/>
        <rFont val="Avenir LT Std 55 Roman"/>
        <family val="2"/>
      </rPr>
      <t>e)</t>
    </r>
  </si>
  <si>
    <t>Additional California Climate Invesments Funds</t>
  </si>
  <si>
    <t>Non-California Climate Invesments Funds</t>
  </si>
  <si>
    <t>Total Funds</t>
  </si>
  <si>
    <t>GHG Emission Reductions</t>
  </si>
  <si>
    <t>In addition to application requirements, applicants for California Climate Investments funding are required to document results from the use of this Benefits Calculator Tool.</t>
  </si>
  <si>
    <t>Additional California Climate Investments Funds ($):</t>
  </si>
  <si>
    <t>Non-California Climate Investments Funds ($):</t>
  </si>
  <si>
    <t>www.caclimateinvestments.ca.gov</t>
  </si>
  <si>
    <t xml:space="preserve">· For more information on California Climate Investments, see: </t>
  </si>
  <si>
    <t> SoilWeb</t>
  </si>
  <si>
    <t> i-Tree Planting Calculator</t>
  </si>
  <si>
    <t>Months per year restored tidal wetland has water salinity less than 18 ppt</t>
  </si>
  <si>
    <t>Months per Year existing wetland site is a seasonal 
wetland</t>
  </si>
  <si>
    <t>Grassland SoilWeb Soil Type</t>
  </si>
  <si>
    <t>Acres converted from farmland to grassland</t>
  </si>
  <si>
    <t>Acres restored to coastal tidal wetland</t>
  </si>
  <si>
    <t>Project Site</t>
  </si>
  <si>
    <t>Project Site
Section</t>
  </si>
  <si>
    <t>Acres converted from managed seasonal wetland to tidal wetland</t>
  </si>
  <si>
    <t>Acres</t>
  </si>
  <si>
    <t>Acres converted from farmland to tidal wetland</t>
  </si>
  <si>
    <t>mo/yr 1</t>
  </si>
  <si>
    <t>acres 1</t>
  </si>
  <si>
    <t>mo/yr 2</t>
  </si>
  <si>
    <t>acres 2</t>
  </si>
  <si>
    <t>acres 3</t>
  </si>
  <si>
    <t>lb/yr 1</t>
  </si>
  <si>
    <t>acres 4</t>
  </si>
  <si>
    <t>mo/yr 3</t>
  </si>
  <si>
    <t>acres 5</t>
  </si>
  <si>
    <t>Soil Type 1</t>
  </si>
  <si>
    <t>Land Restoration</t>
  </si>
  <si>
    <t>Project Type</t>
  </si>
  <si>
    <t>Acres
restored to improved 
coastal grassland</t>
  </si>
  <si>
    <t>Months per year managed seasonal wetland is drained</t>
  </si>
  <si>
    <t>Acres converted from drained farmland to wetland</t>
  </si>
  <si>
    <t>Acres restored to Delta wetland</t>
  </si>
  <si>
    <t>Acres restored to Mountain Meadow</t>
  </si>
  <si>
    <t>Acres converted from farmland</t>
  </si>
  <si>
    <t>Acres restored to seasonal or intermittent wetlands</t>
  </si>
  <si>
    <t>Acres
restored to improved 
grassland</t>
  </si>
  <si>
    <t>Acres restored to woodland</t>
  </si>
  <si>
    <t>SoilWeb Soil Type</t>
  </si>
  <si>
    <t>Acres converted from moderately degraded grasslands</t>
  </si>
  <si>
    <t>Acres converted from severely degraded grasslands</t>
  </si>
  <si>
    <t>Data outputs from the following third-party tools may be used in this Benefits Calculator Tool:</t>
  </si>
  <si>
    <t>https://casoilresource.lawr.ucdavis.edu/gmap/</t>
  </si>
  <si>
    <t>https://planting.itreetools.org/</t>
  </si>
  <si>
    <t>Land Restoration applicants must enter the applicable information in the table below before proceeding with the project-specific data on the Inputs tab.</t>
  </si>
  <si>
    <t>Program</t>
  </si>
  <si>
    <t>CDFW</t>
  </si>
  <si>
    <t>Climate Adaptation and Resiliency Program</t>
  </si>
  <si>
    <t>Wetlands Restoration for GHG Reduction Program</t>
  </si>
  <si>
    <t>WCB</t>
  </si>
  <si>
    <r>
      <t xml:space="preserve">A step-by-step </t>
    </r>
    <r>
      <rPr>
        <b/>
        <sz val="12"/>
        <rFont val="Avenir LT Std 55 Roman"/>
        <family val="2"/>
      </rPr>
      <t xml:space="preserve">user guide, </t>
    </r>
    <r>
      <rPr>
        <sz val="12"/>
        <rFont val="Avenir LT Std 55 Roman"/>
        <family val="2"/>
      </rPr>
      <t xml:space="preserve">including </t>
    </r>
    <r>
      <rPr>
        <b/>
        <sz val="12"/>
        <rFont val="Avenir LT Std 55 Roman"/>
        <family val="2"/>
      </rPr>
      <t>project examples,</t>
    </r>
    <r>
      <rPr>
        <sz val="12"/>
        <rFont val="Avenir LT Std 55 Roman"/>
        <family val="2"/>
      </rPr>
      <t xml:space="preserve"> for this Benefits Calculator Tool is available at:</t>
    </r>
  </si>
  <si>
    <r>
      <t xml:space="preserve">Acres converted from </t>
    </r>
    <r>
      <rPr>
        <i/>
        <sz val="12"/>
        <rFont val="Avenir LT Std 55 Roman"/>
        <family val="2"/>
      </rPr>
      <t>severely</t>
    </r>
    <r>
      <rPr>
        <sz val="12"/>
        <rFont val="Avenir LT Std 55 Roman"/>
        <family val="2"/>
      </rPr>
      <t xml:space="preserve"> degraded wetlands and grasslands</t>
    </r>
  </si>
  <si>
    <r>
      <t xml:space="preserve">Acres converted from </t>
    </r>
    <r>
      <rPr>
        <i/>
        <sz val="12"/>
        <rFont val="Avenir LT Std 55 Roman"/>
        <family val="2"/>
      </rPr>
      <t>moderately</t>
    </r>
    <r>
      <rPr>
        <sz val="12"/>
        <rFont val="Avenir LT Std 55 Roman"/>
        <family val="2"/>
      </rPr>
      <t xml:space="preserve"> degraded wetlands and grasslands</t>
    </r>
  </si>
  <si>
    <t>Include the i-Tree report used to calculate this worksheet's inputs with the application.</t>
  </si>
  <si>
    <t>Number of trees planted</t>
  </si>
  <si>
    <t>Pounds of CO2 sequestered by trees</t>
  </si>
  <si>
    <t>lb/yr 13</t>
  </si>
  <si>
    <t>Pounds of PM2.5 removed by trees</t>
  </si>
  <si>
    <r>
      <t>A step-by-step</t>
    </r>
    <r>
      <rPr>
        <b/>
        <sz val="12"/>
        <color theme="1"/>
        <rFont val="Avenir LT Std 55 Roman"/>
        <family val="2"/>
      </rPr>
      <t xml:space="preserve"> user guide</t>
    </r>
    <r>
      <rPr>
        <sz val="12"/>
        <color theme="1"/>
        <rFont val="Avenir LT Std 55 Roman"/>
        <family val="2"/>
      </rPr>
      <t xml:space="preserve">, including </t>
    </r>
    <r>
      <rPr>
        <b/>
        <sz val="12"/>
        <color theme="1"/>
        <rFont val="Avenir LT Std 55 Roman"/>
        <family val="2"/>
      </rPr>
      <t>project examples,</t>
    </r>
    <r>
      <rPr>
        <sz val="12"/>
        <color theme="1"/>
        <rFont val="Avenir LT Std 55 Roman"/>
        <family val="2"/>
      </rPr>
      <t xml:space="preserve"> for this Benefits Calculator Tool is available at:</t>
    </r>
  </si>
  <si>
    <t>· Questions pertaining to the Program should be sent to the Administering Agency.</t>
  </si>
  <si>
    <t>Crop Type Grown
(or most Similar)</t>
  </si>
  <si>
    <t>This worksheet is for estimating the annual nitrogen application rate for farmland sites by crop type.</t>
  </si>
  <si>
    <t>If the historical annual nitrogen application rate for a farmland site is known, use that number instead.</t>
  </si>
  <si>
    <t>Farmland 
lb/acre-yr Nitrogen 
Application 
Rate</t>
  </si>
  <si>
    <t>This worksheet is for recording the GHG benefit calculated by the i-Tree Planting tool for tress planted.</t>
  </si>
  <si>
    <t>Group Identifier</t>
  </si>
  <si>
    <t>Pounds of NO2 removed by trees</t>
  </si>
  <si>
    <t>lb/acre-yr 1</t>
  </si>
  <si>
    <t>lb-N
/acre-yr 
1</t>
  </si>
  <si>
    <t>Soil Type</t>
  </si>
  <si>
    <t>IPCC Soil Classification</t>
  </si>
  <si>
    <t>Alfisols</t>
  </si>
  <si>
    <t>High Activity Clay Soils</t>
  </si>
  <si>
    <t>Andisols</t>
  </si>
  <si>
    <t>Volcanic Soils</t>
  </si>
  <si>
    <t>Aridisols</t>
  </si>
  <si>
    <t>Entisols</t>
  </si>
  <si>
    <t>Low Activity Clay Soils</t>
  </si>
  <si>
    <t>Gelisols</t>
  </si>
  <si>
    <t>Inceptisols</t>
  </si>
  <si>
    <t>Mollisols</t>
  </si>
  <si>
    <t>Oxisols</t>
  </si>
  <si>
    <t>&gt;70% Sand</t>
  </si>
  <si>
    <t>Sandy Soils</t>
  </si>
  <si>
    <t>Spodosols</t>
  </si>
  <si>
    <t>Spodic Soils</t>
  </si>
  <si>
    <t>Ultisols</t>
  </si>
  <si>
    <t>Vertisols</t>
  </si>
  <si>
    <t>Units</t>
  </si>
  <si>
    <t>Type</t>
  </si>
  <si>
    <t>Description</t>
  </si>
  <si>
    <t>Calculation</t>
  </si>
  <si>
    <t>The greenhouse gas benefit from the project's restoration of seasonal wetlands and grasslands located in inlands parts of California, as measured in metric tons of carbon dioxide equivalents.</t>
  </si>
  <si>
    <t>The sequestered carbon in the soil from the project's restoration of seasonal inland wetlands and grasslands, as measured in metric tons of carbon dioxide equivalents.</t>
  </si>
  <si>
    <t>The change in nitrous oxide emissions from avoided nitrogen fertilizer application, as measured in tons of nitrous oxide.</t>
  </si>
  <si>
    <t>Reference</t>
  </si>
  <si>
    <t>The global warming potential of a metric ton of nitrous oxide, as measured in metric tons of carbon dioxide equivalents over 100 years.</t>
  </si>
  <si>
    <t>The change in methane emissions from restoration of seasonal inland wetlands, as measured in metric tons of methane.</t>
  </si>
  <si>
    <t>The global warming potential of a metric ton of methane, as measured in metric tons of carbon dioxide equivalents over 100 years.</t>
  </si>
  <si>
    <t>The project lifetime, as measured in years. (See agency guidelines.)</t>
  </si>
  <si>
    <t>The reference carbon stock for wetland mineral soils, equal to 48 metric tons of carbon per hectare.</t>
  </si>
  <si>
    <t>The carbon stock change factor for grasslands in warm temperate dry climates, equal to 1.37.</t>
  </si>
  <si>
    <t>The carbon stock change factor for improved grasslands, equal to 1.14.</t>
  </si>
  <si>
    <t>The carbon stock change factor for grassland management with high input, equal to 1.11.</t>
  </si>
  <si>
    <t>The project area restored to seasonal inland wetland, as measured in acres.</t>
  </si>
  <si>
    <t>The project area restored to improved grasslands, as measured in acres.</t>
  </si>
  <si>
    <t>The carbon stock change factor for moderately degraded grasslands, equal to 0.95.  Moderately degraded grassland has been overgrazed or overrun by non-native annual grasses.</t>
  </si>
  <si>
    <t>The project area converted from moderately degraded grasslands, as measured in acres.  Moderately degraded grassland has been overgrazed or overrun by non-native annual grasses.</t>
  </si>
  <si>
    <t>The carbon stock change factor for severely degraded grasslands, equal to 0.7.  Severely degraded grasslands have soil physically disturbed by vehicles, livestock or erosion.</t>
  </si>
  <si>
    <t>The project area converted from severely degraded grasslands, as measured in acres.  Severely degraded grasslands have soil physically disturbed by vehicles, livestock or erosion.</t>
  </si>
  <si>
    <t>The carbon stock change factor for full till farmland, equal to 1.</t>
  </si>
  <si>
    <t>The project area converted from cropland, as measured in acres.</t>
  </si>
  <si>
    <t>Conversion</t>
  </si>
  <si>
    <t>Multiplication of this value to an area measured in acres will calculate the same area measured in hectares.</t>
  </si>
  <si>
    <t>Multiplication of this value to a mass of carbon dioxide measured in metric tons of carbon will calculate the same mass of carbon dioxide measured in metric tons of carbon dioxide.</t>
  </si>
  <si>
    <t>The typical nitrogen fertilizer application used on farmland on the project site, as measured in pounds of nitrogen per acre.</t>
  </si>
  <si>
    <t>The area in the project site where nitrogen fertilizer was previously applied, as measured in acres.</t>
  </si>
  <si>
    <t>Division of this value to a mass measured in pounds will calculate the same mass measured in metric tons.</t>
  </si>
  <si>
    <t>Multiplication of this value to a mass of nitrous oxide measured in metric tons of atomic nitrogen will calculate the same mass of nitrous oxide measured in metric tons of nitrous oxide.</t>
  </si>
  <si>
    <t>Division of this value to mass measured in kilograms will calculate the same mass measured in metric tons.</t>
  </si>
  <si>
    <r>
      <t>MTCO</t>
    </r>
    <r>
      <rPr>
        <vertAlign val="subscript"/>
        <sz val="12"/>
        <color theme="1"/>
        <rFont val="Avenir LT Std 55 Roman"/>
        <family val="2"/>
      </rPr>
      <t>2</t>
    </r>
    <r>
      <rPr>
        <sz val="12"/>
        <color theme="1"/>
        <rFont val="Avenir LT Std 55 Roman"/>
        <family val="2"/>
      </rPr>
      <t>e</t>
    </r>
  </si>
  <si>
    <t>acres</t>
  </si>
  <si>
    <t>Trees Planted</t>
  </si>
  <si>
    <t>trees</t>
  </si>
  <si>
    <r>
      <t>lb NO</t>
    </r>
    <r>
      <rPr>
        <vertAlign val="subscript"/>
        <sz val="12"/>
        <rFont val="Avenir LT Std 55 Roman"/>
        <family val="2"/>
      </rPr>
      <t>x</t>
    </r>
  </si>
  <si>
    <r>
      <t>lb PM</t>
    </r>
    <r>
      <rPr>
        <vertAlign val="subscript"/>
        <sz val="12"/>
        <rFont val="Avenir LT Std 55 Roman"/>
        <family val="2"/>
      </rPr>
      <t>2.5</t>
    </r>
  </si>
  <si>
    <r>
      <t>NO</t>
    </r>
    <r>
      <rPr>
        <vertAlign val="subscript"/>
        <sz val="12"/>
        <rFont val="Avenir LT Std 55 Roman"/>
        <family val="2"/>
      </rPr>
      <t>x</t>
    </r>
    <r>
      <rPr>
        <sz val="12"/>
        <rFont val="Avenir LT Std 55 Roman"/>
        <family val="2"/>
      </rPr>
      <t xml:space="preserve"> Emissions Benefit from Tree Planting</t>
    </r>
  </si>
  <si>
    <r>
      <t>PM</t>
    </r>
    <r>
      <rPr>
        <vertAlign val="subscript"/>
        <sz val="12"/>
        <rFont val="Avenir LT Std 55 Roman"/>
        <family val="2"/>
      </rPr>
      <t>2.5</t>
    </r>
    <r>
      <rPr>
        <sz val="12"/>
        <rFont val="Avenir LT Std 55 Roman"/>
        <family val="2"/>
      </rPr>
      <t xml:space="preserve"> Emissions Benefit from Tree Planting</t>
    </r>
  </si>
  <si>
    <t>Step 3: Review Project Benefits, Co-Beneifts and Key Variables</t>
  </si>
  <si>
    <t>1</t>
  </si>
  <si>
    <t/>
  </si>
  <si>
    <t>Eqn. 1</t>
  </si>
  <si>
    <r>
      <t>MT</t>
    </r>
    <r>
      <rPr>
        <sz val="8"/>
        <color theme="1"/>
        <rFont val="Avenir LT Std 55 Roman"/>
        <family val="2"/>
      </rPr>
      <t>CO</t>
    </r>
    <r>
      <rPr>
        <vertAlign val="subscript"/>
        <sz val="8"/>
        <color theme="1"/>
        <rFont val="Avenir LT Std 55 Roman"/>
        <family val="2"/>
      </rPr>
      <t>2</t>
    </r>
    <r>
      <rPr>
        <sz val="10"/>
        <color theme="1"/>
        <rFont val="Avenir LT Std 55 Roman"/>
        <family val="2"/>
      </rPr>
      <t>e</t>
    </r>
  </si>
  <si>
    <r>
      <t>MT</t>
    </r>
    <r>
      <rPr>
        <sz val="8"/>
        <color theme="1"/>
        <rFont val="Avenir LT Std 55 Roman"/>
        <family val="2"/>
      </rPr>
      <t>CO</t>
    </r>
    <r>
      <rPr>
        <vertAlign val="subscript"/>
        <sz val="8"/>
        <color theme="1"/>
        <rFont val="Avenir LT Std 55 Roman"/>
        <family val="2"/>
      </rPr>
      <t>2</t>
    </r>
    <r>
      <rPr>
        <sz val="8"/>
        <color theme="1"/>
        <rFont val="Avenir LT Std 55 Roman"/>
        <family val="2"/>
      </rPr>
      <t>e</t>
    </r>
    <r>
      <rPr>
        <sz val="10"/>
        <color theme="1"/>
        <rFont val="Avenir LT Std 55 Roman"/>
        <family val="2"/>
      </rPr>
      <t>/yr</t>
    </r>
  </si>
  <si>
    <r>
      <t>MT</t>
    </r>
    <r>
      <rPr>
        <sz val="8"/>
        <color theme="1"/>
        <rFont val="Avenir LT Std 55 Roman"/>
        <family val="2"/>
      </rPr>
      <t>CH</t>
    </r>
    <r>
      <rPr>
        <vertAlign val="subscript"/>
        <sz val="8"/>
        <color theme="1"/>
        <rFont val="Avenir LT Std 55 Roman"/>
        <family val="2"/>
      </rPr>
      <t>4</t>
    </r>
    <r>
      <rPr>
        <sz val="10"/>
        <color theme="1"/>
        <rFont val="Avenir LT Std 55 Roman"/>
        <family val="2"/>
      </rPr>
      <t>/yr</t>
    </r>
  </si>
  <si>
    <r>
      <t>MT</t>
    </r>
    <r>
      <rPr>
        <sz val="8"/>
        <color theme="1"/>
        <rFont val="Avenir LT Std 55 Roman"/>
        <family val="2"/>
      </rPr>
      <t>CO</t>
    </r>
    <r>
      <rPr>
        <vertAlign val="subscript"/>
        <sz val="8"/>
        <color theme="1"/>
        <rFont val="Avenir LT Std 55 Roman"/>
        <family val="2"/>
      </rPr>
      <t>2</t>
    </r>
    <r>
      <rPr>
        <sz val="8"/>
        <color theme="1"/>
        <rFont val="Avenir LT Std 55 Roman"/>
        <family val="2"/>
      </rPr>
      <t>e</t>
    </r>
    <r>
      <rPr>
        <sz val="10"/>
        <color theme="1"/>
        <rFont val="Avenir LT Std 55 Roman"/>
        <family val="2"/>
      </rPr>
      <t>/
MT</t>
    </r>
    <r>
      <rPr>
        <sz val="8"/>
        <color theme="1"/>
        <rFont val="Avenir LT Std 55 Roman"/>
        <family val="2"/>
      </rPr>
      <t>CH</t>
    </r>
    <r>
      <rPr>
        <vertAlign val="subscript"/>
        <sz val="8"/>
        <color theme="1"/>
        <rFont val="Avenir LT Std 55 Roman"/>
        <family val="2"/>
      </rPr>
      <t>4</t>
    </r>
  </si>
  <si>
    <r>
      <t>MT</t>
    </r>
    <r>
      <rPr>
        <sz val="8"/>
        <color theme="1"/>
        <rFont val="Avenir LT Std 55 Roman"/>
        <family val="2"/>
      </rPr>
      <t>CO</t>
    </r>
    <r>
      <rPr>
        <vertAlign val="subscript"/>
        <sz val="8"/>
        <color theme="1"/>
        <rFont val="Avenir LT Std 55 Roman"/>
        <family val="2"/>
      </rPr>
      <t>2</t>
    </r>
    <r>
      <rPr>
        <sz val="8"/>
        <color theme="1"/>
        <rFont val="Avenir LT Std 55 Roman"/>
        <family val="2"/>
      </rPr>
      <t>e</t>
    </r>
    <r>
      <rPr>
        <sz val="10"/>
        <color theme="1"/>
        <rFont val="Avenir LT Std 55 Roman"/>
        <family val="2"/>
      </rPr>
      <t>/
MT</t>
    </r>
    <r>
      <rPr>
        <sz val="8"/>
        <color theme="1"/>
        <rFont val="Avenir LT Std 55 Roman"/>
        <family val="2"/>
      </rPr>
      <t>N</t>
    </r>
    <r>
      <rPr>
        <vertAlign val="subscript"/>
        <sz val="8"/>
        <color theme="1"/>
        <rFont val="Avenir LT Std 55 Roman"/>
        <family val="2"/>
      </rPr>
      <t>2</t>
    </r>
    <r>
      <rPr>
        <sz val="8"/>
        <color theme="1"/>
        <rFont val="Avenir LT Std 55 Roman"/>
        <family val="2"/>
      </rPr>
      <t>O</t>
    </r>
  </si>
  <si>
    <t>years</t>
  </si>
  <si>
    <t>Subtotal</t>
  </si>
  <si>
    <t>TOTAL</t>
  </si>
  <si>
    <t>Eqn. 2</t>
  </si>
  <si>
    <t>unitless</t>
  </si>
  <si>
    <r>
      <t>cm</t>
    </r>
    <r>
      <rPr>
        <vertAlign val="superscript"/>
        <sz val="10"/>
        <color theme="1"/>
        <rFont val="Avenir LT Std 55 Roman"/>
        <family val="2"/>
      </rPr>
      <t>2</t>
    </r>
    <r>
      <rPr>
        <sz val="10"/>
        <color theme="1"/>
        <rFont val="Avenir LT Std 55 Roman"/>
        <family val="2"/>
      </rPr>
      <t>/acre</t>
    </r>
  </si>
  <si>
    <t>g/MT</t>
  </si>
  <si>
    <r>
      <t>MT</t>
    </r>
    <r>
      <rPr>
        <sz val="8"/>
        <color theme="1"/>
        <rFont val="Avenir LT Std 55 Roman"/>
        <family val="2"/>
      </rPr>
      <t>CO</t>
    </r>
    <r>
      <rPr>
        <vertAlign val="subscript"/>
        <sz val="8"/>
        <color theme="1"/>
        <rFont val="Avenir LT Std 55 Roman"/>
        <family val="2"/>
      </rPr>
      <t>2</t>
    </r>
    <r>
      <rPr>
        <sz val="8"/>
        <color theme="1"/>
        <rFont val="Avenir LT Std 55 Roman"/>
        <family val="2"/>
      </rPr>
      <t>e</t>
    </r>
    <r>
      <rPr>
        <sz val="10"/>
        <color theme="1"/>
        <rFont val="Avenir LT Std 55 Roman"/>
        <family val="2"/>
      </rPr>
      <t>/ MT</t>
    </r>
    <r>
      <rPr>
        <sz val="8"/>
        <color theme="1"/>
        <rFont val="Avenir LT Std 55 Roman"/>
        <family val="2"/>
      </rPr>
      <t>C</t>
    </r>
  </si>
  <si>
    <t>Eqn. 3</t>
  </si>
  <si>
    <r>
      <t>kg</t>
    </r>
    <r>
      <rPr>
        <sz val="8"/>
        <color theme="1"/>
        <rFont val="Avenir LT Std 55 Roman"/>
        <family val="2"/>
      </rPr>
      <t>CH</t>
    </r>
    <r>
      <rPr>
        <vertAlign val="subscript"/>
        <sz val="8"/>
        <color theme="1"/>
        <rFont val="Avenir LT Std 55 Roman"/>
        <family val="2"/>
      </rPr>
      <t>4</t>
    </r>
    <r>
      <rPr>
        <sz val="10"/>
        <color theme="1"/>
        <rFont val="Avenir LT Std 55 Roman"/>
        <family val="2"/>
      </rPr>
      <t>/
ha-yr</t>
    </r>
  </si>
  <si>
    <t>months</t>
  </si>
  <si>
    <t>ha/ac</t>
  </si>
  <si>
    <t>kg/MT</t>
  </si>
  <si>
    <t>Eqn. 4</t>
  </si>
  <si>
    <r>
      <t>MT</t>
    </r>
    <r>
      <rPr>
        <sz val="8"/>
        <color theme="1"/>
        <rFont val="Avenir LT Std 55 Roman"/>
        <family val="2"/>
      </rPr>
      <t>N</t>
    </r>
    <r>
      <rPr>
        <vertAlign val="subscript"/>
        <sz val="8"/>
        <color theme="1"/>
        <rFont val="Avenir LT Std 55 Roman"/>
        <family val="2"/>
      </rPr>
      <t>2</t>
    </r>
    <r>
      <rPr>
        <sz val="8"/>
        <color theme="1"/>
        <rFont val="Avenir LT Std 55 Roman"/>
        <family val="2"/>
      </rPr>
      <t>O</t>
    </r>
    <r>
      <rPr>
        <sz val="10"/>
        <color theme="1"/>
        <rFont val="Avenir LT Std 55 Roman"/>
        <family val="2"/>
      </rPr>
      <t>/yr</t>
    </r>
  </si>
  <si>
    <r>
      <t>MT</t>
    </r>
    <r>
      <rPr>
        <sz val="8"/>
        <color theme="1"/>
        <rFont val="Avenir LT Std 55 Roman"/>
        <family val="2"/>
      </rPr>
      <t>N</t>
    </r>
    <r>
      <rPr>
        <vertAlign val="subscript"/>
        <sz val="8"/>
        <color theme="1"/>
        <rFont val="Avenir LT Std 55 Roman"/>
        <family val="2"/>
      </rPr>
      <t>2</t>
    </r>
    <r>
      <rPr>
        <sz val="8"/>
        <color theme="1"/>
        <rFont val="Avenir LT Std 55 Roman"/>
        <family val="2"/>
      </rPr>
      <t>O-N</t>
    </r>
    <r>
      <rPr>
        <sz val="10"/>
        <color theme="1"/>
        <rFont val="Avenir LT Std 55 Roman"/>
        <family val="2"/>
      </rPr>
      <t xml:space="preserve">
/ha-yr</t>
    </r>
  </si>
  <si>
    <r>
      <t>MT</t>
    </r>
    <r>
      <rPr>
        <sz val="8"/>
        <color theme="1"/>
        <rFont val="Avenir LT Std 55 Roman"/>
        <family val="2"/>
      </rPr>
      <t>N</t>
    </r>
    <r>
      <rPr>
        <vertAlign val="subscript"/>
        <sz val="8"/>
        <color theme="1"/>
        <rFont val="Avenir LT Std 55 Roman"/>
        <family val="2"/>
      </rPr>
      <t>2</t>
    </r>
    <r>
      <rPr>
        <sz val="8"/>
        <color theme="1"/>
        <rFont val="Avenir LT Std 55 Roman"/>
        <family val="2"/>
      </rPr>
      <t>O</t>
    </r>
    <r>
      <rPr>
        <sz val="10"/>
        <color theme="1"/>
        <rFont val="Avenir LT Std 55 Roman"/>
        <family val="2"/>
      </rPr>
      <t>/
MT</t>
    </r>
    <r>
      <rPr>
        <sz val="8"/>
        <color theme="1"/>
        <rFont val="Avenir LT Std 55 Roman"/>
        <family val="2"/>
      </rPr>
      <t>N</t>
    </r>
  </si>
  <si>
    <t>Eqn. 5</t>
  </si>
  <si>
    <r>
      <t>lb</t>
    </r>
    <r>
      <rPr>
        <sz val="8"/>
        <color theme="1"/>
        <rFont val="Avenir LT Std 55 Roman"/>
        <family val="2"/>
      </rPr>
      <t>N</t>
    </r>
    <r>
      <rPr>
        <vertAlign val="subscript"/>
        <sz val="8"/>
        <color theme="1"/>
        <rFont val="Avenir LT Std 55 Roman"/>
        <family val="2"/>
      </rPr>
      <t>2</t>
    </r>
    <r>
      <rPr>
        <sz val="8"/>
        <color theme="1"/>
        <rFont val="Avenir LT Std 55 Roman"/>
        <family val="2"/>
      </rPr>
      <t>O-N</t>
    </r>
    <r>
      <rPr>
        <sz val="10"/>
        <color theme="1"/>
        <rFont val="Avenir LT Std 55 Roman"/>
        <family val="2"/>
      </rPr>
      <t>/
lb</t>
    </r>
    <r>
      <rPr>
        <sz val="8"/>
        <color theme="1"/>
        <rFont val="Avenir LT Std 55 Roman"/>
        <family val="2"/>
      </rPr>
      <t>N</t>
    </r>
  </si>
  <si>
    <r>
      <t>lb</t>
    </r>
    <r>
      <rPr>
        <sz val="8"/>
        <color theme="1"/>
        <rFont val="Avenir LT Std 55 Roman"/>
        <family val="2"/>
      </rPr>
      <t>N</t>
    </r>
    <r>
      <rPr>
        <sz val="10"/>
        <color theme="1"/>
        <rFont val="Avenir LT Std 55 Roman"/>
        <family val="2"/>
      </rPr>
      <t>/
acre-year</t>
    </r>
  </si>
  <si>
    <t>lb/MT</t>
  </si>
  <si>
    <t>Eqn. 6</t>
  </si>
  <si>
    <r>
      <t>MT</t>
    </r>
    <r>
      <rPr>
        <sz val="8"/>
        <color theme="1"/>
        <rFont val="Avenir LT Std 55 Roman"/>
        <family val="2"/>
      </rPr>
      <t>CO</t>
    </r>
    <r>
      <rPr>
        <vertAlign val="subscript"/>
        <sz val="8"/>
        <color theme="1"/>
        <rFont val="Avenir LT Std 55 Roman"/>
        <family val="2"/>
      </rPr>
      <t>2</t>
    </r>
    <r>
      <rPr>
        <sz val="8"/>
        <color theme="1"/>
        <rFont val="Avenir LT Std 55 Roman"/>
        <family val="2"/>
      </rPr>
      <t>e</t>
    </r>
  </si>
  <si>
    <r>
      <t>g</t>
    </r>
    <r>
      <rPr>
        <sz val="8"/>
        <color theme="1"/>
        <rFont val="Avenir LT Std 55 Roman"/>
        <family val="2"/>
      </rPr>
      <t>C</t>
    </r>
    <r>
      <rPr>
        <sz val="10"/>
        <color theme="1"/>
        <rFont val="Avenir LT Std 55 Roman"/>
        <family val="2"/>
      </rPr>
      <t>/m</t>
    </r>
    <r>
      <rPr>
        <vertAlign val="superscript"/>
        <sz val="10"/>
        <color theme="1"/>
        <rFont val="Avenir LT Std 55 Roman"/>
        <family val="2"/>
      </rPr>
      <t>2</t>
    </r>
    <r>
      <rPr>
        <sz val="10"/>
        <color theme="1"/>
        <rFont val="Avenir LT Std 55 Roman"/>
        <family val="2"/>
      </rPr>
      <t>-yr</t>
    </r>
  </si>
  <si>
    <t>mo/yr</t>
  </si>
  <si>
    <r>
      <t>m</t>
    </r>
    <r>
      <rPr>
        <vertAlign val="superscript"/>
        <sz val="10"/>
        <color theme="1"/>
        <rFont val="Avenir LT Std 55 Roman"/>
        <family val="2"/>
      </rPr>
      <t>2</t>
    </r>
    <r>
      <rPr>
        <sz val="10"/>
        <color theme="1"/>
        <rFont val="Avenir LT Std 55 Roman"/>
        <family val="2"/>
      </rPr>
      <t>/ac</t>
    </r>
  </si>
  <si>
    <t>Eqn. 7</t>
  </si>
  <si>
    <r>
      <t>MT</t>
    </r>
    <r>
      <rPr>
        <sz val="8"/>
        <color theme="1"/>
        <rFont val="Avenir LT Std 55 Roman"/>
        <family val="2"/>
      </rPr>
      <t>C</t>
    </r>
    <r>
      <rPr>
        <sz val="10"/>
        <color theme="1"/>
        <rFont val="Avenir LT Std 55 Roman"/>
        <family val="2"/>
      </rPr>
      <t>/ha</t>
    </r>
  </si>
  <si>
    <r>
      <t>MT</t>
    </r>
    <r>
      <rPr>
        <sz val="8"/>
        <color theme="1"/>
        <rFont val="Avenir LT Std 55 Roman"/>
        <family val="2"/>
      </rPr>
      <t>CO</t>
    </r>
    <r>
      <rPr>
        <vertAlign val="subscript"/>
        <sz val="8"/>
        <color theme="1"/>
        <rFont val="Avenir LT Std 55 Roman"/>
        <family val="2"/>
      </rPr>
      <t>2</t>
    </r>
    <r>
      <rPr>
        <sz val="8"/>
        <color theme="1"/>
        <rFont val="Avenir LT Std 55 Roman"/>
        <family val="2"/>
      </rPr>
      <t xml:space="preserve">e
</t>
    </r>
    <r>
      <rPr>
        <sz val="10"/>
        <color theme="1"/>
        <rFont val="Avenir LT Std 55 Roman"/>
        <family val="2"/>
      </rPr>
      <t>/yr</t>
    </r>
  </si>
  <si>
    <r>
      <t>MT</t>
    </r>
    <r>
      <rPr>
        <sz val="8"/>
        <color theme="1"/>
        <rFont val="Avenir LT Std 55 Roman"/>
        <family val="2"/>
      </rPr>
      <t>CH</t>
    </r>
    <r>
      <rPr>
        <vertAlign val="subscript"/>
        <sz val="8"/>
        <color theme="1"/>
        <rFont val="Avenir LT Std 55 Roman"/>
        <family val="2"/>
      </rPr>
      <t xml:space="preserve">4
</t>
    </r>
    <r>
      <rPr>
        <sz val="10"/>
        <color theme="1"/>
        <rFont val="Avenir LT Std 55 Roman"/>
        <family val="2"/>
      </rPr>
      <t>/yr</t>
    </r>
  </si>
  <si>
    <r>
      <t>MT</t>
    </r>
    <r>
      <rPr>
        <sz val="8"/>
        <color theme="1"/>
        <rFont val="Avenir LT Std 55 Roman"/>
        <family val="2"/>
      </rPr>
      <t>N</t>
    </r>
    <r>
      <rPr>
        <vertAlign val="subscript"/>
        <sz val="8"/>
        <color theme="1"/>
        <rFont val="Avenir LT Std 55 Roman"/>
        <family val="2"/>
      </rPr>
      <t>2</t>
    </r>
    <r>
      <rPr>
        <sz val="10"/>
        <color theme="1"/>
        <rFont val="Avenir LT Std 55 Roman"/>
        <family val="2"/>
      </rPr>
      <t>O
/yr</t>
    </r>
  </si>
  <si>
    <r>
      <t>g</t>
    </r>
    <r>
      <rPr>
        <sz val="8"/>
        <color theme="1"/>
        <rFont val="Avenir LT Std 55 Roman"/>
        <family val="2"/>
      </rPr>
      <t>C</t>
    </r>
    <r>
      <rPr>
        <sz val="10"/>
        <color theme="1"/>
        <rFont val="Avenir LT Std 55 Roman"/>
        <family val="2"/>
      </rPr>
      <t>/cm</t>
    </r>
    <r>
      <rPr>
        <vertAlign val="superscript"/>
        <sz val="10"/>
        <color theme="1"/>
        <rFont val="Avenir LT Std 55 Roman"/>
        <family val="2"/>
      </rPr>
      <t>2</t>
    </r>
    <r>
      <rPr>
        <sz val="10"/>
        <color theme="1"/>
        <rFont val="Avenir LT Std 55 Roman"/>
        <family val="2"/>
      </rPr>
      <t>-yr</t>
    </r>
  </si>
  <si>
    <r>
      <t>Cseq</t>
    </r>
    <r>
      <rPr>
        <vertAlign val="subscript"/>
        <sz val="11"/>
        <color theme="1"/>
        <rFont val="Avenir LT Std 55 Roman"/>
        <family val="2"/>
      </rPr>
      <t>CTW</t>
    </r>
  </si>
  <si>
    <r>
      <t>A</t>
    </r>
    <r>
      <rPr>
        <vertAlign val="subscript"/>
        <sz val="11"/>
        <color theme="1"/>
        <rFont val="Avenir LT Std 55 Roman"/>
        <family val="2"/>
      </rPr>
      <t>CTW</t>
    </r>
  </si>
  <si>
    <r>
      <t>Freq</t>
    </r>
    <r>
      <rPr>
        <vertAlign val="subscript"/>
        <sz val="11"/>
        <color theme="1"/>
        <rFont val="Avenir LT Std 55 Roman"/>
        <family val="2"/>
      </rPr>
      <t>wet</t>
    </r>
  </si>
  <si>
    <t>44/12</t>
  </si>
  <si>
    <t>50</t>
  </si>
  <si>
    <t>12</t>
  </si>
  <si>
    <t>79</t>
  </si>
  <si>
    <r>
      <t>Freq</t>
    </r>
    <r>
      <rPr>
        <vertAlign val="subscript"/>
        <sz val="11"/>
        <color theme="1"/>
        <rFont val="Avenir LT Std 55 Roman"/>
        <family val="2"/>
      </rPr>
      <t>drain</t>
    </r>
  </si>
  <si>
    <t>0.008</t>
  </si>
  <si>
    <r>
      <t>A</t>
    </r>
    <r>
      <rPr>
        <vertAlign val="subscript"/>
        <sz val="11"/>
        <color theme="1"/>
        <rFont val="Avenir LT Std 55 Roman"/>
        <family val="2"/>
      </rPr>
      <t>dos</t>
    </r>
  </si>
  <si>
    <t>44/28</t>
  </si>
  <si>
    <r>
      <rPr>
        <sz val="11"/>
        <color theme="1"/>
        <rFont val="Calibri"/>
        <family val="2"/>
      </rPr>
      <t>Δ</t>
    </r>
    <r>
      <rPr>
        <sz val="9.35"/>
        <color theme="1"/>
        <rFont val="Avenir LT Std 55 Roman"/>
        <family val="2"/>
      </rPr>
      <t>N</t>
    </r>
    <r>
      <rPr>
        <vertAlign val="subscript"/>
        <sz val="9.35"/>
        <color theme="1"/>
        <rFont val="Avenir LT Std 55 Roman"/>
        <family val="2"/>
      </rPr>
      <t>2</t>
    </r>
    <r>
      <rPr>
        <sz val="9.35"/>
        <color theme="1"/>
        <rFont val="Avenir LT Std 55 Roman"/>
        <family val="2"/>
      </rPr>
      <t>O</t>
    </r>
    <r>
      <rPr>
        <vertAlign val="subscript"/>
        <sz val="9.35"/>
        <color theme="1"/>
        <rFont val="Avenir LT Std 55 Roman"/>
        <family val="2"/>
      </rPr>
      <t>dos</t>
    </r>
  </si>
  <si>
    <t>193.7</t>
  </si>
  <si>
    <r>
      <rPr>
        <sz val="11"/>
        <color theme="1"/>
        <rFont val="Calibri"/>
        <family val="2"/>
      </rPr>
      <t>ΔCH</t>
    </r>
    <r>
      <rPr>
        <vertAlign val="subscript"/>
        <sz val="9.35"/>
        <color theme="1"/>
        <rFont val="Avenir LT Std 55 Roman"/>
        <family val="2"/>
      </rPr>
      <t>4,CTW</t>
    </r>
  </si>
  <si>
    <r>
      <t>Freq</t>
    </r>
    <r>
      <rPr>
        <vertAlign val="subscript"/>
        <sz val="11"/>
        <color theme="1"/>
        <rFont val="Avenir LT Std 55 Roman"/>
        <family val="2"/>
      </rPr>
      <t>Fresh</t>
    </r>
  </si>
  <si>
    <r>
      <t>Freq</t>
    </r>
    <r>
      <rPr>
        <vertAlign val="subscript"/>
        <sz val="11"/>
        <color theme="1"/>
        <rFont val="Avenir LT Std 55 Roman"/>
        <family val="2"/>
      </rPr>
      <t>FreshWet</t>
    </r>
  </si>
  <si>
    <t>0.4047</t>
  </si>
  <si>
    <t>1,000</t>
  </si>
  <si>
    <t>1,000,000</t>
  </si>
  <si>
    <t>40,468,564</t>
  </si>
  <si>
    <r>
      <rPr>
        <sz val="12"/>
        <color theme="1"/>
        <rFont val="Calibri"/>
        <family val="2"/>
      </rPr>
      <t>ΔCLR</t>
    </r>
    <r>
      <rPr>
        <vertAlign val="subscript"/>
        <sz val="12"/>
        <color theme="1"/>
        <rFont val="Avenir LT Std 55 Roman"/>
        <family val="2"/>
      </rPr>
      <t>dos</t>
    </r>
  </si>
  <si>
    <t>0.05</t>
  </si>
  <si>
    <r>
      <t>Cseq</t>
    </r>
    <r>
      <rPr>
        <vertAlign val="subscript"/>
        <sz val="11"/>
        <color theme="1"/>
        <rFont val="Avenir LT Std 55 Roman"/>
        <family val="2"/>
      </rPr>
      <t>G</t>
    </r>
  </si>
  <si>
    <r>
      <t>CS</t>
    </r>
    <r>
      <rPr>
        <vertAlign val="subscript"/>
        <sz val="11"/>
        <color theme="1"/>
        <rFont val="Avenir LT Std 55 Roman"/>
        <family val="2"/>
      </rPr>
      <t>ref</t>
    </r>
  </si>
  <si>
    <r>
      <t>CS</t>
    </r>
    <r>
      <rPr>
        <vertAlign val="subscript"/>
        <sz val="12"/>
        <color theme="1"/>
        <rFont val="Avenir LT Std 55 Roman"/>
        <family val="2"/>
      </rPr>
      <t>ref</t>
    </r>
  </si>
  <si>
    <r>
      <t>F</t>
    </r>
    <r>
      <rPr>
        <vertAlign val="subscript"/>
        <sz val="12"/>
        <color theme="1"/>
        <rFont val="Avenir LT Std 55 Roman"/>
        <family val="2"/>
      </rPr>
      <t>LU,G</t>
    </r>
  </si>
  <si>
    <r>
      <t>F</t>
    </r>
    <r>
      <rPr>
        <vertAlign val="subscript"/>
        <sz val="12"/>
        <color theme="1"/>
        <rFont val="Avenir LT Std 55 Roman"/>
        <family val="2"/>
      </rPr>
      <t>GM,I</t>
    </r>
  </si>
  <si>
    <r>
      <t>A</t>
    </r>
    <r>
      <rPr>
        <vertAlign val="subscript"/>
        <sz val="12"/>
        <color theme="1"/>
        <rFont val="Avenir LT Std 55 Roman"/>
        <family val="2"/>
      </rPr>
      <t>IG</t>
    </r>
  </si>
  <si>
    <r>
      <t>A</t>
    </r>
    <r>
      <rPr>
        <vertAlign val="subscript"/>
        <sz val="12"/>
        <color theme="1"/>
        <rFont val="Avenir LT Std 55 Roman"/>
        <family val="2"/>
      </rPr>
      <t>MDG</t>
    </r>
  </si>
  <si>
    <r>
      <t>F</t>
    </r>
    <r>
      <rPr>
        <vertAlign val="subscript"/>
        <sz val="12"/>
        <color theme="1"/>
        <rFont val="Avenir LT Std 55 Roman"/>
        <family val="2"/>
      </rPr>
      <t>GM,MD</t>
    </r>
  </si>
  <si>
    <r>
      <t>F</t>
    </r>
    <r>
      <rPr>
        <vertAlign val="subscript"/>
        <sz val="12"/>
        <color theme="1"/>
        <rFont val="Avenir LT Std 55 Roman"/>
        <family val="2"/>
      </rPr>
      <t>GM,FT</t>
    </r>
  </si>
  <si>
    <r>
      <t>A</t>
    </r>
    <r>
      <rPr>
        <vertAlign val="subscript"/>
        <sz val="12"/>
        <color theme="1"/>
        <rFont val="Avenir LT Std 55 Roman"/>
        <family val="2"/>
      </rPr>
      <t>F,G</t>
    </r>
  </si>
  <si>
    <t>0.01</t>
  </si>
  <si>
    <t>2204.62</t>
  </si>
  <si>
    <r>
      <t>A</t>
    </r>
    <r>
      <rPr>
        <vertAlign val="subscript"/>
        <sz val="11"/>
        <color theme="1"/>
        <rFont val="Avenir LT Std 55 Roman"/>
        <family val="2"/>
      </rPr>
      <t>fert</t>
    </r>
  </si>
  <si>
    <r>
      <t>N</t>
    </r>
    <r>
      <rPr>
        <vertAlign val="subscript"/>
        <sz val="11"/>
        <color theme="1"/>
        <rFont val="Avenir LT Std 55 Roman"/>
        <family val="2"/>
      </rPr>
      <t>fert</t>
    </r>
  </si>
  <si>
    <r>
      <t>N</t>
    </r>
    <r>
      <rPr>
        <vertAlign val="subscript"/>
        <sz val="12"/>
        <color theme="1"/>
        <rFont val="Avenir LT Std 55 Roman"/>
        <family val="2"/>
      </rPr>
      <t>fert</t>
    </r>
  </si>
  <si>
    <r>
      <t>A</t>
    </r>
    <r>
      <rPr>
        <vertAlign val="subscript"/>
        <sz val="12"/>
        <color theme="1"/>
        <rFont val="Avenir LT Std 55 Roman"/>
        <family val="2"/>
      </rPr>
      <t>fert</t>
    </r>
  </si>
  <si>
    <r>
      <rPr>
        <sz val="11"/>
        <color theme="1"/>
        <rFont val="Calibri"/>
        <family val="2"/>
      </rPr>
      <t>Δ</t>
    </r>
    <r>
      <rPr>
        <sz val="9.35"/>
        <color theme="1"/>
        <rFont val="Avenir LT Std 55 Roman"/>
        <family val="2"/>
      </rPr>
      <t>N</t>
    </r>
    <r>
      <rPr>
        <vertAlign val="subscript"/>
        <sz val="9.35"/>
        <color theme="1"/>
        <rFont val="Avenir LT Std 55 Roman"/>
        <family val="2"/>
      </rPr>
      <t>2</t>
    </r>
    <r>
      <rPr>
        <sz val="9.35"/>
        <color theme="1"/>
        <rFont val="Avenir LT Std 55 Roman"/>
        <family val="2"/>
      </rPr>
      <t>O</t>
    </r>
    <r>
      <rPr>
        <vertAlign val="subscript"/>
        <sz val="9.35"/>
        <color theme="1"/>
        <rFont val="Avenir LT Std 55 Roman"/>
        <family val="2"/>
      </rPr>
      <t>fert</t>
    </r>
  </si>
  <si>
    <t>25</t>
  </si>
  <si>
    <r>
      <rPr>
        <sz val="12"/>
        <color theme="1"/>
        <rFont val="Calibri"/>
        <family val="2"/>
      </rPr>
      <t>Δ</t>
    </r>
    <r>
      <rPr>
        <sz val="12"/>
        <color theme="1"/>
        <rFont val="Avenir LT Std 55 Roman"/>
        <family val="2"/>
      </rPr>
      <t>N</t>
    </r>
    <r>
      <rPr>
        <vertAlign val="subscript"/>
        <sz val="12"/>
        <color theme="1"/>
        <rFont val="Avenir LT Std 55 Roman"/>
        <family val="2"/>
      </rPr>
      <t>2</t>
    </r>
    <r>
      <rPr>
        <sz val="12"/>
        <color theme="1"/>
        <rFont val="Avenir LT Std 55 Roman"/>
        <family val="2"/>
      </rPr>
      <t>O</t>
    </r>
    <r>
      <rPr>
        <vertAlign val="subscript"/>
        <sz val="12"/>
        <color theme="1"/>
        <rFont val="Avenir LT Std 55 Roman"/>
        <family val="2"/>
      </rPr>
      <t>dos</t>
    </r>
  </si>
  <si>
    <r>
      <rPr>
        <sz val="12"/>
        <color theme="1"/>
        <rFont val="Calibri"/>
        <family val="2"/>
      </rPr>
      <t>Δ</t>
    </r>
    <r>
      <rPr>
        <sz val="12"/>
        <color theme="1"/>
        <rFont val="Avenir LT Std 55 Roman"/>
        <family val="2"/>
      </rPr>
      <t>N</t>
    </r>
    <r>
      <rPr>
        <vertAlign val="subscript"/>
        <sz val="12"/>
        <color theme="1"/>
        <rFont val="Avenir LT Std 55 Roman"/>
        <family val="2"/>
      </rPr>
      <t>2</t>
    </r>
    <r>
      <rPr>
        <sz val="12"/>
        <color theme="1"/>
        <rFont val="Avenir LT Std 55 Roman"/>
        <family val="2"/>
      </rPr>
      <t>O</t>
    </r>
    <r>
      <rPr>
        <vertAlign val="subscript"/>
        <sz val="12"/>
        <color theme="1"/>
        <rFont val="Avenir LT Std 55 Roman"/>
        <family val="2"/>
      </rPr>
      <t>fert</t>
    </r>
  </si>
  <si>
    <t>298</t>
  </si>
  <si>
    <r>
      <t>Cseq</t>
    </r>
    <r>
      <rPr>
        <vertAlign val="subscript"/>
        <sz val="11"/>
        <color theme="1"/>
        <rFont val="Avenir LT Std 55 Roman"/>
        <family val="2"/>
      </rPr>
      <t>T</t>
    </r>
  </si>
  <si>
    <r>
      <rPr>
        <sz val="12"/>
        <color theme="1"/>
        <rFont val="Calibri"/>
        <family val="2"/>
      </rPr>
      <t>GHG</t>
    </r>
    <r>
      <rPr>
        <vertAlign val="subscript"/>
        <sz val="12"/>
        <color theme="1"/>
        <rFont val="Avenir LT Std 55 Roman"/>
        <family val="2"/>
      </rPr>
      <t>CTW</t>
    </r>
  </si>
  <si>
    <t>Calculated</t>
  </si>
  <si>
    <t>Calculated greenhouse gas benefit from the project's restoration of wetlands and grasslands along the California coast, as measured in metric tons of carbon dioxide equivalents.</t>
  </si>
  <si>
    <t>The carbon loss rate due organic matter decomposition, as measured in metric tons of carbon dioxide.</t>
  </si>
  <si>
    <t>The change in methane emissions from restoration of coastal tidal wetlands, as measured in metric tons of methane.</t>
  </si>
  <si>
    <t>The change in nitrous oxide emissions from converting drained organic soil to wetland, as measured in tons of nitrous oxide.</t>
  </si>
  <si>
    <t>Calculated sequestered carbon in the soil from the project's restoration of coastal tidal wetlands, as measured in metric tons of carbon dioxide equivalents.</t>
  </si>
  <si>
    <t>Calculated sequestered carbon in the soil from the project's restoration of grasslands, as measured in metric tons of carbon dioxide equivalents.</t>
  </si>
  <si>
    <t>Multiplication of this value to an area measured in acres will calculate the same area measured in square centimeters.</t>
  </si>
  <si>
    <t>Multiplication of this value to a mass measured in metric tons will calculate the same mass measured in grams.</t>
  </si>
  <si>
    <t>The project area restored to coastal tidal wetland, as measured in acres.</t>
  </si>
  <si>
    <t>The amount of time the restored permanent coastal tidal wetland area has a salinity less than 18 parts per thousand each year, as measured in months.</t>
  </si>
  <si>
    <t>The amount of time the project area previously existed as a seasonal wetland with salinity less than 18 parts per thousand before conversion or restoration to permanent tidal wetland, as measured in months.  Assigned to be the smaller of FreqFresh and FreqWet.</t>
  </si>
  <si>
    <t>Division of this value to an amount of time measured in months will calculate the same amount of time measured in years.</t>
  </si>
  <si>
    <t>The emissions factor for nitrous oxide from drained organic soils, as measured in metric tons of nitrous oxide per hectare per year.</t>
  </si>
  <si>
    <t>The project area converted or restored from drained organic soil to wetland, as measured in acres.</t>
  </si>
  <si>
    <t xml:space="preserve">The amount of time the project area previously existed as a seasonal wetland before conversion or restoration to permanent tidal wetland, as measured in months. </t>
  </si>
  <si>
    <t>Multiplication of this value to an area measured in acres will determine the same area measured in square meters.</t>
  </si>
  <si>
    <t>The project area restored to improved grasslands, as measured in acres.  Improved grasslands have native grass species and are protected from erosion, physical disturbance and overgrazing.</t>
  </si>
  <si>
    <t xml:space="preserve">The carbon stock change factor for moderately degraded grasslands, equal to 0.95.  </t>
  </si>
  <si>
    <r>
      <t>The project area converted from moderately degraded grasslands, as measured in acres.  Moderately degraded grasslands are dominated by invasive grass species.  Assigned to be the difference between A</t>
    </r>
    <r>
      <rPr>
        <vertAlign val="subscript"/>
        <sz val="11"/>
        <color theme="1"/>
        <rFont val="Avenir LT Std 55 Roman"/>
        <family val="2"/>
      </rPr>
      <t>IG</t>
    </r>
    <r>
      <rPr>
        <sz val="11"/>
        <color theme="1"/>
        <rFont val="Avenir LT Std 55 Roman"/>
        <family val="2"/>
      </rPr>
      <t xml:space="preserve"> and A</t>
    </r>
    <r>
      <rPr>
        <vertAlign val="subscript"/>
        <sz val="11"/>
        <color theme="1"/>
        <rFont val="Avenir LT Std 55 Roman"/>
        <family val="2"/>
      </rPr>
      <t>F,G</t>
    </r>
    <r>
      <rPr>
        <sz val="11"/>
        <color theme="1"/>
        <rFont val="Avenir LT Std 55 Roman"/>
        <family val="2"/>
      </rPr>
      <t>.</t>
    </r>
  </si>
  <si>
    <t>The project area converted from farmland to grassland, as measured in acres.</t>
  </si>
  <si>
    <t>Calculated sequestered carbon in trees, as determine by i-Tree Planting</t>
  </si>
  <si>
    <t>The number of months a managed seasonal wetland is drained each year.</t>
  </si>
  <si>
    <t>4046.86</t>
  </si>
  <si>
    <t>see table</t>
  </si>
  <si>
    <t>Aquic Soil</t>
  </si>
  <si>
    <t>Wetland Soils</t>
  </si>
  <si>
    <t>Eqn. 8</t>
  </si>
  <si>
    <r>
      <t>MTCO</t>
    </r>
    <r>
      <rPr>
        <vertAlign val="subscript"/>
        <sz val="10"/>
        <color theme="1"/>
        <rFont val="Avenir LT Std 55 Roman"/>
        <family val="2"/>
      </rPr>
      <t>2</t>
    </r>
    <r>
      <rPr>
        <sz val="10"/>
        <color theme="1"/>
        <rFont val="Avenir LT Std 55 Roman"/>
        <family val="2"/>
      </rPr>
      <t>e/ MTN</t>
    </r>
    <r>
      <rPr>
        <vertAlign val="subscript"/>
        <sz val="10"/>
        <color theme="1"/>
        <rFont val="Avenir LT Std 55 Roman"/>
        <family val="2"/>
      </rPr>
      <t>2</t>
    </r>
    <r>
      <rPr>
        <sz val="10"/>
        <color theme="1"/>
        <rFont val="Avenir LT Std 55 Roman"/>
        <family val="2"/>
      </rPr>
      <t>O</t>
    </r>
  </si>
  <si>
    <t>MT/lb</t>
  </si>
  <si>
    <t>Calculated greenhouse gas benefit from the project's restoration of wetlands in the Sacramento-San Joaquin Delta, as measured in metric tons of carbon dioxide equivalence.</t>
  </si>
  <si>
    <t>The project area restored to Delta wetlands, as measured in acres.</t>
  </si>
  <si>
    <t>The area in the project converted from drained organic soil, as measured in acres.  Flooded areas no longer used as farmland in the project are not included in this area.</t>
  </si>
  <si>
    <t>2.60</t>
  </si>
  <si>
    <t>The number of months a managed seasonal wetland is drained each year. (12 for Delta Wetland Projects)</t>
  </si>
  <si>
    <r>
      <t>GHG</t>
    </r>
    <r>
      <rPr>
        <vertAlign val="subscript"/>
        <sz val="11"/>
        <color theme="1"/>
        <rFont val="Avenir LT Std 55 Roman"/>
        <family val="2"/>
      </rPr>
      <t>DW</t>
    </r>
  </si>
  <si>
    <r>
      <t>A</t>
    </r>
    <r>
      <rPr>
        <vertAlign val="subscript"/>
        <sz val="11"/>
        <color theme="1"/>
        <rFont val="Avenir LT Std 55 Roman"/>
        <family val="2"/>
      </rPr>
      <t>RDW</t>
    </r>
  </si>
  <si>
    <r>
      <rPr>
        <sz val="11"/>
        <color theme="1"/>
        <rFont val="Calibri"/>
        <family val="2"/>
      </rPr>
      <t>Δ</t>
    </r>
    <r>
      <rPr>
        <sz val="11"/>
        <color theme="1"/>
        <rFont val="Avenir LT Std 55 Roman"/>
        <family val="2"/>
      </rPr>
      <t>N</t>
    </r>
    <r>
      <rPr>
        <vertAlign val="subscript"/>
        <sz val="11"/>
        <color theme="1"/>
        <rFont val="Avenir LT Std 55 Roman"/>
        <family val="2"/>
      </rPr>
      <t>2</t>
    </r>
    <r>
      <rPr>
        <sz val="11"/>
        <color theme="1"/>
        <rFont val="Avenir LT Std 55 Roman"/>
        <family val="2"/>
      </rPr>
      <t>O</t>
    </r>
    <r>
      <rPr>
        <vertAlign val="subscript"/>
        <sz val="11"/>
        <color theme="1"/>
        <rFont val="Avenir LT Std 55 Roman"/>
        <family val="2"/>
      </rPr>
      <t>dos</t>
    </r>
  </si>
  <si>
    <r>
      <rPr>
        <sz val="11"/>
        <color theme="1"/>
        <rFont val="Calibri"/>
        <family val="2"/>
      </rPr>
      <t>Δ</t>
    </r>
    <r>
      <rPr>
        <sz val="11"/>
        <color theme="1"/>
        <rFont val="Avenir LT Std 55 Roman"/>
        <family val="2"/>
      </rPr>
      <t>N</t>
    </r>
    <r>
      <rPr>
        <vertAlign val="subscript"/>
        <sz val="11"/>
        <color theme="1"/>
        <rFont val="Avenir LT Std 55 Roman"/>
        <family val="2"/>
      </rPr>
      <t>2</t>
    </r>
    <r>
      <rPr>
        <sz val="11"/>
        <color theme="1"/>
        <rFont val="Avenir LT Std 55 Roman"/>
        <family val="2"/>
      </rPr>
      <t>O</t>
    </r>
    <r>
      <rPr>
        <vertAlign val="subscript"/>
        <sz val="11"/>
        <color theme="1"/>
        <rFont val="Avenir LT Std 55 Roman"/>
        <family val="2"/>
      </rPr>
      <t>fert</t>
    </r>
  </si>
  <si>
    <r>
      <t xml:space="preserve">The carbon loss rate due organic matter decomposition, as measured in grams of carbon per square centimeter per year.  
</t>
    </r>
    <r>
      <rPr>
        <i/>
        <sz val="11"/>
        <color theme="1"/>
        <rFont val="Avenir LT Std 55 Roman"/>
        <family val="2"/>
      </rPr>
      <t>Deverel, S.J., Leighton, D.A. (2010). Historic, Recent and Future Subsidence, Sacramento-San Joaquin Delta, California, USA. San Francisco Estuary and Watershed Science, 8(2).</t>
    </r>
  </si>
  <si>
    <r>
      <t xml:space="preserve">The combined carbon dioxide and methane emissions for restored Delta wetlands, as measured in metric tons of carbon dioxide equivalents per hectare per year. 
</t>
    </r>
    <r>
      <rPr>
        <i/>
        <sz val="11"/>
        <color theme="1"/>
        <rFont val="Avenir LT Std 55 Roman"/>
        <family val="2"/>
      </rPr>
      <t>Deverel, S., Jacobs, P., Lucero, C., Dore, S. Kelsey, T.R. (2017). Implications for Greenhouse Gas Emission Reductions and Economics of a Changing Agricultural Mosaic in the Sacramento-San Joaquin Delta. San Francisco Estuary &amp; Watershed Science, 15(3).</t>
    </r>
  </si>
  <si>
    <r>
      <t xml:space="preserve">Emission factor for Nitrous Oxide (as nitrogen) from cropped organic soils, as measured in metric tons of nitrous oxide as nitrogen per hectare per year. 
</t>
    </r>
    <r>
      <rPr>
        <i/>
        <sz val="11"/>
        <color theme="1"/>
        <rFont val="Avenir LT Std 55 Roman"/>
        <family val="2"/>
      </rPr>
      <t xml:space="preserve">United States Department of Agriculture. (2014) Quantifying Greenhouse Gas Fluxes in Agriculture and Forestry: Methods for Entity-Scale Inventory. Washington, D.C.: Eve, M., Pape, D., Flugge, M., Steele, R., Man, D., Riley-Gilbert and M., Biggar, S. (eds). </t>
    </r>
  </si>
  <si>
    <r>
      <t xml:space="preserve">The emissions factor for Nitrous Oxide (as nitrogen) from nitrogen fertilizer application, as measured in pounds of nitrous oxide as nitrogen per lb of nitrogen applied. 
</t>
    </r>
    <r>
      <rPr>
        <i/>
        <sz val="11"/>
        <color theme="1"/>
        <rFont val="Avenir LT Std 55 Roman"/>
        <family val="2"/>
      </rPr>
      <t>Intergovernmental Panel on Climate Change (2006) 2006 IPCC Guidelines for National Greenhouse Gas Inventories Volume 4: Agriculture, Forestry and Other Land Use. Hayama, Japan: Eggleston H.S., Buendia L., Miwa K., Ngara T. and Tanabe K. (eds).</t>
    </r>
  </si>
  <si>
    <r>
      <t xml:space="preserve">The emissions factor for Nitrous Oxide (as nitrogen) from nitrogen fertilizer application, as measured in pounds of nitrous oxide as nitrogen per lb of nitrogen applied.
</t>
    </r>
    <r>
      <rPr>
        <i/>
        <sz val="11"/>
        <color theme="1"/>
        <rFont val="Avenir LT Std 55 Roman"/>
        <family val="2"/>
      </rPr>
      <t>Intergovernmental Panel on Climate Change (2006) 2006 IPCC Guidelines for National Greenhouse Gas Inventories Volume 4: Agriculture, Forestry and Other Land Use. Hayama, Japan: Eggleston H.S., Buendia L., Miwa K., Ngara T. and Tanabe K. (eds).</t>
    </r>
  </si>
  <si>
    <r>
      <t xml:space="preserve">The reference carbon stock assigned to the IPCC soil type of the grassland soil.
</t>
    </r>
    <r>
      <rPr>
        <i/>
        <sz val="11"/>
        <color theme="1"/>
        <rFont val="Avenir LT Std 55 Roman"/>
        <family val="2"/>
      </rPr>
      <t xml:space="preserve">United States Department of Agriculture. (2014) Quantifying Greenhouse Gas Fluxes in Agriculture and Forestry: Methods for Entity-Scale Inventory. Washington, D.C.: Eve, M., Pape, D., Flugge, M., Steele, R., Man, D., Riley-Gilbert and M., Biggar, S. (eds). </t>
    </r>
  </si>
  <si>
    <r>
      <t xml:space="preserve">The reference carbon stock assigned to the IPCC soil type of the grassland soil. 
</t>
    </r>
    <r>
      <rPr>
        <i/>
        <sz val="11"/>
        <color theme="1"/>
        <rFont val="Avenir LT Std 55 Roman"/>
        <family val="2"/>
      </rPr>
      <t xml:space="preserve">United States Department of Agriculture. (2014) Quantifying Greenhouse Gas Fluxes in Agriculture and Forestry: Methods for Entity-Scale Inventory. Washington, D.C.: Eve, M., Pape, D., Flugge, M., Steele, R., Man, D., Riley-Gilbert and M., Biggar, S. (eds). </t>
    </r>
  </si>
  <si>
    <r>
      <t xml:space="preserve">The rate of carbon sequestration in coastal tidal wetland soils, as measured in grams of carbon per square meter per year. 
</t>
    </r>
    <r>
      <rPr>
        <i/>
        <sz val="11"/>
        <color theme="1"/>
        <rFont val="Avenir LT Std 55 Roman"/>
        <family val="2"/>
      </rPr>
      <t xml:space="preserve">Callaway, J. C., Borgnis, E. L., Turner, R. E., Milan, C. S. (2012) Carbon Sequestration and Sediment Accretion in San Francisco Bay Tidal Wetlands. Estuaries and Coasts, 35, 1163-1181. </t>
    </r>
  </si>
  <si>
    <r>
      <t xml:space="preserve">The emissions factor for methane in wetlands when the wetland salinity is less than 18 parts per thousand, as measured in kilograms of methane per hectare per year. 
</t>
    </r>
    <r>
      <rPr>
        <i/>
        <sz val="11"/>
        <color theme="1"/>
        <rFont val="Avenir LT Std 55 Roman"/>
        <family val="2"/>
      </rPr>
      <t>Intergovernmental Panel on Climate Change. (2006) 2006 IPCC Guidelines for National Greenhouse Gas Inventories, Volume 4: Agriculture, Forestry and Other Land Use. IGES, Japan: Eggleston H.S., Buendia L., Miwa K., Ngara T. and Tanabe K. (eds).</t>
    </r>
  </si>
  <si>
    <t>Eqn. 9</t>
  </si>
  <si>
    <r>
      <t>g</t>
    </r>
    <r>
      <rPr>
        <sz val="8"/>
        <color theme="1"/>
        <rFont val="Avenir LT Std 55 Roman"/>
        <family val="2"/>
      </rPr>
      <t>C</t>
    </r>
    <r>
      <rPr>
        <sz val="10"/>
        <color theme="1"/>
        <rFont val="Avenir LT Std 55 Roman"/>
        <family val="2"/>
      </rPr>
      <t xml:space="preserve"> 
/m</t>
    </r>
    <r>
      <rPr>
        <vertAlign val="superscript"/>
        <sz val="10"/>
        <color theme="1"/>
        <rFont val="Avenir LT Std 55 Roman"/>
        <family val="2"/>
      </rPr>
      <t>2</t>
    </r>
    <r>
      <rPr>
        <sz val="10"/>
        <color theme="1"/>
        <rFont val="Avenir LT Std 55 Roman"/>
        <family val="2"/>
      </rPr>
      <t>-yr</t>
    </r>
  </si>
  <si>
    <r>
      <t>m</t>
    </r>
    <r>
      <rPr>
        <vertAlign val="superscript"/>
        <sz val="10"/>
        <color theme="1"/>
        <rFont val="Avenir LT Std 55 Roman"/>
        <family val="2"/>
      </rPr>
      <t>2</t>
    </r>
    <r>
      <rPr>
        <sz val="10"/>
        <color theme="1"/>
        <rFont val="Avenir LT Std 55 Roman"/>
        <family val="2"/>
      </rPr>
      <t>/acre</t>
    </r>
  </si>
  <si>
    <r>
      <t>MT</t>
    </r>
    <r>
      <rPr>
        <sz val="8"/>
        <color theme="1"/>
        <rFont val="Avenir LT Std 55 Roman"/>
        <family val="2"/>
      </rPr>
      <t>CO</t>
    </r>
    <r>
      <rPr>
        <vertAlign val="subscript"/>
        <sz val="8"/>
        <color theme="1"/>
        <rFont val="Avenir LT Std 55 Roman"/>
        <family val="2"/>
      </rPr>
      <t>2</t>
    </r>
    <r>
      <rPr>
        <sz val="10"/>
        <color theme="1"/>
        <rFont val="Avenir LT Std 55 Roman"/>
        <family val="2"/>
      </rPr>
      <t>e/
MT</t>
    </r>
    <r>
      <rPr>
        <sz val="8"/>
        <color theme="1"/>
        <rFont val="Avenir LT Std 55 Roman"/>
        <family val="2"/>
      </rPr>
      <t>C</t>
    </r>
  </si>
  <si>
    <t>Years</t>
  </si>
  <si>
    <t>Calculated greenhouse gas benefit from the project's restoration of mountain meadows, as measured in metric tons of carbon dioxide.</t>
  </si>
  <si>
    <t>The project area restored to mountain meadows, as measured in acres.</t>
  </si>
  <si>
    <t>Division of this value to a mass measured in grams will determine the same mass measured in metric tons.</t>
  </si>
  <si>
    <t>Multiplication of this value to a mass of carbon dioxide measured in metric tons of carbon will determine the same mass of carbon dioxide measured in metric tons of carbon dioxide.</t>
  </si>
  <si>
    <r>
      <t>GHG</t>
    </r>
    <r>
      <rPr>
        <vertAlign val="subscript"/>
        <sz val="11"/>
        <color theme="1"/>
        <rFont val="Avenir LT Std 55 Roman"/>
        <family val="2"/>
      </rPr>
      <t>MM</t>
    </r>
  </si>
  <si>
    <t>95.40</t>
  </si>
  <si>
    <r>
      <t>A</t>
    </r>
    <r>
      <rPr>
        <vertAlign val="subscript"/>
        <sz val="11"/>
        <color theme="1"/>
        <rFont val="Avenir LT Std 55 Roman"/>
        <family val="2"/>
      </rPr>
      <t>MM</t>
    </r>
  </si>
  <si>
    <t>4,046.86</t>
  </si>
  <si>
    <r>
      <t xml:space="preserve">The rate of carbon sequestration in restored mountain meadows, as measured in grams of sequestered carbon per square meter per year.
</t>
    </r>
    <r>
      <rPr>
        <i/>
        <sz val="11"/>
        <color theme="1"/>
        <rFont val="Avenir LT Std 55 Roman"/>
        <family val="2"/>
      </rPr>
      <t xml:space="preserve">Drexler, J.Z., Fuller, C.C., Orlando, J., Moore, P.E. (2015) Recent rates of carbon accumulation in montane fens of Yosemite National Park, California, U.S.A. Arctic, Antarctic, and Alpine Research, 47(4) 657-669. </t>
    </r>
  </si>
  <si>
    <t>Eqn. 10</t>
  </si>
  <si>
    <t>Eqn. 11</t>
  </si>
  <si>
    <t>Eqn. 12</t>
  </si>
  <si>
    <r>
      <t>GHG</t>
    </r>
    <r>
      <rPr>
        <vertAlign val="subscript"/>
        <sz val="11"/>
        <color theme="1"/>
        <rFont val="Avenir LT Std 55 Roman"/>
        <family val="2"/>
      </rPr>
      <t>SIW</t>
    </r>
  </si>
  <si>
    <r>
      <t>Cseq</t>
    </r>
    <r>
      <rPr>
        <vertAlign val="subscript"/>
        <sz val="11"/>
        <color theme="1"/>
        <rFont val="Avenir LT Std 55 Roman"/>
        <family val="2"/>
      </rPr>
      <t>SIW</t>
    </r>
  </si>
  <si>
    <r>
      <rPr>
        <sz val="11"/>
        <color theme="1"/>
        <rFont val="Calibri"/>
        <family val="2"/>
      </rPr>
      <t>ΔCH</t>
    </r>
    <r>
      <rPr>
        <vertAlign val="subscript"/>
        <sz val="9.35"/>
        <color theme="1"/>
        <rFont val="Avenir LT Std 55 Roman"/>
        <family val="2"/>
      </rPr>
      <t>4,SIW</t>
    </r>
  </si>
  <si>
    <t>CSwet</t>
  </si>
  <si>
    <r>
      <t>F</t>
    </r>
    <r>
      <rPr>
        <vertAlign val="subscript"/>
        <sz val="11"/>
        <color theme="1"/>
        <rFont val="Avenir LT Std 55 Roman"/>
        <family val="2"/>
      </rPr>
      <t>LU,G</t>
    </r>
  </si>
  <si>
    <r>
      <t>F</t>
    </r>
    <r>
      <rPr>
        <vertAlign val="subscript"/>
        <sz val="11"/>
        <color theme="1"/>
        <rFont val="Avenir LT Std 55 Roman"/>
        <family val="2"/>
      </rPr>
      <t>GM,I</t>
    </r>
  </si>
  <si>
    <r>
      <t>F</t>
    </r>
    <r>
      <rPr>
        <vertAlign val="subscript"/>
        <sz val="11"/>
        <color theme="1"/>
        <rFont val="Avenir LT Std 55 Roman"/>
        <family val="2"/>
      </rPr>
      <t>GM,H</t>
    </r>
  </si>
  <si>
    <r>
      <t>A</t>
    </r>
    <r>
      <rPr>
        <vertAlign val="subscript"/>
        <sz val="11"/>
        <color theme="1"/>
        <rFont val="Avenir LT Std 55 Roman"/>
        <family val="2"/>
      </rPr>
      <t>SIW</t>
    </r>
  </si>
  <si>
    <t>CSref</t>
  </si>
  <si>
    <r>
      <t>A</t>
    </r>
    <r>
      <rPr>
        <vertAlign val="subscript"/>
        <sz val="11"/>
        <color theme="1"/>
        <rFont val="Avenir LT Std 55 Roman"/>
        <family val="2"/>
      </rPr>
      <t>IG</t>
    </r>
  </si>
  <si>
    <r>
      <t>F</t>
    </r>
    <r>
      <rPr>
        <vertAlign val="subscript"/>
        <sz val="11"/>
        <color theme="1"/>
        <rFont val="Avenir LT Std 55 Roman"/>
        <family val="2"/>
      </rPr>
      <t>GM,MD</t>
    </r>
  </si>
  <si>
    <r>
      <t>F</t>
    </r>
    <r>
      <rPr>
        <vertAlign val="subscript"/>
        <sz val="11"/>
        <color theme="1"/>
        <rFont val="Avenir LT Std 55 Roman"/>
        <family val="2"/>
      </rPr>
      <t>GM,SD</t>
    </r>
  </si>
  <si>
    <r>
      <t>A</t>
    </r>
    <r>
      <rPr>
        <vertAlign val="subscript"/>
        <sz val="11"/>
        <color theme="1"/>
        <rFont val="Avenir LT Std 55 Roman"/>
        <family val="2"/>
      </rPr>
      <t>MDG</t>
    </r>
  </si>
  <si>
    <r>
      <t>F</t>
    </r>
    <r>
      <rPr>
        <vertAlign val="subscript"/>
        <sz val="11"/>
        <color theme="1"/>
        <rFont val="Avenir LT Std 55 Roman"/>
        <family val="2"/>
      </rPr>
      <t>CM,FT</t>
    </r>
  </si>
  <si>
    <r>
      <t>A</t>
    </r>
    <r>
      <rPr>
        <vertAlign val="subscript"/>
        <sz val="11"/>
        <color theme="1"/>
        <rFont val="Avenir LT Std 55 Roman"/>
        <family val="2"/>
      </rPr>
      <t>farm</t>
    </r>
  </si>
  <si>
    <t>126</t>
  </si>
  <si>
    <r>
      <rPr>
        <sz val="11"/>
        <color theme="1"/>
        <rFont val="Calibri"/>
        <family val="2"/>
      </rPr>
      <t>ΔCH</t>
    </r>
    <r>
      <rPr>
        <vertAlign val="subscript"/>
        <sz val="11"/>
        <color theme="1"/>
        <rFont val="Avenir LT Std 55 Roman"/>
        <family val="2"/>
      </rPr>
      <t>4,SIW</t>
    </r>
  </si>
  <si>
    <r>
      <t xml:space="preserve">The emissions factor for methane from intermittent wetlands on mineral soils, as measured in kilograms of methane per hectare per year. 
</t>
    </r>
    <r>
      <rPr>
        <i/>
        <sz val="11"/>
        <color theme="1"/>
        <rFont val="Avenir LT Std 55 Roman"/>
        <family val="2"/>
      </rPr>
      <t xml:space="preserve">Intergovernmental Panel on Climate Change (2014) 2013 Supplement to the 2006 IPCC Guidelines for National Greenhouse Gas Inventories: Wetlands, Hiraishi, T., Krug, T., Tanabe, K., Srivastava, N., Baasansuren, J., Fukuda, M. and Troxler, T.G. (eds). </t>
    </r>
  </si>
  <si>
    <t>2,204.62</t>
  </si>
  <si>
    <r>
      <t>A</t>
    </r>
    <r>
      <rPr>
        <vertAlign val="subscript"/>
        <sz val="11"/>
        <color theme="1"/>
        <rFont val="Avenir LT Std 55 Roman"/>
        <family val="2"/>
      </rPr>
      <t>SDG</t>
    </r>
  </si>
  <si>
    <t>Eqn. 13</t>
  </si>
  <si>
    <r>
      <t>MT</t>
    </r>
    <r>
      <rPr>
        <sz val="8"/>
        <color theme="1"/>
        <rFont val="Avenir LT Std 55 Roman"/>
        <family val="2"/>
      </rPr>
      <t>CO</t>
    </r>
    <r>
      <rPr>
        <vertAlign val="subscript"/>
        <sz val="8"/>
        <color theme="1"/>
        <rFont val="Avenir LT Std 55 Roman"/>
        <family val="2"/>
      </rPr>
      <t>2</t>
    </r>
    <r>
      <rPr>
        <sz val="8"/>
        <color theme="1"/>
        <rFont val="Avenir LT Std 55 Roman"/>
        <family val="2"/>
      </rPr>
      <t>e</t>
    </r>
    <r>
      <rPr>
        <sz val="10"/>
        <color theme="1"/>
        <rFont val="Avenir LT Std 55 Roman"/>
        <family val="2"/>
      </rPr>
      <t>/ MT</t>
    </r>
    <r>
      <rPr>
        <sz val="8"/>
        <color theme="1"/>
        <rFont val="Avenir LT Std 55 Roman"/>
        <family val="2"/>
      </rPr>
      <t>N</t>
    </r>
    <r>
      <rPr>
        <vertAlign val="subscript"/>
        <sz val="8"/>
        <color theme="1"/>
        <rFont val="Avenir LT Std 55 Roman"/>
        <family val="2"/>
      </rPr>
      <t>2</t>
    </r>
    <r>
      <rPr>
        <sz val="8"/>
        <color theme="1"/>
        <rFont val="Avenir LT Std 55 Roman"/>
        <family val="2"/>
      </rPr>
      <t>O</t>
    </r>
  </si>
  <si>
    <t>Eqn. 14</t>
  </si>
  <si>
    <t>The project lifetime, as measured in years. (See agency guidelines)</t>
  </si>
  <si>
    <r>
      <t>GHG</t>
    </r>
    <r>
      <rPr>
        <vertAlign val="subscript"/>
        <sz val="11"/>
        <color theme="1"/>
        <rFont val="Avenir LT Std 55 Roman"/>
        <family val="2"/>
      </rPr>
      <t>G/W</t>
    </r>
  </si>
  <si>
    <r>
      <t>Cseq</t>
    </r>
    <r>
      <rPr>
        <vertAlign val="subscript"/>
        <sz val="11"/>
        <color theme="1"/>
        <rFont val="Avenir LT Std 55 Roman"/>
        <family val="2"/>
      </rPr>
      <t>G/W</t>
    </r>
  </si>
  <si>
    <r>
      <t>F</t>
    </r>
    <r>
      <rPr>
        <vertAlign val="subscript"/>
        <sz val="11"/>
        <color theme="1"/>
        <rFont val="Avenir LT Std 55 Roman"/>
        <family val="2"/>
      </rPr>
      <t>LU,G/W</t>
    </r>
  </si>
  <si>
    <r>
      <t>A</t>
    </r>
    <r>
      <rPr>
        <vertAlign val="subscript"/>
        <sz val="11"/>
        <color theme="1"/>
        <rFont val="Avenir LT Std 55 Roman"/>
        <family val="2"/>
      </rPr>
      <t>Grass</t>
    </r>
  </si>
  <si>
    <r>
      <t>A</t>
    </r>
    <r>
      <rPr>
        <vertAlign val="subscript"/>
        <sz val="11"/>
        <color theme="1"/>
        <rFont val="Avenir LT Std 55 Roman"/>
        <family val="2"/>
      </rPr>
      <t>Wood</t>
    </r>
  </si>
  <si>
    <r>
      <t>F</t>
    </r>
    <r>
      <rPr>
        <vertAlign val="subscript"/>
        <sz val="11"/>
        <color theme="1"/>
        <rFont val="Avenir LT Std 55 Roman"/>
        <family val="2"/>
      </rPr>
      <t>LU,SA</t>
    </r>
  </si>
  <si>
    <r>
      <t>A</t>
    </r>
    <r>
      <rPr>
        <vertAlign val="subscript"/>
        <sz val="11"/>
        <color theme="1"/>
        <rFont val="Avenir LT Std 55 Roman"/>
        <family val="2"/>
      </rPr>
      <t>SA</t>
    </r>
  </si>
  <si>
    <t>Calculated secquestered carbon in grassland and woodland soils.</t>
  </si>
  <si>
    <t>The carbon stock change factor for grasslands and woodlands in warm temperate dry climates, equal to 1.37.</t>
  </si>
  <si>
    <t>The carbon stock change factor for set aside lands in warm temperate dry climates, equal to 1.26.</t>
  </si>
  <si>
    <t>The project area restored to grasslands, as measured in acres.</t>
  </si>
  <si>
    <t>The project area restored to woodlands, as measured in acres.</t>
  </si>
  <si>
    <t>The project area converted from set aside land, as measured in acres.</t>
  </si>
  <si>
    <t>Estimated Annual Nitrogen Application Rate</t>
  </si>
  <si>
    <r>
      <t>MTCO</t>
    </r>
    <r>
      <rPr>
        <b/>
        <vertAlign val="subscript"/>
        <sz val="12"/>
        <color theme="1"/>
        <rFont val="Avenir LT Std 55 Roman"/>
        <family val="2"/>
      </rPr>
      <t>2</t>
    </r>
    <r>
      <rPr>
        <b/>
        <sz val="12"/>
        <color theme="1"/>
        <rFont val="Avenir LT Std 55 Roman"/>
        <family val="2"/>
      </rPr>
      <t>e</t>
    </r>
  </si>
  <si>
    <r>
      <t>lb NO</t>
    </r>
    <r>
      <rPr>
        <b/>
        <vertAlign val="subscript"/>
        <sz val="12"/>
        <color theme="1"/>
        <rFont val="Avenir LT Std 55 Roman"/>
        <family val="2"/>
      </rPr>
      <t>2</t>
    </r>
  </si>
  <si>
    <r>
      <t>lb PM</t>
    </r>
    <r>
      <rPr>
        <b/>
        <vertAlign val="subscript"/>
        <sz val="12"/>
        <color theme="1"/>
        <rFont val="Avenir LT Std 55 Roman"/>
        <family val="2"/>
      </rPr>
      <t>2.5</t>
    </r>
  </si>
  <si>
    <r>
      <t>MTCO</t>
    </r>
    <r>
      <rPr>
        <vertAlign val="subscript"/>
        <sz val="11"/>
        <color theme="1"/>
        <rFont val="Avenir LT Std 55 Roman"/>
        <family val="2"/>
      </rPr>
      <t>2</t>
    </r>
    <r>
      <rPr>
        <sz val="11"/>
        <color theme="1"/>
        <rFont val="Avenir LT Std 55 Roman"/>
        <family val="2"/>
      </rPr>
      <t>e</t>
    </r>
  </si>
  <si>
    <r>
      <t>gC/ 
cm</t>
    </r>
    <r>
      <rPr>
        <vertAlign val="superscript"/>
        <sz val="11"/>
        <color theme="1"/>
        <rFont val="Avenir LT Std 55 Roman"/>
        <family val="2"/>
      </rPr>
      <t>2</t>
    </r>
    <r>
      <rPr>
        <sz val="11"/>
        <color theme="1"/>
        <rFont val="Avenir LT Std 55 Roman"/>
        <family val="2"/>
      </rPr>
      <t>-yr</t>
    </r>
  </si>
  <si>
    <r>
      <t>cm</t>
    </r>
    <r>
      <rPr>
        <vertAlign val="superscript"/>
        <sz val="11"/>
        <color theme="1"/>
        <rFont val="Avenir LT Std 55 Roman"/>
        <family val="2"/>
      </rPr>
      <t>2</t>
    </r>
    <r>
      <rPr>
        <sz val="11"/>
        <color theme="1"/>
        <rFont val="Avenir LT Std 55 Roman"/>
        <family val="2"/>
      </rPr>
      <t>/acre</t>
    </r>
  </si>
  <si>
    <r>
      <t>MTCO</t>
    </r>
    <r>
      <rPr>
        <vertAlign val="subscript"/>
        <sz val="11"/>
        <color theme="1"/>
        <rFont val="Avenir LT Std 55 Roman"/>
        <family val="2"/>
      </rPr>
      <t>2</t>
    </r>
    <r>
      <rPr>
        <sz val="11"/>
        <color theme="1"/>
        <rFont val="Avenir LT Std 55 Roman"/>
        <family val="2"/>
      </rPr>
      <t>e
/MTC</t>
    </r>
  </si>
  <si>
    <r>
      <t>MTCO</t>
    </r>
    <r>
      <rPr>
        <vertAlign val="subscript"/>
        <sz val="11"/>
        <color theme="1"/>
        <rFont val="Avenir LT Std 55 Roman"/>
        <family val="2"/>
      </rPr>
      <t>2</t>
    </r>
    <r>
      <rPr>
        <sz val="11"/>
        <color theme="1"/>
        <rFont val="Avenir LT Std 55 Roman"/>
        <family val="2"/>
      </rPr>
      <t>e
/ha-yr</t>
    </r>
  </si>
  <si>
    <r>
      <t>MTN</t>
    </r>
    <r>
      <rPr>
        <vertAlign val="subscript"/>
        <sz val="11"/>
        <color theme="1"/>
        <rFont val="Avenir LT Std 55 Roman"/>
        <family val="2"/>
      </rPr>
      <t>2</t>
    </r>
    <r>
      <rPr>
        <sz val="11"/>
        <color theme="1"/>
        <rFont val="Avenir LT Std 55 Roman"/>
        <family val="2"/>
      </rPr>
      <t>O
/yr</t>
    </r>
  </si>
  <si>
    <r>
      <t>MTCO</t>
    </r>
    <r>
      <rPr>
        <vertAlign val="subscript"/>
        <sz val="11"/>
        <color theme="1"/>
        <rFont val="Avenir LT Std 55 Roman"/>
        <family val="2"/>
      </rPr>
      <t>2</t>
    </r>
    <r>
      <rPr>
        <sz val="11"/>
        <color theme="1"/>
        <rFont val="Avenir LT Std 55 Roman"/>
        <family val="2"/>
      </rPr>
      <t>e/ MTN</t>
    </r>
    <r>
      <rPr>
        <vertAlign val="subscript"/>
        <sz val="11"/>
        <color theme="1"/>
        <rFont val="Avenir LT Std 55 Roman"/>
        <family val="2"/>
      </rPr>
      <t>2</t>
    </r>
    <r>
      <rPr>
        <sz val="11"/>
        <color theme="1"/>
        <rFont val="Avenir LT Std 55 Roman"/>
        <family val="2"/>
      </rPr>
      <t>O</t>
    </r>
  </si>
  <si>
    <r>
      <t>MTN</t>
    </r>
    <r>
      <rPr>
        <vertAlign val="subscript"/>
        <sz val="11"/>
        <color theme="1"/>
        <rFont val="Avenir LT Std 55 Roman"/>
        <family val="2"/>
      </rPr>
      <t>2</t>
    </r>
    <r>
      <rPr>
        <sz val="11"/>
        <color theme="1"/>
        <rFont val="Avenir LT Std 55 Roman"/>
        <family val="2"/>
      </rPr>
      <t>O/yr</t>
    </r>
  </si>
  <si>
    <r>
      <t>MTN</t>
    </r>
    <r>
      <rPr>
        <vertAlign val="subscript"/>
        <sz val="11"/>
        <color theme="1"/>
        <rFont val="Avenir LT Std 55 Roman"/>
        <family val="2"/>
      </rPr>
      <t>2</t>
    </r>
    <r>
      <rPr>
        <sz val="11"/>
        <color theme="1"/>
        <rFont val="Avenir LT Std 55 Roman"/>
        <family val="2"/>
      </rPr>
      <t>O-N
/ha-yr</t>
    </r>
  </si>
  <si>
    <r>
      <t>MTN</t>
    </r>
    <r>
      <rPr>
        <vertAlign val="subscript"/>
        <sz val="11"/>
        <color theme="1"/>
        <rFont val="Avenir LT Std 55 Roman"/>
        <family val="2"/>
      </rPr>
      <t>2</t>
    </r>
    <r>
      <rPr>
        <sz val="11"/>
        <color theme="1"/>
        <rFont val="Avenir LT Std 55 Roman"/>
        <family val="2"/>
      </rPr>
      <t>O/
MTN</t>
    </r>
  </si>
  <si>
    <r>
      <t>lbN</t>
    </r>
    <r>
      <rPr>
        <vertAlign val="subscript"/>
        <sz val="11"/>
        <color theme="1"/>
        <rFont val="Avenir LT Std 55 Roman"/>
        <family val="2"/>
      </rPr>
      <t>2</t>
    </r>
    <r>
      <rPr>
        <sz val="11"/>
        <color theme="1"/>
        <rFont val="Avenir LT Std 55 Roman"/>
        <family val="2"/>
      </rPr>
      <t>O-N/
lbN</t>
    </r>
  </si>
  <si>
    <t>lbN/
acre-year</t>
  </si>
  <si>
    <t>List of Terms</t>
  </si>
  <si>
    <t>Wetlands</t>
  </si>
  <si>
    <t>CARP</t>
  </si>
  <si>
    <t>Crop</t>
  </si>
  <si>
    <t>Almond</t>
  </si>
  <si>
    <t>Avocado</t>
  </si>
  <si>
    <t>Beans, dry</t>
  </si>
  <si>
    <t>Broccoli</t>
  </si>
  <si>
    <t>Carrots</t>
  </si>
  <si>
    <t>Cauliflower</t>
  </si>
  <si>
    <t>Celery</t>
  </si>
  <si>
    <t>Corn, sweet</t>
  </si>
  <si>
    <t>Cotton</t>
  </si>
  <si>
    <t>Grapes, raisin</t>
  </si>
  <si>
    <t>Grapes, table</t>
  </si>
  <si>
    <t>Grapes, wine</t>
  </si>
  <si>
    <t>Lemons</t>
  </si>
  <si>
    <t>Lettuce</t>
  </si>
  <si>
    <t>Melons, cantaloupe</t>
  </si>
  <si>
    <t>Melons, watermelon</t>
  </si>
  <si>
    <t>Nectarines</t>
  </si>
  <si>
    <t>Onions</t>
  </si>
  <si>
    <t>Oranges</t>
  </si>
  <si>
    <t>Peaches, cling</t>
  </si>
  <si>
    <t>Peaches, free</t>
  </si>
  <si>
    <t>Peppers, bell</t>
  </si>
  <si>
    <t>Peppers, chili</t>
  </si>
  <si>
    <t>Pistachio</t>
  </si>
  <si>
    <t>Plums, dried</t>
  </si>
  <si>
    <t>Plums, fresh</t>
  </si>
  <si>
    <t>Potato</t>
  </si>
  <si>
    <t>Rice</t>
  </si>
  <si>
    <t>Stawberry</t>
  </si>
  <si>
    <t>Tomatoes, fresh market</t>
  </si>
  <si>
    <t>Tomatoes, processing</t>
  </si>
  <si>
    <t>Walnut</t>
  </si>
  <si>
    <t>Wheat</t>
  </si>
  <si>
    <t>Nitrogen Application Rate</t>
  </si>
  <si>
    <r>
      <rPr>
        <sz val="11"/>
        <rFont val="Avenir LT Std 55 Roman"/>
        <family val="2"/>
      </rPr>
      <t>Rosenstock, Todd S., et.al. (2013) "Nitrogen fertilizer use in California: Assessing the data, trends and away forward." California Agriculture, 67(1): 68-79. 
Accessed at</t>
    </r>
    <r>
      <rPr>
        <u/>
        <sz val="11"/>
        <color theme="10"/>
        <rFont val="Avenir LT Std 55 Roman"/>
        <family val="2"/>
      </rPr>
      <t xml:space="preserve"> http://calag.ucanr.edu/Archive/?article=ca.E.v067n01p68</t>
    </r>
    <r>
      <rPr>
        <sz val="11"/>
        <rFont val="Avenir LT Std 55 Roman"/>
        <family val="2"/>
      </rPr>
      <t>.</t>
    </r>
  </si>
  <si>
    <t>HIDE</t>
  </si>
  <si>
    <t>Land Restored (acres)</t>
  </si>
  <si>
    <t>Per Additional California Climate Investments Funds</t>
  </si>
  <si>
    <t>Co-benefits and 
Key Variables</t>
  </si>
  <si>
    <t>Wildlife Conservation Board</t>
  </si>
  <si>
    <t>California Department of Fish and Wildlife</t>
  </si>
  <si>
    <t>Metric tons of carbon dioxide equivalents</t>
  </si>
  <si>
    <t>Nitrogen Oxides</t>
  </si>
  <si>
    <t>lb</t>
  </si>
  <si>
    <t>pound</t>
  </si>
  <si>
    <r>
      <t>NO</t>
    </r>
    <r>
      <rPr>
        <vertAlign val="subscript"/>
        <sz val="12"/>
        <color theme="1"/>
        <rFont val="Avenir LT Std 55 Roman"/>
        <family val="2"/>
      </rPr>
      <t>x</t>
    </r>
  </si>
  <si>
    <t>GGRF</t>
  </si>
  <si>
    <t>Greenhouse Gas Reduction Fund</t>
  </si>
  <si>
    <t>CCI</t>
  </si>
  <si>
    <t>California Climate Investments</t>
  </si>
  <si>
    <r>
      <t>PM</t>
    </r>
    <r>
      <rPr>
        <vertAlign val="subscript"/>
        <sz val="12"/>
        <color theme="1"/>
        <rFont val="Avenir LT Std 55 Roman"/>
        <family val="2"/>
      </rPr>
      <t>2.5</t>
    </r>
  </si>
  <si>
    <t>Particulate Matter smaller than 2.5 microns</t>
  </si>
  <si>
    <r>
      <t xml:space="preserve">Project description, including excerpts or specific references to the location in the main </t>
    </r>
    <r>
      <rPr>
        <sz val="12"/>
        <color rgb="FF000000"/>
        <rFont val="Avenir LT Std 55 Roman"/>
        <family val="2"/>
      </rPr>
      <t>application of the project information necessary to complete the applicable portions of this Benefits Calculator Tool.</t>
    </r>
  </si>
  <si>
    <r>
      <t xml:space="preserve">Populated </t>
    </r>
    <r>
      <rPr>
        <sz val="12"/>
        <color rgb="FF000000"/>
        <rFont val="Avenir LT Std 55 Roman"/>
        <family val="2"/>
      </rPr>
      <t>Benefits Calculator Tool (this file) (in [.xls/.xlsm]) with worksheets applicable to the project populated (ensure that all fields in the GHG Summary and Co-benefits Summary tabs are populated).</t>
    </r>
  </si>
  <si>
    <t>Quantifiable Project Characteristic</t>
  </si>
  <si>
    <t>The expected documentation includes, but is not limited to, that described in the table below.</t>
  </si>
  <si>
    <t>Agency</t>
  </si>
  <si>
    <t>Subprogram</t>
  </si>
  <si>
    <t>Project ID</t>
  </si>
  <si>
    <t>Project Name</t>
  </si>
  <si>
    <t>Project Description</t>
  </si>
  <si>
    <t>Project Address</t>
  </si>
  <si>
    <t>Project Latitude and Longitude (degrees)</t>
  </si>
  <si>
    <t>Expenditure Record Date</t>
  </si>
  <si>
    <t>Date Selected</t>
  </si>
  <si>
    <t>Date Awarded</t>
  </si>
  <si>
    <t>Project Completion Date</t>
  </si>
  <si>
    <t>Date Operational</t>
  </si>
  <si>
    <t>Total Project Cost ($)</t>
  </si>
  <si>
    <t>Total GGRF Funding Amount from this Program ($)</t>
  </si>
  <si>
    <t>Fiscal Year(s)</t>
  </si>
  <si>
    <t>Total Matching Funds ($)</t>
  </si>
  <si>
    <t>Quantification Methodology Date</t>
  </si>
  <si>
    <t>Quantification Period (years)</t>
  </si>
  <si>
    <t>GHG Emission Reductions (MTCO2E)</t>
  </si>
  <si>
    <t>Date GHG Emission Reductions Begin</t>
  </si>
  <si>
    <t>Governor’s Pillars (1;2;3;4;5;6)</t>
  </si>
  <si>
    <t>Other State Policies, Plans, or Initiatives? (Y/N)</t>
  </si>
  <si>
    <t>Describe other State Policies, Plans, or Initiatives</t>
  </si>
  <si>
    <t>Support Scoping Plan? (Y/N)</t>
  </si>
  <si>
    <t>NOx Reductions (lbs)</t>
  </si>
  <si>
    <t>PM 2.5 Reductions (lbs)</t>
  </si>
  <si>
    <t>Soil Benefit (acres)</t>
  </si>
  <si>
    <t>Climate Adaptation</t>
  </si>
  <si>
    <t>Community Engagement</t>
  </si>
  <si>
    <t>Land (acres)</t>
  </si>
  <si>
    <t>Land Conserved (acres)</t>
  </si>
  <si>
    <t>Pollinator Habitat Established (acres)</t>
  </si>
  <si>
    <t>Describe Co-benefits</t>
  </si>
  <si>
    <t>Direct Jobs</t>
  </si>
  <si>
    <t>Indirect Jobs</t>
  </si>
  <si>
    <t>Induced Jobs</t>
  </si>
  <si>
    <t>CalEnviroScreen Version</t>
  </si>
  <si>
    <t>Benefit Disadvantaged Communities (historical)? (Y/N)</t>
  </si>
  <si>
    <t>Benefiting Census Tracts (historical)</t>
  </si>
  <si>
    <t>Community Need (historical)</t>
  </si>
  <si>
    <t>Benefit Criteria (historical)</t>
  </si>
  <si>
    <t>Benefit Criteria Table</t>
  </si>
  <si>
    <t>Benefits Criteria Table
Step 1: Disadvantaged Community? (Y/N)</t>
  </si>
  <si>
    <t>Benefits Criteria Table
Step 1: Low-income Community or Low-income Household? (Y/N)</t>
  </si>
  <si>
    <t>Benefits Criteria Table
Step 1: Low-income 1/2-mile Buffer Region? (Y/N)</t>
  </si>
  <si>
    <t>Benefits Criteria Table
Step 2: Identifying Community Need</t>
  </si>
  <si>
    <t>Benefits Criteria Table
Step 2: Description of Community Need</t>
  </si>
  <si>
    <t>Benefits Criteria Table
Step 3: Benefit Criteria Met</t>
  </si>
  <si>
    <t>Benefits Criteria Table
Step 3: Description of Benefits to Priority Populations</t>
  </si>
  <si>
    <t>Qualifying Disadvantaged Community Benefit Count</t>
  </si>
  <si>
    <t>Qualifying Disadvantaged Community Benefit Amount ($)</t>
  </si>
  <si>
    <t>Qualifying Low-income Count</t>
  </si>
  <si>
    <t>Qualifying Low-income Amount ($)</t>
  </si>
  <si>
    <t>Qualifying 1/2-mile Low-income Buffer Count</t>
  </si>
  <si>
    <t>Qualifying 1/2-mile Low-income Buffer Amount ($)</t>
  </si>
  <si>
    <t>Select a Priority Population</t>
  </si>
  <si>
    <t>Claimed Disadvantaged Communities Benefit Count</t>
  </si>
  <si>
    <t>Claimed Disadvantaged Communities Benefit Amount ($)</t>
  </si>
  <si>
    <t>Claimed Low-income Count</t>
  </si>
  <si>
    <t>Claimed Low-income Amount ($)</t>
  </si>
  <si>
    <t>Claimed Low-income 1/2-mile Buffer Count</t>
  </si>
  <si>
    <t>Claimed Low-income 1/2-mile Buffer Amount ($)</t>
  </si>
  <si>
    <t>Count</t>
  </si>
  <si>
    <t>Count Benefiting Disadvantaged Communities (historical)</t>
  </si>
  <si>
    <t>Count within Disadvantaged Communities (historical)</t>
  </si>
  <si>
    <t>Amount of Funding within Disadvantaged Communities (historical) ($)</t>
  </si>
  <si>
    <t>Estimated Total GGRF Dollars Benefiting Disadvantaged Communities based on Funding Guidelines prior to 2017 ($)</t>
  </si>
  <si>
    <t>mo</t>
  </si>
  <si>
    <t>month</t>
  </si>
  <si>
    <t>yr</t>
  </si>
  <si>
    <t>year</t>
  </si>
  <si>
    <t xml:space="preserve">This Land Restoration Benefits Calculator Tool may require data inputs obtained from third-party tools.  Information for using </t>
  </si>
  <si>
    <t>these tools is available in the user guide (see above).</t>
  </si>
  <si>
    <t>lb-N/acre-yr</t>
  </si>
  <si>
    <t>Nitrogen Fertilizer Application</t>
  </si>
  <si>
    <t>Delta Wetland</t>
  </si>
  <si>
    <t>Coastal Tidal Wetland</t>
  </si>
  <si>
    <t>Mountain Meadow</t>
  </si>
  <si>
    <t>Seasonal Inland Wetland</t>
  </si>
  <si>
    <t>The SoilWeb Tool, used to determine the project site soil type, is available at:</t>
  </si>
  <si>
    <t>The i-Tree Planting Calculator is available at:</t>
  </si>
  <si>
    <t>Revised Draft Benefits Calculator Tool</t>
  </si>
  <si>
    <t>Grassland</t>
  </si>
  <si>
    <t>http://www.arb.ca.gov/cc/capandtrade/auctionproceeds/landrestore_userguide_2020_final.pdf.</t>
  </si>
  <si>
    <t>For Land Restoration project types used by Programs funded by the Greenhouse Gas Reduction Fund, CARB staff developed this Revised Land Restoration Benefits Calculator Tool to estimate the net greenhouse gas (GHG) benefit and selected co-benefits of each proposed project type.  In an effort to enhance the analysis, provide greater transparency, and assist in project‑level reporting, CARB has included an output tab in this Benefits Calculator Tool for selected co‑benefits and key variables.  This Revised Benefits Calculator Tool and supporting resources are available at:</t>
  </si>
  <si>
    <t>This Revised Benefits Calculator Tool estimates net GHG benefit and air pollutant emission co-benefits using methods described in the supporting Revised Land Restoration Quantification Methodology.  Other co-benefits estimated in this and other benefits calculator tools use methods described in CARB's Co-benefit Assessment Methodologies.  All CARB Co-benefit Assessment Methodologies are available at:</t>
  </si>
  <si>
    <t>http://www.arb.ca.gov/cc/capandtrade/auctionproceeds/landrestore_userguide_2020_final.pdf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</si>
</sst>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409]mmmm\ d\,\ yyyy;@"/>
    <numFmt numFmtId="165" formatCode="_(&quot;$&quot;* #,##0_);_(&quot;$&quot;* \(#,##0\);_(&quot;$&quot;* &quot;-&quot;??_);_(@_)"/>
    <numFmt numFmtId="166" formatCode="0."/>
    <numFmt numFmtId="167" formatCode="0.0"/>
    <numFmt numFmtId="168" formatCode="#,##0.0"/>
    <numFmt numFmtId="169" formatCode="0.0000"/>
    <numFmt numFmtId="170" formatCode="0.000"/>
    <numFmt numFmtId="171" formatCode="0.00000"/>
  </numFmts>
  <fonts count="45" x14ac:knownFonts="1">
    <font>
      <sz val="11"/>
      <color theme="1"/>
      <name val="Calibri"/>
      <family val="2"/>
      <scheme val="minor"/>
    </font>
    <font>
      <b/>
      <sz val="14"/>
      <color theme="1"/>
      <name val="Avenir LT Std 55 Roman"/>
      <family val="2"/>
    </font>
    <font>
      <b/>
      <sz val="12"/>
      <color theme="1"/>
      <name val="Avenir LT Std 55 Roman"/>
      <family val="2"/>
    </font>
    <font>
      <sz val="12"/>
      <color theme="1"/>
      <name val="Avenir LT Std 55 Roman"/>
      <family val="2"/>
    </font>
    <font>
      <u/>
      <sz val="11"/>
      <color theme="10"/>
      <name val="Calibri"/>
      <family val="2"/>
      <scheme val="minor"/>
    </font>
    <font>
      <u/>
      <sz val="12"/>
      <color theme="10"/>
      <name val="Avenir LT Std 55 Roman"/>
      <family val="2"/>
    </font>
    <font>
      <sz val="11"/>
      <color theme="1"/>
      <name val="Calibri"/>
      <family val="2"/>
      <scheme val="minor"/>
    </font>
    <font>
      <sz val="9"/>
      <color indexed="81"/>
      <name val="Tahoma"/>
      <family val="2"/>
    </font>
    <font>
      <sz val="10"/>
      <name val="Arial"/>
      <family val="2"/>
    </font>
    <font>
      <sz val="12"/>
      <name val="Avenir LT Std 55 Roman"/>
      <family val="2"/>
    </font>
    <font>
      <b/>
      <sz val="12"/>
      <name val="Avenir LT Std 55 Roman"/>
      <family val="2"/>
    </font>
    <font>
      <sz val="12"/>
      <color theme="0"/>
      <name val="Avenir LT Std 55 Roman"/>
      <family val="2"/>
    </font>
    <font>
      <sz val="12"/>
      <color theme="0" tint="-4.9989318521683403E-2"/>
      <name val="Avenir LT Std 55 Roman"/>
      <family val="2"/>
    </font>
    <font>
      <vertAlign val="subscript"/>
      <sz val="12"/>
      <color theme="1"/>
      <name val="Avenir LT Std 55 Roman"/>
      <family val="2"/>
    </font>
    <font>
      <b/>
      <sz val="12"/>
      <color rgb="FFC00000"/>
      <name val="Avenir LT Std 55 Roman"/>
      <family val="2"/>
    </font>
    <font>
      <b/>
      <sz val="14"/>
      <color rgb="FFC00000"/>
      <name val="Avenir LT Std 55 Roman"/>
      <family val="2"/>
    </font>
    <font>
      <b/>
      <sz val="12"/>
      <color rgb="FF000000"/>
      <name val="Avenir LT Std 55 Roman"/>
      <family val="2"/>
    </font>
    <font>
      <sz val="12"/>
      <color rgb="FF000000"/>
      <name val="Avenir LT Std 55 Roman"/>
      <family val="2"/>
    </font>
    <font>
      <sz val="11"/>
      <color theme="1"/>
      <name val="Avenir LT Std 55 Roman"/>
      <family val="2"/>
    </font>
    <font>
      <b/>
      <sz val="12"/>
      <color theme="0" tint="-0.249977111117893"/>
      <name val="Avenir LT Std 55 Roman"/>
      <family val="2"/>
    </font>
    <font>
      <b/>
      <sz val="16"/>
      <color theme="1"/>
      <name val="Avenir LT Std 55 Roman"/>
      <family val="2"/>
    </font>
    <font>
      <u/>
      <sz val="11"/>
      <color theme="10"/>
      <name val="Avenir LT Std 55 Roman"/>
      <family val="2"/>
    </font>
    <font>
      <b/>
      <sz val="14"/>
      <name val="Avenir LT Std 55 Roman"/>
      <family val="2"/>
    </font>
    <font>
      <i/>
      <sz val="12"/>
      <name val="Avenir LT Std 55 Roman"/>
      <family val="2"/>
    </font>
    <font>
      <sz val="10"/>
      <color theme="1"/>
      <name val="Avenir LT Std 55 Roman"/>
      <family val="2"/>
    </font>
    <font>
      <sz val="9"/>
      <color theme="1"/>
      <name val="Avenir LT Std 55 Roman"/>
      <family val="2"/>
    </font>
    <font>
      <vertAlign val="subscript"/>
      <sz val="12"/>
      <name val="Avenir LT Std 55 Roman"/>
      <family val="2"/>
    </font>
    <font>
      <sz val="8"/>
      <color theme="1"/>
      <name val="Avenir LT Std 55 Roman"/>
      <family val="2"/>
    </font>
    <font>
      <vertAlign val="subscript"/>
      <sz val="8"/>
      <color theme="1"/>
      <name val="Avenir LT Std 55 Roman"/>
      <family val="2"/>
    </font>
    <font>
      <vertAlign val="superscript"/>
      <sz val="10"/>
      <color theme="1"/>
      <name val="Avenir LT Std 55 Roman"/>
      <family val="2"/>
    </font>
    <font>
      <sz val="10"/>
      <name val="Avenir LT Std 55 Roman"/>
      <family val="2"/>
    </font>
    <font>
      <vertAlign val="subscript"/>
      <sz val="11"/>
      <color theme="1"/>
      <name val="Avenir LT Std 55 Roman"/>
      <family val="2"/>
    </font>
    <font>
      <sz val="11"/>
      <color theme="1"/>
      <name val="Calibri"/>
      <family val="2"/>
    </font>
    <font>
      <sz val="9.35"/>
      <color theme="1"/>
      <name val="Avenir LT Std 55 Roman"/>
      <family val="2"/>
    </font>
    <font>
      <vertAlign val="subscript"/>
      <sz val="9.35"/>
      <color theme="1"/>
      <name val="Avenir LT Std 55 Roman"/>
      <family val="2"/>
    </font>
    <font>
      <sz val="12"/>
      <color theme="1"/>
      <name val="Calibri"/>
      <family val="2"/>
    </font>
    <font>
      <vertAlign val="subscript"/>
      <sz val="10"/>
      <color theme="1"/>
      <name val="Avenir LT Std 55 Roman"/>
      <family val="2"/>
    </font>
    <font>
      <i/>
      <sz val="11"/>
      <color theme="1"/>
      <name val="Avenir LT Std 55 Roman"/>
      <family val="2"/>
    </font>
    <font>
      <sz val="11"/>
      <name val="Avenir LT Std 55 Roman"/>
      <family val="2"/>
    </font>
    <font>
      <b/>
      <vertAlign val="subscript"/>
      <sz val="12"/>
      <color theme="1"/>
      <name val="Avenir LT Std 55 Roman"/>
      <family val="2"/>
    </font>
    <font>
      <vertAlign val="superscript"/>
      <sz val="11"/>
      <color theme="1"/>
      <name val="Avenir LT Std 55 Roman"/>
      <family val="2"/>
    </font>
    <font>
      <sz val="10"/>
      <color theme="1"/>
      <name val="Arial"/>
      <family val="2"/>
    </font>
    <font>
      <b/>
      <sz val="9"/>
      <name val="Arial"/>
      <family val="2"/>
    </font>
    <font>
      <b/>
      <sz val="16"/>
      <name val="Avenir LT Std 55 Roman"/>
      <family val="2"/>
    </font>
    <font>
      <u/>
      <sz val="11"/>
      <color theme="10"/>
      <name val="Avenir LT Std 55 Roman"/>
    </font>
  </fonts>
  <fills count="18">
    <fill>
      <patternFill patternType="none"/>
    </fill>
    <fill>
      <patternFill patternType="gray125"/>
    </fill>
    <fill>
      <patternFill patternType="solid">
        <fgColor rgb="FFFFFF66"/>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rgb="FFB7DEDF"/>
        <bgColor indexed="64"/>
      </patternFill>
    </fill>
    <fill>
      <patternFill patternType="solid">
        <fgColor rgb="FFFCD5B4"/>
        <bgColor indexed="64"/>
      </patternFill>
    </fill>
    <fill>
      <patternFill patternType="solid">
        <fgColor rgb="FFB1A0C7"/>
        <bgColor indexed="64"/>
      </patternFill>
    </fill>
    <fill>
      <patternFill patternType="solid">
        <fgColor rgb="FFB7DEE8"/>
        <bgColor indexed="64"/>
      </patternFill>
    </fill>
    <fill>
      <patternFill patternType="solid">
        <fgColor rgb="FFFDE9D9"/>
        <bgColor indexed="64"/>
      </patternFill>
    </fill>
  </fills>
  <borders count="7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style="double">
        <color indexed="64"/>
      </bottom>
      <diagonal/>
    </border>
    <border>
      <left/>
      <right/>
      <top/>
      <bottom style="double">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thin">
        <color indexed="64"/>
      </right>
      <top/>
      <bottom style="double">
        <color rgb="FF000000"/>
      </bottom>
      <diagonal/>
    </border>
    <border>
      <left style="medium">
        <color indexed="64"/>
      </left>
      <right style="thin">
        <color indexed="64"/>
      </right>
      <top style="medium">
        <color indexed="64"/>
      </top>
      <bottom style="double">
        <color rgb="FF000000"/>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bottom style="thin">
        <color indexed="64"/>
      </bottom>
      <diagonal/>
    </border>
    <border>
      <left/>
      <right style="double">
        <color indexed="64"/>
      </right>
      <top/>
      <bottom/>
      <diagonal/>
    </border>
    <border>
      <left/>
      <right style="double">
        <color indexed="64"/>
      </right>
      <top/>
      <bottom style="double">
        <color rgb="FF000000"/>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bottom style="double">
        <color indexed="64"/>
      </bottom>
      <diagonal/>
    </border>
    <border>
      <left style="double">
        <color indexed="64"/>
      </left>
      <right/>
      <top/>
      <bottom style="thin">
        <color indexed="64"/>
      </bottom>
      <diagonal/>
    </border>
    <border>
      <left style="double">
        <color indexed="64"/>
      </left>
      <right/>
      <top/>
      <bottom/>
      <diagonal/>
    </border>
    <border>
      <left style="thin">
        <color indexed="64"/>
      </left>
      <right style="medium">
        <color indexed="64"/>
      </right>
      <top/>
      <bottom style="thin">
        <color indexed="64"/>
      </bottom>
      <diagonal/>
    </border>
  </borders>
  <cellStyleXfs count="4">
    <xf numFmtId="0" fontId="0" fillId="0" borderId="0"/>
    <xf numFmtId="0" fontId="4" fillId="0" borderId="0" applyNumberFormat="0" applyFill="0" applyBorder="0" applyAlignment="0" applyProtection="0"/>
    <xf numFmtId="44" fontId="6" fillId="0" borderId="0" applyFont="0" applyFill="0" applyBorder="0" applyAlignment="0" applyProtection="0"/>
    <xf numFmtId="0" fontId="8" fillId="0" borderId="0"/>
  </cellStyleXfs>
  <cellXfs count="616">
    <xf numFmtId="0" fontId="0" fillId="0" borderId="0" xfId="0"/>
    <xf numFmtId="0" fontId="2" fillId="0" borderId="0" xfId="0" applyFont="1" applyFill="1" applyBorder="1"/>
    <xf numFmtId="0" fontId="3" fillId="0" borderId="0" xfId="0" applyFont="1"/>
    <xf numFmtId="0" fontId="3" fillId="0" borderId="0" xfId="0" applyFont="1" applyFill="1" applyBorder="1"/>
    <xf numFmtId="0" fontId="5" fillId="0" borderId="0" xfId="1" applyFont="1" applyFill="1" applyBorder="1" applyAlignment="1">
      <alignment horizontal="centerContinuous" vertical="center" wrapText="1"/>
    </xf>
    <xf numFmtId="0" fontId="3" fillId="0" borderId="0" xfId="0" applyFont="1" applyAlignment="1">
      <alignment horizontal="center" vertical="center"/>
    </xf>
    <xf numFmtId="0" fontId="5"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12" fillId="3" borderId="21" xfId="0" applyFont="1" applyFill="1" applyBorder="1" applyAlignment="1">
      <alignment horizontal="center" vertical="center"/>
    </xf>
    <xf numFmtId="0" fontId="12" fillId="3" borderId="20" xfId="0" applyFont="1" applyFill="1" applyBorder="1" applyAlignment="1">
      <alignment horizontal="center" vertical="center"/>
    </xf>
    <xf numFmtId="0" fontId="2" fillId="0" borderId="0" xfId="0" applyFont="1" applyFill="1" applyBorder="1" applyAlignment="1">
      <alignment horizontal="right"/>
    </xf>
    <xf numFmtId="0" fontId="9" fillId="0" borderId="0" xfId="0" applyFont="1" applyFill="1" applyBorder="1"/>
    <xf numFmtId="1" fontId="9" fillId="0" borderId="0" xfId="0" applyNumberFormat="1" applyFont="1" applyFill="1" applyBorder="1"/>
    <xf numFmtId="0" fontId="3" fillId="0" borderId="0" xfId="0" applyFont="1" applyFill="1" applyBorder="1" applyAlignment="1">
      <alignment vertical="top" wrapText="1"/>
    </xf>
    <xf numFmtId="0" fontId="5" fillId="0" borderId="0" xfId="1" applyFont="1" applyFill="1" applyBorder="1" applyAlignment="1">
      <alignment vertical="top" wrapText="1"/>
    </xf>
    <xf numFmtId="0" fontId="2" fillId="0" borderId="0" xfId="0" applyFont="1" applyAlignment="1">
      <alignment vertical="top"/>
    </xf>
    <xf numFmtId="0" fontId="3" fillId="0" borderId="0" xfId="0" applyFont="1" applyAlignment="1">
      <alignment vertical="top" wrapText="1"/>
    </xf>
    <xf numFmtId="0" fontId="9" fillId="0" borderId="0" xfId="0" applyFont="1"/>
    <xf numFmtId="0" fontId="9" fillId="0" borderId="0" xfId="0" applyFont="1" applyAlignment="1">
      <alignment horizontal="left"/>
    </xf>
    <xf numFmtId="0" fontId="1" fillId="10" borderId="0" xfId="0" applyFont="1" applyFill="1" applyAlignment="1">
      <alignment horizontal="center" vertical="center"/>
    </xf>
    <xf numFmtId="0" fontId="3" fillId="10" borderId="0" xfId="0" applyFont="1" applyFill="1"/>
    <xf numFmtId="0" fontId="2" fillId="10" borderId="0" xfId="0" applyFont="1" applyFill="1" applyBorder="1"/>
    <xf numFmtId="0" fontId="5" fillId="10" borderId="2" xfId="1" applyFont="1" applyFill="1" applyBorder="1"/>
    <xf numFmtId="0" fontId="3" fillId="10" borderId="2" xfId="0" applyFont="1" applyFill="1" applyBorder="1"/>
    <xf numFmtId="0" fontId="3" fillId="10" borderId="2" xfId="0" applyFont="1" applyFill="1" applyBorder="1" applyAlignment="1">
      <alignment wrapText="1"/>
    </xf>
    <xf numFmtId="0" fontId="5" fillId="10" borderId="2" xfId="1" applyFont="1" applyFill="1" applyBorder="1" applyAlignment="1">
      <alignment horizontal="left" indent="4"/>
    </xf>
    <xf numFmtId="0" fontId="3" fillId="0" borderId="0" xfId="0" applyFont="1" applyFill="1" applyBorder="1" applyAlignment="1">
      <alignment vertical="center"/>
    </xf>
    <xf numFmtId="0" fontId="3" fillId="0" borderId="0" xfId="0" applyFont="1" applyAlignment="1">
      <alignment horizontal="left" vertical="top" readingOrder="1"/>
    </xf>
    <xf numFmtId="0" fontId="3" fillId="0" borderId="0" xfId="0" applyFont="1" applyAlignment="1">
      <alignment horizontal="centerContinuous" vertical="top" wrapText="1" readingOrder="1"/>
    </xf>
    <xf numFmtId="0" fontId="3" fillId="0" borderId="0" xfId="0" applyFont="1" applyAlignment="1">
      <alignment horizontal="centerContinuous" vertical="top" wrapText="1"/>
    </xf>
    <xf numFmtId="0" fontId="2" fillId="0" borderId="0" xfId="0" applyFont="1" applyFill="1" applyBorder="1" applyAlignment="1">
      <alignment vertical="top"/>
    </xf>
    <xf numFmtId="0" fontId="3" fillId="0" borderId="0" xfId="0" applyFont="1" applyAlignment="1">
      <alignment vertical="top"/>
    </xf>
    <xf numFmtId="0" fontId="16" fillId="0" borderId="0" xfId="0" applyFont="1" applyFill="1" applyBorder="1" applyAlignment="1">
      <alignment horizontal="center" vertical="center" wrapText="1"/>
    </xf>
    <xf numFmtId="166" fontId="17" fillId="0" borderId="0" xfId="0" applyNumberFormat="1" applyFont="1" applyFill="1" applyBorder="1" applyAlignment="1">
      <alignment horizontal="center" vertical="center" wrapText="1"/>
    </xf>
    <xf numFmtId="0" fontId="3" fillId="0" borderId="0" xfId="0" applyFont="1" applyFill="1" applyBorder="1" applyAlignment="1">
      <alignment horizontal="left" vertical="top"/>
    </xf>
    <xf numFmtId="0" fontId="3" fillId="0" borderId="32" xfId="0" applyFont="1" applyBorder="1" applyAlignment="1">
      <alignment horizontal="left" vertical="top" wrapText="1"/>
    </xf>
    <xf numFmtId="0" fontId="3" fillId="0" borderId="0" xfId="0" applyFont="1" applyAlignment="1">
      <alignment horizontal="centerContinuous"/>
    </xf>
    <xf numFmtId="0" fontId="1" fillId="0" borderId="0" xfId="0" applyFont="1" applyAlignment="1">
      <alignment horizontal="centerContinuous"/>
    </xf>
    <xf numFmtId="0" fontId="15" fillId="0" borderId="0" xfId="0" applyFont="1" applyAlignment="1">
      <alignment horizontal="centerContinuous"/>
    </xf>
    <xf numFmtId="0" fontId="3" fillId="0" borderId="0" xfId="0" applyFont="1" applyAlignment="1">
      <alignment horizontal="centerContinuous" vertical="center"/>
    </xf>
    <xf numFmtId="0" fontId="3" fillId="0" borderId="0" xfId="0" applyFont="1" applyFill="1" applyBorder="1" applyAlignment="1">
      <alignment horizontal="centerContinuous"/>
    </xf>
    <xf numFmtId="0" fontId="16" fillId="9" borderId="26" xfId="0" applyFont="1" applyFill="1" applyBorder="1" applyAlignment="1">
      <alignment horizontal="center" vertical="center" wrapText="1"/>
    </xf>
    <xf numFmtId="0" fontId="16" fillId="9" borderId="28" xfId="0" applyFont="1" applyFill="1" applyBorder="1" applyAlignment="1">
      <alignment horizontal="center" vertical="center" wrapText="1"/>
    </xf>
    <xf numFmtId="0" fontId="9" fillId="0" borderId="0" xfId="1" applyFont="1" applyFill="1" applyBorder="1" applyAlignment="1" applyProtection="1">
      <alignment horizontal="right" vertical="top" wrapText="1"/>
      <protection locked="0"/>
    </xf>
    <xf numFmtId="0" fontId="3" fillId="0" borderId="0" xfId="0" applyFont="1" applyAlignment="1" applyProtection="1">
      <alignment horizontal="right"/>
      <protection locked="0"/>
    </xf>
    <xf numFmtId="0" fontId="3" fillId="0" borderId="0" xfId="0" applyFont="1" applyAlignment="1" applyProtection="1">
      <alignment horizontal="centerContinuous"/>
    </xf>
    <xf numFmtId="0" fontId="1" fillId="0" borderId="0" xfId="0" applyFont="1" applyAlignment="1" applyProtection="1">
      <alignment horizontal="centerContinuous"/>
    </xf>
    <xf numFmtId="0" fontId="3" fillId="0" borderId="0" xfId="0" applyFont="1" applyProtection="1"/>
    <xf numFmtId="0" fontId="1" fillId="0" borderId="0" xfId="0" applyFont="1" applyProtection="1"/>
    <xf numFmtId="0" fontId="3" fillId="0" borderId="0" xfId="0" applyFont="1" applyFill="1" applyBorder="1" applyProtection="1"/>
    <xf numFmtId="0" fontId="2" fillId="0" borderId="0" xfId="0" applyFont="1" applyFill="1" applyBorder="1" applyProtection="1"/>
    <xf numFmtId="0" fontId="10" fillId="0" borderId="0" xfId="1" applyFont="1" applyFill="1" applyBorder="1" applyAlignment="1" applyProtection="1">
      <alignment vertical="top"/>
    </xf>
    <xf numFmtId="0" fontId="9" fillId="0" borderId="0" xfId="1" applyFont="1" applyFill="1" applyBorder="1" applyAlignment="1" applyProtection="1">
      <alignment vertical="top"/>
    </xf>
    <xf numFmtId="0" fontId="9" fillId="0" borderId="0" xfId="1" applyFont="1" applyFill="1" applyBorder="1" applyAlignment="1" applyProtection="1">
      <alignment vertical="top" wrapText="1"/>
    </xf>
    <xf numFmtId="0" fontId="3" fillId="0" borderId="0" xfId="0" applyFont="1" applyAlignment="1" applyProtection="1"/>
    <xf numFmtId="0" fontId="9" fillId="0" borderId="0" xfId="1" applyFont="1" applyFill="1" applyBorder="1" applyAlignment="1" applyProtection="1">
      <alignment horizontal="center" vertical="center"/>
    </xf>
    <xf numFmtId="0" fontId="9" fillId="3" borderId="4" xfId="3" applyFont="1" applyFill="1" applyBorder="1" applyAlignment="1" applyProtection="1">
      <alignment vertical="center"/>
    </xf>
    <xf numFmtId="0" fontId="3" fillId="0" borderId="0" xfId="0" applyFont="1" applyFill="1" applyProtection="1"/>
    <xf numFmtId="0" fontId="10" fillId="0" borderId="4" xfId="3" applyFont="1" applyFill="1" applyBorder="1" applyAlignment="1" applyProtection="1">
      <alignment horizontal="centerContinuous" vertical="center"/>
    </xf>
    <xf numFmtId="0" fontId="3" fillId="0" borderId="5" xfId="0" applyFont="1" applyBorder="1" applyAlignment="1" applyProtection="1">
      <alignment horizontal="centerContinuous"/>
    </xf>
    <xf numFmtId="0" fontId="3" fillId="0" borderId="6" xfId="0" applyFont="1" applyBorder="1" applyAlignment="1" applyProtection="1">
      <alignment horizontal="centerContinuous"/>
    </xf>
    <xf numFmtId="0" fontId="9" fillId="3" borderId="12" xfId="3" applyFont="1" applyFill="1" applyBorder="1" applyAlignment="1" applyProtection="1">
      <alignment vertical="center"/>
    </xf>
    <xf numFmtId="0" fontId="9" fillId="4" borderId="7" xfId="3" applyFont="1" applyFill="1" applyBorder="1" applyAlignment="1" applyProtection="1">
      <alignment vertical="center"/>
    </xf>
    <xf numFmtId="0" fontId="3" fillId="0" borderId="0" xfId="0" applyFont="1" applyBorder="1" applyProtection="1"/>
    <xf numFmtId="0" fontId="3" fillId="0" borderId="8" xfId="0" applyFont="1" applyBorder="1" applyProtection="1"/>
    <xf numFmtId="0" fontId="9" fillId="5" borderId="7" xfId="3" applyFont="1" applyFill="1" applyBorder="1" applyAlignment="1" applyProtection="1">
      <alignment vertical="center"/>
    </xf>
    <xf numFmtId="0" fontId="9" fillId="3" borderId="7" xfId="3" applyFont="1" applyFill="1" applyBorder="1" applyAlignment="1" applyProtection="1">
      <alignment vertical="center"/>
    </xf>
    <xf numFmtId="0" fontId="3" fillId="0" borderId="10" xfId="0" applyFont="1" applyBorder="1" applyProtection="1"/>
    <xf numFmtId="0" fontId="3" fillId="0" borderId="11" xfId="0" applyFont="1" applyBorder="1" applyProtection="1"/>
    <xf numFmtId="0" fontId="9" fillId="3" borderId="12" xfId="3" applyFont="1" applyFill="1" applyBorder="1" applyAlignment="1" applyProtection="1">
      <alignment vertical="center" wrapText="1"/>
    </xf>
    <xf numFmtId="0" fontId="9" fillId="0" borderId="0" xfId="3" applyFont="1" applyFill="1" applyBorder="1" applyAlignment="1" applyProtection="1">
      <alignment vertical="top"/>
    </xf>
    <xf numFmtId="0" fontId="9" fillId="3" borderId="13" xfId="3" applyFont="1" applyFill="1" applyBorder="1" applyAlignment="1" applyProtection="1">
      <alignment vertical="center"/>
    </xf>
    <xf numFmtId="0" fontId="18" fillId="10" borderId="0" xfId="0" applyFont="1" applyFill="1"/>
    <xf numFmtId="0" fontId="10" fillId="9" borderId="19" xfId="0" applyFont="1" applyFill="1" applyBorder="1" applyAlignment="1">
      <alignment horizontal="center" vertical="center" wrapText="1"/>
    </xf>
    <xf numFmtId="0" fontId="3" fillId="10" borderId="0" xfId="0" applyFont="1" applyFill="1" applyBorder="1" applyAlignment="1">
      <alignment horizontal="left" vertical="top"/>
    </xf>
    <xf numFmtId="0" fontId="17" fillId="10" borderId="29" xfId="0" applyFont="1" applyFill="1" applyBorder="1" applyAlignment="1">
      <alignment horizontal="left" vertical="top" wrapText="1"/>
    </xf>
    <xf numFmtId="0" fontId="11" fillId="10" borderId="0" xfId="0" applyFont="1" applyFill="1" applyBorder="1"/>
    <xf numFmtId="0" fontId="17" fillId="4" borderId="30"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3" fillId="0" borderId="39" xfId="0" applyFont="1" applyBorder="1" applyAlignment="1">
      <alignment horizontal="left" vertical="center"/>
    </xf>
    <xf numFmtId="0" fontId="10" fillId="9" borderId="27" xfId="0" applyFont="1" applyFill="1" applyBorder="1" applyAlignment="1">
      <alignment horizontal="center" vertical="center" wrapText="1"/>
    </xf>
    <xf numFmtId="0" fontId="10" fillId="9" borderId="28" xfId="0" applyFont="1" applyFill="1" applyBorder="1" applyAlignment="1">
      <alignment horizontal="center" vertical="center" wrapText="1"/>
    </xf>
    <xf numFmtId="0" fontId="11" fillId="0" borderId="0" xfId="0" applyFont="1" applyFill="1" applyBorder="1" applyAlignment="1">
      <alignment horizontal="left" vertical="center"/>
    </xf>
    <xf numFmtId="0" fontId="3" fillId="4" borderId="6" xfId="0" applyFont="1" applyFill="1" applyBorder="1" applyAlignment="1">
      <alignment horizontal="center" vertical="center"/>
    </xf>
    <xf numFmtId="0" fontId="9" fillId="4" borderId="40" xfId="3" applyFont="1" applyFill="1" applyBorder="1" applyAlignment="1" applyProtection="1">
      <alignment horizontal="centerContinuous" vertical="center"/>
      <protection locked="0"/>
    </xf>
    <xf numFmtId="0" fontId="3" fillId="4" borderId="41" xfId="0" applyFont="1" applyFill="1" applyBorder="1" applyAlignment="1">
      <alignment horizontal="center" vertical="center"/>
    </xf>
    <xf numFmtId="0" fontId="9" fillId="3" borderId="35" xfId="3" applyFont="1" applyFill="1" applyBorder="1" applyAlignment="1" applyProtection="1">
      <alignment horizontal="centerContinuous" vertical="center"/>
    </xf>
    <xf numFmtId="0" fontId="9" fillId="4" borderId="35" xfId="3" applyFont="1" applyFill="1" applyBorder="1" applyAlignment="1" applyProtection="1">
      <alignment horizontal="centerContinuous" vertical="center"/>
      <protection locked="0"/>
    </xf>
    <xf numFmtId="44" fontId="9" fillId="3" borderId="42" xfId="3" applyNumberFormat="1" applyFont="1" applyFill="1" applyBorder="1" applyAlignment="1" applyProtection="1">
      <alignment horizontal="centerContinuous" vertical="center"/>
    </xf>
    <xf numFmtId="0" fontId="3" fillId="3" borderId="43" xfId="0" applyFont="1" applyFill="1" applyBorder="1" applyAlignment="1">
      <alignment horizontal="center" vertical="center"/>
    </xf>
    <xf numFmtId="0" fontId="3" fillId="3" borderId="41" xfId="0" applyFont="1" applyFill="1" applyBorder="1" applyAlignment="1">
      <alignment horizontal="center" vertical="center"/>
    </xf>
    <xf numFmtId="0" fontId="3" fillId="0" borderId="0" xfId="0" applyFont="1" applyFill="1" applyBorder="1" applyAlignment="1">
      <alignment horizontal="centerContinuous" vertical="center"/>
    </xf>
    <xf numFmtId="0" fontId="1" fillId="0" borderId="0" xfId="0" applyFont="1" applyAlignment="1">
      <alignment horizontal="centerContinuous" vertical="center"/>
    </xf>
    <xf numFmtId="0" fontId="9" fillId="3" borderId="44" xfId="0" applyFont="1" applyFill="1" applyBorder="1" applyAlignment="1" applyProtection="1">
      <alignment horizontal="right" vertical="center"/>
    </xf>
    <xf numFmtId="0" fontId="3" fillId="0" borderId="45" xfId="0" applyFont="1" applyFill="1" applyBorder="1" applyAlignment="1" applyProtection="1">
      <alignment horizontal="centerContinuous"/>
    </xf>
    <xf numFmtId="0" fontId="3" fillId="0" borderId="46" xfId="0" applyFont="1" applyFill="1" applyBorder="1" applyAlignment="1">
      <alignment horizontal="centerContinuous"/>
    </xf>
    <xf numFmtId="0" fontId="3" fillId="0" borderId="47" xfId="0" applyFont="1" applyFill="1" applyBorder="1" applyAlignment="1" applyProtection="1">
      <alignment horizontal="centerContinuous"/>
    </xf>
    <xf numFmtId="0" fontId="3" fillId="0" borderId="34" xfId="0" applyFont="1" applyFill="1" applyBorder="1" applyAlignment="1" applyProtection="1">
      <alignment horizontal="center"/>
    </xf>
    <xf numFmtId="0" fontId="1" fillId="0" borderId="0" xfId="0" applyFont="1" applyAlignment="1" applyProtection="1">
      <alignment horizontal="center"/>
    </xf>
    <xf numFmtId="0" fontId="3" fillId="3" borderId="36" xfId="0" applyFont="1" applyFill="1" applyBorder="1" applyAlignment="1">
      <alignment horizontal="center" vertical="center"/>
    </xf>
    <xf numFmtId="0" fontId="3" fillId="3" borderId="35" xfId="0" applyFont="1" applyFill="1" applyBorder="1" applyAlignment="1">
      <alignment horizontal="left" vertical="center"/>
    </xf>
    <xf numFmtId="0" fontId="10" fillId="9" borderId="14" xfId="0" applyFont="1" applyFill="1" applyBorder="1" applyAlignment="1">
      <alignment horizontal="center" vertical="center" wrapText="1"/>
    </xf>
    <xf numFmtId="0" fontId="3" fillId="3" borderId="17" xfId="0" applyFont="1" applyFill="1" applyBorder="1" applyAlignment="1">
      <alignment horizontal="center" vertical="center"/>
    </xf>
    <xf numFmtId="0" fontId="3" fillId="3" borderId="15" xfId="0" applyFont="1" applyFill="1" applyBorder="1" applyAlignment="1">
      <alignment horizontal="left" vertical="center"/>
    </xf>
    <xf numFmtId="0" fontId="3" fillId="6" borderId="2" xfId="0" applyFont="1" applyFill="1" applyBorder="1" applyAlignment="1">
      <alignment wrapText="1"/>
    </xf>
    <xf numFmtId="0" fontId="3" fillId="3" borderId="28" xfId="0" applyFont="1" applyFill="1" applyBorder="1" applyAlignment="1">
      <alignment vertical="center"/>
    </xf>
    <xf numFmtId="0" fontId="9" fillId="3" borderId="48" xfId="3" applyFont="1" applyFill="1" applyBorder="1" applyAlignment="1" applyProtection="1">
      <alignment vertical="center"/>
    </xf>
    <xf numFmtId="164" fontId="9" fillId="4" borderId="15" xfId="3" applyNumberFormat="1" applyFont="1" applyFill="1" applyBorder="1" applyAlignment="1" applyProtection="1">
      <alignment horizontal="centerContinuous" vertical="center"/>
      <protection locked="0"/>
    </xf>
    <xf numFmtId="0" fontId="3" fillId="4" borderId="49" xfId="0" applyFont="1" applyFill="1" applyBorder="1" applyAlignment="1">
      <alignment horizontal="center" vertical="center"/>
    </xf>
    <xf numFmtId="0" fontId="9" fillId="3" borderId="4" xfId="3" applyFont="1" applyFill="1" applyBorder="1" applyAlignment="1" applyProtection="1">
      <alignment vertical="center" wrapText="1"/>
    </xf>
    <xf numFmtId="44" fontId="9" fillId="4" borderId="40" xfId="2" applyNumberFormat="1" applyFont="1" applyFill="1" applyBorder="1" applyAlignment="1" applyProtection="1">
      <alignment horizontal="centerContinuous" vertical="center"/>
      <protection locked="0"/>
    </xf>
    <xf numFmtId="0" fontId="14" fillId="10" borderId="2" xfId="0" applyFont="1" applyFill="1" applyBorder="1" applyAlignment="1">
      <alignment horizontal="left" indent="4"/>
    </xf>
    <xf numFmtId="0" fontId="5" fillId="10" borderId="3" xfId="1" applyFont="1" applyFill="1" applyBorder="1" applyAlignment="1">
      <alignment horizontal="left" indent="4"/>
    </xf>
    <xf numFmtId="0" fontId="2" fillId="10" borderId="2" xfId="0" applyFont="1" applyFill="1" applyBorder="1"/>
    <xf numFmtId="0" fontId="9" fillId="6" borderId="9" xfId="3" applyFont="1" applyFill="1" applyBorder="1" applyAlignment="1" applyProtection="1">
      <alignment vertical="center"/>
    </xf>
    <xf numFmtId="0" fontId="18" fillId="0" borderId="0" xfId="0" applyFont="1" applyFill="1" applyBorder="1"/>
    <xf numFmtId="0" fontId="9" fillId="0" borderId="0" xfId="1" applyFont="1" applyFill="1" applyBorder="1" applyAlignment="1">
      <alignment horizontal="left" vertical="top" indent="3"/>
    </xf>
    <xf numFmtId="0" fontId="9" fillId="0" borderId="0" xfId="0" applyFont="1" applyFill="1" applyBorder="1" applyAlignment="1">
      <alignment vertical="top"/>
    </xf>
    <xf numFmtId="0" fontId="9" fillId="3" borderId="21"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3" fillId="4" borderId="19" xfId="0" applyFont="1" applyFill="1" applyBorder="1" applyAlignment="1">
      <alignment horizontal="left" vertical="center"/>
    </xf>
    <xf numFmtId="0" fontId="3" fillId="4" borderId="19" xfId="0" applyNumberFormat="1" applyFont="1" applyFill="1" applyBorder="1" applyAlignment="1">
      <alignment horizontal="left" vertical="center"/>
    </xf>
    <xf numFmtId="0" fontId="3" fillId="4" borderId="22" xfId="0" applyNumberFormat="1" applyFont="1" applyFill="1" applyBorder="1" applyAlignment="1">
      <alignment horizontal="left" vertical="center"/>
    </xf>
    <xf numFmtId="0" fontId="3" fillId="4" borderId="22" xfId="0" applyFont="1" applyFill="1" applyBorder="1" applyAlignment="1">
      <alignment horizontal="left" vertical="center"/>
    </xf>
    <xf numFmtId="0" fontId="3" fillId="4" borderId="18" xfId="0" applyFont="1" applyFill="1" applyBorder="1" applyAlignment="1">
      <alignment horizontal="left" vertical="center"/>
    </xf>
    <xf numFmtId="0" fontId="3" fillId="4" borderId="18" xfId="0" applyNumberFormat="1" applyFont="1" applyFill="1" applyBorder="1" applyAlignment="1">
      <alignment horizontal="left" vertical="center"/>
    </xf>
    <xf numFmtId="0" fontId="3" fillId="4" borderId="0" xfId="0" applyNumberFormat="1" applyFont="1" applyFill="1" applyBorder="1" applyAlignment="1">
      <alignment horizontal="left" vertical="center"/>
    </xf>
    <xf numFmtId="0" fontId="3" fillId="4" borderId="0" xfId="0" applyFont="1" applyFill="1" applyBorder="1" applyAlignment="1">
      <alignment horizontal="left" vertical="center"/>
    </xf>
    <xf numFmtId="0" fontId="5" fillId="6" borderId="16" xfId="1" applyFont="1" applyFill="1" applyBorder="1" applyAlignment="1">
      <alignment horizontal="centerContinuous" vertical="center" wrapText="1"/>
    </xf>
    <xf numFmtId="0" fontId="5" fillId="6" borderId="16" xfId="1" applyFont="1" applyFill="1" applyBorder="1" applyAlignment="1">
      <alignment horizontal="center" vertical="center" wrapText="1"/>
    </xf>
    <xf numFmtId="0" fontId="5" fillId="6" borderId="17" xfId="1" applyFont="1" applyFill="1" applyBorder="1" applyAlignment="1">
      <alignment horizontal="centerContinuous" vertical="center" wrapText="1"/>
    </xf>
    <xf numFmtId="0" fontId="5" fillId="6" borderId="18" xfId="1" applyFont="1" applyFill="1" applyBorder="1" applyAlignment="1">
      <alignment horizontal="centerContinuous" vertical="center" wrapText="1"/>
    </xf>
    <xf numFmtId="0" fontId="5" fillId="6" borderId="18" xfId="1" applyFont="1" applyFill="1" applyBorder="1" applyAlignment="1">
      <alignment horizontal="center" vertical="center" wrapText="1"/>
    </xf>
    <xf numFmtId="0" fontId="5" fillId="6" borderId="19" xfId="1" applyFont="1" applyFill="1" applyBorder="1" applyAlignment="1">
      <alignment horizontal="centerContinuous" vertical="center" wrapText="1"/>
    </xf>
    <xf numFmtId="0" fontId="9" fillId="6" borderId="15" xfId="1" applyFont="1" applyFill="1" applyBorder="1" applyAlignment="1">
      <alignment horizontal="left" vertical="center"/>
    </xf>
    <xf numFmtId="0" fontId="22" fillId="10" borderId="0" xfId="0" applyFont="1" applyFill="1" applyAlignment="1">
      <alignment horizontal="center" vertical="center"/>
    </xf>
    <xf numFmtId="0" fontId="9" fillId="4" borderId="7" xfId="3" applyFont="1" applyFill="1" applyBorder="1" applyAlignment="1" applyProtection="1">
      <alignment horizontal="center" vertical="center"/>
    </xf>
    <xf numFmtId="0" fontId="9" fillId="5" borderId="7" xfId="3" applyFont="1" applyFill="1" applyBorder="1" applyAlignment="1" applyProtection="1">
      <alignment horizontal="center" vertical="center"/>
    </xf>
    <xf numFmtId="0" fontId="9" fillId="3" borderId="7" xfId="3" applyFont="1" applyFill="1" applyBorder="1" applyAlignment="1" applyProtection="1">
      <alignment horizontal="center" vertical="center"/>
    </xf>
    <xf numFmtId="0" fontId="9" fillId="6" borderId="9" xfId="3" applyFont="1" applyFill="1" applyBorder="1" applyAlignment="1" applyProtection="1">
      <alignment horizontal="center" vertical="center"/>
    </xf>
    <xf numFmtId="0" fontId="20" fillId="0" borderId="0" xfId="0" applyFont="1" applyAlignment="1">
      <alignment horizontal="centerContinuous"/>
    </xf>
    <xf numFmtId="0" fontId="3" fillId="6" borderId="15" xfId="0" applyFont="1" applyFill="1" applyBorder="1"/>
    <xf numFmtId="0" fontId="3" fillId="6" borderId="16" xfId="0" applyFont="1" applyFill="1" applyBorder="1"/>
    <xf numFmtId="0" fontId="3" fillId="6" borderId="17" xfId="0" applyFont="1" applyFill="1" applyBorder="1"/>
    <xf numFmtId="0" fontId="3" fillId="6" borderId="18" xfId="0" applyFont="1" applyFill="1" applyBorder="1"/>
    <xf numFmtId="0" fontId="3" fillId="6" borderId="19" xfId="0" applyFont="1" applyFill="1" applyBorder="1"/>
    <xf numFmtId="0" fontId="10" fillId="6" borderId="4" xfId="3" applyFont="1" applyFill="1" applyBorder="1" applyAlignment="1" applyProtection="1">
      <alignment horizontal="centerContinuous" vertical="center"/>
    </xf>
    <xf numFmtId="0" fontId="3" fillId="6" borderId="5" xfId="0" applyFont="1" applyFill="1" applyBorder="1" applyAlignment="1" applyProtection="1">
      <alignment horizontal="centerContinuous"/>
    </xf>
    <xf numFmtId="0" fontId="3" fillId="6" borderId="6" xfId="0" applyFont="1" applyFill="1" applyBorder="1" applyAlignment="1" applyProtection="1">
      <alignment horizontal="centerContinuous"/>
    </xf>
    <xf numFmtId="0" fontId="3" fillId="4" borderId="41" xfId="0" applyFont="1" applyFill="1" applyBorder="1" applyAlignment="1" applyProtection="1">
      <alignment horizontal="center" vertical="center"/>
    </xf>
    <xf numFmtId="0" fontId="3" fillId="0" borderId="7" xfId="0" applyFont="1" applyBorder="1"/>
    <xf numFmtId="0" fontId="12" fillId="3" borderId="52" xfId="0" applyFont="1" applyFill="1" applyBorder="1" applyAlignment="1">
      <alignment horizontal="center" vertical="center"/>
    </xf>
    <xf numFmtId="0" fontId="9" fillId="3" borderId="55" xfId="0" applyFont="1" applyFill="1" applyBorder="1" applyAlignment="1">
      <alignment horizontal="center" vertical="center" wrapText="1"/>
    </xf>
    <xf numFmtId="0" fontId="3" fillId="3" borderId="19" xfId="0" applyFont="1" applyFill="1" applyBorder="1" applyAlignment="1">
      <alignment horizontal="center" vertical="center"/>
    </xf>
    <xf numFmtId="0" fontId="3" fillId="0" borderId="0" xfId="0" applyFont="1" applyBorder="1"/>
    <xf numFmtId="0" fontId="3" fillId="4" borderId="18" xfId="0" applyFont="1" applyFill="1" applyBorder="1" applyAlignment="1" applyProtection="1">
      <alignment horizontal="right" vertical="center" indent="1"/>
      <protection locked="0"/>
    </xf>
    <xf numFmtId="0" fontId="3" fillId="4" borderId="0" xfId="0" applyFont="1" applyFill="1" applyBorder="1" applyAlignment="1" applyProtection="1">
      <alignment horizontal="right" vertical="center" indent="1"/>
      <protection locked="0"/>
    </xf>
    <xf numFmtId="0" fontId="3" fillId="4" borderId="18" xfId="0" applyNumberFormat="1" applyFont="1" applyFill="1" applyBorder="1" applyAlignment="1" applyProtection="1">
      <alignment horizontal="right" vertical="center" indent="1"/>
      <protection locked="0"/>
    </xf>
    <xf numFmtId="0" fontId="3" fillId="4" borderId="0" xfId="0" applyNumberFormat="1" applyFont="1" applyFill="1" applyBorder="1" applyAlignment="1" applyProtection="1">
      <alignment horizontal="right" vertical="center" indent="1"/>
      <protection locked="0"/>
    </xf>
    <xf numFmtId="0" fontId="3" fillId="4" borderId="18"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protection locked="0"/>
    </xf>
    <xf numFmtId="0" fontId="5" fillId="0" borderId="0" xfId="1" applyFont="1" applyAlignment="1" applyProtection="1">
      <protection locked="0"/>
    </xf>
    <xf numFmtId="0" fontId="22" fillId="0" borderId="0" xfId="0" applyFont="1" applyAlignment="1" applyProtection="1">
      <alignment horizontal="centerContinuous"/>
    </xf>
    <xf numFmtId="0" fontId="9" fillId="6" borderId="14" xfId="0" applyFont="1" applyFill="1" applyBorder="1"/>
    <xf numFmtId="0" fontId="3" fillId="0" borderId="0" xfId="0" applyFont="1" applyAlignment="1">
      <alignment horizontal="center"/>
    </xf>
    <xf numFmtId="0" fontId="3" fillId="0" borderId="0" xfId="0" applyFont="1" applyAlignment="1">
      <alignment horizontal="right"/>
    </xf>
    <xf numFmtId="0" fontId="9" fillId="10" borderId="1" xfId="0" applyFont="1" applyFill="1" applyBorder="1" applyAlignment="1">
      <alignment vertical="top" wrapText="1"/>
    </xf>
    <xf numFmtId="0" fontId="9" fillId="10" borderId="2" xfId="0" applyFont="1" applyFill="1" applyBorder="1" applyAlignment="1">
      <alignment wrapText="1"/>
    </xf>
    <xf numFmtId="0" fontId="9" fillId="3" borderId="56" xfId="0" applyFont="1" applyFill="1" applyBorder="1" applyAlignment="1">
      <alignment horizontal="center" vertical="center" wrapText="1"/>
    </xf>
    <xf numFmtId="0" fontId="9" fillId="3" borderId="51" xfId="0" applyFont="1" applyFill="1" applyBorder="1" applyAlignment="1">
      <alignment horizontal="center" vertical="center" wrapText="1"/>
    </xf>
    <xf numFmtId="0" fontId="12" fillId="3" borderId="51" xfId="0" applyFont="1" applyFill="1" applyBorder="1" applyAlignment="1">
      <alignment horizontal="center" vertical="center"/>
    </xf>
    <xf numFmtId="0" fontId="3" fillId="3" borderId="57"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31" xfId="0" applyFont="1" applyFill="1" applyBorder="1" applyAlignment="1">
      <alignment horizontal="center" vertical="center"/>
    </xf>
    <xf numFmtId="0" fontId="3" fillId="4" borderId="10" xfId="0" applyNumberFormat="1" applyFont="1" applyFill="1" applyBorder="1" applyAlignment="1">
      <alignment horizontal="left" vertical="center"/>
    </xf>
    <xf numFmtId="44" fontId="9" fillId="4" borderId="35" xfId="2" applyNumberFormat="1" applyFont="1" applyFill="1" applyBorder="1" applyAlignment="1" applyProtection="1">
      <alignment horizontal="centerContinuous" vertical="center"/>
      <protection locked="0"/>
    </xf>
    <xf numFmtId="0" fontId="11" fillId="0" borderId="0" xfId="1" applyFont="1" applyFill="1" applyBorder="1" applyAlignment="1" applyProtection="1">
      <alignment horizontal="left" vertical="center"/>
    </xf>
    <xf numFmtId="0" fontId="3" fillId="7" borderId="18" xfId="0" applyFont="1" applyFill="1" applyBorder="1" applyAlignment="1" applyProtection="1">
      <alignment horizontal="right" vertical="center" indent="1"/>
      <protection locked="0"/>
    </xf>
    <xf numFmtId="0" fontId="3" fillId="7" borderId="0" xfId="0" applyFont="1" applyFill="1" applyBorder="1" applyAlignment="1" applyProtection="1">
      <alignment horizontal="right" vertical="center" indent="1"/>
      <protection locked="0"/>
    </xf>
    <xf numFmtId="0" fontId="3" fillId="4" borderId="36" xfId="0" applyFont="1" applyFill="1" applyBorder="1" applyAlignment="1">
      <alignment horizontal="left" vertical="center"/>
    </xf>
    <xf numFmtId="0" fontId="12" fillId="3" borderId="52" xfId="0" applyFont="1" applyFill="1" applyBorder="1" applyAlignment="1">
      <alignment horizontal="center" vertical="center" wrapText="1"/>
    </xf>
    <xf numFmtId="0" fontId="18" fillId="0" borderId="35" xfId="0" applyFont="1" applyBorder="1" applyAlignment="1" applyProtection="1">
      <alignment horizontal="left" indent="1"/>
    </xf>
    <xf numFmtId="0" fontId="18" fillId="0" borderId="35" xfId="0" applyFont="1" applyFill="1" applyBorder="1" applyAlignment="1" applyProtection="1">
      <alignment horizontal="left" indent="1"/>
    </xf>
    <xf numFmtId="0" fontId="18" fillId="0" borderId="23" xfId="0" applyFont="1" applyFill="1" applyBorder="1" applyAlignment="1" applyProtection="1">
      <alignment horizontal="center" vertical="center"/>
    </xf>
    <xf numFmtId="0" fontId="18" fillId="0" borderId="35" xfId="0" applyFont="1" applyFill="1" applyBorder="1" applyAlignment="1" applyProtection="1">
      <alignment vertical="center"/>
    </xf>
    <xf numFmtId="0" fontId="18" fillId="0" borderId="0" xfId="0" applyFont="1"/>
    <xf numFmtId="0" fontId="18" fillId="0" borderId="23" xfId="0" applyFont="1" applyBorder="1" applyAlignment="1" applyProtection="1">
      <alignment horizontal="center" vertical="center"/>
    </xf>
    <xf numFmtId="0" fontId="18" fillId="3" borderId="35" xfId="0" applyFont="1" applyFill="1" applyBorder="1"/>
    <xf numFmtId="0" fontId="18" fillId="3" borderId="15" xfId="0" applyFont="1" applyFill="1" applyBorder="1"/>
    <xf numFmtId="0" fontId="18" fillId="0" borderId="23" xfId="0" applyFont="1" applyBorder="1" applyAlignment="1" applyProtection="1">
      <alignment horizontal="right" vertical="center" indent="1"/>
    </xf>
    <xf numFmtId="0" fontId="18" fillId="0" borderId="23" xfId="0" applyFont="1" applyFill="1" applyBorder="1" applyAlignment="1" applyProtection="1">
      <alignment horizontal="right" vertical="center" indent="1"/>
    </xf>
    <xf numFmtId="0" fontId="18" fillId="0" borderId="23" xfId="0" applyFont="1" applyBorder="1" applyAlignment="1" applyProtection="1">
      <alignment horizontal="right" vertical="center"/>
    </xf>
    <xf numFmtId="2" fontId="18" fillId="0" borderId="23" xfId="0" applyNumberFormat="1" applyFont="1" applyBorder="1" applyAlignment="1" applyProtection="1">
      <alignment horizontal="right" vertical="center" indent="1"/>
    </xf>
    <xf numFmtId="2" fontId="18" fillId="0" borderId="23" xfId="0" applyNumberFormat="1" applyFont="1" applyFill="1" applyBorder="1" applyAlignment="1" applyProtection="1">
      <alignment horizontal="right" vertical="center" indent="1"/>
    </xf>
    <xf numFmtId="0" fontId="18" fillId="0" borderId="23" xfId="0" applyFont="1" applyFill="1" applyBorder="1" applyAlignment="1" applyProtection="1">
      <alignment horizontal="left" vertical="center"/>
    </xf>
    <xf numFmtId="0" fontId="24" fillId="0" borderId="23" xfId="0" applyFont="1" applyFill="1" applyBorder="1" applyAlignment="1">
      <alignment horizontal="center" vertical="center" wrapText="1"/>
    </xf>
    <xf numFmtId="0" fontId="18" fillId="0" borderId="35" xfId="0" applyFont="1" applyFill="1" applyBorder="1" applyAlignment="1">
      <alignment horizontal="center" vertical="center"/>
    </xf>
    <xf numFmtId="0" fontId="24" fillId="0" borderId="23" xfId="0" applyFont="1" applyFill="1" applyBorder="1" applyAlignment="1" applyProtection="1">
      <alignment horizontal="center" vertical="center" wrapText="1"/>
    </xf>
    <xf numFmtId="167" fontId="24" fillId="0" borderId="23" xfId="0" applyNumberFormat="1" applyFont="1" applyFill="1" applyBorder="1" applyAlignment="1">
      <alignment horizontal="center"/>
    </xf>
    <xf numFmtId="0" fontId="24" fillId="0" borderId="23" xfId="0" applyFont="1" applyFill="1" applyBorder="1" applyAlignment="1">
      <alignment horizontal="center"/>
    </xf>
    <xf numFmtId="0" fontId="24" fillId="11" borderId="37" xfId="0" applyNumberFormat="1" applyFont="1" applyFill="1" applyBorder="1" applyAlignment="1" applyProtection="1">
      <alignment horizontal="center"/>
    </xf>
    <xf numFmtId="0" fontId="24" fillId="11" borderId="25" xfId="0" applyNumberFormat="1" applyFont="1" applyFill="1" applyBorder="1" applyAlignment="1" applyProtection="1">
      <alignment horizontal="center"/>
    </xf>
    <xf numFmtId="0" fontId="24" fillId="11" borderId="24" xfId="0" applyNumberFormat="1" applyFont="1" applyFill="1" applyBorder="1" applyAlignment="1" applyProtection="1">
      <alignment horizontal="center"/>
    </xf>
    <xf numFmtId="0" fontId="24" fillId="11" borderId="37" xfId="0" applyFont="1" applyFill="1" applyBorder="1" applyAlignment="1">
      <alignment horizontal="right" indent="1"/>
    </xf>
    <xf numFmtId="0" fontId="24" fillId="11" borderId="15" xfId="0" applyFont="1" applyFill="1" applyBorder="1" applyAlignment="1">
      <alignment horizontal="right" indent="1"/>
    </xf>
    <xf numFmtId="0" fontId="24" fillId="11" borderId="17" xfId="0" applyFont="1" applyFill="1" applyBorder="1" applyAlignment="1">
      <alignment horizontal="right" indent="1"/>
    </xf>
    <xf numFmtId="167" fontId="24" fillId="0" borderId="23" xfId="0" applyNumberFormat="1" applyFont="1" applyFill="1" applyBorder="1" applyAlignment="1" applyProtection="1">
      <alignment horizontal="center"/>
    </xf>
    <xf numFmtId="0" fontId="24" fillId="11" borderId="35" xfId="0" applyNumberFormat="1" applyFont="1" applyFill="1" applyBorder="1" applyAlignment="1" applyProtection="1">
      <alignment horizontal="center"/>
    </xf>
    <xf numFmtId="0" fontId="24" fillId="11" borderId="53" xfId="0" applyNumberFormat="1" applyFont="1" applyFill="1" applyBorder="1" applyAlignment="1" applyProtection="1">
      <alignment horizontal="center"/>
    </xf>
    <xf numFmtId="0" fontId="24" fillId="11" borderId="18" xfId="0" applyNumberFormat="1" applyFont="1" applyFill="1" applyBorder="1" applyAlignment="1" applyProtection="1">
      <alignment horizontal="center"/>
    </xf>
    <xf numFmtId="0" fontId="24" fillId="11" borderId="36" xfId="0" applyNumberFormat="1" applyFont="1" applyFill="1" applyBorder="1" applyAlignment="1" applyProtection="1">
      <alignment horizontal="center"/>
    </xf>
    <xf numFmtId="0" fontId="24" fillId="0" borderId="23" xfId="0" applyFont="1" applyBorder="1" applyAlignment="1">
      <alignment horizontal="center" vertical="center" wrapText="1"/>
    </xf>
    <xf numFmtId="167" fontId="24" fillId="0" borderId="23" xfId="0" applyNumberFormat="1" applyFont="1" applyFill="1" applyBorder="1" applyAlignment="1">
      <alignment horizontal="center" vertical="center"/>
    </xf>
    <xf numFmtId="0" fontId="24" fillId="0" borderId="23" xfId="0" applyFont="1" applyFill="1" applyBorder="1" applyAlignment="1">
      <alignment horizontal="center" vertical="center"/>
    </xf>
    <xf numFmtId="3" fontId="24" fillId="0" borderId="23" xfId="0" applyNumberFormat="1" applyFont="1" applyFill="1" applyBorder="1" applyAlignment="1">
      <alignment horizontal="center" vertical="center"/>
    </xf>
    <xf numFmtId="2" fontId="24" fillId="0" borderId="23" xfId="0" applyNumberFormat="1" applyFont="1" applyFill="1" applyBorder="1" applyAlignment="1">
      <alignment horizontal="center" vertical="center"/>
    </xf>
    <xf numFmtId="168" fontId="24" fillId="0" borderId="23" xfId="0" applyNumberFormat="1" applyFont="1" applyFill="1" applyBorder="1" applyAlignment="1">
      <alignment horizontal="center" vertical="center"/>
    </xf>
    <xf numFmtId="0" fontId="24" fillId="0" borderId="0" xfId="0" applyFont="1" applyFill="1" applyBorder="1"/>
    <xf numFmtId="0" fontId="24" fillId="11" borderId="35" xfId="0" applyFont="1" applyFill="1" applyBorder="1" applyAlignment="1">
      <alignment horizontal="right" vertical="center" indent="1"/>
    </xf>
    <xf numFmtId="0" fontId="24" fillId="11" borderId="53" xfId="0" applyFont="1" applyFill="1" applyBorder="1" applyAlignment="1">
      <alignment horizontal="right" vertical="center" indent="1"/>
    </xf>
    <xf numFmtId="3" fontId="27" fillId="11" borderId="53" xfId="0" applyNumberFormat="1" applyFont="1" applyFill="1" applyBorder="1" applyAlignment="1">
      <alignment horizontal="center" vertical="center"/>
    </xf>
    <xf numFmtId="3" fontId="24" fillId="11" borderId="53" xfId="0" applyNumberFormat="1" applyFont="1" applyFill="1" applyBorder="1" applyAlignment="1">
      <alignment horizontal="center" vertical="center"/>
    </xf>
    <xf numFmtId="2" fontId="24" fillId="11" borderId="36" xfId="0" applyNumberFormat="1" applyFont="1" applyFill="1" applyBorder="1" applyAlignment="1">
      <alignment horizontal="right" vertical="center" indent="1"/>
    </xf>
    <xf numFmtId="0" fontId="24" fillId="0" borderId="23" xfId="0" applyFont="1" applyFill="1" applyBorder="1" applyAlignment="1">
      <alignment horizontal="right" indent="1"/>
    </xf>
    <xf numFmtId="3" fontId="24" fillId="0" borderId="23" xfId="0" applyNumberFormat="1" applyFont="1" applyFill="1" applyBorder="1" applyAlignment="1">
      <alignment horizontal="center"/>
    </xf>
    <xf numFmtId="3" fontId="24" fillId="0" borderId="23" xfId="0" applyNumberFormat="1" applyFont="1" applyFill="1" applyBorder="1" applyAlignment="1">
      <alignment horizontal="right" indent="1"/>
    </xf>
    <xf numFmtId="0" fontId="24" fillId="11" borderId="23" xfId="0" applyFont="1" applyFill="1" applyBorder="1" applyAlignment="1">
      <alignment horizontal="right" indent="1"/>
    </xf>
    <xf numFmtId="0" fontId="24" fillId="11" borderId="35" xfId="0" applyFont="1" applyFill="1" applyBorder="1"/>
    <xf numFmtId="0" fontId="24" fillId="11" borderId="53" xfId="0" applyFont="1" applyFill="1" applyBorder="1"/>
    <xf numFmtId="0" fontId="24" fillId="11" borderId="53" xfId="0" applyFont="1" applyFill="1" applyBorder="1" applyAlignment="1">
      <alignment horizontal="right" indent="1"/>
    </xf>
    <xf numFmtId="3" fontId="24" fillId="11" borderId="36" xfId="0" applyNumberFormat="1" applyFont="1" applyFill="1" applyBorder="1" applyAlignment="1">
      <alignment horizontal="right" indent="1"/>
    </xf>
    <xf numFmtId="0" fontId="24" fillId="0" borderId="0" xfId="0" applyFont="1" applyFill="1" applyBorder="1" applyAlignment="1">
      <alignment vertical="center" wrapText="1"/>
    </xf>
    <xf numFmtId="167" fontId="30" fillId="0" borderId="23" xfId="0" applyNumberFormat="1" applyFont="1" applyBorder="1" applyAlignment="1">
      <alignment horizontal="center"/>
    </xf>
    <xf numFmtId="0" fontId="30" fillId="0" borderId="23" xfId="0" applyNumberFormat="1" applyFont="1" applyBorder="1" applyAlignment="1">
      <alignment horizontal="center"/>
    </xf>
    <xf numFmtId="3" fontId="30" fillId="0" borderId="23" xfId="0" applyNumberFormat="1" applyFont="1" applyBorder="1" applyAlignment="1">
      <alignment horizontal="center"/>
    </xf>
    <xf numFmtId="0" fontId="24" fillId="0" borderId="23" xfId="0" applyNumberFormat="1" applyFont="1" applyFill="1" applyBorder="1" applyAlignment="1">
      <alignment horizontal="center"/>
    </xf>
    <xf numFmtId="2" fontId="24" fillId="0" borderId="23" xfId="0" applyNumberFormat="1" applyFont="1" applyFill="1" applyBorder="1" applyAlignment="1">
      <alignment horizontal="center"/>
    </xf>
    <xf numFmtId="0" fontId="30" fillId="11" borderId="36" xfId="0" applyNumberFormat="1" applyFont="1" applyFill="1" applyBorder="1" applyAlignment="1">
      <alignment horizontal="center"/>
    </xf>
    <xf numFmtId="0" fontId="24" fillId="11" borderId="35" xfId="0" applyNumberFormat="1" applyFont="1" applyFill="1" applyBorder="1" applyAlignment="1">
      <alignment horizontal="center"/>
    </xf>
    <xf numFmtId="2" fontId="24" fillId="11" borderId="36" xfId="0" applyNumberFormat="1" applyFont="1" applyFill="1" applyBorder="1" applyAlignment="1">
      <alignment horizontal="center"/>
    </xf>
    <xf numFmtId="2" fontId="30" fillId="0" borderId="23" xfId="0" applyNumberFormat="1" applyFont="1" applyBorder="1" applyAlignment="1">
      <alignment horizontal="right" indent="1"/>
    </xf>
    <xf numFmtId="2" fontId="30" fillId="11" borderId="35" xfId="0" applyNumberFormat="1" applyFont="1" applyFill="1" applyBorder="1" applyAlignment="1">
      <alignment horizontal="right" indent="1"/>
    </xf>
    <xf numFmtId="3" fontId="30" fillId="11" borderId="36" xfId="0" applyNumberFormat="1" applyFont="1" applyFill="1" applyBorder="1" applyAlignment="1">
      <alignment horizontal="center"/>
    </xf>
    <xf numFmtId="2" fontId="24" fillId="11" borderId="35" xfId="0" applyNumberFormat="1" applyFont="1" applyFill="1" applyBorder="1" applyAlignment="1">
      <alignment horizontal="center"/>
    </xf>
    <xf numFmtId="1" fontId="30" fillId="0" borderId="23" xfId="0" applyNumberFormat="1" applyFont="1" applyBorder="1" applyAlignment="1">
      <alignment horizontal="right" indent="1"/>
    </xf>
    <xf numFmtId="1" fontId="24" fillId="0" borderId="23" xfId="0" applyNumberFormat="1" applyFont="1" applyFill="1" applyBorder="1" applyAlignment="1">
      <alignment horizontal="right" indent="1"/>
    </xf>
    <xf numFmtId="4" fontId="24" fillId="0" borderId="23" xfId="0" applyNumberFormat="1" applyFont="1" applyFill="1" applyBorder="1" applyAlignment="1">
      <alignment horizontal="center"/>
    </xf>
    <xf numFmtId="2" fontId="24" fillId="0" borderId="23" xfId="0" applyNumberFormat="1" applyFont="1" applyFill="1" applyBorder="1" applyAlignment="1">
      <alignment horizontal="right" indent="1"/>
    </xf>
    <xf numFmtId="1" fontId="30" fillId="11" borderId="23" xfId="0" applyNumberFormat="1" applyFont="1" applyFill="1" applyBorder="1" applyAlignment="1">
      <alignment horizontal="right" indent="1"/>
    </xf>
    <xf numFmtId="3" fontId="30" fillId="11" borderId="35" xfId="0" applyNumberFormat="1" applyFont="1" applyFill="1" applyBorder="1" applyAlignment="1">
      <alignment horizontal="center"/>
    </xf>
    <xf numFmtId="1" fontId="24" fillId="11" borderId="53" xfId="0" applyNumberFormat="1" applyFont="1" applyFill="1" applyBorder="1" applyAlignment="1">
      <alignment horizontal="right" indent="1"/>
    </xf>
    <xf numFmtId="4" fontId="24" fillId="11" borderId="53" xfId="0" applyNumberFormat="1" applyFont="1" applyFill="1" applyBorder="1" applyAlignment="1">
      <alignment horizontal="center"/>
    </xf>
    <xf numFmtId="3" fontId="24" fillId="11" borderId="53" xfId="0" applyNumberFormat="1" applyFont="1" applyFill="1" applyBorder="1" applyAlignment="1">
      <alignment horizontal="center"/>
    </xf>
    <xf numFmtId="2" fontId="24" fillId="11" borderId="53" xfId="0" applyNumberFormat="1" applyFont="1" applyFill="1" applyBorder="1" applyAlignment="1">
      <alignment horizontal="right" indent="1"/>
    </xf>
    <xf numFmtId="1" fontId="24" fillId="11" borderId="36" xfId="0" applyNumberFormat="1" applyFont="1" applyFill="1" applyBorder="1" applyAlignment="1">
      <alignment horizontal="right" indent="1"/>
    </xf>
    <xf numFmtId="1" fontId="30" fillId="0" borderId="23" xfId="0" applyNumberFormat="1" applyFont="1" applyBorder="1" applyAlignment="1">
      <alignment horizontal="center"/>
    </xf>
    <xf numFmtId="4" fontId="30" fillId="0" borderId="23" xfId="0" applyNumberFormat="1" applyFont="1" applyBorder="1" applyAlignment="1">
      <alignment horizontal="right" indent="1"/>
    </xf>
    <xf numFmtId="169" fontId="24" fillId="0" borderId="23" xfId="0" applyNumberFormat="1" applyFont="1" applyFill="1" applyBorder="1" applyAlignment="1">
      <alignment horizontal="right" indent="1"/>
    </xf>
    <xf numFmtId="2" fontId="30" fillId="11" borderId="35" xfId="0" applyNumberFormat="1" applyFont="1" applyFill="1" applyBorder="1" applyAlignment="1">
      <alignment horizontal="center"/>
    </xf>
    <xf numFmtId="4" fontId="30" fillId="11" borderId="53" xfId="0" applyNumberFormat="1" applyFont="1" applyFill="1" applyBorder="1" applyAlignment="1">
      <alignment horizontal="right" indent="1"/>
    </xf>
    <xf numFmtId="4" fontId="30" fillId="11" borderId="36" xfId="0" applyNumberFormat="1" applyFont="1" applyFill="1" applyBorder="1" applyAlignment="1">
      <alignment horizontal="right" indent="1"/>
    </xf>
    <xf numFmtId="2" fontId="24" fillId="11" borderId="23" xfId="0" applyNumberFormat="1" applyFont="1" applyFill="1" applyBorder="1" applyAlignment="1">
      <alignment horizontal="right" indent="1"/>
    </xf>
    <xf numFmtId="1" fontId="24" fillId="11" borderId="23" xfId="0" applyNumberFormat="1" applyFont="1" applyFill="1" applyBorder="1" applyAlignment="1">
      <alignment horizontal="right" indent="1"/>
    </xf>
    <xf numFmtId="169" fontId="24" fillId="11" borderId="35" xfId="0" applyNumberFormat="1" applyFont="1" applyFill="1" applyBorder="1" applyAlignment="1">
      <alignment horizontal="right" indent="1"/>
    </xf>
    <xf numFmtId="2" fontId="24" fillId="11" borderId="36" xfId="0" applyNumberFormat="1" applyFont="1" applyFill="1" applyBorder="1" applyAlignment="1">
      <alignment horizontal="right" indent="1"/>
    </xf>
    <xf numFmtId="0" fontId="30" fillId="0" borderId="35" xfId="0" applyFont="1" applyBorder="1" applyAlignment="1">
      <alignment horizontal="center"/>
    </xf>
    <xf numFmtId="0" fontId="24" fillId="0" borderId="35" xfId="0" applyFont="1" applyFill="1" applyBorder="1" applyAlignment="1">
      <alignment horizontal="center"/>
    </xf>
    <xf numFmtId="0" fontId="24" fillId="0" borderId="37" xfId="0" applyFont="1" applyFill="1" applyBorder="1" applyAlignment="1" applyProtection="1">
      <alignment horizontal="center" vertical="center" wrapText="1"/>
    </xf>
    <xf numFmtId="0" fontId="24" fillId="0" borderId="37" xfId="0" applyFont="1" applyFill="1" applyBorder="1" applyAlignment="1" applyProtection="1">
      <alignment vertical="center" wrapText="1"/>
    </xf>
    <xf numFmtId="0" fontId="30" fillId="0" borderId="35" xfId="0" applyFont="1" applyBorder="1" applyAlignment="1"/>
    <xf numFmtId="0" fontId="24" fillId="0" borderId="35" xfId="0" applyFont="1" applyFill="1" applyBorder="1" applyAlignment="1"/>
    <xf numFmtId="0" fontId="24" fillId="0" borderId="37" xfId="0" applyFont="1" applyFill="1" applyBorder="1" applyAlignment="1">
      <alignment horizontal="center" vertical="center" wrapText="1"/>
    </xf>
    <xf numFmtId="0" fontId="18" fillId="0" borderId="37" xfId="0" applyFont="1" applyFill="1" applyBorder="1" applyAlignment="1">
      <alignment horizontal="center" vertical="center"/>
    </xf>
    <xf numFmtId="0" fontId="18" fillId="0" borderId="23" xfId="0" applyFont="1" applyBorder="1" applyAlignment="1">
      <alignment horizontal="center"/>
    </xf>
    <xf numFmtId="0" fontId="18" fillId="0" borderId="23" xfId="0" quotePrefix="1" applyFont="1" applyBorder="1"/>
    <xf numFmtId="0" fontId="18" fillId="0" borderId="23" xfId="0" quotePrefix="1" applyFont="1" applyBorder="1" applyAlignment="1">
      <alignment horizontal="center"/>
    </xf>
    <xf numFmtId="0" fontId="3" fillId="0" borderId="23" xfId="0" quotePrefix="1" applyFont="1" applyBorder="1" applyAlignment="1">
      <alignment horizontal="center"/>
    </xf>
    <xf numFmtId="0" fontId="18" fillId="0" borderId="0" xfId="0" applyFont="1" applyAlignment="1">
      <alignment horizontal="center"/>
    </xf>
    <xf numFmtId="0" fontId="25" fillId="0" borderId="23" xfId="0" quotePrefix="1" applyFont="1" applyBorder="1" applyAlignment="1">
      <alignment horizontal="center"/>
    </xf>
    <xf numFmtId="0" fontId="3" fillId="0" borderId="23" xfId="0" applyFont="1" applyBorder="1" applyAlignment="1">
      <alignment horizontal="center"/>
    </xf>
    <xf numFmtId="0" fontId="3" fillId="0" borderId="23" xfId="0" applyFont="1" applyBorder="1"/>
    <xf numFmtId="0" fontId="24" fillId="0" borderId="23" xfId="0" applyFont="1" applyFill="1" applyBorder="1" applyAlignment="1">
      <alignment vertical="center"/>
    </xf>
    <xf numFmtId="0" fontId="3" fillId="0" borderId="0" xfId="0" applyFont="1" applyAlignment="1">
      <alignment horizontal="center" vertical="top" wrapText="1"/>
    </xf>
    <xf numFmtId="0" fontId="18" fillId="0" borderId="0" xfId="0" applyFont="1" applyFill="1" applyBorder="1" applyAlignment="1">
      <alignment horizontal="center"/>
    </xf>
    <xf numFmtId="0" fontId="3" fillId="0" borderId="0" xfId="0" applyFont="1" applyFill="1" applyBorder="1" applyAlignment="1">
      <alignment horizontal="center"/>
    </xf>
    <xf numFmtId="0" fontId="18" fillId="0" borderId="23" xfId="0" applyFont="1" applyFill="1" applyBorder="1" applyAlignment="1">
      <alignment vertical="center"/>
    </xf>
    <xf numFmtId="0" fontId="18" fillId="0" borderId="35" xfId="0" applyFont="1" applyFill="1" applyBorder="1" applyAlignment="1">
      <alignment vertical="center"/>
    </xf>
    <xf numFmtId="0" fontId="18" fillId="0" borderId="23" xfId="0" applyFont="1" applyFill="1" applyBorder="1" applyAlignment="1">
      <alignment horizontal="center" vertical="center"/>
    </xf>
    <xf numFmtId="3" fontId="18" fillId="0" borderId="23" xfId="0" applyNumberFormat="1" applyFont="1" applyFill="1" applyBorder="1" applyAlignment="1">
      <alignment horizontal="center" vertical="center"/>
    </xf>
    <xf numFmtId="2" fontId="18" fillId="0" borderId="23" xfId="0" applyNumberFormat="1" applyFont="1" applyFill="1" applyBorder="1" applyAlignment="1">
      <alignment horizontal="right" vertical="center" indent="1"/>
    </xf>
    <xf numFmtId="0" fontId="18" fillId="0" borderId="23" xfId="0" applyFont="1" applyFill="1" applyBorder="1" applyAlignment="1">
      <alignment horizontal="right" vertical="center" indent="1"/>
    </xf>
    <xf numFmtId="0" fontId="18" fillId="0" borderId="0" xfId="0" applyFont="1" applyFill="1" applyBorder="1" applyAlignment="1">
      <alignment vertical="center"/>
    </xf>
    <xf numFmtId="0" fontId="25" fillId="0" borderId="23" xfId="0" quotePrefix="1" applyFont="1" applyBorder="1" applyAlignment="1">
      <alignment horizontal="center" vertical="center"/>
    </xf>
    <xf numFmtId="0" fontId="18" fillId="0" borderId="23" xfId="0" quotePrefix="1" applyFont="1" applyBorder="1" applyAlignment="1">
      <alignment horizontal="center" vertical="center"/>
    </xf>
    <xf numFmtId="0" fontId="18" fillId="0" borderId="23" xfId="0" applyFont="1" applyFill="1" applyBorder="1" applyAlignment="1">
      <alignment horizontal="right" vertical="center"/>
    </xf>
    <xf numFmtId="0" fontId="18" fillId="0" borderId="23" xfId="0" quotePrefix="1" applyFont="1" applyBorder="1" applyAlignment="1">
      <alignment horizontal="right"/>
    </xf>
    <xf numFmtId="3" fontId="18" fillId="0" borderId="23" xfId="0" applyNumberFormat="1" applyFont="1" applyFill="1" applyBorder="1" applyAlignment="1">
      <alignment horizontal="right" vertical="center"/>
    </xf>
    <xf numFmtId="0" fontId="18" fillId="0" borderId="14" xfId="0" applyFont="1" applyFill="1" applyBorder="1" applyAlignment="1">
      <alignment horizontal="right" vertical="center"/>
    </xf>
    <xf numFmtId="0" fontId="3" fillId="0" borderId="23" xfId="0" applyFont="1" applyFill="1" applyBorder="1" applyAlignment="1">
      <alignment horizontal="center" vertical="center"/>
    </xf>
    <xf numFmtId="0" fontId="18" fillId="0" borderId="23" xfId="0" quotePrefix="1" applyFont="1" applyFill="1" applyBorder="1" applyAlignment="1">
      <alignment horizontal="right" vertical="center" indent="1"/>
    </xf>
    <xf numFmtId="1" fontId="24" fillId="0" borderId="23" xfId="0" applyNumberFormat="1" applyFont="1" applyFill="1" applyBorder="1" applyAlignment="1">
      <alignment horizontal="center" vertical="center"/>
    </xf>
    <xf numFmtId="3" fontId="25" fillId="0" borderId="23" xfId="0" applyNumberFormat="1" applyFont="1" applyFill="1" applyBorder="1" applyAlignment="1">
      <alignment horizontal="center" vertical="center"/>
    </xf>
    <xf numFmtId="1" fontId="18" fillId="0" borderId="23" xfId="0" applyNumberFormat="1" applyFont="1" applyFill="1" applyBorder="1" applyAlignment="1">
      <alignment horizontal="center" vertical="center"/>
    </xf>
    <xf numFmtId="0" fontId="18" fillId="0" borderId="35" xfId="0" applyFont="1" applyBorder="1" applyAlignment="1">
      <alignment horizontal="left" indent="1"/>
    </xf>
    <xf numFmtId="0" fontId="18" fillId="0" borderId="35" xfId="0" applyFont="1" applyFill="1" applyBorder="1" applyAlignment="1">
      <alignment horizontal="left" indent="1"/>
    </xf>
    <xf numFmtId="170" fontId="30" fillId="0" borderId="0" xfId="0" applyNumberFormat="1" applyFont="1" applyBorder="1"/>
    <xf numFmtId="0" fontId="30" fillId="0" borderId="23" xfId="0" applyNumberFormat="1" applyFont="1" applyBorder="1" applyAlignment="1"/>
    <xf numFmtId="168" fontId="30" fillId="0" borderId="23" xfId="0" applyNumberFormat="1" applyFont="1" applyBorder="1" applyAlignment="1">
      <alignment horizontal="center"/>
    </xf>
    <xf numFmtId="0" fontId="18" fillId="0" borderId="0" xfId="0" applyFont="1" applyAlignment="1">
      <alignment vertical="top" wrapText="1"/>
    </xf>
    <xf numFmtId="0" fontId="30" fillId="0" borderId="23" xfId="0" applyFont="1" applyBorder="1" applyAlignment="1">
      <alignment horizontal="center"/>
    </xf>
    <xf numFmtId="0" fontId="24" fillId="11" borderId="16" xfId="0" applyNumberFormat="1" applyFont="1" applyFill="1" applyBorder="1" applyAlignment="1">
      <alignment horizontal="center"/>
    </xf>
    <xf numFmtId="0" fontId="24" fillId="11" borderId="17" xfId="0" applyNumberFormat="1" applyFont="1" applyFill="1" applyBorder="1" applyAlignment="1">
      <alignment horizontal="center"/>
    </xf>
    <xf numFmtId="0" fontId="24" fillId="11" borderId="18" xfId="0" applyNumberFormat="1" applyFont="1" applyFill="1" applyBorder="1" applyAlignment="1">
      <alignment horizontal="center"/>
    </xf>
    <xf numFmtId="0" fontId="24" fillId="11" borderId="53" xfId="0" applyNumberFormat="1" applyFont="1" applyFill="1" applyBorder="1" applyAlignment="1">
      <alignment horizontal="center"/>
    </xf>
    <xf numFmtId="0" fontId="24" fillId="11" borderId="36" xfId="0" applyNumberFormat="1" applyFont="1" applyFill="1" applyBorder="1" applyAlignment="1">
      <alignment horizontal="center"/>
    </xf>
    <xf numFmtId="2" fontId="30" fillId="0" borderId="23" xfId="0" applyNumberFormat="1" applyFont="1" applyBorder="1" applyAlignment="1">
      <alignment horizontal="center"/>
    </xf>
    <xf numFmtId="0" fontId="24" fillId="0" borderId="35" xfId="0" applyFont="1" applyFill="1" applyBorder="1" applyAlignment="1">
      <alignment vertical="center"/>
    </xf>
    <xf numFmtId="0" fontId="24" fillId="0" borderId="0" xfId="0" applyFont="1" applyFill="1" applyBorder="1" applyAlignment="1">
      <alignment vertical="center"/>
    </xf>
    <xf numFmtId="2" fontId="18" fillId="0" borderId="23" xfId="0" applyNumberFormat="1" applyFont="1" applyFill="1" applyBorder="1" applyAlignment="1">
      <alignment horizontal="center" vertical="center"/>
    </xf>
    <xf numFmtId="0" fontId="18" fillId="0" borderId="23" xfId="0" quotePrefix="1" applyFont="1" applyFill="1" applyBorder="1" applyAlignment="1">
      <alignment horizontal="center" vertical="center"/>
    </xf>
    <xf numFmtId="0" fontId="18" fillId="0" borderId="23" xfId="0" applyFont="1" applyFill="1" applyBorder="1" applyAlignment="1">
      <alignment horizontal="center"/>
    </xf>
    <xf numFmtId="3" fontId="18" fillId="0" borderId="35" xfId="0" applyNumberFormat="1" applyFont="1" applyFill="1" applyBorder="1" applyAlignment="1">
      <alignment horizontal="center" vertical="center"/>
    </xf>
    <xf numFmtId="2" fontId="18" fillId="0" borderId="35" xfId="0" applyNumberFormat="1" applyFont="1" applyFill="1" applyBorder="1" applyAlignment="1">
      <alignment horizontal="center" vertical="center"/>
    </xf>
    <xf numFmtId="170" fontId="18" fillId="0" borderId="23" xfId="0" applyNumberFormat="1" applyFont="1" applyFill="1" applyBorder="1" applyAlignment="1">
      <alignment horizontal="center" vertical="center"/>
    </xf>
    <xf numFmtId="1" fontId="30" fillId="0" borderId="23" xfId="0" applyNumberFormat="1" applyFont="1" applyBorder="1" applyAlignment="1">
      <alignment horizontal="center" vertical="center"/>
    </xf>
    <xf numFmtId="170" fontId="24" fillId="0" borderId="23" xfId="0" applyNumberFormat="1" applyFont="1" applyFill="1" applyBorder="1" applyAlignment="1">
      <alignment horizontal="center"/>
    </xf>
    <xf numFmtId="0" fontId="24" fillId="11" borderId="37" xfId="0" applyNumberFormat="1" applyFont="1" applyFill="1" applyBorder="1" applyAlignment="1">
      <alignment horizontal="center"/>
    </xf>
    <xf numFmtId="0" fontId="24" fillId="11" borderId="15" xfId="0" applyNumberFormat="1" applyFont="1" applyFill="1" applyBorder="1" applyAlignment="1">
      <alignment horizontal="center"/>
    </xf>
    <xf numFmtId="0" fontId="24" fillId="11" borderId="14" xfId="0" applyNumberFormat="1" applyFont="1" applyFill="1" applyBorder="1" applyAlignment="1">
      <alignment horizontal="center"/>
    </xf>
    <xf numFmtId="0" fontId="18" fillId="0" borderId="23" xfId="0" applyFont="1" applyFill="1" applyBorder="1" applyAlignment="1">
      <alignment horizontal="center" vertical="center" wrapText="1"/>
    </xf>
    <xf numFmtId="0" fontId="18" fillId="0" borderId="0" xfId="0" applyFont="1" applyFill="1" applyBorder="1" applyAlignment="1"/>
    <xf numFmtId="170" fontId="18" fillId="0" borderId="23" xfId="0" applyNumberFormat="1" applyFont="1" applyFill="1" applyBorder="1" applyAlignment="1">
      <alignment vertical="center"/>
    </xf>
    <xf numFmtId="0" fontId="38" fillId="0" borderId="35" xfId="0" applyFont="1" applyFill="1" applyBorder="1" applyAlignment="1">
      <alignment vertical="center"/>
    </xf>
    <xf numFmtId="0" fontId="38" fillId="0" borderId="0" xfId="0" applyFont="1" applyFill="1" applyBorder="1" applyAlignment="1">
      <alignment vertical="center"/>
    </xf>
    <xf numFmtId="0" fontId="3" fillId="0" borderId="0" xfId="0" applyFont="1" applyAlignment="1" applyProtection="1">
      <alignment vertical="top" wrapText="1"/>
    </xf>
    <xf numFmtId="0" fontId="18" fillId="0" borderId="0" xfId="0" applyFont="1" applyFill="1" applyBorder="1" applyProtection="1"/>
    <xf numFmtId="0" fontId="9" fillId="0" borderId="0" xfId="0" applyFont="1" applyProtection="1"/>
    <xf numFmtId="0" fontId="18" fillId="0" borderId="0" xfId="0" applyFont="1" applyProtection="1"/>
    <xf numFmtId="0" fontId="24" fillId="0" borderId="23" xfId="0" applyFont="1" applyBorder="1" applyAlignment="1" applyProtection="1">
      <alignment horizontal="center" vertical="center" wrapText="1"/>
    </xf>
    <xf numFmtId="0" fontId="30" fillId="0" borderId="23" xfId="0" applyFont="1" applyBorder="1" applyAlignment="1" applyProtection="1">
      <alignment horizontal="center"/>
    </xf>
    <xf numFmtId="167" fontId="30" fillId="0" borderId="23" xfId="0" applyNumberFormat="1" applyFont="1" applyBorder="1" applyAlignment="1" applyProtection="1">
      <alignment horizontal="center" vertical="center"/>
    </xf>
    <xf numFmtId="168" fontId="24" fillId="0" borderId="23" xfId="0" applyNumberFormat="1" applyFont="1" applyFill="1" applyBorder="1" applyAlignment="1" applyProtection="1">
      <alignment horizontal="center"/>
    </xf>
    <xf numFmtId="3" fontId="24" fillId="0" borderId="23" xfId="0" applyNumberFormat="1" applyFont="1" applyFill="1" applyBorder="1" applyAlignment="1" applyProtection="1">
      <alignment horizontal="center"/>
    </xf>
    <xf numFmtId="1" fontId="24" fillId="0" borderId="23" xfId="0" applyNumberFormat="1" applyFont="1" applyFill="1" applyBorder="1" applyAlignment="1" applyProtection="1">
      <alignment horizontal="center"/>
    </xf>
    <xf numFmtId="0" fontId="24" fillId="0" borderId="23" xfId="0" applyNumberFormat="1" applyFont="1" applyFill="1" applyBorder="1" applyAlignment="1" applyProtection="1">
      <alignment horizontal="center"/>
    </xf>
    <xf numFmtId="0" fontId="24" fillId="0" borderId="23" xfId="0" applyFont="1" applyFill="1" applyBorder="1" applyAlignment="1" applyProtection="1">
      <alignment horizontal="center"/>
    </xf>
    <xf numFmtId="167" fontId="30" fillId="0" borderId="23" xfId="0" applyNumberFormat="1" applyFont="1" applyBorder="1" applyAlignment="1" applyProtection="1">
      <alignment horizontal="center"/>
    </xf>
    <xf numFmtId="4" fontId="24" fillId="11" borderId="37" xfId="0" applyNumberFormat="1" applyFont="1" applyFill="1" applyBorder="1" applyAlignment="1" applyProtection="1">
      <alignment horizontal="center"/>
    </xf>
    <xf numFmtId="1" fontId="24" fillId="11" borderId="15" xfId="0" applyNumberFormat="1" applyFont="1" applyFill="1" applyBorder="1" applyAlignment="1" applyProtection="1">
      <alignment horizontal="center"/>
    </xf>
    <xf numFmtId="0" fontId="24" fillId="11" borderId="17" xfId="0" applyNumberFormat="1" applyFont="1" applyFill="1" applyBorder="1" applyAlignment="1" applyProtection="1">
      <alignment horizontal="center"/>
    </xf>
    <xf numFmtId="0" fontId="24" fillId="0" borderId="35" xfId="0" applyFont="1" applyFill="1" applyBorder="1" applyAlignment="1" applyProtection="1">
      <alignment horizontal="center"/>
    </xf>
    <xf numFmtId="4" fontId="24" fillId="11" borderId="35" xfId="0" applyNumberFormat="1" applyFont="1" applyFill="1" applyBorder="1" applyAlignment="1" applyProtection="1">
      <alignment horizontal="center"/>
    </xf>
    <xf numFmtId="4" fontId="24" fillId="11" borderId="53" xfId="0" applyNumberFormat="1" applyFont="1" applyFill="1" applyBorder="1" applyAlignment="1" applyProtection="1">
      <alignment horizontal="center"/>
    </xf>
    <xf numFmtId="4" fontId="24" fillId="11" borderId="18" xfId="0" applyNumberFormat="1" applyFont="1" applyFill="1" applyBorder="1" applyAlignment="1" applyProtection="1">
      <alignment horizontal="center"/>
    </xf>
    <xf numFmtId="0" fontId="24" fillId="0" borderId="0" xfId="0" applyFont="1" applyFill="1" applyBorder="1" applyProtection="1"/>
    <xf numFmtId="1" fontId="30" fillId="0" borderId="23" xfId="0" applyNumberFormat="1" applyFont="1" applyBorder="1" applyAlignment="1" applyProtection="1">
      <alignment horizontal="center" vertical="center"/>
    </xf>
    <xf numFmtId="2" fontId="30" fillId="0" borderId="23" xfId="0" applyNumberFormat="1" applyFont="1" applyBorder="1" applyAlignment="1" applyProtection="1">
      <alignment horizontal="center"/>
    </xf>
    <xf numFmtId="4" fontId="24" fillId="0" borderId="23" xfId="0" applyNumberFormat="1" applyFont="1" applyFill="1" applyBorder="1" applyAlignment="1" applyProtection="1">
      <alignment horizontal="center"/>
    </xf>
    <xf numFmtId="4" fontId="24" fillId="11" borderId="23" xfId="0" applyNumberFormat="1" applyFont="1" applyFill="1" applyBorder="1" applyAlignment="1" applyProtection="1">
      <alignment horizontal="center"/>
    </xf>
    <xf numFmtId="170" fontId="24" fillId="11" borderId="23" xfId="0" applyNumberFormat="1" applyFont="1" applyFill="1" applyBorder="1" applyAlignment="1" applyProtection="1">
      <alignment horizontal="center"/>
    </xf>
    <xf numFmtId="0" fontId="24" fillId="11" borderId="23" xfId="0" applyNumberFormat="1" applyFont="1" applyFill="1" applyBorder="1" applyAlignment="1" applyProtection="1">
      <alignment horizontal="center"/>
    </xf>
    <xf numFmtId="169" fontId="30" fillId="0" borderId="23" xfId="0" applyNumberFormat="1" applyFont="1" applyBorder="1" applyAlignment="1" applyProtection="1">
      <alignment horizontal="center" vertical="center"/>
    </xf>
    <xf numFmtId="2" fontId="30" fillId="0" borderId="23" xfId="0" applyNumberFormat="1" applyFont="1" applyBorder="1" applyAlignment="1" applyProtection="1">
      <alignment horizontal="center" vertical="center"/>
    </xf>
    <xf numFmtId="168" fontId="30" fillId="0" borderId="23" xfId="0" applyNumberFormat="1" applyFont="1" applyBorder="1" applyAlignment="1" applyProtection="1">
      <alignment horizontal="center"/>
    </xf>
    <xf numFmtId="2" fontId="24" fillId="0" borderId="23" xfId="0" applyNumberFormat="1" applyFont="1" applyFill="1" applyBorder="1" applyAlignment="1" applyProtection="1">
      <alignment horizontal="center"/>
    </xf>
    <xf numFmtId="2" fontId="30" fillId="11" borderId="23" xfId="0" applyNumberFormat="1" applyFont="1" applyFill="1" applyBorder="1" applyAlignment="1" applyProtection="1">
      <alignment horizontal="right" indent="1"/>
    </xf>
    <xf numFmtId="3" fontId="30" fillId="11" borderId="23" xfId="0" applyNumberFormat="1" applyFont="1" applyFill="1" applyBorder="1" applyAlignment="1" applyProtection="1">
      <alignment horizontal="center"/>
    </xf>
    <xf numFmtId="0" fontId="24" fillId="0" borderId="23" xfId="0" applyFont="1" applyFill="1" applyBorder="1" applyAlignment="1" applyProtection="1">
      <alignment horizontal="right" indent="1"/>
    </xf>
    <xf numFmtId="3" fontId="24" fillId="0" borderId="23" xfId="0" applyNumberFormat="1" applyFont="1" applyFill="1" applyBorder="1" applyAlignment="1" applyProtection="1">
      <alignment horizontal="right" indent="1"/>
    </xf>
    <xf numFmtId="0" fontId="18" fillId="0" borderId="35" xfId="0" applyFont="1" applyFill="1" applyBorder="1" applyAlignment="1" applyProtection="1">
      <alignment horizontal="center" vertical="center"/>
    </xf>
    <xf numFmtId="0" fontId="18" fillId="0" borderId="36" xfId="0" applyFont="1" applyFill="1" applyBorder="1" applyAlignment="1" applyProtection="1">
      <alignment horizontal="center" vertical="center"/>
    </xf>
    <xf numFmtId="0" fontId="24" fillId="0" borderId="37" xfId="0" applyFont="1" applyBorder="1" applyAlignment="1" applyProtection="1">
      <alignment horizontal="center" vertical="center" wrapText="1"/>
    </xf>
    <xf numFmtId="0" fontId="18" fillId="0" borderId="23" xfId="0" quotePrefix="1" applyFont="1" applyBorder="1" applyProtection="1"/>
    <xf numFmtId="0" fontId="18" fillId="0" borderId="23" xfId="0" applyFont="1" applyBorder="1" applyAlignment="1" applyProtection="1">
      <alignment horizontal="center"/>
    </xf>
    <xf numFmtId="0" fontId="18" fillId="0" borderId="23" xfId="0" quotePrefix="1" applyFont="1" applyBorder="1" applyAlignment="1" applyProtection="1">
      <alignment horizontal="center"/>
    </xf>
    <xf numFmtId="0" fontId="24" fillId="0" borderId="37" xfId="0" applyFont="1" applyBorder="1" applyAlignment="1" applyProtection="1">
      <alignment vertical="center" wrapText="1"/>
    </xf>
    <xf numFmtId="0" fontId="24" fillId="0" borderId="0" xfId="0" applyFont="1" applyFill="1" applyBorder="1" applyAlignment="1" applyProtection="1">
      <alignment horizontal="center"/>
    </xf>
    <xf numFmtId="0" fontId="24" fillId="0" borderId="0" xfId="0" applyFont="1" applyFill="1" applyBorder="1" applyAlignment="1" applyProtection="1">
      <alignment horizontal="center" vertical="center"/>
    </xf>
    <xf numFmtId="168" fontId="24" fillId="0" borderId="0" xfId="0" applyNumberFormat="1" applyFont="1" applyFill="1" applyBorder="1" applyAlignment="1" applyProtection="1">
      <alignment horizontal="center"/>
    </xf>
    <xf numFmtId="0" fontId="24" fillId="0" borderId="0" xfId="0" applyFont="1" applyFill="1" applyBorder="1" applyAlignment="1" applyProtection="1">
      <alignment horizontal="left" vertical="center" wrapText="1"/>
    </xf>
    <xf numFmtId="0" fontId="24" fillId="0" borderId="24" xfId="0" applyFont="1" applyFill="1" applyBorder="1" applyAlignment="1" applyProtection="1">
      <alignment horizontal="left" vertical="center" wrapText="1"/>
    </xf>
    <xf numFmtId="0" fontId="24" fillId="0" borderId="0" xfId="0" applyFont="1" applyFill="1" applyBorder="1" applyAlignment="1" applyProtection="1">
      <alignment horizontal="left" vertical="center"/>
    </xf>
    <xf numFmtId="0" fontId="18" fillId="0" borderId="35" xfId="0" applyFont="1" applyFill="1" applyBorder="1" applyAlignment="1" applyProtection="1">
      <alignment horizontal="left" vertical="center"/>
    </xf>
    <xf numFmtId="170" fontId="18" fillId="0" borderId="23" xfId="0" applyNumberFormat="1" applyFont="1" applyFill="1" applyBorder="1" applyAlignment="1" applyProtection="1">
      <alignment horizontal="center" vertical="center"/>
    </xf>
    <xf numFmtId="2" fontId="18" fillId="0" borderId="23" xfId="0" applyNumberFormat="1" applyFont="1" applyFill="1" applyBorder="1" applyAlignment="1" applyProtection="1">
      <alignment horizontal="center" vertical="center"/>
    </xf>
    <xf numFmtId="0" fontId="18" fillId="0" borderId="23" xfId="0" quotePrefix="1" applyFont="1" applyFill="1" applyBorder="1" applyAlignment="1" applyProtection="1">
      <alignment horizontal="center" vertical="center"/>
    </xf>
    <xf numFmtId="3" fontId="18" fillId="0" borderId="23" xfId="0" quotePrefix="1" applyNumberFormat="1" applyFont="1" applyFill="1" applyBorder="1" applyAlignment="1" applyProtection="1">
      <alignment horizontal="center" vertical="center"/>
    </xf>
    <xf numFmtId="0" fontId="24" fillId="0" borderId="23" xfId="0" applyFont="1" applyFill="1" applyBorder="1" applyAlignment="1" applyProtection="1"/>
    <xf numFmtId="0" fontId="24" fillId="0" borderId="15" xfId="0" applyFont="1" applyFill="1" applyBorder="1" applyAlignment="1" applyProtection="1">
      <alignment vertical="center" wrapText="1"/>
    </xf>
    <xf numFmtId="3" fontId="30" fillId="0" borderId="35" xfId="0" applyNumberFormat="1" applyFont="1" applyBorder="1" applyAlignment="1" applyProtection="1"/>
    <xf numFmtId="1" fontId="30" fillId="0" borderId="23" xfId="0" applyNumberFormat="1" applyFont="1" applyBorder="1" applyAlignment="1" applyProtection="1"/>
    <xf numFmtId="1" fontId="24" fillId="11" borderId="35" xfId="0" applyNumberFormat="1" applyFont="1" applyFill="1" applyBorder="1" applyAlignment="1" applyProtection="1">
      <alignment horizontal="center"/>
    </xf>
    <xf numFmtId="0" fontId="18" fillId="0" borderId="23" xfId="0" quotePrefix="1" applyFont="1" applyBorder="1" applyAlignment="1" applyProtection="1">
      <alignment horizontal="center" vertical="center"/>
    </xf>
    <xf numFmtId="0" fontId="24" fillId="0" borderId="37" xfId="0" applyFont="1" applyFill="1" applyBorder="1" applyAlignment="1" applyProtection="1">
      <alignment vertical="center"/>
    </xf>
    <xf numFmtId="0" fontId="24" fillId="0" borderId="0" xfId="0" applyFont="1" applyFill="1" applyBorder="1" applyAlignment="1" applyProtection="1">
      <alignment vertical="center"/>
    </xf>
    <xf numFmtId="0" fontId="24" fillId="0" borderId="0" xfId="0" applyFont="1" applyFill="1" applyBorder="1" applyAlignment="1" applyProtection="1">
      <alignment vertical="center" wrapText="1"/>
    </xf>
    <xf numFmtId="1" fontId="30" fillId="11" borderId="35" xfId="0" applyNumberFormat="1" applyFont="1" applyFill="1" applyBorder="1" applyAlignment="1" applyProtection="1">
      <alignment horizontal="center" vertical="center"/>
    </xf>
    <xf numFmtId="1" fontId="30" fillId="11" borderId="36" xfId="0" applyNumberFormat="1" applyFont="1" applyFill="1" applyBorder="1" applyAlignment="1" applyProtection="1">
      <alignment horizontal="center" vertical="center"/>
    </xf>
    <xf numFmtId="4" fontId="24" fillId="11" borderId="15" xfId="0" applyNumberFormat="1" applyFont="1" applyFill="1" applyBorder="1" applyAlignment="1" applyProtection="1">
      <alignment horizontal="center"/>
    </xf>
    <xf numFmtId="0" fontId="2" fillId="3" borderId="47" xfId="0" applyFont="1" applyFill="1" applyBorder="1" applyAlignment="1">
      <alignment horizontal="right" vertical="center"/>
    </xf>
    <xf numFmtId="0" fontId="2" fillId="3" borderId="45" xfId="0" applyFont="1" applyFill="1" applyBorder="1" applyAlignment="1">
      <alignment horizontal="left" vertical="center"/>
    </xf>
    <xf numFmtId="167" fontId="24" fillId="3" borderId="23" xfId="0" applyNumberFormat="1" applyFont="1" applyFill="1" applyBorder="1" applyAlignment="1" applyProtection="1">
      <alignment horizontal="center"/>
    </xf>
    <xf numFmtId="0" fontId="3" fillId="3" borderId="5" xfId="0" applyFont="1" applyFill="1" applyBorder="1" applyAlignment="1"/>
    <xf numFmtId="3" fontId="3" fillId="3" borderId="27" xfId="0" applyNumberFormat="1" applyFont="1" applyFill="1" applyBorder="1" applyAlignment="1">
      <alignment horizontal="right" vertical="center"/>
    </xf>
    <xf numFmtId="0" fontId="3" fillId="3" borderId="53" xfId="0" applyFont="1" applyFill="1" applyBorder="1" applyAlignment="1"/>
    <xf numFmtId="3" fontId="3" fillId="3" borderId="23" xfId="0" applyNumberFormat="1" applyFont="1" applyFill="1" applyBorder="1" applyAlignment="1">
      <alignment horizontal="right" vertical="center"/>
    </xf>
    <xf numFmtId="0" fontId="3" fillId="3" borderId="53" xfId="0" applyFont="1" applyFill="1" applyBorder="1" applyAlignment="1">
      <alignment vertical="center"/>
    </xf>
    <xf numFmtId="0" fontId="9" fillId="3" borderId="4" xfId="0" applyFont="1" applyFill="1" applyBorder="1" applyAlignment="1">
      <alignment vertical="center"/>
    </xf>
    <xf numFmtId="0" fontId="9" fillId="3" borderId="12" xfId="0" applyFont="1" applyFill="1" applyBorder="1" applyAlignment="1">
      <alignment vertical="center"/>
    </xf>
    <xf numFmtId="0" fontId="9" fillId="3" borderId="30" xfId="0" applyFont="1" applyFill="1" applyBorder="1" applyAlignment="1"/>
    <xf numFmtId="0" fontId="9" fillId="3" borderId="30" xfId="0" applyFont="1" applyFill="1" applyBorder="1" applyAlignment="1">
      <alignment vertical="center"/>
    </xf>
    <xf numFmtId="0" fontId="9" fillId="3" borderId="13" xfId="0" applyFont="1" applyFill="1" applyBorder="1" applyAlignment="1">
      <alignment vertical="center"/>
    </xf>
    <xf numFmtId="0" fontId="3" fillId="3" borderId="58" xfId="0" applyFont="1" applyFill="1" applyBorder="1" applyAlignment="1">
      <alignment vertical="center"/>
    </xf>
    <xf numFmtId="3" fontId="3" fillId="3" borderId="32" xfId="0" applyNumberFormat="1" applyFont="1" applyFill="1" applyBorder="1" applyAlignment="1">
      <alignment horizontal="right" vertical="center"/>
    </xf>
    <xf numFmtId="0" fontId="9" fillId="3" borderId="33" xfId="0" applyFont="1" applyFill="1" applyBorder="1" applyAlignment="1">
      <alignment vertical="center"/>
    </xf>
    <xf numFmtId="0" fontId="38" fillId="0" borderId="0" xfId="3" applyFont="1" applyFill="1" applyBorder="1" applyAlignment="1" applyProtection="1">
      <alignment vertical="top"/>
    </xf>
    <xf numFmtId="0" fontId="18" fillId="0" borderId="23" xfId="0" applyFont="1" applyBorder="1" applyAlignment="1">
      <alignment horizontal="center" vertical="center" wrapText="1"/>
    </xf>
    <xf numFmtId="0" fontId="18" fillId="0" borderId="23" xfId="0" applyFont="1" applyFill="1" applyBorder="1" applyAlignment="1" applyProtection="1">
      <alignment horizontal="center" vertical="center" wrapText="1"/>
    </xf>
    <xf numFmtId="0" fontId="38" fillId="0" borderId="23" xfId="0" applyFont="1" applyBorder="1" applyAlignment="1">
      <alignment horizontal="center"/>
    </xf>
    <xf numFmtId="167" fontId="38" fillId="0" borderId="23" xfId="0" applyNumberFormat="1" applyFont="1" applyBorder="1" applyAlignment="1">
      <alignment horizontal="center"/>
    </xf>
    <xf numFmtId="0" fontId="38" fillId="0" borderId="23" xfId="0" applyNumberFormat="1" applyFont="1" applyBorder="1" applyAlignment="1">
      <alignment horizontal="center"/>
    </xf>
    <xf numFmtId="3" fontId="38" fillId="0" borderId="23" xfId="0" applyNumberFormat="1" applyFont="1" applyBorder="1" applyAlignment="1">
      <alignment horizontal="center"/>
    </xf>
    <xf numFmtId="3" fontId="18" fillId="0" borderId="23" xfId="0" applyNumberFormat="1" applyFont="1" applyFill="1" applyBorder="1" applyAlignment="1">
      <alignment horizontal="center"/>
    </xf>
    <xf numFmtId="2" fontId="18" fillId="0" borderId="23" xfId="0" applyNumberFormat="1" applyFont="1" applyFill="1" applyBorder="1" applyAlignment="1">
      <alignment horizontal="center"/>
    </xf>
    <xf numFmtId="0" fontId="18" fillId="0" borderId="23" xfId="0" applyNumberFormat="1" applyFont="1" applyFill="1" applyBorder="1" applyAlignment="1">
      <alignment horizontal="center"/>
    </xf>
    <xf numFmtId="168" fontId="18" fillId="0" borderId="23" xfId="0" applyNumberFormat="1" applyFont="1" applyFill="1" applyBorder="1" applyAlignment="1">
      <alignment horizontal="center"/>
    </xf>
    <xf numFmtId="0" fontId="18" fillId="0" borderId="23" xfId="0" applyNumberFormat="1" applyFont="1" applyFill="1" applyBorder="1"/>
    <xf numFmtId="0" fontId="18" fillId="11" borderId="37" xfId="0" applyNumberFormat="1" applyFont="1" applyFill="1" applyBorder="1" applyAlignment="1" applyProtection="1">
      <alignment horizontal="center"/>
    </xf>
    <xf numFmtId="0" fontId="18" fillId="11" borderId="25" xfId="0" applyNumberFormat="1" applyFont="1" applyFill="1" applyBorder="1" applyAlignment="1" applyProtection="1">
      <alignment horizontal="center"/>
    </xf>
    <xf numFmtId="0" fontId="18" fillId="11" borderId="24" xfId="0" applyNumberFormat="1" applyFont="1" applyFill="1" applyBorder="1" applyAlignment="1" applyProtection="1">
      <alignment horizontal="center"/>
    </xf>
    <xf numFmtId="168" fontId="38" fillId="0" borderId="23" xfId="0" applyNumberFormat="1" applyFont="1" applyBorder="1" applyAlignment="1">
      <alignment horizontal="center"/>
    </xf>
    <xf numFmtId="0" fontId="38" fillId="11" borderId="15" xfId="0" applyNumberFormat="1" applyFont="1" applyFill="1" applyBorder="1" applyAlignment="1">
      <alignment horizontal="center"/>
    </xf>
    <xf numFmtId="0" fontId="38" fillId="11" borderId="16" xfId="0" applyNumberFormat="1" applyFont="1" applyFill="1" applyBorder="1" applyAlignment="1">
      <alignment horizontal="center"/>
    </xf>
    <xf numFmtId="0" fontId="18" fillId="11" borderId="16" xfId="0" applyNumberFormat="1" applyFont="1" applyFill="1" applyBorder="1" applyAlignment="1">
      <alignment horizontal="center"/>
    </xf>
    <xf numFmtId="2" fontId="18" fillId="11" borderId="16" xfId="0" applyNumberFormat="1" applyFont="1" applyFill="1" applyBorder="1" applyAlignment="1">
      <alignment horizontal="center"/>
    </xf>
    <xf numFmtId="0" fontId="18" fillId="11" borderId="17" xfId="0" applyNumberFormat="1" applyFont="1" applyFill="1" applyBorder="1" applyAlignment="1">
      <alignment horizontal="center"/>
    </xf>
    <xf numFmtId="0" fontId="18" fillId="11" borderId="15" xfId="0" applyNumberFormat="1" applyFont="1" applyFill="1" applyBorder="1"/>
    <xf numFmtId="0" fontId="18" fillId="11" borderId="17" xfId="0" applyNumberFormat="1" applyFont="1" applyFill="1" applyBorder="1"/>
    <xf numFmtId="167" fontId="18" fillId="3" borderId="23" xfId="0" applyNumberFormat="1" applyFont="1" applyFill="1" applyBorder="1" applyAlignment="1" applyProtection="1">
      <alignment horizontal="center"/>
    </xf>
    <xf numFmtId="0" fontId="38" fillId="11" borderId="14" xfId="0" applyNumberFormat="1" applyFont="1" applyFill="1" applyBorder="1" applyAlignment="1">
      <alignment horizontal="center"/>
    </xf>
    <xf numFmtId="0" fontId="38" fillId="11" borderId="18" xfId="0" applyNumberFormat="1" applyFont="1" applyFill="1" applyBorder="1" applyAlignment="1">
      <alignment horizontal="center"/>
    </xf>
    <xf numFmtId="0" fontId="18" fillId="11" borderId="18" xfId="0" applyNumberFormat="1" applyFont="1" applyFill="1" applyBorder="1" applyAlignment="1">
      <alignment horizontal="center"/>
    </xf>
    <xf numFmtId="2" fontId="18" fillId="11" borderId="18" xfId="0" applyNumberFormat="1" applyFont="1" applyFill="1" applyBorder="1" applyAlignment="1">
      <alignment horizontal="center"/>
    </xf>
    <xf numFmtId="0" fontId="38" fillId="11" borderId="53" xfId="0" applyNumberFormat="1" applyFont="1" applyFill="1" applyBorder="1" applyAlignment="1">
      <alignment horizontal="center"/>
    </xf>
    <xf numFmtId="0" fontId="18" fillId="11" borderId="53" xfId="0" applyNumberFormat="1" applyFont="1" applyFill="1" applyBorder="1" applyAlignment="1">
      <alignment horizontal="center"/>
    </xf>
    <xf numFmtId="0" fontId="18" fillId="11" borderId="36" xfId="0" applyNumberFormat="1" applyFont="1" applyFill="1" applyBorder="1" applyAlignment="1">
      <alignment horizontal="center"/>
    </xf>
    <xf numFmtId="0" fontId="18" fillId="0" borderId="0" xfId="0" applyFont="1" applyFill="1" applyBorder="1" applyAlignment="1">
      <alignment vertical="center" wrapText="1"/>
    </xf>
    <xf numFmtId="0" fontId="38" fillId="0" borderId="35" xfId="0" applyFont="1" applyBorder="1" applyAlignment="1">
      <alignment horizontal="center"/>
    </xf>
    <xf numFmtId="0" fontId="18" fillId="0" borderId="35" xfId="0" applyFont="1" applyFill="1" applyBorder="1" applyAlignment="1">
      <alignment horizontal="center"/>
    </xf>
    <xf numFmtId="0" fontId="18" fillId="11" borderId="35" xfId="0" applyFont="1" applyFill="1" applyBorder="1" applyAlignment="1">
      <alignment horizontal="right" vertical="center" indent="1"/>
    </xf>
    <xf numFmtId="0" fontId="18" fillId="11" borderId="53" xfId="0" applyFont="1" applyFill="1" applyBorder="1" applyAlignment="1">
      <alignment horizontal="right" vertical="center" indent="1"/>
    </xf>
    <xf numFmtId="0" fontId="38" fillId="11" borderId="36" xfId="0" applyNumberFormat="1" applyFont="1" applyFill="1" applyBorder="1" applyAlignment="1">
      <alignment horizontal="center"/>
    </xf>
    <xf numFmtId="0" fontId="18" fillId="11" borderId="35" xfId="0" applyNumberFormat="1" applyFont="1" applyFill="1" applyBorder="1" applyAlignment="1">
      <alignment horizontal="center"/>
    </xf>
    <xf numFmtId="2" fontId="18" fillId="11" borderId="36" xfId="0" applyNumberFormat="1" applyFont="1" applyFill="1" applyBorder="1" applyAlignment="1">
      <alignment horizontal="center"/>
    </xf>
    <xf numFmtId="2" fontId="38" fillId="0" borderId="23" xfId="0" applyNumberFormat="1" applyFont="1" applyBorder="1" applyAlignment="1">
      <alignment horizontal="center"/>
    </xf>
    <xf numFmtId="2" fontId="38" fillId="11" borderId="23" xfId="0" applyNumberFormat="1" applyFont="1" applyFill="1" applyBorder="1" applyAlignment="1">
      <alignment horizontal="center"/>
    </xf>
    <xf numFmtId="2" fontId="18" fillId="11" borderId="23" xfId="0" applyNumberFormat="1" applyFont="1" applyFill="1" applyBorder="1" applyAlignment="1">
      <alignment horizontal="center"/>
    </xf>
    <xf numFmtId="0" fontId="18" fillId="0" borderId="23" xfId="0" applyFont="1" applyBorder="1" applyAlignment="1">
      <alignment horizontal="center" vertical="center"/>
    </xf>
    <xf numFmtId="167" fontId="30" fillId="0" borderId="23" xfId="0" applyNumberFormat="1" applyFont="1" applyFill="1" applyBorder="1" applyAlignment="1" applyProtection="1">
      <alignment horizontal="center" vertical="center"/>
    </xf>
    <xf numFmtId="2" fontId="30" fillId="0" borderId="23" xfId="0" applyNumberFormat="1" applyFont="1" applyFill="1" applyBorder="1" applyAlignment="1" applyProtection="1">
      <alignment horizontal="center"/>
    </xf>
    <xf numFmtId="169" fontId="30" fillId="0" borderId="23" xfId="0" applyNumberFormat="1" applyFont="1" applyFill="1" applyBorder="1" applyAlignment="1" applyProtection="1">
      <alignment horizontal="center" vertical="center"/>
    </xf>
    <xf numFmtId="2" fontId="30" fillId="0" borderId="23" xfId="0" applyNumberFormat="1" applyFont="1" applyFill="1" applyBorder="1" applyAlignment="1" applyProtection="1">
      <alignment horizontal="center" vertical="center"/>
    </xf>
    <xf numFmtId="0" fontId="18" fillId="0" borderId="23" xfId="0" applyFont="1" applyFill="1" applyBorder="1" applyAlignment="1" applyProtection="1">
      <alignment horizontal="right" vertical="center"/>
    </xf>
    <xf numFmtId="0" fontId="18" fillId="0" borderId="35" xfId="0" applyFont="1" applyFill="1" applyBorder="1" applyAlignment="1">
      <alignment horizontal="right" vertical="center"/>
    </xf>
    <xf numFmtId="0" fontId="2" fillId="3" borderId="47" xfId="0" applyFont="1" applyFill="1" applyBorder="1" applyAlignment="1">
      <alignment vertical="center"/>
    </xf>
    <xf numFmtId="0" fontId="2" fillId="3" borderId="44" xfId="0" applyFont="1" applyFill="1" applyBorder="1" applyAlignment="1">
      <alignment vertical="top"/>
    </xf>
    <xf numFmtId="0" fontId="2" fillId="3" borderId="45" xfId="0" applyFont="1" applyFill="1" applyBorder="1" applyAlignment="1">
      <alignment horizontal="left" vertical="top"/>
    </xf>
    <xf numFmtId="0" fontId="2" fillId="3" borderId="46" xfId="0" applyFont="1" applyFill="1" applyBorder="1" applyAlignment="1">
      <alignment horizontal="left" vertical="top"/>
    </xf>
    <xf numFmtId="167" fontId="2" fillId="3" borderId="47" xfId="0" applyNumberFormat="1" applyFont="1" applyFill="1" applyBorder="1" applyAlignment="1">
      <alignment vertical="center"/>
    </xf>
    <xf numFmtId="0" fontId="41" fillId="0" borderId="0" xfId="0" applyFont="1" applyFill="1" applyBorder="1"/>
    <xf numFmtId="0" fontId="38" fillId="3" borderId="18" xfId="0" applyFont="1" applyFill="1" applyBorder="1" applyAlignment="1">
      <alignment horizontal="center" vertical="center"/>
    </xf>
    <xf numFmtId="0" fontId="38" fillId="3" borderId="24" xfId="0" applyFont="1" applyFill="1" applyBorder="1" applyAlignment="1">
      <alignment horizontal="center" vertical="center" wrapText="1"/>
    </xf>
    <xf numFmtId="0" fontId="38" fillId="3" borderId="14" xfId="0" applyFont="1" applyFill="1" applyBorder="1" applyAlignment="1">
      <alignment horizontal="centerContinuous" vertical="center"/>
    </xf>
    <xf numFmtId="0" fontId="18" fillId="3" borderId="53" xfId="0" applyFont="1" applyFill="1" applyBorder="1" applyAlignment="1">
      <alignment vertical="top" wrapText="1"/>
    </xf>
    <xf numFmtId="0" fontId="18" fillId="3" borderId="53" xfId="0" applyFont="1" applyFill="1" applyBorder="1"/>
    <xf numFmtId="0" fontId="38" fillId="3" borderId="53" xfId="0" applyFont="1" applyFill="1" applyBorder="1"/>
    <xf numFmtId="0" fontId="38" fillId="3" borderId="53" xfId="0" applyFont="1" applyFill="1" applyBorder="1" applyAlignment="1">
      <alignment horizontal="left"/>
    </xf>
    <xf numFmtId="0" fontId="18" fillId="3" borderId="16" xfId="0" applyFont="1" applyFill="1" applyBorder="1"/>
    <xf numFmtId="0" fontId="3" fillId="3" borderId="18" xfId="0" applyFont="1" applyFill="1" applyBorder="1" applyAlignment="1" applyProtection="1">
      <alignment horizontal="right" vertical="center" indent="1"/>
    </xf>
    <xf numFmtId="0" fontId="3" fillId="3" borderId="10" xfId="0" applyFont="1" applyFill="1" applyBorder="1" applyAlignment="1" applyProtection="1">
      <alignment horizontal="right" vertical="center" indent="1"/>
    </xf>
    <xf numFmtId="0" fontId="3" fillId="4" borderId="18" xfId="0" applyFont="1" applyFill="1" applyBorder="1" applyAlignment="1" applyProtection="1">
      <alignment horizontal="left"/>
      <protection locked="0"/>
    </xf>
    <xf numFmtId="0" fontId="3" fillId="4" borderId="18" xfId="0" applyNumberFormat="1" applyFont="1" applyFill="1" applyBorder="1" applyAlignment="1" applyProtection="1">
      <alignment horizontal="left" vertical="center"/>
      <protection locked="0"/>
    </xf>
    <xf numFmtId="0" fontId="3" fillId="4" borderId="10" xfId="0" applyNumberFormat="1" applyFont="1" applyFill="1" applyBorder="1" applyAlignment="1" applyProtection="1">
      <alignment horizontal="left" vertical="center"/>
      <protection locked="0"/>
    </xf>
    <xf numFmtId="0" fontId="10" fillId="8" borderId="50" xfId="0" applyFont="1" applyFill="1" applyBorder="1" applyAlignment="1">
      <alignment horizontal="centerContinuous" vertical="center"/>
    </xf>
    <xf numFmtId="0" fontId="19" fillId="8" borderId="59" xfId="0" applyFont="1" applyFill="1" applyBorder="1" applyAlignment="1">
      <alignment horizontal="centerContinuous" vertical="center"/>
    </xf>
    <xf numFmtId="0" fontId="3" fillId="3" borderId="48" xfId="0" applyFont="1" applyFill="1" applyBorder="1" applyAlignment="1">
      <alignment vertical="center"/>
    </xf>
    <xf numFmtId="0" fontId="3" fillId="3" borderId="48" xfId="0" applyFont="1" applyFill="1" applyBorder="1" applyAlignment="1">
      <alignment vertical="center" wrapText="1"/>
    </xf>
    <xf numFmtId="0" fontId="3" fillId="3" borderId="50" xfId="0" applyFont="1" applyFill="1" applyBorder="1" applyAlignment="1">
      <alignment vertical="center" wrapText="1"/>
    </xf>
    <xf numFmtId="0" fontId="3" fillId="3" borderId="13" xfId="0" applyFont="1" applyFill="1" applyBorder="1" applyAlignment="1">
      <alignment vertical="center" wrapText="1"/>
    </xf>
    <xf numFmtId="0" fontId="3" fillId="3" borderId="48" xfId="0" applyFont="1" applyFill="1" applyBorder="1" applyAlignment="1"/>
    <xf numFmtId="0" fontId="3" fillId="3" borderId="13" xfId="0" applyFont="1" applyFill="1" applyBorder="1" applyAlignment="1"/>
    <xf numFmtId="165" fontId="3" fillId="3" borderId="60" xfId="0" applyNumberFormat="1" applyFont="1" applyFill="1" applyBorder="1" applyAlignment="1">
      <alignment horizontal="left" vertical="center" indent="1"/>
    </xf>
    <xf numFmtId="165" fontId="3" fillId="3" borderId="33" xfId="0" applyNumberFormat="1" applyFont="1" applyFill="1" applyBorder="1" applyAlignment="1">
      <alignment horizontal="left" vertical="center" indent="1"/>
    </xf>
    <xf numFmtId="171" fontId="3" fillId="3" borderId="33" xfId="0" applyNumberFormat="1" applyFont="1" applyFill="1" applyBorder="1" applyAlignment="1">
      <alignment vertical="center"/>
    </xf>
    <xf numFmtId="171" fontId="3" fillId="3" borderId="59" xfId="0" applyNumberFormat="1" applyFont="1" applyFill="1" applyBorder="1" applyAlignment="1">
      <alignment vertical="center"/>
    </xf>
    <xf numFmtId="0" fontId="21" fillId="0" borderId="23" xfId="1" applyFont="1" applyFill="1" applyBorder="1" applyAlignment="1">
      <alignment vertical="center" wrapText="1"/>
    </xf>
    <xf numFmtId="0" fontId="22" fillId="0" borderId="0" xfId="0" applyFont="1" applyAlignment="1">
      <alignment horizontal="centerContinuous"/>
    </xf>
    <xf numFmtId="0" fontId="10" fillId="9" borderId="50" xfId="0" applyFont="1" applyFill="1" applyBorder="1" applyAlignment="1">
      <alignment horizontal="center" vertical="center" wrapText="1"/>
    </xf>
    <xf numFmtId="0" fontId="10" fillId="9" borderId="61" xfId="0" applyFont="1" applyFill="1" applyBorder="1" applyAlignment="1">
      <alignment horizontal="center" vertical="center" wrapText="1"/>
    </xf>
    <xf numFmtId="0" fontId="10" fillId="9" borderId="59" xfId="0" applyFont="1" applyFill="1" applyBorder="1" applyAlignment="1">
      <alignment horizontal="center" vertical="center" wrapText="1"/>
    </xf>
    <xf numFmtId="0" fontId="3" fillId="3" borderId="48" xfId="0" applyFont="1" applyFill="1" applyBorder="1" applyAlignment="1">
      <alignment horizontal="right" vertical="center"/>
    </xf>
    <xf numFmtId="0" fontId="9" fillId="3" borderId="48" xfId="0" applyFont="1" applyFill="1" applyBorder="1" applyAlignment="1">
      <alignment horizontal="right" vertical="center"/>
    </xf>
    <xf numFmtId="0" fontId="9" fillId="3" borderId="13" xfId="0" applyFont="1" applyFill="1" applyBorder="1" applyAlignment="1">
      <alignment horizontal="righ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right" vertical="center" wrapText="1"/>
    </xf>
    <xf numFmtId="0" fontId="3" fillId="3" borderId="15" xfId="0" applyFont="1" applyFill="1" applyBorder="1" applyAlignment="1">
      <alignment horizontal="right" vertical="center" indent="1"/>
    </xf>
    <xf numFmtId="0" fontId="3" fillId="3" borderId="60" xfId="0" applyFont="1" applyFill="1" applyBorder="1" applyAlignment="1">
      <alignment horizontal="right" indent="1"/>
    </xf>
    <xf numFmtId="0" fontId="9" fillId="3" borderId="15" xfId="0" applyFont="1" applyFill="1" applyBorder="1" applyAlignment="1">
      <alignment horizontal="right" vertical="center" indent="1"/>
    </xf>
    <xf numFmtId="0" fontId="9" fillId="3" borderId="42" xfId="0" applyFont="1" applyFill="1" applyBorder="1" applyAlignment="1">
      <alignment horizontal="right" vertical="center" indent="1"/>
    </xf>
    <xf numFmtId="0" fontId="3" fillId="3" borderId="33" xfId="0" applyFont="1" applyFill="1" applyBorder="1" applyAlignment="1">
      <alignment horizontal="right" indent="1"/>
    </xf>
    <xf numFmtId="170" fontId="3" fillId="0" borderId="0" xfId="0" applyNumberFormat="1" applyFont="1" applyFill="1" applyBorder="1" applyAlignment="1">
      <alignment wrapText="1"/>
    </xf>
    <xf numFmtId="0" fontId="22" fillId="0" borderId="0" xfId="0" applyFont="1" applyAlignment="1" applyProtection="1">
      <alignment horizontal="center"/>
    </xf>
    <xf numFmtId="0" fontId="10" fillId="9" borderId="38" xfId="0" applyFont="1" applyFill="1" applyBorder="1" applyAlignment="1">
      <alignment horizontal="center" vertical="center" wrapText="1"/>
    </xf>
    <xf numFmtId="0" fontId="0" fillId="0" borderId="0" xfId="0"/>
    <xf numFmtId="0" fontId="0" fillId="0" borderId="0" xfId="0" applyProtection="1">
      <protection locked="0"/>
    </xf>
    <xf numFmtId="0" fontId="42" fillId="12" borderId="23" xfId="0" applyFont="1" applyFill="1" applyBorder="1" applyAlignment="1" applyProtection="1">
      <alignment horizontal="center" vertical="center" wrapText="1"/>
      <protection locked="0"/>
    </xf>
    <xf numFmtId="0" fontId="42" fillId="12" borderId="23" xfId="0" applyFont="1" applyFill="1" applyBorder="1" applyAlignment="1" applyProtection="1">
      <alignment horizontal="center" vertical="center"/>
      <protection locked="0"/>
    </xf>
    <xf numFmtId="0" fontId="42" fillId="16" borderId="23" xfId="0" applyFont="1" applyFill="1" applyBorder="1" applyAlignment="1" applyProtection="1">
      <alignment horizontal="center" vertical="center" wrapText="1"/>
      <protection locked="0"/>
    </xf>
    <xf numFmtId="14" fontId="0" fillId="0" borderId="0" xfId="0" applyNumberFormat="1" applyProtection="1">
      <protection locked="0"/>
    </xf>
    <xf numFmtId="0" fontId="0" fillId="0" borderId="0" xfId="0" applyNumberFormat="1" applyProtection="1">
      <protection locked="0"/>
    </xf>
    <xf numFmtId="0" fontId="0" fillId="0" borderId="0" xfId="0" applyProtection="1"/>
    <xf numFmtId="0" fontId="42" fillId="4" borderId="23" xfId="0" applyFont="1" applyFill="1" applyBorder="1" applyAlignment="1" applyProtection="1">
      <alignment horizontal="center" vertical="center" wrapText="1"/>
      <protection locked="0"/>
    </xf>
    <xf numFmtId="0" fontId="42" fillId="17" borderId="23" xfId="0" applyFont="1" applyFill="1" applyBorder="1" applyAlignment="1" applyProtection="1">
      <alignment horizontal="center" vertical="center" wrapText="1"/>
      <protection locked="0"/>
    </xf>
    <xf numFmtId="0" fontId="42" fillId="14" borderId="23" xfId="0" applyFont="1" applyFill="1" applyBorder="1" applyAlignment="1" applyProtection="1">
      <alignment horizontal="center" vertical="center" wrapText="1"/>
      <protection locked="0"/>
    </xf>
    <xf numFmtId="0" fontId="42" fillId="14" borderId="23" xfId="0" applyFont="1" applyFill="1" applyBorder="1" applyAlignment="1" applyProtection="1">
      <alignment horizontal="center" vertical="center" wrapText="1"/>
    </xf>
    <xf numFmtId="0" fontId="42" fillId="15" borderId="23" xfId="0" applyFont="1" applyFill="1" applyBorder="1" applyAlignment="1" applyProtection="1">
      <alignment horizontal="center" vertical="center" wrapText="1"/>
    </xf>
    <xf numFmtId="0" fontId="42" fillId="13" borderId="23" xfId="0" applyFont="1" applyFill="1" applyBorder="1" applyAlignment="1" applyProtection="1">
      <alignment horizontal="center" vertical="center" wrapText="1"/>
      <protection locked="0"/>
    </xf>
    <xf numFmtId="0" fontId="42" fillId="13" borderId="23" xfId="0" applyFont="1" applyFill="1" applyBorder="1" applyAlignment="1" applyProtection="1">
      <alignment horizontal="center" vertical="center"/>
      <protection locked="0"/>
    </xf>
    <xf numFmtId="0" fontId="18" fillId="0" borderId="15" xfId="0" applyFont="1" applyFill="1" applyBorder="1" applyAlignment="1">
      <alignment vertical="center"/>
    </xf>
    <xf numFmtId="0" fontId="18" fillId="0" borderId="14" xfId="0" applyFont="1" applyFill="1" applyBorder="1" applyAlignment="1">
      <alignment vertical="center"/>
    </xf>
    <xf numFmtId="0" fontId="24" fillId="0" borderId="37" xfId="0" applyFont="1" applyFill="1" applyBorder="1" applyAlignment="1">
      <alignment vertical="center"/>
    </xf>
    <xf numFmtId="0" fontId="24" fillId="0" borderId="37" xfId="0" applyFont="1" applyFill="1" applyBorder="1" applyAlignment="1">
      <alignment vertical="center" wrapText="1"/>
    </xf>
    <xf numFmtId="0" fontId="24" fillId="0" borderId="24" xfId="0" applyFont="1" applyFill="1" applyBorder="1" applyAlignment="1">
      <alignment vertical="center"/>
    </xf>
    <xf numFmtId="0" fontId="24" fillId="0" borderId="24" xfId="0" applyFont="1" applyFill="1" applyBorder="1" applyAlignment="1">
      <alignment vertical="center" wrapText="1"/>
    </xf>
    <xf numFmtId="0" fontId="18" fillId="0" borderId="37" xfId="0" applyFont="1" applyFill="1" applyBorder="1" applyAlignment="1">
      <alignment vertical="center"/>
    </xf>
    <xf numFmtId="0" fontId="18" fillId="0" borderId="24" xfId="0" applyFont="1" applyFill="1" applyBorder="1" applyAlignment="1">
      <alignment vertical="center"/>
    </xf>
    <xf numFmtId="0" fontId="24" fillId="0" borderId="37" xfId="0" applyFont="1" applyFill="1" applyBorder="1" applyAlignment="1">
      <alignment horizontal="center" vertical="top" wrapText="1"/>
    </xf>
    <xf numFmtId="0" fontId="24" fillId="0" borderId="24" xfId="0" applyFont="1" applyFill="1" applyBorder="1" applyAlignment="1">
      <alignment horizontal="center" vertical="top" wrapText="1"/>
    </xf>
    <xf numFmtId="0" fontId="18" fillId="0" borderId="37" xfId="0" applyFont="1" applyFill="1" applyBorder="1" applyAlignment="1">
      <alignment vertical="center" wrapText="1"/>
    </xf>
    <xf numFmtId="0" fontId="18" fillId="0" borderId="24" xfId="0" applyFont="1" applyFill="1" applyBorder="1" applyAlignment="1">
      <alignment vertical="center" wrapText="1"/>
    </xf>
    <xf numFmtId="0" fontId="24" fillId="0" borderId="24" xfId="0" applyFont="1" applyFill="1" applyBorder="1" applyAlignment="1" applyProtection="1">
      <alignment vertical="center"/>
    </xf>
    <xf numFmtId="0" fontId="9" fillId="0" borderId="0" xfId="1" applyFont="1" applyFill="1" applyBorder="1" applyAlignment="1">
      <alignment horizontal="left"/>
    </xf>
    <xf numFmtId="0" fontId="9" fillId="0" borderId="0" xfId="1" applyFont="1" applyFill="1" applyBorder="1" applyAlignment="1"/>
    <xf numFmtId="4" fontId="24" fillId="11" borderId="36" xfId="0" applyNumberFormat="1" applyFont="1" applyFill="1" applyBorder="1" applyAlignment="1" applyProtection="1">
      <alignment horizontal="center"/>
    </xf>
    <xf numFmtId="0" fontId="43" fillId="0" borderId="0" xfId="0" applyFont="1" applyAlignment="1">
      <alignment horizontal="centerContinuous"/>
    </xf>
    <xf numFmtId="0" fontId="9" fillId="0" borderId="0" xfId="0" applyFont="1" applyAlignment="1">
      <alignment horizontal="centerContinuous"/>
    </xf>
    <xf numFmtId="0" fontId="9" fillId="0" borderId="0" xfId="0" applyFont="1" applyAlignment="1">
      <alignment horizontal="centerContinuous" vertical="center"/>
    </xf>
    <xf numFmtId="0" fontId="2" fillId="0" borderId="0" xfId="0" applyFont="1" applyAlignment="1" applyProtection="1">
      <alignment horizontal="centerContinuous"/>
    </xf>
    <xf numFmtId="0" fontId="3" fillId="6" borderId="0" xfId="0" applyFont="1" applyFill="1" applyBorder="1"/>
    <xf numFmtId="0" fontId="9" fillId="6" borderId="63" xfId="1" applyFont="1" applyFill="1" applyBorder="1" applyAlignment="1">
      <alignment horizontal="left" vertical="center"/>
    </xf>
    <xf numFmtId="3" fontId="3" fillId="3" borderId="60" xfId="0" applyNumberFormat="1" applyFont="1" applyFill="1" applyBorder="1" applyAlignment="1">
      <alignment horizontal="right" vertical="center" indent="1"/>
    </xf>
    <xf numFmtId="0" fontId="9" fillId="3" borderId="64" xfId="0" applyFont="1" applyFill="1" applyBorder="1" applyAlignment="1">
      <alignment horizontal="center" vertical="center" wrapText="1"/>
    </xf>
    <xf numFmtId="0" fontId="3" fillId="4" borderId="14" xfId="0" applyFont="1" applyFill="1" applyBorder="1" applyAlignment="1" applyProtection="1">
      <alignment horizontal="right" vertical="center" indent="1"/>
      <protection locked="0"/>
    </xf>
    <xf numFmtId="0" fontId="3" fillId="4" borderId="63" xfId="0" applyFont="1" applyFill="1" applyBorder="1" applyAlignment="1" applyProtection="1">
      <alignment horizontal="right" vertical="center" indent="1"/>
      <protection locked="0"/>
    </xf>
    <xf numFmtId="0" fontId="12" fillId="3" borderId="65" xfId="0" applyFont="1" applyFill="1" applyBorder="1" applyAlignment="1">
      <alignment horizontal="center" vertical="center"/>
    </xf>
    <xf numFmtId="0" fontId="3" fillId="4" borderId="66" xfId="0" applyFont="1" applyFill="1" applyBorder="1" applyAlignment="1">
      <alignment horizontal="left" vertical="center"/>
    </xf>
    <xf numFmtId="0" fontId="3" fillId="4" borderId="66" xfId="0" applyNumberFormat="1" applyFont="1" applyFill="1" applyBorder="1" applyAlignment="1">
      <alignment horizontal="left" vertical="center"/>
    </xf>
    <xf numFmtId="0" fontId="3" fillId="4" borderId="67" xfId="0" applyNumberFormat="1" applyFont="1" applyFill="1" applyBorder="1" applyAlignment="1">
      <alignment horizontal="left" vertical="center"/>
    </xf>
    <xf numFmtId="0" fontId="9" fillId="3" borderId="68" xfId="0" applyFont="1" applyFill="1" applyBorder="1" applyAlignment="1">
      <alignment horizontal="center" vertical="center" wrapText="1"/>
    </xf>
    <xf numFmtId="0" fontId="3" fillId="3" borderId="66" xfId="0" applyFont="1" applyFill="1" applyBorder="1" applyAlignment="1">
      <alignment horizontal="center" vertical="center"/>
    </xf>
    <xf numFmtId="0" fontId="3" fillId="3" borderId="69" xfId="0" applyFont="1" applyFill="1" applyBorder="1" applyAlignment="1">
      <alignment horizontal="center" vertical="center"/>
    </xf>
    <xf numFmtId="0" fontId="3" fillId="3" borderId="70" xfId="0" applyFont="1" applyFill="1" applyBorder="1" applyAlignment="1">
      <alignment horizontal="center" vertical="center"/>
    </xf>
    <xf numFmtId="0" fontId="3" fillId="7" borderId="66" xfId="0" applyFont="1" applyFill="1" applyBorder="1" applyAlignment="1">
      <alignment horizontal="left" vertical="center"/>
    </xf>
    <xf numFmtId="0" fontId="3" fillId="7" borderId="67" xfId="0" applyFont="1" applyFill="1" applyBorder="1" applyAlignment="1">
      <alignment horizontal="left" vertical="center"/>
    </xf>
    <xf numFmtId="0" fontId="3" fillId="4" borderId="67" xfId="0" applyFont="1" applyFill="1" applyBorder="1" applyAlignment="1">
      <alignment horizontal="left" vertical="center"/>
    </xf>
    <xf numFmtId="0" fontId="9" fillId="3" borderId="71" xfId="0" applyFont="1" applyFill="1" applyBorder="1" applyAlignment="1">
      <alignment horizontal="center" vertical="center" wrapText="1"/>
    </xf>
    <xf numFmtId="0" fontId="3" fillId="4" borderId="72" xfId="0" applyFont="1" applyFill="1" applyBorder="1" applyAlignment="1" applyProtection="1">
      <alignment horizontal="right" vertical="center" indent="1"/>
      <protection locked="0"/>
    </xf>
    <xf numFmtId="0" fontId="3" fillId="4" borderId="72" xfId="0" applyNumberFormat="1" applyFont="1" applyFill="1" applyBorder="1" applyAlignment="1" applyProtection="1">
      <alignment horizontal="right" vertical="center" indent="1"/>
      <protection locked="0"/>
    </xf>
    <xf numFmtId="0" fontId="3" fillId="4" borderId="73" xfId="0" applyNumberFormat="1" applyFont="1" applyFill="1" applyBorder="1" applyAlignment="1" applyProtection="1">
      <alignment horizontal="right" vertical="center" indent="1"/>
      <protection locked="0"/>
    </xf>
    <xf numFmtId="0" fontId="3" fillId="4" borderId="73" xfId="0" applyFont="1" applyFill="1" applyBorder="1" applyAlignment="1" applyProtection="1">
      <alignment horizontal="right" vertical="center" indent="1"/>
      <protection locked="0"/>
    </xf>
    <xf numFmtId="0" fontId="12" fillId="3" borderId="65" xfId="0" applyFont="1" applyFill="1" applyBorder="1" applyAlignment="1">
      <alignment horizontal="center" vertical="center" wrapText="1"/>
    </xf>
    <xf numFmtId="0" fontId="3" fillId="4" borderId="14" xfId="0" applyNumberFormat="1" applyFont="1" applyFill="1" applyBorder="1" applyAlignment="1" applyProtection="1">
      <alignment horizontal="right" vertical="center" indent="1"/>
      <protection locked="0"/>
    </xf>
    <xf numFmtId="0" fontId="3" fillId="4" borderId="63" xfId="0" applyNumberFormat="1" applyFont="1" applyFill="1" applyBorder="1" applyAlignment="1" applyProtection="1">
      <alignment horizontal="right" vertical="center" indent="1"/>
      <protection locked="0"/>
    </xf>
    <xf numFmtId="0" fontId="9" fillId="6" borderId="63" xfId="0" applyFont="1" applyFill="1" applyBorder="1"/>
    <xf numFmtId="0" fontId="3" fillId="6" borderId="22" xfId="0" applyFont="1" applyFill="1" applyBorder="1"/>
    <xf numFmtId="0" fontId="5" fillId="6" borderId="14" xfId="1" applyFont="1" applyFill="1" applyBorder="1" applyAlignment="1" applyProtection="1">
      <protection locked="0"/>
    </xf>
    <xf numFmtId="0" fontId="3" fillId="3" borderId="54" xfId="0" applyNumberFormat="1" applyFont="1" applyFill="1" applyBorder="1" applyAlignment="1">
      <alignment horizontal="left" vertical="center"/>
    </xf>
    <xf numFmtId="0" fontId="3" fillId="3" borderId="11" xfId="0" applyNumberFormat="1" applyFont="1" applyFill="1" applyBorder="1" applyAlignment="1">
      <alignment horizontal="left" vertical="center"/>
    </xf>
    <xf numFmtId="0" fontId="24" fillId="0" borderId="19" xfId="0" applyFont="1" applyFill="1" applyBorder="1" applyAlignment="1" applyProtection="1">
      <alignment vertical="center"/>
    </xf>
    <xf numFmtId="0" fontId="44" fillId="4" borderId="35" xfId="1" applyFont="1" applyFill="1" applyBorder="1" applyAlignment="1" applyProtection="1">
      <alignment horizontal="centerContinuous" vertical="center"/>
      <protection locked="0"/>
    </xf>
    <xf numFmtId="0" fontId="9" fillId="6" borderId="15" xfId="1" applyFont="1" applyFill="1" applyBorder="1" applyAlignment="1" applyProtection="1">
      <alignment horizontal="left" vertical="center"/>
    </xf>
    <xf numFmtId="0" fontId="5" fillId="6" borderId="16" xfId="1" applyFont="1" applyFill="1" applyBorder="1" applyAlignment="1" applyProtection="1">
      <alignment horizontal="centerContinuous" vertical="center" wrapText="1"/>
    </xf>
    <xf numFmtId="0" fontId="5" fillId="6" borderId="16" xfId="1" applyFont="1" applyFill="1" applyBorder="1" applyAlignment="1" applyProtection="1">
      <alignment horizontal="center" vertical="center" wrapText="1"/>
    </xf>
    <xf numFmtId="0" fontId="5" fillId="6" borderId="17" xfId="1" applyFont="1" applyFill="1" applyBorder="1" applyAlignment="1" applyProtection="1">
      <alignment horizontal="centerContinuous" vertical="center" wrapText="1"/>
    </xf>
    <xf numFmtId="0" fontId="5" fillId="6" borderId="0" xfId="1" applyFont="1" applyFill="1" applyBorder="1" applyAlignment="1" applyProtection="1">
      <alignment horizontal="centerContinuous" vertical="center" wrapText="1"/>
    </xf>
    <xf numFmtId="0" fontId="5" fillId="6" borderId="0" xfId="1" applyFont="1" applyFill="1" applyBorder="1" applyAlignment="1" applyProtection="1">
      <alignment horizontal="center" vertical="center" wrapText="1"/>
    </xf>
    <xf numFmtId="0" fontId="5" fillId="6" borderId="22" xfId="1" applyFont="1" applyFill="1" applyBorder="1" applyAlignment="1" applyProtection="1">
      <alignment horizontal="centerContinuous" vertical="center" wrapText="1"/>
    </xf>
    <xf numFmtId="0" fontId="9" fillId="6" borderId="63" xfId="1" applyFont="1" applyFill="1" applyBorder="1" applyAlignment="1" applyProtection="1">
      <alignment horizontal="left" vertical="center"/>
    </xf>
    <xf numFmtId="0" fontId="5" fillId="6" borderId="14" xfId="1" applyFont="1" applyFill="1" applyBorder="1" applyAlignment="1" applyProtection="1">
      <alignment horizontal="left" vertical="center"/>
    </xf>
    <xf numFmtId="0" fontId="5" fillId="6" borderId="18" xfId="1" applyFont="1" applyFill="1" applyBorder="1" applyAlignment="1" applyProtection="1">
      <alignment horizontal="centerContinuous" vertical="center" wrapText="1"/>
    </xf>
    <xf numFmtId="0" fontId="5" fillId="6" borderId="18" xfId="1" applyFont="1" applyFill="1" applyBorder="1" applyAlignment="1" applyProtection="1">
      <alignment horizontal="center" vertical="center" wrapText="1"/>
    </xf>
    <xf numFmtId="0" fontId="5" fillId="6" borderId="19" xfId="1" applyFont="1" applyFill="1" applyBorder="1" applyAlignment="1" applyProtection="1">
      <alignment horizontal="centerContinuous" vertical="center" wrapText="1"/>
    </xf>
    <xf numFmtId="0" fontId="3" fillId="6" borderId="15" xfId="0" applyFont="1" applyFill="1" applyBorder="1" applyProtection="1"/>
    <xf numFmtId="0" fontId="3" fillId="6" borderId="16" xfId="0" applyFont="1" applyFill="1" applyBorder="1" applyProtection="1"/>
    <xf numFmtId="0" fontId="3" fillId="6" borderId="17" xfId="0" applyFont="1" applyFill="1" applyBorder="1" applyProtection="1"/>
    <xf numFmtId="0" fontId="14" fillId="6" borderId="14" xfId="0" applyFont="1" applyFill="1" applyBorder="1" applyProtection="1"/>
    <xf numFmtId="0" fontId="3" fillId="6" borderId="18" xfId="0" applyFont="1" applyFill="1" applyBorder="1" applyProtection="1"/>
    <xf numFmtId="0" fontId="3" fillId="6" borderId="19" xfId="0" applyFont="1" applyFill="1" applyBorder="1" applyProtection="1"/>
    <xf numFmtId="0" fontId="3" fillId="6" borderId="15" xfId="0" applyFont="1" applyFill="1" applyBorder="1" applyAlignment="1" applyProtection="1"/>
    <xf numFmtId="0" fontId="3" fillId="6" borderId="16" xfId="0" applyFont="1" applyFill="1" applyBorder="1" applyAlignment="1" applyProtection="1"/>
    <xf numFmtId="0" fontId="3" fillId="6" borderId="17" xfId="0" applyFont="1" applyFill="1" applyBorder="1" applyAlignment="1" applyProtection="1"/>
    <xf numFmtId="0" fontId="14" fillId="6" borderId="14" xfId="0" applyFont="1" applyFill="1" applyBorder="1" applyAlignment="1" applyProtection="1"/>
    <xf numFmtId="0" fontId="3" fillId="6" borderId="18" xfId="0" applyFont="1" applyFill="1" applyBorder="1" applyAlignment="1" applyProtection="1"/>
    <xf numFmtId="0" fontId="3" fillId="6" borderId="19" xfId="0" applyFont="1" applyFill="1" applyBorder="1" applyAlignment="1" applyProtection="1"/>
    <xf numFmtId="0" fontId="9" fillId="2" borderId="15" xfId="1" applyFont="1" applyFill="1" applyBorder="1" applyAlignment="1" applyProtection="1">
      <alignment horizontal="left" vertical="center"/>
    </xf>
    <xf numFmtId="0" fontId="5" fillId="6" borderId="16" xfId="1" applyFont="1" applyFill="1" applyBorder="1" applyAlignment="1" applyProtection="1">
      <alignment horizontal="centerContinuous" vertical="justify"/>
    </xf>
    <xf numFmtId="0" fontId="5" fillId="6" borderId="17" xfId="1" applyFont="1" applyFill="1" applyBorder="1" applyAlignment="1" applyProtection="1">
      <alignment horizontal="centerContinuous" vertical="justify"/>
    </xf>
    <xf numFmtId="0" fontId="5" fillId="6" borderId="18" xfId="1" applyFont="1" applyFill="1" applyBorder="1" applyAlignment="1" applyProtection="1">
      <alignment horizontal="centerContinuous" vertical="center"/>
    </xf>
    <xf numFmtId="0" fontId="5" fillId="6" borderId="19" xfId="1" applyFont="1" applyFill="1" applyBorder="1" applyAlignment="1" applyProtection="1">
      <alignment horizontal="centerContinuous" vertical="center"/>
    </xf>
    <xf numFmtId="168" fontId="3" fillId="4" borderId="18" xfId="0" applyNumberFormat="1" applyFont="1" applyFill="1" applyBorder="1" applyAlignment="1" applyProtection="1">
      <alignment vertical="center"/>
      <protection locked="0"/>
    </xf>
    <xf numFmtId="168" fontId="3" fillId="4" borderId="18" xfId="0" applyNumberFormat="1" applyFont="1" applyFill="1" applyBorder="1" applyAlignment="1" applyProtection="1">
      <alignment horizontal="right" vertical="center"/>
      <protection locked="0"/>
    </xf>
    <xf numFmtId="0" fontId="11" fillId="3" borderId="20" xfId="0" applyFont="1" applyFill="1" applyBorder="1" applyAlignment="1">
      <alignment horizontal="center" vertical="center"/>
    </xf>
    <xf numFmtId="0" fontId="5" fillId="6" borderId="74" xfId="1" applyFont="1" applyFill="1" applyBorder="1" applyAlignment="1" applyProtection="1">
      <alignment horizontal="left" vertical="center"/>
      <protection locked="0"/>
    </xf>
    <xf numFmtId="0" fontId="5" fillId="6" borderId="63" xfId="1" applyFont="1" applyFill="1" applyBorder="1" applyAlignment="1" applyProtection="1">
      <alignment horizontal="left" vertical="center"/>
      <protection locked="0"/>
    </xf>
    <xf numFmtId="0" fontId="5" fillId="6" borderId="14" xfId="1" applyFont="1" applyFill="1" applyBorder="1" applyAlignment="1" applyProtection="1">
      <alignment horizontal="left" vertical="center"/>
      <protection locked="0"/>
    </xf>
    <xf numFmtId="0" fontId="4" fillId="6" borderId="62" xfId="1" applyFill="1" applyBorder="1" applyAlignment="1" applyProtection="1">
      <alignment horizontal="left" vertical="center"/>
      <protection locked="0"/>
    </xf>
  </cellXfs>
  <cellStyles count="4">
    <cellStyle name="Currency" xfId="2" builtinId="4"/>
    <cellStyle name="Hyperlink" xfId="1" builtinId="8"/>
    <cellStyle name="Normal" xfId="0" builtinId="0"/>
    <cellStyle name="Normal 11" xfId="3" xr:uid="{00000000-0005-0000-0000-000003000000}"/>
  </cellStyles>
  <dxfs count="202">
    <dxf>
      <font>
        <b val="0"/>
        <i val="0"/>
        <strike val="0"/>
        <condense val="0"/>
        <extend val="0"/>
        <outline val="0"/>
        <shadow val="0"/>
        <u val="none"/>
        <vertAlign val="baseline"/>
        <sz val="12"/>
        <color theme="1"/>
        <name val="Avenir LT Std 55 Roman"/>
        <scheme val="none"/>
      </font>
      <fill>
        <patternFill patternType="none">
          <fgColor indexed="64"/>
          <bgColor indexed="65"/>
        </patternFill>
      </fill>
      <alignment horizontal="left" vertical="top" textRotation="0" wrapText="0" indent="0" justifyLastLine="0" shrinkToFit="0" readingOrder="0"/>
      <border outline="0">
        <left style="medium">
          <color indexed="64"/>
        </left>
      </border>
    </dxf>
    <dxf>
      <font>
        <b val="0"/>
        <i val="0"/>
        <strike val="0"/>
        <condense val="0"/>
        <extend val="0"/>
        <outline val="0"/>
        <shadow val="0"/>
        <u val="none"/>
        <vertAlign val="baseline"/>
        <sz val="12"/>
        <color rgb="FF000000"/>
        <name val="Avenir LT Std 55 Roman"/>
        <scheme val="none"/>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medium">
          <color indexed="64"/>
        </left>
      </border>
    </dxf>
    <dxf>
      <font>
        <b val="0"/>
        <i val="0"/>
        <strike val="0"/>
        <condense val="0"/>
        <extend val="0"/>
        <outline val="0"/>
        <shadow val="0"/>
        <u val="none"/>
        <vertAlign val="baseline"/>
        <sz val="12"/>
        <color theme="1"/>
        <name val="Avenir LT Std 55 Roman"/>
        <scheme val="none"/>
      </font>
      <fill>
        <patternFill patternType="solid">
          <fgColor indexed="64"/>
          <bgColor theme="0"/>
        </patternFill>
      </fill>
      <alignment horizontal="left" vertical="top" textRotation="0" wrapText="0" indent="0" justifyLastLine="0" shrinkToFit="0" readingOrder="0"/>
      <border outline="0">
        <left style="medium">
          <color indexed="64"/>
        </left>
      </border>
    </dxf>
    <dxf>
      <font>
        <b val="0"/>
        <i val="0"/>
        <strike val="0"/>
        <condense val="0"/>
        <extend val="0"/>
        <outline val="0"/>
        <shadow val="0"/>
        <u val="none"/>
        <vertAlign val="baseline"/>
        <sz val="12"/>
        <color rgb="FF000000"/>
        <name val="Avenir LT Std 55 Roman"/>
        <scheme val="none"/>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rgb="FF000000"/>
        <name val="Avenir LT Std 55 Roman"/>
        <scheme val="none"/>
      </font>
      <alignment horizontal="left" vertical="top"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12"/>
        <color theme="1"/>
        <name val="Avenir LT Std 55 Roman"/>
        <scheme val="none"/>
      </font>
      <fill>
        <patternFill patternType="solid">
          <fgColor indexed="64"/>
          <bgColor theme="0" tint="-4.9989318521683403E-2"/>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2"/>
        <color auto="1"/>
        <name val="Avenir LT Std 55 Roman"/>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venir LT Std 55 Roman"/>
        <scheme val="none"/>
      </font>
      <fill>
        <patternFill patternType="solid">
          <fgColor indexed="64"/>
          <bgColor theme="0" tint="-4.9989318521683403E-2"/>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1"/>
        <color theme="1"/>
        <name val="Avenir LT Std 55 Roman"/>
        <scheme val="none"/>
      </font>
      <fill>
        <patternFill patternType="solid">
          <fgColor indexed="64"/>
          <bgColor theme="0" tint="-4.9989318521683403E-2"/>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venir LT Std 55 Roman"/>
        <scheme val="none"/>
      </font>
      <fill>
        <patternFill patternType="solid">
          <fgColor indexed="64"/>
          <bgColor theme="0" tint="-4.9989318521683403E-2"/>
        </patternFill>
      </fill>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venir LT Std 55 Roman"/>
        <scheme val="none"/>
      </font>
      <fill>
        <patternFill patternType="solid">
          <fgColor indexed="64"/>
          <bgColor theme="0" tint="-4.9989318521683403E-2"/>
        </patternFill>
      </fill>
    </dxf>
    <dxf>
      <border outline="0">
        <bottom style="thin">
          <color indexed="64"/>
        </bottom>
      </border>
    </dxf>
    <dxf>
      <font>
        <strike val="0"/>
        <outline val="0"/>
        <shadow val="0"/>
        <u val="none"/>
        <vertAlign val="baseline"/>
        <sz val="11"/>
        <color auto="1"/>
        <name val="Avenir LT Std 55 Roman"/>
        <scheme val="none"/>
      </font>
      <fill>
        <patternFill patternType="solid">
          <fgColor indexed="64"/>
          <bgColor theme="0" tint="-4.9989318521683403E-2"/>
        </patternFill>
      </fill>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auto="1"/>
        </left>
        <right style="medium">
          <color indexed="64"/>
        </right>
        <top style="double">
          <color auto="1"/>
        </top>
        <bottom style="double">
          <color auto="1"/>
        </bottom>
      </border>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0" tint="-4.9989318521683403E-2"/>
        </patternFill>
      </fill>
      <alignment horizontal="right" vertical="center" textRotation="0" wrapText="0" indent="1" justifyLastLine="0" shrinkToFit="0" readingOrder="0"/>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outline="0">
        <left/>
        <right style="thin">
          <color auto="1"/>
        </right>
        <top style="double">
          <color auto="1"/>
        </top>
        <bottom style="double">
          <color auto="1"/>
        </bottom>
      </border>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relativeIndent="-1" justifyLastLine="0" shrinkToFit="0" readingOrder="0"/>
      <border diagonalUp="0" diagonalDown="0" outline="0">
        <left style="thin">
          <color auto="1"/>
        </left>
        <right style="thin">
          <color auto="1"/>
        </right>
        <top style="double">
          <color auto="1"/>
        </top>
        <bottom style="double">
          <color auto="1"/>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indexed="64"/>
        </left>
        <right/>
        <top style="double">
          <color auto="1"/>
        </top>
        <bottom style="double">
          <color auto="1"/>
        </bottom>
      </border>
    </dxf>
    <dxf>
      <border outline="0">
        <top style="thin">
          <color rgb="FF000000"/>
        </top>
      </border>
    </dxf>
    <dxf>
      <border diagonalUp="0" diagonalDown="0">
        <left style="medium">
          <color rgb="FF000000"/>
        </left>
        <right style="medium">
          <color rgb="FF000000"/>
        </right>
        <top style="medium">
          <color rgb="FF000000"/>
        </top>
        <bottom style="medium">
          <color rgb="FF000000"/>
        </bottom>
      </border>
    </dxf>
    <dxf>
      <alignment horizontal="center" vertical="center" textRotation="0" wrapText="0" indent="0" justifyLastLine="0" shrinkToFit="0" readingOrder="0"/>
    </dxf>
    <dxf>
      <border>
        <bottom style="double">
          <color rgb="FF000000"/>
        </bottom>
      </border>
    </dxf>
    <dxf>
      <font>
        <b val="0"/>
        <i val="0"/>
        <strike val="0"/>
        <condense val="0"/>
        <extend val="0"/>
        <outline val="0"/>
        <shadow val="0"/>
        <u val="none"/>
        <vertAlign val="baseline"/>
        <sz val="12"/>
        <color auto="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auto="1"/>
        </left>
        <right style="thin">
          <color auto="1"/>
        </right>
        <top/>
        <bottom/>
      </border>
    </dxf>
    <dxf>
      <fill>
        <patternFill>
          <bgColor theme="4" tint="0.79998168889431442"/>
        </patternFill>
      </fill>
    </dxf>
    <dxf>
      <fill>
        <patternFill>
          <bgColor theme="4" tint="0.79998168889431442"/>
        </patternFill>
      </fill>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top/>
        <bottom style="thin">
          <color indexed="64"/>
        </bottom>
        <vertic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style="thin">
          <color indexed="64"/>
        </right>
        <top style="double">
          <color auto="1"/>
        </top>
        <bottom style="double">
          <color auto="1"/>
        </bottom>
        <vertical/>
        <horizontal style="double">
          <color auto="1"/>
        </horizontal>
      </border>
    </dxf>
    <dxf>
      <border outline="0">
        <top style="thin">
          <color rgb="FF000000"/>
        </top>
      </border>
    </dxf>
    <dxf>
      <border diagonalUp="0" diagonalDown="0">
        <left style="medium">
          <color rgb="FF000000"/>
        </left>
        <right style="medium">
          <color rgb="FF000000"/>
        </right>
        <top style="medium">
          <color rgb="FF000000"/>
        </top>
        <bottom style="medium">
          <color rgb="FF000000"/>
        </bottom>
      </border>
    </dxf>
    <dxf>
      <alignment horizontal="center" vertical="center" textRotation="0" wrapText="0" indent="0" justifyLastLine="0" shrinkToFit="0" readingOrder="0"/>
    </dxf>
    <dxf>
      <border>
        <bottom style="double">
          <color rgb="FF000000"/>
        </bottom>
      </border>
    </dxf>
    <dxf>
      <font>
        <b val="0"/>
        <i val="0"/>
        <strike val="0"/>
        <condense val="0"/>
        <extend val="0"/>
        <outline val="0"/>
        <shadow val="0"/>
        <u val="none"/>
        <vertAlign val="baseline"/>
        <sz val="12"/>
        <color auto="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auto="1"/>
        </left>
        <right style="thin">
          <color auto="1"/>
        </right>
        <top/>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vertic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4" tint="0.79998168889431442"/>
        </patternFill>
      </fill>
      <alignment horizontal="left" vertical="center" textRotation="0" wrapText="0" indent="0" justifyLastLine="0" shrinkToFit="0" readingOrder="0"/>
      <border diagonalUp="0" diagonalDown="0">
        <left/>
        <right style="double">
          <color indexed="64"/>
        </right>
        <top style="double">
          <color auto="1"/>
        </top>
        <bottom style="double">
          <color auto="1"/>
        </bottom>
      </border>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alignment horizontal="right" vertical="center" textRotation="0" wrapText="0" indent="1"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style="double">
          <color indexed="64"/>
        </right>
        <top style="double">
          <color auto="1"/>
        </top>
        <bottom style="double">
          <color auto="1"/>
        </bottom>
        <vertical/>
        <horizontal style="double">
          <color auto="1"/>
        </horizontal>
      </border>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alignment horizontal="center" vertical="center" textRotation="0" wrapText="0" indent="0" justifyLastLine="0" shrinkToFit="0" readingOrder="0"/>
    </dxf>
    <dxf>
      <border>
        <bottom style="double">
          <color rgb="FF000000"/>
        </bottom>
      </border>
    </dxf>
    <dxf>
      <font>
        <b val="0"/>
        <i val="0"/>
        <strike val="0"/>
        <condense val="0"/>
        <extend val="0"/>
        <outline val="0"/>
        <shadow val="0"/>
        <u val="none"/>
        <vertAlign val="baseline"/>
        <sz val="12"/>
        <color auto="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auto="1"/>
        </left>
        <right style="thin">
          <color auto="1"/>
        </right>
        <top/>
        <bottom/>
      </border>
    </dxf>
    <dxf>
      <fill>
        <patternFill patternType="lightGray">
          <fgColor auto="1"/>
        </patternFill>
      </fill>
    </dxf>
    <dxf>
      <font>
        <color theme="1"/>
      </font>
      <fill>
        <patternFill patternType="lightGray">
          <fgColor auto="1"/>
          <bgColor theme="0"/>
        </patternFill>
      </fill>
    </dxf>
    <dxf>
      <fill>
        <patternFill patternType="lightGray">
          <fgColor theme="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top/>
        <bottom style="thin">
          <color indexed="64"/>
        </bottom>
        <vertic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style="thin">
          <color indexed="64"/>
        </right>
        <top style="double">
          <color auto="1"/>
        </top>
        <bottom style="double">
          <color auto="1"/>
        </bottom>
        <vertical/>
        <horizontal style="double">
          <color auto="1"/>
        </horizontal>
      </border>
    </dxf>
    <dxf>
      <border outline="0">
        <top style="thin">
          <color rgb="FF000000"/>
        </top>
      </border>
    </dxf>
    <dxf>
      <border diagonalUp="0" diagonalDown="0">
        <left style="medium">
          <color rgb="FF000000"/>
        </left>
        <right style="medium">
          <color rgb="FF000000"/>
        </right>
        <top style="medium">
          <color rgb="FF000000"/>
        </top>
        <bottom style="medium">
          <color rgb="FF000000"/>
        </bottom>
      </border>
    </dxf>
    <dxf>
      <alignment horizontal="center" vertical="center" textRotation="0" wrapText="0" indent="0" justifyLastLine="0" shrinkToFit="0" readingOrder="0"/>
    </dxf>
    <dxf>
      <border>
        <bottom style="double">
          <color rgb="FF000000"/>
        </bottom>
      </border>
    </dxf>
    <dxf>
      <font>
        <b val="0"/>
        <i val="0"/>
        <strike val="0"/>
        <condense val="0"/>
        <extend val="0"/>
        <outline val="0"/>
        <shadow val="0"/>
        <u val="none"/>
        <vertAlign val="baseline"/>
        <sz val="12"/>
        <color auto="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auto="1"/>
        </left>
        <right style="thin">
          <color auto="1"/>
        </right>
        <top/>
        <bottom/>
      </border>
    </dxf>
    <dxf>
      <fill>
        <patternFill patternType="lightGray">
          <fgColor auto="1"/>
        </patternFill>
      </fill>
    </dxf>
    <dxf>
      <font>
        <color theme="1"/>
      </font>
      <fill>
        <patternFill patternType="lightGray">
          <fgColor auto="1"/>
          <bgColor theme="0"/>
        </patternFill>
      </fill>
    </dxf>
    <dxf>
      <fill>
        <patternFill patternType="lightGray">
          <fgColor theme="1"/>
        </patternFill>
      </fill>
    </dxf>
    <dxf>
      <fill>
        <patternFill>
          <bgColor theme="4" tint="0.79998168889431442"/>
        </patternFill>
      </fill>
    </dxf>
    <dxf>
      <fill>
        <patternFill>
          <bgColor theme="4" tint="0.79998168889431442"/>
        </patternFill>
      </fill>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vertic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style="thin">
          <color indexed="64"/>
        </left>
        <right/>
        <top style="double">
          <color auto="1"/>
        </top>
        <bottom style="double">
          <color auto="1"/>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style="double">
          <color indexed="64"/>
        </left>
        <right/>
        <top style="double">
          <color auto="1"/>
        </top>
        <bottom style="double">
          <color auto="1"/>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4" tint="0.79998168889431442"/>
        </patternFill>
      </fill>
      <alignment horizontal="left" vertical="center" textRotation="0" wrapText="0" indent="0" justifyLastLine="0" shrinkToFit="0" readingOrder="0"/>
      <border diagonalUp="0" diagonalDown="0">
        <left/>
        <right style="double">
          <color indexed="64"/>
        </right>
        <top style="double">
          <color auto="1"/>
        </top>
        <bottom style="double">
          <color auto="1"/>
        </bottom>
      </border>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alignment horizontal="right" vertical="center" textRotation="0" wrapText="0" indent="1" justifyLastLine="0" shrinkToFit="0" readingOrder="0"/>
      <border diagonalUp="0" diagonalDown="0" outline="0">
        <left/>
        <right/>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style="thin">
          <color indexed="64"/>
        </left>
        <right/>
        <top style="double">
          <color auto="1"/>
        </top>
        <bottom style="double">
          <color auto="1"/>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right" vertical="center" textRotation="0" wrapText="0" indent="1" justifyLastLine="0" shrinkToFit="0" readingOrder="0"/>
      <border diagonalUp="0" diagonalDown="0">
        <left style="thin">
          <color indexed="64"/>
        </left>
        <right/>
        <top style="double">
          <color auto="1"/>
        </top>
        <bottom style="double">
          <color auto="1"/>
        </bottom>
        <vertic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right" vertical="center" textRotation="0" wrapText="0" indent="1" justifyLastLine="0" shrinkToFit="0" readingOrder="0"/>
      <border diagonalUp="0" diagonalDown="0">
        <left style="double">
          <color indexed="64"/>
        </left>
        <right/>
        <top style="double">
          <color auto="1"/>
        </top>
        <bottom style="double">
          <color auto="1"/>
        </bottom>
        <vertical/>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style="double">
          <color indexed="64"/>
        </right>
        <top style="double">
          <color auto="1"/>
        </top>
        <bottom style="double">
          <color auto="1"/>
        </bottom>
        <vertical/>
        <horizontal style="double">
          <color auto="1"/>
        </horizontal>
      </border>
    </dxf>
    <dxf>
      <border outline="0">
        <top style="thin">
          <color rgb="FF000000"/>
        </top>
      </border>
    </dxf>
    <dxf>
      <border diagonalUp="0" diagonalDown="0">
        <left style="medium">
          <color rgb="FF000000"/>
        </left>
        <right style="medium">
          <color rgb="FF000000"/>
        </right>
        <top style="medium">
          <color rgb="FF000000"/>
        </top>
        <bottom style="medium">
          <color rgb="FF000000"/>
        </bottom>
      </border>
    </dxf>
    <dxf>
      <alignment horizontal="center" vertical="center" textRotation="0" wrapText="0" indent="0" justifyLastLine="0" shrinkToFit="0" readingOrder="0"/>
    </dxf>
    <dxf>
      <border>
        <bottom style="double">
          <color rgb="FF000000"/>
        </bottom>
      </border>
    </dxf>
    <dxf>
      <font>
        <b val="0"/>
        <i val="0"/>
        <strike val="0"/>
        <condense val="0"/>
        <extend val="0"/>
        <outline val="0"/>
        <shadow val="0"/>
        <u val="none"/>
        <vertAlign val="baseline"/>
        <sz val="12"/>
        <color auto="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auto="1"/>
        </left>
        <right style="thin">
          <color auto="1"/>
        </right>
        <top/>
        <bottom/>
      </border>
    </dxf>
    <dxf>
      <fill>
        <patternFill patternType="lightGray">
          <fgColor auto="1"/>
        </patternFill>
      </fill>
    </dxf>
    <dxf>
      <font>
        <color theme="1"/>
      </font>
      <fill>
        <patternFill patternType="lightGray">
          <fgColor auto="1"/>
          <bgColor theme="0"/>
        </patternFill>
      </fill>
    </dxf>
    <dxf>
      <fill>
        <patternFill patternType="lightGray">
          <fgColor theme="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top/>
        <bottom style="thin">
          <color indexed="64"/>
        </bottom>
        <vertic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4" tint="0.79998168889431442"/>
        </patternFill>
      </fill>
      <alignment horizontal="left" vertical="center" textRotation="0" wrapText="0" indent="0" justifyLastLine="0" shrinkToFit="0" readingOrder="0"/>
      <border diagonalUp="0" diagonalDown="0">
        <left/>
        <right style="double">
          <color indexed="64"/>
        </right>
        <top style="double">
          <color auto="1"/>
        </top>
        <bottom style="double">
          <color auto="1"/>
        </bottom>
      </border>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alignment horizontal="right" vertical="center" textRotation="0" wrapText="0" indent="1" justifyLastLine="0" shrinkToFit="0" readingOrder="0"/>
      <border diagonalUp="0" diagonalDown="0" outline="0">
        <left/>
        <right/>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border>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style="double">
          <color indexed="64"/>
        </right>
        <top style="double">
          <color auto="1"/>
        </top>
        <bottom style="double">
          <color auto="1"/>
        </bottom>
        <vertical/>
        <horizontal style="double">
          <color auto="1"/>
        </horizontal>
      </border>
    </dxf>
    <dxf>
      <border outline="0">
        <top style="thin">
          <color rgb="FF000000"/>
        </top>
      </border>
    </dxf>
    <dxf>
      <border diagonalUp="0" diagonalDown="0">
        <left style="medium">
          <color rgb="FF000000"/>
        </left>
        <right style="medium">
          <color rgb="FF000000"/>
        </right>
        <top style="medium">
          <color rgb="FF000000"/>
        </top>
        <bottom style="medium">
          <color rgb="FF000000"/>
        </bottom>
      </border>
    </dxf>
    <dxf>
      <alignment horizontal="center" vertical="center" textRotation="0" wrapText="0" indent="0" justifyLastLine="0" shrinkToFit="0" readingOrder="0"/>
    </dxf>
    <dxf>
      <border>
        <bottom style="double">
          <color rgb="FF000000"/>
        </bottom>
      </border>
    </dxf>
    <dxf>
      <font>
        <b val="0"/>
        <i val="0"/>
        <strike val="0"/>
        <condense val="0"/>
        <extend val="0"/>
        <outline val="0"/>
        <shadow val="0"/>
        <u val="none"/>
        <vertAlign val="baseline"/>
        <sz val="12"/>
        <color auto="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auto="1"/>
        </left>
        <right style="thin">
          <color auto="1"/>
        </right>
        <top/>
        <bottom/>
      </border>
    </dxf>
    <dxf>
      <fill>
        <patternFill patternType="lightGray">
          <fgColor auto="1"/>
        </patternFill>
      </fill>
    </dxf>
    <dxf>
      <fill>
        <patternFill patternType="lightGray">
          <fgColor auto="1"/>
        </patternFill>
      </fill>
    </dxf>
    <dxf>
      <font>
        <color theme="1"/>
      </font>
      <fill>
        <patternFill patternType="lightGray">
          <fgColor auto="1"/>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vertic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style="double">
          <color indexed="64"/>
        </left>
        <right/>
        <top style="double">
          <color auto="1"/>
        </top>
        <bottom style="double">
          <color auto="1"/>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double">
          <color indexed="64"/>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style="double">
          <color indexed="64"/>
        </left>
        <right/>
        <top style="double">
          <color auto="1"/>
        </top>
        <bottom style="double">
          <color auto="1"/>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4" tint="0.79998168889431442"/>
        </patternFill>
      </fill>
      <alignment horizontal="left" vertical="center" textRotation="0" wrapText="0" indent="0" justifyLastLine="0" shrinkToFit="0" readingOrder="0"/>
      <border diagonalUp="0" diagonalDown="0">
        <left/>
        <right style="double">
          <color indexed="64"/>
        </right>
        <top style="double">
          <color auto="1"/>
        </top>
        <bottom style="double">
          <color auto="1"/>
        </bottom>
      </border>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alignment horizontal="right" vertical="center" textRotation="0" wrapText="0" indent="1"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style="thin">
          <color indexed="64"/>
        </left>
        <right/>
        <top style="double">
          <color auto="1"/>
        </top>
        <bottom style="double">
          <color auto="1"/>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right" vertical="center" textRotation="0" wrapText="0" indent="1" justifyLastLine="0" shrinkToFit="0" readingOrder="0"/>
      <border diagonalUp="0" diagonalDown="0">
        <left style="double">
          <color indexed="64"/>
        </left>
        <right/>
        <top style="double">
          <color auto="1"/>
        </top>
        <bottom style="double">
          <color auto="1"/>
        </bottom>
        <vertic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double">
          <color indexed="64"/>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right" vertical="center" textRotation="0" wrapText="0" indent="1" justifyLastLine="0" shrinkToFit="0" readingOrder="0"/>
      <border diagonalUp="0" diagonalDown="0">
        <left style="thin">
          <color indexed="64"/>
        </left>
        <right/>
        <top style="double">
          <color auto="1"/>
        </top>
        <bottom style="double">
          <color auto="1"/>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vertical/>
      </border>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right" vertical="center" textRotation="0" wrapText="0" indent="1" justifyLastLine="0" shrinkToFit="0" readingOrder="0"/>
      <border diagonalUp="0" diagonalDown="0">
        <left style="thin">
          <color indexed="64"/>
        </left>
        <right/>
        <top style="double">
          <color auto="1"/>
        </top>
        <bottom style="double">
          <color auto="1"/>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9" tint="0.79998168889431442"/>
        </patternFill>
      </fill>
      <alignment horizontal="left" vertical="center" textRotation="0" wrapText="0" indent="0" justifyLastLine="0" shrinkToFit="0" readingOrder="0"/>
      <border diagonalUp="0" diagonalDown="0">
        <left/>
        <right style="thin">
          <color indexed="64"/>
        </right>
        <top style="double">
          <color auto="1"/>
        </top>
        <bottom style="double">
          <color auto="1"/>
        </bottom>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center" textRotation="0" wrapText="0" indent="1" justifyLastLine="0" shrinkToFit="0" readingOrder="0"/>
      <border diagonalUp="0" diagonalDown="0">
        <left style="thin">
          <color indexed="64"/>
        </left>
        <right/>
        <top style="double">
          <color auto="1"/>
        </top>
        <bottom style="double">
          <color auto="1"/>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right style="double">
          <color indexed="64"/>
        </right>
        <top style="double">
          <color auto="1"/>
        </top>
        <bottom style="double">
          <color auto="1"/>
        </bottom>
        <vertical/>
        <horizontal style="double">
          <color auto="1"/>
        </horizontal>
      </border>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alignment horizontal="center" vertical="center" textRotation="0" wrapText="0" indent="0" justifyLastLine="0" shrinkToFit="0" readingOrder="0"/>
    </dxf>
    <dxf>
      <border>
        <bottom style="double">
          <color rgb="FF000000"/>
        </bottom>
      </border>
    </dxf>
    <dxf>
      <font>
        <b val="0"/>
        <i val="0"/>
        <strike val="0"/>
        <condense val="0"/>
        <extend val="0"/>
        <outline val="0"/>
        <shadow val="0"/>
        <u val="none"/>
        <vertAlign val="baseline"/>
        <sz val="12"/>
        <color auto="1"/>
        <name val="Avenir LT Std 55 Roman"/>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auto="1"/>
        </left>
        <right style="thin">
          <color auto="1"/>
        </right>
        <top/>
        <bottom/>
      </border>
    </dxf>
    <dxf>
      <fill>
        <patternFill patternType="lightGray">
          <fgColor auto="1"/>
        </patternFill>
      </fill>
    </dxf>
    <dxf>
      <font>
        <color theme="1"/>
      </font>
      <fill>
        <patternFill patternType="lightGray">
          <fgColor auto="1"/>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style="thin">
          <color indexed="64"/>
        </horizontal>
      </border>
      <protection locked="1" hidden="0"/>
    </dxf>
    <dxf>
      <font>
        <strike val="0"/>
        <outline val="0"/>
        <shadow val="0"/>
        <vertAlign val="baseline"/>
        <name val="Avenir LT Std 55 Roman"/>
        <scheme val="none"/>
      </font>
      <border diagonalUp="0" diagonalDown="0">
        <left/>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2"/>
        <color auto="1"/>
        <name val="Avenir LT Std 55 Roman"/>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left style="medium">
          <color indexed="64"/>
        </left>
        <right/>
        <top style="thin">
          <color indexed="64"/>
        </top>
        <bottom style="thin">
          <color indexed="64"/>
        </bottom>
        <vertical/>
        <horizontal style="thin">
          <color indexed="64"/>
        </horizontal>
      </border>
      <protection locked="1" hidden="0"/>
    </dxf>
    <dxf>
      <font>
        <strike val="0"/>
        <outline val="0"/>
        <shadow val="0"/>
        <vertAlign val="baseline"/>
        <name val="Avenir LT Std 55 Roman"/>
        <scheme val="none"/>
      </font>
      <protection locked="1" hidden="0"/>
    </dxf>
    <dxf>
      <font>
        <strike val="0"/>
        <outline val="0"/>
        <shadow val="0"/>
        <vertAlign val="baseline"/>
        <name val="Avenir LT Std 55 Roman"/>
        <scheme val="none"/>
      </font>
      <alignment horizontal="center" vertical="center" textRotation="0" wrapText="0" indent="0" justifyLastLine="0" shrinkToFit="0" readingOrder="0"/>
      <protection locked="1" hidden="0"/>
    </dxf>
    <dxf>
      <font>
        <b/>
        <i val="0"/>
        <color rgb="FFFF000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3.png"/><Relationship Id="rId1" Type="http://schemas.openxmlformats.org/officeDocument/2006/relationships/image" Target="../media/image12.jpe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1.jpe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7.png"/><Relationship Id="rId1" Type="http://schemas.openxmlformats.org/officeDocument/2006/relationships/image" Target="../media/image11.jpeg"/><Relationship Id="rId5" Type="http://schemas.openxmlformats.org/officeDocument/2006/relationships/image" Target="../media/image19.png"/><Relationship Id="rId4"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1743458</xdr:colOff>
      <xdr:row>5</xdr:row>
      <xdr:rowOff>180975</xdr:rowOff>
    </xdr:to>
    <xdr:pic>
      <xdr:nvPicPr>
        <xdr:cNvPr id="3" name="Picture 2" descr="Logo: California Climate Investments- Cap and Trade Dollars at Work">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43458" cy="1371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1743458</xdr:colOff>
      <xdr:row>6</xdr:row>
      <xdr:rowOff>180975</xdr:rowOff>
    </xdr:to>
    <xdr:pic>
      <xdr:nvPicPr>
        <xdr:cNvPr id="4" name="Picture 3" descr="Logo: California Climate Investments- Cap and Trade Dollars at Work">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0025"/>
          <a:ext cx="1743458" cy="1371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1743458</xdr:colOff>
      <xdr:row>6</xdr:row>
      <xdr:rowOff>180975</xdr:rowOff>
    </xdr:to>
    <xdr:pic>
      <xdr:nvPicPr>
        <xdr:cNvPr id="3" name="Picture 2" descr="Logo: California Climate Investments- Cap and Trade Dollars at Work">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0025"/>
          <a:ext cx="1743458" cy="1371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105158</xdr:colOff>
      <xdr:row>7</xdr:row>
      <xdr:rowOff>85725</xdr:rowOff>
    </xdr:to>
    <xdr:pic>
      <xdr:nvPicPr>
        <xdr:cNvPr id="3" name="Picture 2" descr="Logo: California Climate Investments- Cap and Trade Dollars at Work">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38125"/>
          <a:ext cx="1743458" cy="1371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1743458</xdr:colOff>
      <xdr:row>6</xdr:row>
      <xdr:rowOff>180975</xdr:rowOff>
    </xdr:to>
    <xdr:pic>
      <xdr:nvPicPr>
        <xdr:cNvPr id="4" name="Picture 3" descr="Logo: California Climate Investments- Cap and Trade Dollars at Work">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200025"/>
          <a:ext cx="1743458" cy="137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1743458</xdr:colOff>
      <xdr:row>6</xdr:row>
      <xdr:rowOff>219075</xdr:rowOff>
    </xdr:to>
    <xdr:pic>
      <xdr:nvPicPr>
        <xdr:cNvPr id="2" name="Picture 1" descr="Logo: California Climate Investments- Cap and Trade Dollars at Work">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38125"/>
          <a:ext cx="1743458" cy="1371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100853</xdr:colOff>
      <xdr:row>14</xdr:row>
      <xdr:rowOff>100854</xdr:rowOff>
    </xdr:from>
    <xdr:to>
      <xdr:col>33</xdr:col>
      <xdr:colOff>475129</xdr:colOff>
      <xdr:row>16</xdr:row>
      <xdr:rowOff>177054</xdr:rowOff>
    </xdr:to>
    <xdr:pic>
      <xdr:nvPicPr>
        <xdr:cNvPr id="2" name="Picture 1" descr="The GHG benefit of restoring coastal tidal wetlands and grasslands (in metric tons of carbon dioxide equivalent) is the sum of fifty years' worth of the annual avoided carbon loss (from equation 2, in metric tons of carbon dioxide equivalents per year) from drained organic soil on farmland or managed seasonal wetland, less the the annual methane emissions (from equation 3, in metric tons of methane per year, converted to metric tons of carbon dioxide equivalents per year) )from restoring coastal tidal wetlands, plus the sum of the annual avoided nitrous oxide emissions (from equation 4, in metric tons of nitrous oxide per year converted to metric tons of carbon dioxide equivalents per year) from drained organic soil from farmland or managed seasonal wetland and the annual avoided nitrous oxide emissions (from equation 5, in metric tons of nitrous oxide emissions per year converted to carbon dioxide equivalents per year) from farmland from avoided nitrogen fertilizer application, plus the total carbon sequestration increase (from equation 6, in metric tons of carbon dioxide equivalents) from coastal tidal wetlands restoration, plus the total carbon sequestration increase (from equation 7, in metric tons of carbon dioxide equivalents) from grassland restoration, plus the total tree biomass carbon sequestration increase (from equation 15, in metric tons of carbon dioxide equivalents).">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cstate="print"/>
        <a:srcRect t="-1" b="90968"/>
        <a:stretch/>
      </xdr:blipFill>
      <xdr:spPr>
        <a:xfrm>
          <a:off x="20865353" y="2823883"/>
          <a:ext cx="5943600" cy="457200"/>
        </a:xfrm>
        <a:prstGeom prst="rect">
          <a:avLst/>
        </a:prstGeom>
      </xdr:spPr>
    </xdr:pic>
    <xdr:clientData/>
  </xdr:twoCellAnchor>
  <xdr:twoCellAnchor>
    <xdr:from>
      <xdr:col>24</xdr:col>
      <xdr:colOff>33618</xdr:colOff>
      <xdr:row>32</xdr:row>
      <xdr:rowOff>56030</xdr:rowOff>
    </xdr:from>
    <xdr:to>
      <xdr:col>33</xdr:col>
      <xdr:colOff>407894</xdr:colOff>
      <xdr:row>33</xdr:row>
      <xdr:rowOff>186465</xdr:rowOff>
    </xdr:to>
    <xdr:pic>
      <xdr:nvPicPr>
        <xdr:cNvPr id="3" name="Picture 2" descr="The annual avoided carbon loss rate from drained organic soil on farmland or managed seasonal wetland (in metric tons of carbon dioxide equivalents per year) is the product of the ratio of months the project is drained per year, the drained organic soil carbon loss rate (0.05 grams of carbon per centimeter per year converted to metric tons of carbon dioxide per acre), and the acres of farmland or managed seasonal wetland to be restored to wetlands.">
          <a:extLst>
            <a:ext uri="{FF2B5EF4-FFF2-40B4-BE49-F238E27FC236}">
              <a16:creationId xmlns:a16="http://schemas.microsoft.com/office/drawing/2014/main" id="{00000000-0008-0000-0200-000003000000}"/>
            </a:ext>
          </a:extLst>
        </xdr:cNvPr>
        <xdr:cNvPicPr/>
      </xdr:nvPicPr>
      <xdr:blipFill rotWithShape="1">
        <a:blip xmlns:r="http://schemas.openxmlformats.org/officeDocument/2006/relationships" r:embed="rId2" cstate="print"/>
        <a:srcRect b="90352"/>
        <a:stretch/>
      </xdr:blipFill>
      <xdr:spPr>
        <a:xfrm>
          <a:off x="20798118" y="7250206"/>
          <a:ext cx="5943600" cy="365760"/>
        </a:xfrm>
        <a:prstGeom prst="rect">
          <a:avLst/>
        </a:prstGeom>
      </xdr:spPr>
    </xdr:pic>
    <xdr:clientData/>
  </xdr:twoCellAnchor>
  <xdr:twoCellAnchor>
    <xdr:from>
      <xdr:col>24</xdr:col>
      <xdr:colOff>0</xdr:colOff>
      <xdr:row>48</xdr:row>
      <xdr:rowOff>0</xdr:rowOff>
    </xdr:from>
    <xdr:to>
      <xdr:col>33</xdr:col>
      <xdr:colOff>145676</xdr:colOff>
      <xdr:row>49</xdr:row>
      <xdr:rowOff>164055</xdr:rowOff>
    </xdr:to>
    <xdr:pic>
      <xdr:nvPicPr>
        <xdr:cNvPr id="4" name="Picture 3" descr="The increase in annual methane emissions from coastal tidal wetland restoration (in metric tons of methane per year) is the product of the methane emission factor for wetlands with salinity less than 18 ppt (193.7 kilograms of methane per hectare per year converted to metric tons per acre), the acres restored to coastal tidal wetlands, and the ratio per year of the difference between the months per year the restored wetland has salinity less than 18ppt and the months per year the project site was a wetland with salinity less than 18ppt.">
          <a:extLst>
            <a:ext uri="{FF2B5EF4-FFF2-40B4-BE49-F238E27FC236}">
              <a16:creationId xmlns:a16="http://schemas.microsoft.com/office/drawing/2014/main" id="{00000000-0008-0000-0200-000004000000}"/>
            </a:ext>
          </a:extLst>
        </xdr:cNvPr>
        <xdr:cNvPicPr/>
      </xdr:nvPicPr>
      <xdr:blipFill rotWithShape="1">
        <a:blip xmlns:r="http://schemas.openxmlformats.org/officeDocument/2006/relationships" r:embed="rId3" cstate="print"/>
        <a:srcRect t="1" b="85812"/>
        <a:stretch/>
      </xdr:blipFill>
      <xdr:spPr>
        <a:xfrm>
          <a:off x="20764500" y="10712824"/>
          <a:ext cx="5715000" cy="365760"/>
        </a:xfrm>
        <a:prstGeom prst="rect">
          <a:avLst/>
        </a:prstGeom>
      </xdr:spPr>
    </xdr:pic>
    <xdr:clientData/>
  </xdr:twoCellAnchor>
  <xdr:twoCellAnchor>
    <xdr:from>
      <xdr:col>24</xdr:col>
      <xdr:colOff>0</xdr:colOff>
      <xdr:row>64</xdr:row>
      <xdr:rowOff>0</xdr:rowOff>
    </xdr:from>
    <xdr:to>
      <xdr:col>33</xdr:col>
      <xdr:colOff>145676</xdr:colOff>
      <xdr:row>65</xdr:row>
      <xdr:rowOff>164054</xdr:rowOff>
    </xdr:to>
    <xdr:pic>
      <xdr:nvPicPr>
        <xdr:cNvPr id="5" name="Picture 4" descr="The annual avoided nitrous oxide emissions from drained organic soil on farmland or managed seasonal wetlands to be restored to wetlands (in metric tons of nitrous oxide per year) is the product of the ratio of months per year the project site is drained for farmland or as a managed seasonal wetland, the nitrous oxide emission rate for cropped wetland soils (0.008 metric tons of nitrous oxide as nitrogen per hectare per year converted to metric tons of nitrous oxide per acre), and the acres of farmland or managed seasonal wetland to be restored to wetlands.">
          <a:extLst>
            <a:ext uri="{FF2B5EF4-FFF2-40B4-BE49-F238E27FC236}">
              <a16:creationId xmlns:a16="http://schemas.microsoft.com/office/drawing/2014/main" id="{00000000-0008-0000-0200-000005000000}"/>
            </a:ext>
          </a:extLst>
        </xdr:cNvPr>
        <xdr:cNvPicPr/>
      </xdr:nvPicPr>
      <xdr:blipFill rotWithShape="1">
        <a:blip xmlns:r="http://schemas.openxmlformats.org/officeDocument/2006/relationships" r:embed="rId4" cstate="print"/>
        <a:srcRect t="4" b="88125"/>
        <a:stretch/>
      </xdr:blipFill>
      <xdr:spPr>
        <a:xfrm>
          <a:off x="20764500" y="14063382"/>
          <a:ext cx="5715000" cy="365760"/>
        </a:xfrm>
        <a:prstGeom prst="rect">
          <a:avLst/>
        </a:prstGeom>
      </xdr:spPr>
    </xdr:pic>
    <xdr:clientData/>
  </xdr:twoCellAnchor>
  <xdr:twoCellAnchor>
    <xdr:from>
      <xdr:col>24</xdr:col>
      <xdr:colOff>0</xdr:colOff>
      <xdr:row>80</xdr:row>
      <xdr:rowOff>0</xdr:rowOff>
    </xdr:from>
    <xdr:to>
      <xdr:col>33</xdr:col>
      <xdr:colOff>145676</xdr:colOff>
      <xdr:row>81</xdr:row>
      <xdr:rowOff>164055</xdr:rowOff>
    </xdr:to>
    <xdr:pic>
      <xdr:nvPicPr>
        <xdr:cNvPr id="6" name="Picture 5" descr="The annual avoided nitrous oxide emission from farmland due to avoided nitrogen fertilizer application (in metric tons of nitrous oxide per year) is the product of the nitrous oxide emission rate for nitrogen fertilizer application (0.01 pounds of nitrous oxide as nitrogen per pound of nitrogen converted to metric tons of nitrous oxide per pound of nitrogen), the former nitrogen fertilizer application rate (in pounds of nitrogen per acre per year), and the acres of farmland previous fertilized.">
          <a:extLst>
            <a:ext uri="{FF2B5EF4-FFF2-40B4-BE49-F238E27FC236}">
              <a16:creationId xmlns:a16="http://schemas.microsoft.com/office/drawing/2014/main" id="{00000000-0008-0000-0200-000006000000}"/>
            </a:ext>
          </a:extLst>
        </xdr:cNvPr>
        <xdr:cNvPicPr/>
      </xdr:nvPicPr>
      <xdr:blipFill rotWithShape="1">
        <a:blip xmlns:r="http://schemas.openxmlformats.org/officeDocument/2006/relationships" r:embed="rId5" cstate="print"/>
        <a:srcRect t="-1" b="87098"/>
        <a:stretch/>
      </xdr:blipFill>
      <xdr:spPr>
        <a:xfrm>
          <a:off x="20764500" y="17380324"/>
          <a:ext cx="5715000" cy="365760"/>
        </a:xfrm>
        <a:prstGeom prst="rect">
          <a:avLst/>
        </a:prstGeom>
      </xdr:spPr>
    </xdr:pic>
    <xdr:clientData/>
  </xdr:twoCellAnchor>
  <xdr:twoCellAnchor>
    <xdr:from>
      <xdr:col>24</xdr:col>
      <xdr:colOff>0</xdr:colOff>
      <xdr:row>96</xdr:row>
      <xdr:rowOff>0</xdr:rowOff>
    </xdr:from>
    <xdr:to>
      <xdr:col>33</xdr:col>
      <xdr:colOff>145676</xdr:colOff>
      <xdr:row>97</xdr:row>
      <xdr:rowOff>164054</xdr:rowOff>
    </xdr:to>
    <xdr:pic>
      <xdr:nvPicPr>
        <xdr:cNvPr id="7" name="Picture 6" descr="The total carbon sequestration from coastal tidal wetlands restoration (in metric tons of carbon dioxide equivalents), is the product of the annaul carbon sequestration rate (79 grams of carbon per square meter per year, converted to metric tons of carbon dioxide equivalents per acre per year), the acres restored to permanent coastal tidal wetlands, one less the ratio of months the project site exists as a seasonal wetland, and the length of the project life (50 years).">
          <a:extLst>
            <a:ext uri="{FF2B5EF4-FFF2-40B4-BE49-F238E27FC236}">
              <a16:creationId xmlns:a16="http://schemas.microsoft.com/office/drawing/2014/main" id="{00000000-0008-0000-0200-000007000000}"/>
            </a:ext>
          </a:extLst>
        </xdr:cNvPr>
        <xdr:cNvPicPr/>
      </xdr:nvPicPr>
      <xdr:blipFill rotWithShape="1">
        <a:blip xmlns:r="http://schemas.openxmlformats.org/officeDocument/2006/relationships" r:embed="rId6" cstate="print"/>
        <a:srcRect t="-1" b="89159"/>
        <a:stretch/>
      </xdr:blipFill>
      <xdr:spPr>
        <a:xfrm>
          <a:off x="20764500" y="20719676"/>
          <a:ext cx="5715000" cy="365760"/>
        </a:xfrm>
        <a:prstGeom prst="rect">
          <a:avLst/>
        </a:prstGeom>
      </xdr:spPr>
    </xdr:pic>
    <xdr:clientData/>
  </xdr:twoCellAnchor>
  <xdr:twoCellAnchor>
    <xdr:from>
      <xdr:col>24</xdr:col>
      <xdr:colOff>0</xdr:colOff>
      <xdr:row>112</xdr:row>
      <xdr:rowOff>0</xdr:rowOff>
    </xdr:from>
    <xdr:to>
      <xdr:col>33</xdr:col>
      <xdr:colOff>145676</xdr:colOff>
      <xdr:row>113</xdr:row>
      <xdr:rowOff>164054</xdr:rowOff>
    </xdr:to>
    <xdr:pic>
      <xdr:nvPicPr>
        <xdr:cNvPr id="8" name="Picture 7" descr="The total carbon sequestration from grassland restoration (in metric tons of carbon dioxide equivalents), is the product of the carbon reference stock for the grassland IPCC soil type (in metric tons of carbon per hectare), the land use factor (1.37), and the moderately degraded grassland management factor (0.95), and the acres of improved grassland, less the product of the carbon reference stock for the grassland IPCC soil type (in metric tons of carbon per hectare), the land use factor (1.37), and the grassland management factor (1.14), and the acres of moderately degraded grassland, less the the product of the carbon reference stock for the grassland IPCC soil type (in metric tons of carbon per hectare), the full-till cropland management factor (1), and the acres of farmland to be restored to grassland.">
          <a:extLst>
            <a:ext uri="{FF2B5EF4-FFF2-40B4-BE49-F238E27FC236}">
              <a16:creationId xmlns:a16="http://schemas.microsoft.com/office/drawing/2014/main" id="{00000000-0008-0000-0200-000008000000}"/>
            </a:ext>
          </a:extLst>
        </xdr:cNvPr>
        <xdr:cNvPicPr/>
      </xdr:nvPicPr>
      <xdr:blipFill rotWithShape="1">
        <a:blip xmlns:r="http://schemas.openxmlformats.org/officeDocument/2006/relationships" r:embed="rId7" cstate="print"/>
        <a:srcRect t="-3" b="91840"/>
        <a:stretch/>
      </xdr:blipFill>
      <xdr:spPr>
        <a:xfrm>
          <a:off x="20764500" y="24036618"/>
          <a:ext cx="5715000" cy="365760"/>
        </a:xfrm>
        <a:prstGeom prst="rect">
          <a:avLst/>
        </a:prstGeom>
      </xdr:spPr>
    </xdr:pic>
    <xdr:clientData/>
  </xdr:twoCellAnchor>
  <xdr:twoCellAnchor editAs="oneCell">
    <xdr:from>
      <xdr:col>1</xdr:col>
      <xdr:colOff>0</xdr:colOff>
      <xdr:row>1</xdr:row>
      <xdr:rowOff>0</xdr:rowOff>
    </xdr:from>
    <xdr:to>
      <xdr:col>2</xdr:col>
      <xdr:colOff>1104723</xdr:colOff>
      <xdr:row>6</xdr:row>
      <xdr:rowOff>82923</xdr:rowOff>
    </xdr:to>
    <xdr:pic>
      <xdr:nvPicPr>
        <xdr:cNvPr id="9" name="Picture 8" descr="Logo: California Climate Investments- Cap and Trade Dollars at Work">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500" y="257735"/>
          <a:ext cx="1743458" cy="1371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9347</xdr:colOff>
      <xdr:row>6</xdr:row>
      <xdr:rowOff>68915</xdr:rowOff>
    </xdr:to>
    <xdr:pic>
      <xdr:nvPicPr>
        <xdr:cNvPr id="2" name="Picture 1" descr="Logo: California Climate Investments- Cap and Trade Dollars at Work">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66700"/>
          <a:ext cx="1745699" cy="1353109"/>
        </a:xfrm>
        <a:prstGeom prst="rect">
          <a:avLst/>
        </a:prstGeom>
      </xdr:spPr>
    </xdr:pic>
    <xdr:clientData/>
  </xdr:twoCellAnchor>
  <xdr:twoCellAnchor>
    <xdr:from>
      <xdr:col>16</xdr:col>
      <xdr:colOff>0</xdr:colOff>
      <xdr:row>12</xdr:row>
      <xdr:rowOff>0</xdr:rowOff>
    </xdr:from>
    <xdr:to>
      <xdr:col>24</xdr:col>
      <xdr:colOff>414617</xdr:colOff>
      <xdr:row>14</xdr:row>
      <xdr:rowOff>167640</xdr:rowOff>
    </xdr:to>
    <xdr:pic>
      <xdr:nvPicPr>
        <xdr:cNvPr id="6" name="Picture 5" descr="The greenhouse gas benefit of restored Delta wetlands (metric tons of carbon dioxide equivalents) is the product of the acreage of restored wetland and the difference of the product of the drained organic soil carbon loss rate (0.05 grams of carbon per square centimeter per year, converted to metric tons of carbon dioxide equivalents per acre per year) and the restored wetland carbon dioxide and methane emission rate (2.60 metric tons of carbon dioxide equivalents per hectare per year, converted to metric tons of carbon dioxide equivalents per acre per year), plus the nitrous oxide emissions from drained organic soil (from Equation 4) and fertilizer application (from Equation 5) (in metric tons of nitrous oxide per year, converted to metric tons of carbon dioxide equivalents per year), all multiplied by the project lifetime (50 years), plus the total tree biomass carbon sequestration increase (from equation 15, in metric tons of carbon dioxide equivalents).">
          <a:extLst>
            <a:ext uri="{FF2B5EF4-FFF2-40B4-BE49-F238E27FC236}">
              <a16:creationId xmlns:a16="http://schemas.microsoft.com/office/drawing/2014/main" id="{00000000-0008-0000-0300-000006000000}"/>
            </a:ext>
          </a:extLst>
        </xdr:cNvPr>
        <xdr:cNvPicPr/>
      </xdr:nvPicPr>
      <xdr:blipFill rotWithShape="1">
        <a:blip xmlns:r="http://schemas.openxmlformats.org/officeDocument/2006/relationships" r:embed="rId2" cstate="print"/>
        <a:srcRect t="2" b="88459"/>
        <a:stretch/>
      </xdr:blipFill>
      <xdr:spPr>
        <a:xfrm>
          <a:off x="11889441" y="2711824"/>
          <a:ext cx="5715000" cy="548640"/>
        </a:xfrm>
        <a:prstGeom prst="rect">
          <a:avLst/>
        </a:prstGeom>
      </xdr:spPr>
    </xdr:pic>
    <xdr:clientData/>
  </xdr:twoCellAnchor>
  <xdr:twoCellAnchor>
    <xdr:from>
      <xdr:col>16</xdr:col>
      <xdr:colOff>0</xdr:colOff>
      <xdr:row>30</xdr:row>
      <xdr:rowOff>0</xdr:rowOff>
    </xdr:from>
    <xdr:to>
      <xdr:col>24</xdr:col>
      <xdr:colOff>414617</xdr:colOff>
      <xdr:row>31</xdr:row>
      <xdr:rowOff>74407</xdr:rowOff>
    </xdr:to>
    <xdr:pic>
      <xdr:nvPicPr>
        <xdr:cNvPr id="7" name="Picture 6" descr="The annual avoided nitrous oxide emissions from drained organic soil on farmland or managed seasonal wetlands to be restored to wetlands (in metric tons of nitrous oxide per year) is the product of the ratio of months per year the project site is drained for farmland or as a managed seasonal wetland, the nitrous oxide emission rate for cropped wetland soils (0.008 metric tons of nitrous oxide as nitrogen per hectare per year converted to metric tons of nitrous oxide per acre), and the acres of farmland or managed seasonal wetland to be restored to wetlands.">
          <a:extLst>
            <a:ext uri="{FF2B5EF4-FFF2-40B4-BE49-F238E27FC236}">
              <a16:creationId xmlns:a16="http://schemas.microsoft.com/office/drawing/2014/main" id="{00000000-0008-0000-0300-000007000000}"/>
            </a:ext>
          </a:extLst>
        </xdr:cNvPr>
        <xdr:cNvPicPr/>
      </xdr:nvPicPr>
      <xdr:blipFill rotWithShape="1">
        <a:blip xmlns:r="http://schemas.openxmlformats.org/officeDocument/2006/relationships" r:embed="rId3" cstate="print"/>
        <a:srcRect t="4" b="88125"/>
        <a:stretch/>
      </xdr:blipFill>
      <xdr:spPr>
        <a:xfrm>
          <a:off x="11889441" y="7227794"/>
          <a:ext cx="5715000" cy="365760"/>
        </a:xfrm>
        <a:prstGeom prst="rect">
          <a:avLst/>
        </a:prstGeom>
      </xdr:spPr>
    </xdr:pic>
    <xdr:clientData/>
  </xdr:twoCellAnchor>
  <xdr:twoCellAnchor>
    <xdr:from>
      <xdr:col>16</xdr:col>
      <xdr:colOff>0</xdr:colOff>
      <xdr:row>46</xdr:row>
      <xdr:rowOff>0</xdr:rowOff>
    </xdr:from>
    <xdr:to>
      <xdr:col>24</xdr:col>
      <xdr:colOff>414617</xdr:colOff>
      <xdr:row>47</xdr:row>
      <xdr:rowOff>164054</xdr:rowOff>
    </xdr:to>
    <xdr:pic>
      <xdr:nvPicPr>
        <xdr:cNvPr id="8" name="Picture 7" descr="The annual avoided nitrous oxide emission from farmland due to avoided nitrogen fertilizer application (in metric tons of nitrous oxide per year) is the product of the nitrous oxide emission rate for nitrogen fertilizer application (0.01 pounds of nitrous oxide as nitrogen per pound of nitrogen converted to metric tons of nitrous oxide per pound of nitrogen), the former nitrogen fertilizer application rate (in pounds of nitrogen per acre per year), and the acres of farmland previous fertilized.">
          <a:extLst>
            <a:ext uri="{FF2B5EF4-FFF2-40B4-BE49-F238E27FC236}">
              <a16:creationId xmlns:a16="http://schemas.microsoft.com/office/drawing/2014/main" id="{00000000-0008-0000-0300-000008000000}"/>
            </a:ext>
          </a:extLst>
        </xdr:cNvPr>
        <xdr:cNvPicPr/>
      </xdr:nvPicPr>
      <xdr:blipFill rotWithShape="1">
        <a:blip xmlns:r="http://schemas.openxmlformats.org/officeDocument/2006/relationships" r:embed="rId4" cstate="print"/>
        <a:srcRect t="-1" b="87098"/>
        <a:stretch/>
      </xdr:blipFill>
      <xdr:spPr>
        <a:xfrm>
          <a:off x="11889441" y="10925735"/>
          <a:ext cx="5715000" cy="3657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1107524</xdr:colOff>
      <xdr:row>6</xdr:row>
      <xdr:rowOff>68915</xdr:rowOff>
    </xdr:to>
    <xdr:pic>
      <xdr:nvPicPr>
        <xdr:cNvPr id="2" name="Picture 1" descr="Logo: California Climate Investments- Cap and Trade Dollars at Work">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57175"/>
          <a:ext cx="1745699" cy="1354790"/>
        </a:xfrm>
        <a:prstGeom prst="rect">
          <a:avLst/>
        </a:prstGeom>
      </xdr:spPr>
    </xdr:pic>
    <xdr:clientData/>
  </xdr:twoCellAnchor>
  <xdr:twoCellAnchor>
    <xdr:from>
      <xdr:col>18</xdr:col>
      <xdr:colOff>0</xdr:colOff>
      <xdr:row>15</xdr:row>
      <xdr:rowOff>0</xdr:rowOff>
    </xdr:from>
    <xdr:to>
      <xdr:col>26</xdr:col>
      <xdr:colOff>342900</xdr:colOff>
      <xdr:row>16</xdr:row>
      <xdr:rowOff>175260</xdr:rowOff>
    </xdr:to>
    <xdr:pic>
      <xdr:nvPicPr>
        <xdr:cNvPr id="7" name="Picture 6" descr="The greenhouse gas benefit of a restored grassland or woodland project, in metric tons of carbon dioxide equivalents, is the carbon sequestered in the project site (from equation 14, in metric tons of carbon dioxide equivalents), plus the product of the project lifetime (50 years) and the avoided nitrous oxide emisions from farmland from avoided nitrogen fertilizer application (from equation 5, in metric tons of nitrous oxide per year, converted to metric tons of carbon dioxide equivalents per year), plus the total tree biomass carbon sequestration increase (from equation 15, in metric tons of carbon dioxide equivalents).">
          <a:extLst>
            <a:ext uri="{FF2B5EF4-FFF2-40B4-BE49-F238E27FC236}">
              <a16:creationId xmlns:a16="http://schemas.microsoft.com/office/drawing/2014/main" id="{00000000-0008-0000-0400-000007000000}"/>
            </a:ext>
          </a:extLst>
        </xdr:cNvPr>
        <xdr:cNvPicPr/>
      </xdr:nvPicPr>
      <xdr:blipFill rotWithShape="1">
        <a:blip xmlns:r="http://schemas.openxmlformats.org/officeDocument/2006/relationships" r:embed="rId2" cstate="print"/>
        <a:srcRect t="1" b="85812"/>
        <a:stretch/>
      </xdr:blipFill>
      <xdr:spPr>
        <a:xfrm>
          <a:off x="15078075" y="2905125"/>
          <a:ext cx="5715000" cy="365760"/>
        </a:xfrm>
        <a:prstGeom prst="rect">
          <a:avLst/>
        </a:prstGeom>
      </xdr:spPr>
    </xdr:pic>
    <xdr:clientData/>
  </xdr:twoCellAnchor>
  <xdr:twoCellAnchor>
    <xdr:from>
      <xdr:col>18</xdr:col>
      <xdr:colOff>0</xdr:colOff>
      <xdr:row>32</xdr:row>
      <xdr:rowOff>0</xdr:rowOff>
    </xdr:from>
    <xdr:to>
      <xdr:col>26</xdr:col>
      <xdr:colOff>342900</xdr:colOff>
      <xdr:row>36</xdr:row>
      <xdr:rowOff>19050</xdr:rowOff>
    </xdr:to>
    <xdr:pic>
      <xdr:nvPicPr>
        <xdr:cNvPr id="8" name="Picture 7" descr="The carbon sequestered in restored grasslands and woodlands (in metric tons of carbon dioxide equivalent) is the product of the reference carbon stock for the current IPCC soil type (in metric tons of carbon per hectare, converted to metric tons of carbon dioxide equivalents per acre), the land use factor for warm dry grasslands and woodlands (1.37), and the sum of the acres restored to grasslands and woodlands; less the product of the reference carbon stock for the current IPCC soil type (in metric tons of carbon per hectare, converted to metric tons of carbon dioxide equivalents per acre), the land use factor for set-aside area (1.26), and the acres restored from set-aside area; less the product of the reference carbon stock for the current IPCC soil type (in metric tons of carbon per hectare, converted to metric tons of carbon dioxide equivalents per acre), the land use factor for warm dry grasslands (1.37), the moderately degraded grassland management factor (0.95), and the acres restored from moderately degraded grassland; less the product of the reference carbon stock for the current IPCC soil type (in metric tons of carbon per hectare, converted to metric tons of carbon dioxide equivalents per acre), the land use factor for warm dry grasslands (1.37), the severely degraded grassland management factor (0.7), and the acres restored from severely degraded grassland; less the.product of the reference carbon stock for the current IPCC soil type (in metric tons of carbon per hectare, converted to metric tons of carbon dioxide equivalents per acre), the land use factor for full-till cropland (1), and the acres restored from cropland.">
          <a:extLst>
            <a:ext uri="{FF2B5EF4-FFF2-40B4-BE49-F238E27FC236}">
              <a16:creationId xmlns:a16="http://schemas.microsoft.com/office/drawing/2014/main" id="{00000000-0008-0000-0400-000008000000}"/>
            </a:ext>
          </a:extLst>
        </xdr:cNvPr>
        <xdr:cNvPicPr/>
      </xdr:nvPicPr>
      <xdr:blipFill rotWithShape="1">
        <a:blip xmlns:r="http://schemas.openxmlformats.org/officeDocument/2006/relationships" r:embed="rId3" cstate="print"/>
        <a:srcRect b="84963"/>
        <a:stretch/>
      </xdr:blipFill>
      <xdr:spPr>
        <a:xfrm>
          <a:off x="15078075" y="7210425"/>
          <a:ext cx="5715000" cy="914400"/>
        </a:xfrm>
        <a:prstGeom prst="rect">
          <a:avLst/>
        </a:prstGeom>
      </xdr:spPr>
    </xdr:pic>
    <xdr:clientData/>
  </xdr:twoCellAnchor>
  <xdr:twoCellAnchor>
    <xdr:from>
      <xdr:col>18</xdr:col>
      <xdr:colOff>0</xdr:colOff>
      <xdr:row>51</xdr:row>
      <xdr:rowOff>0</xdr:rowOff>
    </xdr:from>
    <xdr:to>
      <xdr:col>26</xdr:col>
      <xdr:colOff>342900</xdr:colOff>
      <xdr:row>52</xdr:row>
      <xdr:rowOff>165735</xdr:rowOff>
    </xdr:to>
    <xdr:pic>
      <xdr:nvPicPr>
        <xdr:cNvPr id="9" name="Picture 8" descr="The annual avoided nitrous oxide emission from farmland due to avoided nitrogen fertilizer application (in metric tons of nitrous oxide per year) is the product of the nitrous oxide emission rate for nitrogen fertilizer application (0.01 pounds of nitrous oxide as nitrogen per pound of nitrogen converted to metric tons of nitrous oxide per pound of nitrogen), the former nitrogen fertilizer application rate (in pounds of nitrogen per acre per year), and the acres of farmland previous fertilized.">
          <a:extLst>
            <a:ext uri="{FF2B5EF4-FFF2-40B4-BE49-F238E27FC236}">
              <a16:creationId xmlns:a16="http://schemas.microsoft.com/office/drawing/2014/main" id="{00000000-0008-0000-0400-000009000000}"/>
            </a:ext>
          </a:extLst>
        </xdr:cNvPr>
        <xdr:cNvPicPr/>
      </xdr:nvPicPr>
      <xdr:blipFill rotWithShape="1">
        <a:blip xmlns:r="http://schemas.openxmlformats.org/officeDocument/2006/relationships" r:embed="rId4" cstate="print"/>
        <a:srcRect t="-1" b="87098"/>
        <a:stretch/>
      </xdr:blipFill>
      <xdr:spPr>
        <a:xfrm>
          <a:off x="15078075" y="11191875"/>
          <a:ext cx="5715000" cy="3657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9347</xdr:colOff>
      <xdr:row>6</xdr:row>
      <xdr:rowOff>68915</xdr:rowOff>
    </xdr:to>
    <xdr:pic>
      <xdr:nvPicPr>
        <xdr:cNvPr id="2" name="Picture 1" descr="Logo: California Climate Investments- Cap and Trade Dollars at Work">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57175"/>
          <a:ext cx="1742897" cy="1354790"/>
        </a:xfrm>
        <a:prstGeom prst="rect">
          <a:avLst/>
        </a:prstGeom>
      </xdr:spPr>
    </xdr:pic>
    <xdr:clientData/>
  </xdr:twoCellAnchor>
  <xdr:twoCellAnchor>
    <xdr:from>
      <xdr:col>12</xdr:col>
      <xdr:colOff>0</xdr:colOff>
      <xdr:row>13</xdr:row>
      <xdr:rowOff>0</xdr:rowOff>
    </xdr:from>
    <xdr:to>
      <xdr:col>21</xdr:col>
      <xdr:colOff>76200</xdr:colOff>
      <xdr:row>14</xdr:row>
      <xdr:rowOff>175260</xdr:rowOff>
    </xdr:to>
    <xdr:pic>
      <xdr:nvPicPr>
        <xdr:cNvPr id="5" name="Picture 4" descr="The greenhouse gas benefit of restored mountain meadows (in metric tons of carbon dioxide equivalents) is the product of the annual carbon sequestration rate (95.40 grams of carbon per square meter per year, converted to metric tons of carbon dioxide equivalents per acre per year), the acreage of land restored to mountain meadows, and the length of the project life (50 years), plus the total tree biomass carbon sequestration increase (from equation 15, in metric tons of carbon dioxide equivalents).">
          <a:extLst>
            <a:ext uri="{FF2B5EF4-FFF2-40B4-BE49-F238E27FC236}">
              <a16:creationId xmlns:a16="http://schemas.microsoft.com/office/drawing/2014/main" id="{00000000-0008-0000-0500-000005000000}"/>
            </a:ext>
          </a:extLst>
        </xdr:cNvPr>
        <xdr:cNvPicPr/>
      </xdr:nvPicPr>
      <xdr:blipFill rotWithShape="1">
        <a:blip xmlns:r="http://schemas.openxmlformats.org/officeDocument/2006/relationships" r:embed="rId2" cstate="print"/>
        <a:srcRect t="-1" b="89638"/>
        <a:stretch/>
      </xdr:blipFill>
      <xdr:spPr>
        <a:xfrm>
          <a:off x="9048750" y="2886075"/>
          <a:ext cx="5715000" cy="3657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1129935</xdr:colOff>
      <xdr:row>6</xdr:row>
      <xdr:rowOff>68915</xdr:rowOff>
    </xdr:to>
    <xdr:pic>
      <xdr:nvPicPr>
        <xdr:cNvPr id="2" name="Picture 1" descr="Logo: California Climate Investments- Cap and Trade Dollars at Work">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66700"/>
          <a:ext cx="1745699" cy="1353109"/>
        </a:xfrm>
        <a:prstGeom prst="rect">
          <a:avLst/>
        </a:prstGeom>
      </xdr:spPr>
    </xdr:pic>
    <xdr:clientData/>
  </xdr:twoCellAnchor>
  <xdr:twoCellAnchor>
    <xdr:from>
      <xdr:col>18</xdr:col>
      <xdr:colOff>0</xdr:colOff>
      <xdr:row>32</xdr:row>
      <xdr:rowOff>0</xdr:rowOff>
    </xdr:from>
    <xdr:to>
      <xdr:col>26</xdr:col>
      <xdr:colOff>285750</xdr:colOff>
      <xdr:row>35</xdr:row>
      <xdr:rowOff>180975</xdr:rowOff>
    </xdr:to>
    <xdr:pic>
      <xdr:nvPicPr>
        <xdr:cNvPr id="8" name="Picture 7" descr="The carbon sequestered in restored seasonal wetlands (in metric tons of carbon dioxide equivalent) is the sum of the product of the reference carbon stock for wetlands on mineral soil (48 metric tons of carbon per hectare, converted to metric tons of carbon dioxide equivalents per acre), the land use factor for warm dry grasslands (1.37), the improved grassland management factor (1.14), the high grassland input factor (1.11), and the acres restored to seasonal inland wetlands; plus the product of the reference carbon stock for the current IPCC soil type (in metric tons of carbon per hectare, converted to metric tons of carbon dioxide equivalents per acre), the land use factor for warm dry grasslands (1.37), the improved grassland management factor (1.14), and the acres of area restored to improved grassland; less the product of the reference carbon stock for the current IPCC soil type (in metric tons of carbon per hectare, converted to metric tons of carbon dioxide equivalents per acre), the land use factor for warm dry grasslands (1.37), the moderately degraded grassland management factor (0.95), and the area restored from moderately degraded grassland; less the product of the reference carbon stock for the current IPCC soil type (in metric tons of carbon per hectare, converted to metric tons of carbon dioxide equivalents per acre), the land use factor for warm dry grasslands (1.37), the severely degraded grassland management factor (0.7), and the area restored from severely degraded grassland.">
          <a:extLst>
            <a:ext uri="{FF2B5EF4-FFF2-40B4-BE49-F238E27FC236}">
              <a16:creationId xmlns:a16="http://schemas.microsoft.com/office/drawing/2014/main" id="{00000000-0008-0000-0600-000008000000}"/>
            </a:ext>
          </a:extLst>
        </xdr:cNvPr>
        <xdr:cNvPicPr/>
      </xdr:nvPicPr>
      <xdr:blipFill rotWithShape="1">
        <a:blip xmlns:r="http://schemas.openxmlformats.org/officeDocument/2006/relationships" r:embed="rId2" cstate="print"/>
        <a:srcRect t="-3" b="85758"/>
        <a:stretch/>
      </xdr:blipFill>
      <xdr:spPr>
        <a:xfrm>
          <a:off x="15897225" y="7448550"/>
          <a:ext cx="5715000" cy="895350"/>
        </a:xfrm>
        <a:prstGeom prst="rect">
          <a:avLst/>
        </a:prstGeom>
      </xdr:spPr>
    </xdr:pic>
    <xdr:clientData/>
  </xdr:twoCellAnchor>
  <xdr:twoCellAnchor>
    <xdr:from>
      <xdr:col>18</xdr:col>
      <xdr:colOff>0</xdr:colOff>
      <xdr:row>51</xdr:row>
      <xdr:rowOff>0</xdr:rowOff>
    </xdr:from>
    <xdr:to>
      <xdr:col>26</xdr:col>
      <xdr:colOff>285750</xdr:colOff>
      <xdr:row>52</xdr:row>
      <xdr:rowOff>165735</xdr:rowOff>
    </xdr:to>
    <xdr:pic>
      <xdr:nvPicPr>
        <xdr:cNvPr id="13" name="Picture 12" descr="The annual avoided nitrous oxide emission from farmland due to avoided nitrogen fertilizer application (in metric tons of nitrous oxide per year) is the product of the nitrous oxide emission rate for nitrogen fertilizer application (0.01 pounds of nitrous oxide as nitrogen per pound of nitrogen converted to metric tons of nitrous oxide per pound of nitrogen), the former nitrogen fertilizer application rate (in pounds of nitrogen per acre per year), and the acres of farmland previous fertilized.">
          <a:extLst>
            <a:ext uri="{FF2B5EF4-FFF2-40B4-BE49-F238E27FC236}">
              <a16:creationId xmlns:a16="http://schemas.microsoft.com/office/drawing/2014/main" id="{00000000-0008-0000-0600-00000D000000}"/>
            </a:ext>
          </a:extLst>
        </xdr:cNvPr>
        <xdr:cNvPicPr/>
      </xdr:nvPicPr>
      <xdr:blipFill rotWithShape="1">
        <a:blip xmlns:r="http://schemas.openxmlformats.org/officeDocument/2006/relationships" r:embed="rId3" cstate="print"/>
        <a:srcRect t="-1" b="87098"/>
        <a:stretch/>
      </xdr:blipFill>
      <xdr:spPr>
        <a:xfrm>
          <a:off x="15897225" y="11315700"/>
          <a:ext cx="5715000" cy="356235"/>
        </a:xfrm>
        <a:prstGeom prst="rect">
          <a:avLst/>
        </a:prstGeom>
      </xdr:spPr>
    </xdr:pic>
    <xdr:clientData/>
  </xdr:twoCellAnchor>
  <xdr:twoCellAnchor>
    <xdr:from>
      <xdr:col>18</xdr:col>
      <xdr:colOff>0</xdr:colOff>
      <xdr:row>67</xdr:row>
      <xdr:rowOff>0</xdr:rowOff>
    </xdr:from>
    <xdr:to>
      <xdr:col>26</xdr:col>
      <xdr:colOff>514350</xdr:colOff>
      <xdr:row>68</xdr:row>
      <xdr:rowOff>165735</xdr:rowOff>
    </xdr:to>
    <xdr:pic>
      <xdr:nvPicPr>
        <xdr:cNvPr id="14" name="Picture 13" descr="The increase in methane emissions from restored seasonal inland wetlands, in metric tons of methane per year, is the product of the methane emission rate for intermittent wetlands (126 kilograms of methane per hectare per year, converted to metric tons of methane per acre per year) and the acres restored to seasonal inland wetland.">
          <a:extLst>
            <a:ext uri="{FF2B5EF4-FFF2-40B4-BE49-F238E27FC236}">
              <a16:creationId xmlns:a16="http://schemas.microsoft.com/office/drawing/2014/main" id="{00000000-0008-0000-0600-00000E000000}"/>
            </a:ext>
          </a:extLst>
        </xdr:cNvPr>
        <xdr:cNvPicPr/>
      </xdr:nvPicPr>
      <xdr:blipFill rotWithShape="1">
        <a:blip xmlns:r="http://schemas.openxmlformats.org/officeDocument/2006/relationships" r:embed="rId4" cstate="print"/>
        <a:srcRect b="85254"/>
        <a:stretch/>
      </xdr:blipFill>
      <xdr:spPr>
        <a:xfrm>
          <a:off x="15897225" y="14649450"/>
          <a:ext cx="5943600" cy="365760"/>
        </a:xfrm>
        <a:prstGeom prst="rect">
          <a:avLst/>
        </a:prstGeom>
      </xdr:spPr>
    </xdr:pic>
    <xdr:clientData/>
  </xdr:twoCellAnchor>
  <xdr:twoCellAnchor>
    <xdr:from>
      <xdr:col>18</xdr:col>
      <xdr:colOff>0</xdr:colOff>
      <xdr:row>15</xdr:row>
      <xdr:rowOff>0</xdr:rowOff>
    </xdr:from>
    <xdr:to>
      <xdr:col>26</xdr:col>
      <xdr:colOff>285750</xdr:colOff>
      <xdr:row>16</xdr:row>
      <xdr:rowOff>175260</xdr:rowOff>
    </xdr:to>
    <xdr:pic>
      <xdr:nvPicPr>
        <xdr:cNvPr id="15" name="Picture 14" descr="The greenhouse gas benefit of a restored seasonal wetland project, in metric tons of carbon dioxide equivalents, is the carbon sequestered in the project site (from equation 11, in metric tons of carbon dioxide equivalents), plus the product of the project lifetime (50 years) and the difference of the avoided nitrous oxide emisions from farmland from avoided nitrogen fertilizer application (from equation 5, in metric tons of nitrous oxide per year, converted to metric tons of carbon dioxide equivalents per year)  and the increase in methane emissions from restored seasonal inland wetlands (from equation 12, in metric tons of methane per year, converted to metric tons of carbon dioxide equivalents per year), plus the total tree biomass carbon sequestration increase (from equation 15, in metric tons of carbon dioxide equivalents).">
          <a:extLst>
            <a:ext uri="{FF2B5EF4-FFF2-40B4-BE49-F238E27FC236}">
              <a16:creationId xmlns:a16="http://schemas.microsoft.com/office/drawing/2014/main" id="{00000000-0008-0000-0600-00000F000000}"/>
            </a:ext>
          </a:extLst>
        </xdr:cNvPr>
        <xdr:cNvPicPr/>
      </xdr:nvPicPr>
      <xdr:blipFill rotWithShape="1">
        <a:blip xmlns:r="http://schemas.openxmlformats.org/officeDocument/2006/relationships" r:embed="rId5" cstate="print"/>
        <a:srcRect t="-6" b="88986"/>
        <a:stretch/>
      </xdr:blipFill>
      <xdr:spPr>
        <a:xfrm>
          <a:off x="15897225" y="3276600"/>
          <a:ext cx="5715000" cy="3657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961847</xdr:colOff>
      <xdr:row>6</xdr:row>
      <xdr:rowOff>68915</xdr:rowOff>
    </xdr:to>
    <xdr:pic>
      <xdr:nvPicPr>
        <xdr:cNvPr id="2" name="Picture 1" descr="Logo: California Climate Investments- Cap and Trade Dollars at Work">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57175"/>
          <a:ext cx="1742897" cy="13547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1096318</xdr:colOff>
      <xdr:row>6</xdr:row>
      <xdr:rowOff>68915</xdr:rowOff>
    </xdr:to>
    <xdr:pic>
      <xdr:nvPicPr>
        <xdr:cNvPr id="2" name="Picture 1" descr="Logo: California Climate Investments- Cap and Trade Dollars at Work">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57175"/>
          <a:ext cx="1746819" cy="135479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0000000}" name="Project_Info" displayName="Project_Info" ref="B23:D35" totalsRowShown="0" headerRowDxfId="196" dataDxfId="195">
  <autoFilter ref="B23:D35" xr:uid="{00000000-0009-0000-0100-00000E000000}"/>
  <tableColumns count="3">
    <tableColumn id="1" xr3:uid="{00000000-0010-0000-0000-000001000000}" name="Category" dataDxfId="194" dataCellStyle="Normal 11"/>
    <tableColumn id="2" xr3:uid="{00000000-0010-0000-0000-000002000000}" name="Input" dataDxfId="193"/>
    <tableColumn id="4" xr3:uid="{00000000-0010-0000-0000-000004000000}" name="Required?" dataDxfId="192">
      <calculatedColumnFormula>IF(ISBLANK(C24),"Required","")</calculatedColumnFormula>
    </tableColumn>
  </tableColumns>
  <tableStyleInfo showFirstColumn="0" showLastColumn="0" showRowStripes="1" showColumnStripes="0"/>
  <extLst>
    <ext xmlns:x14="http://schemas.microsoft.com/office/spreadsheetml/2009/9/main" uri="{504A1905-F514-4f6f-8877-14C23A59335A}">
      <x14:table altText="Basic Project Information Inputs" altTextSummary="Input identfying information about the project."/>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B10:C22" totalsRowShown="0" headerRowDxfId="14" headerRowBorderDxfId="13" tableBorderDxfId="12" totalsRowBorderDxfId="11">
  <autoFilter ref="B10:C22" xr:uid="{00000000-0009-0000-0100-000004000000}"/>
  <tableColumns count="2">
    <tableColumn id="1" xr3:uid="{00000000-0010-0000-0900-000001000000}" name="Acronym" dataDxfId="10"/>
    <tableColumn id="2" xr3:uid="{00000000-0010-0000-0900-000002000000}" name="Term" dataDxfId="9"/>
  </tableColumns>
  <tableStyleInfo name="TableStyleMedium2" showFirstColumn="0" showLastColumn="0" showRowStripes="1" showColumnStripes="0"/>
  <extLst>
    <ext xmlns:x14="http://schemas.microsoft.com/office/spreadsheetml/2009/9/main" uri="{504A1905-F514-4f6f-8877-14C23A59335A}">
      <x14:table altText="Table of Acronyms" altTextSummary="Acronyms used in the Land Restoration Benefits Calculator Tool"/>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A000000}" name="Table7" displayName="Table7" ref="B16:D19" totalsRowShown="0" tableBorderDxfId="8">
  <autoFilter ref="B16:D19" xr:uid="{00000000-0009-0000-0100-000007000000}"/>
  <tableColumns count="3">
    <tableColumn id="1" xr3:uid="{00000000-0010-0000-0A00-000001000000}" name="Documentation Description" dataDxfId="7"/>
    <tableColumn id="2" xr3:uid="{00000000-0010-0000-0A00-000002000000}" name="Completed?" dataDxfId="6"/>
    <tableColumn id="3" xr3:uid="{00000000-0010-0000-0A00-000003000000}" name="Required?" dataDxfId="5">
      <calculatedColumnFormula>IF(ISBLANK(C17),"Required","")</calculatedColumnFormula>
    </tableColumn>
  </tableColumns>
  <tableStyleInfo showFirstColumn="0" showLastColumn="0" showRowStripes="1" showColumnStripes="0"/>
  <extLst>
    <ext xmlns:x14="http://schemas.microsoft.com/office/spreadsheetml/2009/9/main" uri="{504A1905-F514-4f6f-8877-14C23A59335A}">
      <x14:table altText="General Documentation" altTextSummary="Required general documentation"/>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B000000}" name="Table8" displayName="Table8" ref="B24:E25" totalsRowShown="0" tableBorderDxfId="4">
  <autoFilter ref="B24:E25" xr:uid="{00000000-0009-0000-0100-000008000000}"/>
  <tableColumns count="4">
    <tableColumn id="1" xr3:uid="{00000000-0010-0000-0B00-000001000000}" name="Quantifiable Project Characteristic" dataDxfId="3"/>
    <tableColumn id="2" xr3:uid="{00000000-0010-0000-0B00-000002000000}" name="Additional Documentation" dataDxfId="2"/>
    <tableColumn id="3" xr3:uid="{00000000-0010-0000-0B00-000003000000}" name="Completed?" dataDxfId="1"/>
    <tableColumn id="4" xr3:uid="{00000000-0010-0000-0B00-000004000000}" name="Required?" dataDxfId="0">
      <calculatedColumnFormula>IF(ISBLANK(D25),"Required","")</calculatedColumnFormula>
    </tableColumn>
  </tableColumns>
  <tableStyleInfo showFirstColumn="0" showLastColumn="0" showRowStripes="1" showColumnStripes="0"/>
  <extLst>
    <ext xmlns:x14="http://schemas.microsoft.com/office/spreadsheetml/2009/9/main" uri="{504A1905-F514-4f6f-8877-14C23A59335A}">
      <x14:table altText="Project-Specific Documentation" altTextSummary="Required project-specific documentation"/>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1000000}" name="CTW_Input" displayName="CTW_Input" ref="B19:V29" totalsRowShown="0" headerRowDxfId="177" dataDxfId="175" headerRowBorderDxfId="176" tableBorderDxfId="174" totalsRowBorderDxfId="173">
  <autoFilter ref="B19:V29" xr:uid="{00000000-0009-0000-0100-00000D000000}"/>
  <tableColumns count="21">
    <tableColumn id="18" xr3:uid="{00000000-0010-0000-0100-000012000000}" name="Project Site_x000a_Section" dataDxfId="172"/>
    <tableColumn id="1" xr3:uid="{00000000-0010-0000-0100-000001000000}" name="Months per Year existing wetland site is a seasonal _x000a_wetland" dataDxfId="171"/>
    <tableColumn id="4" xr3:uid="{00000000-0010-0000-0100-000004000000}" name="mo/yr 1" dataDxfId="170">
      <calculatedColumnFormula>IF(ISBLANK(C20),IF(OR(NOT(ISBLANK(C20)),SUM(C20,E20,I20,K20,O20,Q20,S20)&gt;0),"Required","Optional"),"mo/yr")</calculatedColumnFormula>
    </tableColumn>
    <tableColumn id="7" xr3:uid="{00000000-0010-0000-0100-000007000000}" name="Acres converted from managed seasonal wetland to tidal wetland" dataDxfId="169"/>
    <tableColumn id="8" xr3:uid="{00000000-0010-0000-0100-000008000000}" name="acres 1" dataDxfId="168">
      <calculatedColumnFormula>IF(ISBLANK(E20),IF(OR(NOT(ISBLANK(C20)),SUM(C20,E20,I20,K20,O20,Q20,S20)&gt;0),"Required","Optional"),"acres")</calculatedColumnFormula>
    </tableColumn>
    <tableColumn id="9" xr3:uid="{00000000-0010-0000-0100-000009000000}" name="Months per year managed seasonal wetland is drained" dataDxfId="167"/>
    <tableColumn id="10" xr3:uid="{00000000-0010-0000-0100-00000A000000}" name="mo/yr 2" dataDxfId="166">
      <calculatedColumnFormula>IF(ISBLANK(G20),IF(E20&gt;0,"Required","N/A"),"mo/yr")</calculatedColumnFormula>
    </tableColumn>
    <tableColumn id="22" xr3:uid="{00000000-0010-0000-0100-000016000000}" name="Acres converted from farmland to tidal wetland" dataDxfId="165"/>
    <tableColumn id="23" xr3:uid="{00000000-0010-0000-0100-000017000000}" name="acres 2" dataDxfId="164">
      <calculatedColumnFormula>IF(ISBLANK(I20),IF(OR(NOT(ISBLANK(C20)),SUM(C20,E20,I20,K20,O20,Q20,S20)&gt;0),"Required","Optional"),"acres")</calculatedColumnFormula>
    </tableColumn>
    <tableColumn id="2" xr3:uid="{00000000-0010-0000-0100-000002000000}" name="Acres converted from farmland to grassland" dataDxfId="163"/>
    <tableColumn id="5" xr3:uid="{00000000-0010-0000-0100-000005000000}" name="acres 3" dataDxfId="162">
      <calculatedColumnFormula>IF(ISBLANK(K20),IF(OR(NOT(ISBLANK(C20)),SUM(C20,E20,I20,K20,O20,Q20,S20)&gt;0),"Required","Optional"),"acres")</calculatedColumnFormula>
    </tableColumn>
    <tableColumn id="20" xr3:uid="{00000000-0010-0000-0100-000014000000}" name="Farmland _x000a_lb/acre-yr Nitrogen _x000a_Application _x000a_Rate" dataDxfId="161"/>
    <tableColumn id="21" xr3:uid="{00000000-0010-0000-0100-000015000000}" name="lb/yr 1" dataDxfId="160">
      <calculatedColumnFormula>IF(ISBLANK(M20),IF(SUM(I20,K20)&gt;0,"Optional","N/A"),"lb-N/acre-yr")</calculatedColumnFormula>
    </tableColumn>
    <tableColumn id="11" xr3:uid="{00000000-0010-0000-0100-00000B000000}" name="Acres restored to coastal tidal wetland" dataDxfId="159"/>
    <tableColumn id="12" xr3:uid="{00000000-0010-0000-0100-00000C000000}" name="acres 4" dataDxfId="158">
      <calculatedColumnFormula>IF(ISBLANK(O20),IF(OR(NOT(ISBLANK(C20)),SUM(C20,E20,I20,K20,O20,Q20,S20)&gt;0),"Required","Optional"),"acres")</calculatedColumnFormula>
    </tableColumn>
    <tableColumn id="15" xr3:uid="{00000000-0010-0000-0100-00000F000000}" name="Months per year restored tidal wetland has water salinity less than 18 ppt" dataDxfId="157"/>
    <tableColumn id="16" xr3:uid="{00000000-0010-0000-0100-000010000000}" name="mo/yr 3" dataDxfId="156">
      <calculatedColumnFormula>IF(ISBLANK(Q20),IF(OR(NOT(ISBLANK(C20)),SUM(C20,E20,I20,K20,O20,Q20,S20)&gt;0),"Required","Optional"),"mo/yr")</calculatedColumnFormula>
    </tableColumn>
    <tableColumn id="13" xr3:uid="{00000000-0010-0000-0100-00000D000000}" name="Acres_x000a_restored to improved _x000a_coastal grassland" dataDxfId="155"/>
    <tableColumn id="14" xr3:uid="{00000000-0010-0000-0100-00000E000000}" name="acres 5" dataDxfId="154">
      <calculatedColumnFormula>IF(ISBLANK(S20),IF(OR(NOT(ISBLANK(C20)),SUM(C20,E20,I20,K20,O20,Q20,S20)&gt;0),"Required","Optional"),"mo/yr")</calculatedColumnFormula>
    </tableColumn>
    <tableColumn id="3" xr3:uid="{00000000-0010-0000-0100-000003000000}" name="Grassland SoilWeb Soil Type" dataDxfId="153"/>
    <tableColumn id="6" xr3:uid="{00000000-0010-0000-0100-000006000000}" name="Soil Type 1" dataDxfId="152">
      <calculatedColumnFormula>IF(ISBLANK(U20),IF(SUM(K20,S20)&gt;0,"Required","N/A"),"")</calculatedColumnFormula>
    </tableColumn>
  </tableColumns>
  <tableStyleInfo name="TableStyleMedium2" showFirstColumn="0" showLastColumn="0" showRowStripes="1" showColumnStripes="0"/>
  <extLst>
    <ext xmlns:x14="http://schemas.microsoft.com/office/spreadsheetml/2009/9/main" uri="{504A1905-F514-4f6f-8877-14C23A59335A}">
      <x14:table altText="Coastal Tidal Wetland Inputs" altTextSummary="Input information about the project site to calculate benefits."/>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Delta_Input" displayName="Delta_Input" ref="B17:H27" totalsRowShown="0" headerRowDxfId="142" dataDxfId="140" headerRowBorderDxfId="141" tableBorderDxfId="139" totalsRowBorderDxfId="138">
  <autoFilter ref="B17:H27" xr:uid="{00000000-0009-0000-0100-00000F000000}"/>
  <tableColumns count="7">
    <tableColumn id="18" xr3:uid="{00000000-0010-0000-0200-000012000000}" name="Project Site_x000a_Section" dataDxfId="137"/>
    <tableColumn id="22" xr3:uid="{00000000-0010-0000-0200-000016000000}" name="Acres converted from drained farmland to wetland" dataDxfId="136"/>
    <tableColumn id="23" xr3:uid="{00000000-0010-0000-0200-000017000000}" name="acres 1" dataDxfId="135">
      <calculatedColumnFormula>IF(ISBLANK(C18),IF(OR(NOT(ISBLANK(C18)),NOT(ISBLANK(G18))),"Required","Optional"),"acres")</calculatedColumnFormula>
    </tableColumn>
    <tableColumn id="20" xr3:uid="{00000000-0010-0000-0200-000014000000}" name="Farmland _x000a_lb/acre-yr Nitrogen _x000a_Application _x000a_Rate" dataDxfId="134"/>
    <tableColumn id="21" xr3:uid="{00000000-0010-0000-0200-000015000000}" name="lb/acre-yr 1" dataDxfId="133">
      <calculatedColumnFormula>IF(ISBLANK(E18),IF(SUM(C18)&gt;0,"Optional","N/A"),"lb-N/acre-yr")</calculatedColumnFormula>
    </tableColumn>
    <tableColumn id="11" xr3:uid="{00000000-0010-0000-0200-00000B000000}" name="Acres restored to Delta wetland" dataDxfId="132"/>
    <tableColumn id="12" xr3:uid="{00000000-0010-0000-0200-00000C000000}" name="acres 2" dataDxfId="131">
      <calculatedColumnFormula>IF(ISBLANK(G18),IF(OR(NOT(ISBLANK(C18)),NOT(ISBLANK(G18))),"Required","Optional"),"acres")</calculatedColumnFormula>
    </tableColumn>
  </tableColumns>
  <tableStyleInfo name="TableStyleMedium2" showFirstColumn="0" showLastColumn="0" showRowStripes="1" showColumnStripes="0"/>
  <extLst>
    <ext xmlns:x14="http://schemas.microsoft.com/office/spreadsheetml/2009/9/main" uri="{504A1905-F514-4f6f-8877-14C23A59335A}">
      <x14:table altText="Delta Wetland Inputs" altTextSummary="Input information about the project site to calculate benefits."/>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3000000}" name="GW_Input" displayName="GW_Input" ref="B19:P29" totalsRowShown="0" headerRowDxfId="118" dataDxfId="116" headerRowBorderDxfId="117" tableBorderDxfId="115" totalsRowBorderDxfId="114">
  <autoFilter ref="B19:P29" xr:uid="{00000000-0009-0000-0100-000013000000}"/>
  <tableColumns count="15">
    <tableColumn id="18" xr3:uid="{00000000-0010-0000-0300-000012000000}" name="Project Site_x000a_Section" dataDxfId="113"/>
    <tableColumn id="7" xr3:uid="{00000000-0010-0000-0300-000007000000}" name="Acres converted from moderately degraded grasslands" dataDxfId="112"/>
    <tableColumn id="8" xr3:uid="{00000000-0010-0000-0300-000008000000}" name="acres 1" dataDxfId="111">
      <calculatedColumnFormula>IF(ISBLANK(C20),IF(SUM(C20,E20,G20,K20,M20)&gt;0,"Required","Optional"),"acres")</calculatedColumnFormula>
    </tableColumn>
    <tableColumn id="22" xr3:uid="{00000000-0010-0000-0300-000016000000}" name="Acres converted from severely degraded grasslands" dataDxfId="110"/>
    <tableColumn id="23" xr3:uid="{00000000-0010-0000-0300-000017000000}" name="acres 2" dataDxfId="109">
      <calculatedColumnFormula>IF(ISBLANK(E20),IF(SUM(C20,E20,G20,K20,M20)&gt;0,"Required","Optional"),"acres")</calculatedColumnFormula>
    </tableColumn>
    <tableColumn id="2" xr3:uid="{00000000-0010-0000-0300-000002000000}" name="Acres converted from farmland" dataDxfId="108"/>
    <tableColumn id="5" xr3:uid="{00000000-0010-0000-0300-000005000000}" name="acres 3" dataDxfId="107">
      <calculatedColumnFormula>IF(ISBLANK(G20),IF(SUM(C20,E20,G20,K20,M20)&gt;0,"Required","Optional"),"acres")</calculatedColumnFormula>
    </tableColumn>
    <tableColumn id="20" xr3:uid="{00000000-0010-0000-0300-000014000000}" name="Farmland _x000a_lb/acre-yr Nitrogen _x000a_Application _x000a_Rate" dataDxfId="106"/>
    <tableColumn id="21" xr3:uid="{00000000-0010-0000-0300-000015000000}" name="lb-N_x000a_/acre-yr _x000a_1" dataDxfId="105">
      <calculatedColumnFormula>IF(ISBLANK(I20),IF(G20&gt;0,"Optional","N/A"),"lb-N/acre-yr")</calculatedColumnFormula>
    </tableColumn>
    <tableColumn id="11" xr3:uid="{00000000-0010-0000-0300-00000B000000}" name="Acres restored to woodland" dataDxfId="104"/>
    <tableColumn id="12" xr3:uid="{00000000-0010-0000-0300-00000C000000}" name="acres 4" dataDxfId="103">
      <calculatedColumnFormula>IF(ISBLANK(K20),IF(SUM(C20,E20,G20,K20,M20)&gt;0,"Required","Optional"),"acres")</calculatedColumnFormula>
    </tableColumn>
    <tableColumn id="13" xr3:uid="{00000000-0010-0000-0300-00000D000000}" name="Acres_x000a_restored to improved _x000a_grassland" dataDxfId="102"/>
    <tableColumn id="14" xr3:uid="{00000000-0010-0000-0300-00000E000000}" name="acres 5" dataDxfId="101">
      <calculatedColumnFormula>IF(ISBLANK(M20),IF(SUM(C20,E20,G20,K20,M20)&gt;0,"Required","Optional"),"acres")</calculatedColumnFormula>
    </tableColumn>
    <tableColumn id="3" xr3:uid="{00000000-0010-0000-0300-000003000000}" name="SoilWeb Soil Type" dataDxfId="100"/>
    <tableColumn id="6" xr3:uid="{00000000-0010-0000-0300-000006000000}" name="Soil Type 1" dataDxfId="99">
      <calculatedColumnFormula>IF(ISBLANK(O20),IF(SUM(C20,E20,G20,K20,M20)&gt;0,"Required","N/A"),"")</calculatedColumnFormula>
    </tableColumn>
  </tableColumns>
  <tableStyleInfo name="TableStyleMedium2" showFirstColumn="0" showLastColumn="0" showRowStripes="1" showColumnStripes="0"/>
  <extLst>
    <ext xmlns:x14="http://schemas.microsoft.com/office/spreadsheetml/2009/9/main" uri="{504A1905-F514-4f6f-8877-14C23A59335A}">
      <x14:table altText="Grassland and Woodland Inputs" altTextSummary="Input information about the project site to calculate benefits."/>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MM_Input" displayName="MM_Input" ref="B17:D27" totalsRowShown="0" headerRowDxfId="93" dataDxfId="91" headerRowBorderDxfId="92" tableBorderDxfId="90" totalsRowBorderDxfId="89">
  <autoFilter ref="B17:D27" xr:uid="{00000000-0009-0000-0100-000011000000}"/>
  <tableColumns count="3">
    <tableColumn id="18" xr3:uid="{00000000-0010-0000-0400-000012000000}" name="Project Site_x000a_Section" dataDxfId="88"/>
    <tableColumn id="11" xr3:uid="{00000000-0010-0000-0400-00000B000000}" name="Acres restored to Mountain Meadow" dataDxfId="87"/>
    <tableColumn id="12" xr3:uid="{00000000-0010-0000-0400-00000C000000}" name="acres 1" dataDxfId="86">
      <calculatedColumnFormula>IF(ISBLANK(C18),"Optional","acres")</calculatedColumnFormula>
    </tableColumn>
  </tableColumns>
  <tableStyleInfo name="TableStyleMedium2" showFirstColumn="0" showLastColumn="0" showRowStripes="1" showColumnStripes="0"/>
  <extLst>
    <ext xmlns:x14="http://schemas.microsoft.com/office/spreadsheetml/2009/9/main" uri="{504A1905-F514-4f6f-8877-14C23A59335A}">
      <x14:table altText="Mountain Meadow Inputs" altTextSummary="Input information about the project site to calculate benefits."/>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5000000}" name="SIW_Input" displayName="SIW_Input" ref="B19:P29" totalsRowShown="0" headerRowDxfId="73" dataDxfId="71" headerRowBorderDxfId="72" tableBorderDxfId="70" totalsRowBorderDxfId="69">
  <autoFilter ref="B19:P29" xr:uid="{00000000-0009-0000-0100-000010000000}"/>
  <tableColumns count="15">
    <tableColumn id="18" xr3:uid="{00000000-0010-0000-0500-000012000000}" name="Project Site_x000a_Section" dataDxfId="68"/>
    <tableColumn id="7" xr3:uid="{00000000-0010-0000-0500-000007000000}" name="Acres converted from moderately degraded wetlands and grasslands" dataDxfId="67"/>
    <tableColumn id="8" xr3:uid="{00000000-0010-0000-0500-000008000000}" name="acres 1" dataDxfId="66">
      <calculatedColumnFormula>IF(ISBLANK(C20),IF(SUM(C20,E20,G20,K20,M20)&gt;0,"Required","Optional"),"acres")</calculatedColumnFormula>
    </tableColumn>
    <tableColumn id="22" xr3:uid="{00000000-0010-0000-0500-000016000000}" name="Acres converted from severely degraded wetlands and grasslands" dataDxfId="65"/>
    <tableColumn id="23" xr3:uid="{00000000-0010-0000-0500-000017000000}" name="acres 2" dataDxfId="64">
      <calculatedColumnFormula>IF(ISBLANK(E20),IF(SUM(C20,E20,G20,K20,M20)&gt;0,"Required","Optional"),"acres")</calculatedColumnFormula>
    </tableColumn>
    <tableColumn id="2" xr3:uid="{00000000-0010-0000-0500-000002000000}" name="Acres converted from farmland" dataDxfId="63"/>
    <tableColumn id="5" xr3:uid="{00000000-0010-0000-0500-000005000000}" name="acres 3" dataDxfId="62">
      <calculatedColumnFormula>IF(ISBLANK(G20),IF(SUM(C20,E20,G20,K20,M20)&gt;0,"Required","Optional"),"acres")</calculatedColumnFormula>
    </tableColumn>
    <tableColumn id="20" xr3:uid="{00000000-0010-0000-0500-000014000000}" name="Farmland _x000a_lb/acre-yr Nitrogen _x000a_Application _x000a_Rate" dataDxfId="61"/>
    <tableColumn id="21" xr3:uid="{00000000-0010-0000-0500-000015000000}" name="lb-N_x000a_/acre-yr _x000a_1" dataDxfId="60">
      <calculatedColumnFormula>IF(ISBLANK(I20),IF(G20&gt;0,"Optional","N/A"),"lb-N/acre-yr")</calculatedColumnFormula>
    </tableColumn>
    <tableColumn id="11" xr3:uid="{00000000-0010-0000-0500-00000B000000}" name="Acres restored to seasonal or intermittent wetlands" dataDxfId="59"/>
    <tableColumn id="12" xr3:uid="{00000000-0010-0000-0500-00000C000000}" name="acres 4" dataDxfId="58">
      <calculatedColumnFormula>IF(ISBLANK(K20),IF(SUM(C20,E20,G20,K20,M20)&gt;0,"Required","Optional"),"acres")</calculatedColumnFormula>
    </tableColumn>
    <tableColumn id="13" xr3:uid="{00000000-0010-0000-0500-00000D000000}" name="Acres_x000a_restored to improved _x000a_grassland" dataDxfId="57"/>
    <tableColumn id="14" xr3:uid="{00000000-0010-0000-0500-00000E000000}" name="acres 5" dataDxfId="56">
      <calculatedColumnFormula>IF(ISBLANK(M20),IF(SUM(C20,E20,G20,K20,M20)&gt;0,"Required","Optional"),"acres")</calculatedColumnFormula>
    </tableColumn>
    <tableColumn id="3" xr3:uid="{00000000-0010-0000-0500-000003000000}" name="Grassland SoilWeb Soil Type" dataDxfId="55"/>
    <tableColumn id="6" xr3:uid="{00000000-0010-0000-0500-000006000000}" name="Soil Type 1" dataDxfId="54">
      <calculatedColumnFormula>IF(ISBLANK(O20),IF(SUM(C20,E20,G20,K20,M20)&gt;0,"Required","N/A"),"")</calculatedColumnFormula>
    </tableColumn>
  </tableColumns>
  <tableStyleInfo name="TableStyleMedium2" showFirstColumn="0" showLastColumn="0" showRowStripes="1" showColumnStripes="0"/>
  <extLst>
    <ext xmlns:x14="http://schemas.microsoft.com/office/spreadsheetml/2009/9/main" uri="{504A1905-F514-4f6f-8877-14C23A59335A}">
      <x14:table altText="Seasonal Inland Wetland Inputs" altTextSummary="Input information about the project site to calculate benefits."/>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ree_Input" displayName="Tree_Input" ref="B19:J39" totalsRowShown="0" headerRowDxfId="48" dataDxfId="46" headerRowBorderDxfId="47" tableBorderDxfId="45" totalsRowBorderDxfId="44">
  <autoFilter ref="B19:J39" xr:uid="{00000000-0009-0000-0100-000014000000}"/>
  <tableColumns count="9">
    <tableColumn id="18" xr3:uid="{00000000-0010-0000-0600-000012000000}" name="Group Identifier" dataDxfId="43"/>
    <tableColumn id="22" xr3:uid="{00000000-0010-0000-0600-000016000000}" name="Number of trees planted" dataDxfId="42"/>
    <tableColumn id="23" xr3:uid="{00000000-0010-0000-0600-000017000000}" name="acres 2" dataDxfId="41">
      <calculatedColumnFormula>IF(ISBLANK(C20),IF(OR(NOT(ISBLANK(C20)),NOT(ISBLANK(E20)),NOT(ISBLANK(G20)),NOT(ISBLANK(I20))),"Required","Optional"),"trees")</calculatedColumnFormula>
    </tableColumn>
    <tableColumn id="20" xr3:uid="{00000000-0010-0000-0600-000014000000}" name="Pounds of CO2 sequestered by trees" dataDxfId="40"/>
    <tableColumn id="21" xr3:uid="{00000000-0010-0000-0600-000015000000}" name="lb/yr 1" dataDxfId="39">
      <calculatedColumnFormula>IF(ISBLANK(E20),IF(OR(NOT(ISBLANK(C20)),NOT(ISBLANK(E20)),NOT(ISBLANK(G20)),NOT(ISBLANK(I20))),"Required","Optional"),"lbs")</calculatedColumnFormula>
    </tableColumn>
    <tableColumn id="25" xr3:uid="{00000000-0010-0000-0600-000019000000}" name="Pounds of NO2 removed by trees" dataDxfId="38"/>
    <tableColumn id="24" xr3:uid="{00000000-0010-0000-0600-000018000000}" name="lb/yr 13" dataDxfId="37">
      <calculatedColumnFormula>IF(ISBLANK(G20),IF(OR(NOT(ISBLANK(C20)),NOT(ISBLANK(E20)),NOT(ISBLANK(G20)),NOT(ISBLANK(I20))),"Required","Optional"),"lbs")</calculatedColumnFormula>
    </tableColumn>
    <tableColumn id="11" xr3:uid="{00000000-0010-0000-0600-00000B000000}" name="Pounds of PM2.5 removed by trees" dataDxfId="36"/>
    <tableColumn id="12" xr3:uid="{00000000-0010-0000-0600-00000C000000}" name="acres 4" dataDxfId="35">
      <calculatedColumnFormula>IF(ISBLANK(I20),IF(OR(NOT(ISBLANK(C20)),NOT(ISBLANK(E20)),NOT(ISBLANK(G20)),NOT(ISBLANK(I20))),"Required","Optional"),"lbs")</calculatedColumnFormula>
    </tableColumn>
  </tableColumns>
  <tableStyleInfo name="TableStyleMedium2" showFirstColumn="0" showLastColumn="0" showRowStripes="1" showColumnStripes="0"/>
  <extLst>
    <ext xmlns:x14="http://schemas.microsoft.com/office/spreadsheetml/2009/9/main" uri="{504A1905-F514-4f6f-8877-14C23A59335A}">
      <x14:table altText="Tree Planting Inputs" altTextSummary="Input information about trees planted on the project site here, as calculated by the i-Tree Planting Calculator."/>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N_Input" displayName="N_Input" ref="B17:F27" totalsRowShown="0" headerRowDxfId="32" dataDxfId="30" headerRowBorderDxfId="31" tableBorderDxfId="29" totalsRowBorderDxfId="28">
  <autoFilter ref="B17:F27" xr:uid="{00000000-0009-0000-0100-000015000000}"/>
  <tableColumns count="5">
    <tableColumn id="18" xr3:uid="{00000000-0010-0000-0700-000012000000}" name="Project Site_x000a_Section" dataDxfId="27"/>
    <tableColumn id="22" xr3:uid="{00000000-0010-0000-0700-000016000000}" name="Crop Type Grown_x000a_(or most Similar)" dataDxfId="26"/>
    <tableColumn id="23" xr3:uid="{00000000-0010-0000-0700-000017000000}" name="acres 2" dataDxfId="25">
      <calculatedColumnFormula>IF(ISBLANK(C18),"Optional","")</calculatedColumnFormula>
    </tableColumn>
    <tableColumn id="20" xr3:uid="{00000000-0010-0000-0700-000014000000}" name="Estimated Annual Nitrogen Application Rate" dataDxfId="24">
      <calculatedColumnFormula>IFERROR(VLOOKUP(N_Input[[#This Row],[Crop Type Grown
(or most Similar)]],N_Example[],2,FALSE),"")</calculatedColumnFormula>
    </tableColumn>
    <tableColumn id="21" xr3:uid="{00000000-0010-0000-0700-000015000000}" name="lb-N_x000a_/acre-yr _x000a_1" dataDxfId="23">
      <calculatedColumnFormula>IF(E18="","","lb-N/acre-yr")</calculatedColumnFormula>
    </tableColumn>
  </tableColumns>
  <tableStyleInfo name="TableStyleMedium2" showFirstColumn="0" showLastColumn="0" showRowStripes="1" showColumnStripes="0"/>
  <extLst>
    <ext xmlns:x14="http://schemas.microsoft.com/office/spreadsheetml/2009/9/main" uri="{504A1905-F514-4f6f-8877-14C23A59335A}">
      <x14:table altText="Nitrogen Fertilizer Estimation" altTextSummary="Inputting the crop (or similar crop) previously on the project site will estimate the annual nitrogen application rate to use as an input for the relevant project type."/>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8000000}" name="N_Example" displayName="N_Example" ref="M17:O50" totalsRowShown="0" headerRowDxfId="22" dataDxfId="20" headerRowBorderDxfId="21" tableBorderDxfId="19" totalsRowBorderDxfId="18">
  <autoFilter ref="M17:O50" xr:uid="{00000000-0009-0000-0100-00001E000000}"/>
  <tableColumns count="3">
    <tableColumn id="1" xr3:uid="{00000000-0010-0000-0800-000001000000}" name="Crop" dataDxfId="17"/>
    <tableColumn id="2" xr3:uid="{00000000-0010-0000-0800-000002000000}" name="Nitrogen Application Rate" dataDxfId="16"/>
    <tableColumn id="3" xr3:uid="{00000000-0010-0000-0800-000003000000}" name="Units" dataDxfId="15"/>
  </tableColumns>
  <tableStyleInfo name="TableStyleMedium2" showFirstColumn="0" showLastColumn="0" showRowStripes="1" showColumnStripes="0"/>
  <extLst>
    <ext xmlns:x14="http://schemas.microsoft.com/office/spreadsheetml/2009/9/main" uri="{504A1905-F514-4f6f-8877-14C23A59335A}">
      <x14:table altText="Nitrogen Application Rate by Crop Type" altTextSummary="The Nitrogen Application Rate, in pounds of nitrogen per acre per year, for many crops planted in California."/>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www.arb.ca.gov/cci-resources" TargetMode="External"/><Relationship Id="rId7" Type="http://schemas.openxmlformats.org/officeDocument/2006/relationships/drawing" Target="../drawings/drawing1.xml"/><Relationship Id="rId2" Type="http://schemas.openxmlformats.org/officeDocument/2006/relationships/hyperlink" Target="mailto:GGRFProgram@arb.ca.gov" TargetMode="External"/><Relationship Id="rId1" Type="http://schemas.openxmlformats.org/officeDocument/2006/relationships/hyperlink" Target="http://www.arb.ca.gov/cci-cobenefits" TargetMode="External"/><Relationship Id="rId6" Type="http://schemas.openxmlformats.org/officeDocument/2006/relationships/printerSettings" Target="../printerSettings/printerSettings1.bin"/><Relationship Id="rId5" Type="http://schemas.openxmlformats.org/officeDocument/2006/relationships/hyperlink" Target="http://www.arb.ca.gov/cc/capandtrade/auctionproceeds/landrestore_userguide_2020_final.pdf" TargetMode="External"/><Relationship Id="rId4" Type="http://schemas.openxmlformats.org/officeDocument/2006/relationships/hyperlink" Target="http://www.caclimateinvestments.ca.gov/"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table" Target="../tables/table12.xml"/><Relationship Id="rId4"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rb.ca.gov/cc/capandtrade/auctionproceeds/landrestore_userguide_2020_final.pdf." TargetMode="External"/><Relationship Id="rId2" Type="http://schemas.openxmlformats.org/officeDocument/2006/relationships/hyperlink" Target="https://planting.itreetools.org/" TargetMode="External"/><Relationship Id="rId1" Type="http://schemas.openxmlformats.org/officeDocument/2006/relationships/hyperlink" Target="https://casoilresource.lawr.ucdavis.edu/gmap/" TargetMode="External"/><Relationship Id="rId6" Type="http://schemas.openxmlformats.org/officeDocument/2006/relationships/table" Target="../tables/table1.x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hyperlink" Target="http://www.arb.ca.gov/cc/capandtrade/auctionproceeds/landrestore_userguide_2020_final.pdf." TargetMode="External"/><Relationship Id="rId1" Type="http://schemas.openxmlformats.org/officeDocument/2006/relationships/hyperlink" Target="https://casoilresource.lawr.ucdavis.edu/gmap/" TargetMode="External"/><Relationship Id="rId6" Type="http://schemas.openxmlformats.org/officeDocument/2006/relationships/table" Target="../tables/table2.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rb.ca.gov/cc/capandtrade/auctionproceeds/landrestore_userguide_2020_final.pdf." TargetMode="External"/><Relationship Id="rId6" Type="http://schemas.openxmlformats.org/officeDocument/2006/relationships/comments" Target="../comments2.xml"/><Relationship Id="rId5" Type="http://schemas.openxmlformats.org/officeDocument/2006/relationships/table" Target="../tables/table3.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omments" Target="../comments3.xml"/><Relationship Id="rId2" Type="http://schemas.openxmlformats.org/officeDocument/2006/relationships/hyperlink" Target="http://www.arb.ca.gov/cc/capandtrade/auctionproceeds/landrestore_userguide_2020_final.pdf." TargetMode="External"/><Relationship Id="rId1" Type="http://schemas.openxmlformats.org/officeDocument/2006/relationships/hyperlink" Target="https://casoilresource.lawr.ucdavis.edu/gmap/" TargetMode="External"/><Relationship Id="rId6" Type="http://schemas.openxmlformats.org/officeDocument/2006/relationships/table" Target="../tables/table4.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rb.ca.gov/cc/capandtrade/auctionproceeds/landrestore_userguide_2020_final.pdf." TargetMode="External"/><Relationship Id="rId6" Type="http://schemas.openxmlformats.org/officeDocument/2006/relationships/comments" Target="../comments4.xml"/><Relationship Id="rId5" Type="http://schemas.openxmlformats.org/officeDocument/2006/relationships/table" Target="../tables/table5.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comments" Target="../comments5.xml"/><Relationship Id="rId2" Type="http://schemas.openxmlformats.org/officeDocument/2006/relationships/hyperlink" Target="http://www.arb.ca.gov/cc/capandtrade/auctionproceeds/landrestore_userguide_2020_final.pdf." TargetMode="External"/><Relationship Id="rId1" Type="http://schemas.openxmlformats.org/officeDocument/2006/relationships/hyperlink" Target="https://casoilresource.lawr.ucdavis.edu/gmap/" TargetMode="External"/><Relationship Id="rId6" Type="http://schemas.openxmlformats.org/officeDocument/2006/relationships/table" Target="../tables/table6.xml"/><Relationship Id="rId5" Type="http://schemas.openxmlformats.org/officeDocument/2006/relationships/vmlDrawing" Target="../drawings/vmlDrawing5.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omments" Target="../comments6.xml"/><Relationship Id="rId2" Type="http://schemas.openxmlformats.org/officeDocument/2006/relationships/hyperlink" Target="http://www.arb.ca.gov/cc/capandtrade/auctionproceeds/landrestore_userguide_2020_final.pdf." TargetMode="External"/><Relationship Id="rId1" Type="http://schemas.openxmlformats.org/officeDocument/2006/relationships/hyperlink" Target="https://planting.itreetools.org/" TargetMode="External"/><Relationship Id="rId6" Type="http://schemas.openxmlformats.org/officeDocument/2006/relationships/table" Target="../tables/table7.xml"/><Relationship Id="rId5" Type="http://schemas.openxmlformats.org/officeDocument/2006/relationships/vmlDrawing" Target="../drawings/vmlDrawing6.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arb.ca.gov/cc/capandtrade/auctionproceeds/landrestore_userguide_2020_final.pdf." TargetMode="External"/><Relationship Id="rId1" Type="http://schemas.openxmlformats.org/officeDocument/2006/relationships/hyperlink" Target="http://calag.ucanr.edu/Archive/?article=ca.E.v067n01p68" TargetMode="Externa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C80"/>
  </sheetPr>
  <dimension ref="B1:H25"/>
  <sheetViews>
    <sheetView showGridLines="0" tabSelected="1" topLeftCell="A5" zoomScaleNormal="100" workbookViewId="0">
      <selection activeCell="B16" sqref="B16"/>
    </sheetView>
  </sheetViews>
  <sheetFormatPr defaultColWidth="9.109375" defaultRowHeight="13.8" x14ac:dyDescent="0.25"/>
  <cols>
    <col min="1" max="1" width="2.88671875" style="72" customWidth="1"/>
    <col min="2" max="2" width="146.44140625" style="72" customWidth="1"/>
    <col min="3" max="3" width="2.88671875" style="72" customWidth="1"/>
    <col min="4" max="16384" width="9.109375" style="72"/>
  </cols>
  <sheetData>
    <row r="1" spans="2:2" ht="18" x14ac:dyDescent="0.25">
      <c r="B1" s="19" t="s">
        <v>0</v>
      </c>
    </row>
    <row r="2" spans="2:2" ht="18" x14ac:dyDescent="0.25">
      <c r="B2" s="19"/>
    </row>
    <row r="3" spans="2:2" ht="18" x14ac:dyDescent="0.25">
      <c r="B3" s="19" t="s">
        <v>537</v>
      </c>
    </row>
    <row r="4" spans="2:2" ht="18" x14ac:dyDescent="0.25">
      <c r="B4" s="135" t="s">
        <v>91</v>
      </c>
    </row>
    <row r="5" spans="2:2" ht="18" x14ac:dyDescent="0.25">
      <c r="B5" s="19"/>
    </row>
    <row r="6" spans="2:2" ht="18" x14ac:dyDescent="0.25">
      <c r="B6" s="19" t="s">
        <v>1</v>
      </c>
    </row>
    <row r="7" spans="2:2" ht="15.6" x14ac:dyDescent="0.3">
      <c r="B7" s="20"/>
    </row>
    <row r="8" spans="2:2" ht="16.2" thickBot="1" x14ac:dyDescent="0.35">
      <c r="B8" s="21" t="s">
        <v>2</v>
      </c>
    </row>
    <row r="9" spans="2:2" ht="79.5" customHeight="1" x14ac:dyDescent="0.25">
      <c r="B9" s="166" t="s">
        <v>540</v>
      </c>
    </row>
    <row r="10" spans="2:2" ht="15.6" x14ac:dyDescent="0.3">
      <c r="B10" s="22" t="s">
        <v>5</v>
      </c>
    </row>
    <row r="11" spans="2:2" ht="15.6" x14ac:dyDescent="0.3">
      <c r="B11" s="23"/>
    </row>
    <row r="12" spans="2:2" ht="46.8" x14ac:dyDescent="0.3">
      <c r="B12" s="167" t="s">
        <v>541</v>
      </c>
    </row>
    <row r="13" spans="2:2" ht="15.6" x14ac:dyDescent="0.3">
      <c r="B13" s="22" t="s">
        <v>6</v>
      </c>
    </row>
    <row r="14" spans="2:2" ht="15.6" x14ac:dyDescent="0.3">
      <c r="B14" s="24"/>
    </row>
    <row r="15" spans="2:2" ht="15.6" x14ac:dyDescent="0.3">
      <c r="B15" s="104" t="s">
        <v>122</v>
      </c>
    </row>
    <row r="16" spans="2:2" ht="14.4" x14ac:dyDescent="0.25">
      <c r="B16" s="615" t="s">
        <v>542</v>
      </c>
    </row>
    <row r="17" spans="2:8" ht="15.6" x14ac:dyDescent="0.3">
      <c r="B17" s="23"/>
    </row>
    <row r="18" spans="2:8" ht="15.6" x14ac:dyDescent="0.3">
      <c r="B18" s="113" t="s">
        <v>3</v>
      </c>
    </row>
    <row r="19" spans="2:8" ht="16.2" thickBot="1" x14ac:dyDescent="0.35">
      <c r="B19" s="23" t="s">
        <v>7</v>
      </c>
    </row>
    <row r="20" spans="2:8" ht="15.6" x14ac:dyDescent="0.3">
      <c r="B20" s="25" t="s">
        <v>4</v>
      </c>
      <c r="D20" s="58" t="s">
        <v>27</v>
      </c>
      <c r="E20" s="59"/>
      <c r="F20" s="59"/>
      <c r="G20" s="59"/>
      <c r="H20" s="60"/>
    </row>
    <row r="21" spans="2:8" ht="15.6" x14ac:dyDescent="0.3">
      <c r="B21" s="23" t="s">
        <v>123</v>
      </c>
      <c r="D21" s="62" t="s">
        <v>18</v>
      </c>
      <c r="E21" s="63" t="s">
        <v>22</v>
      </c>
      <c r="F21" s="63"/>
      <c r="G21" s="63"/>
      <c r="H21" s="64"/>
    </row>
    <row r="22" spans="2:8" ht="15.6" x14ac:dyDescent="0.3">
      <c r="B22" s="111"/>
      <c r="D22" s="65" t="s">
        <v>19</v>
      </c>
      <c r="E22" s="63" t="s">
        <v>23</v>
      </c>
      <c r="F22" s="63"/>
      <c r="G22" s="63"/>
      <c r="H22" s="64"/>
    </row>
    <row r="23" spans="2:8" ht="15.6" x14ac:dyDescent="0.3">
      <c r="B23" s="23" t="s">
        <v>68</v>
      </c>
      <c r="D23" s="66" t="s">
        <v>20</v>
      </c>
      <c r="E23" s="63" t="s">
        <v>26</v>
      </c>
      <c r="F23" s="63"/>
      <c r="G23" s="63"/>
      <c r="H23" s="64"/>
    </row>
    <row r="24" spans="2:8" ht="16.2" thickBot="1" x14ac:dyDescent="0.35">
      <c r="B24" s="112" t="s">
        <v>67</v>
      </c>
      <c r="D24" s="114" t="s">
        <v>21</v>
      </c>
      <c r="E24" s="67" t="s">
        <v>25</v>
      </c>
      <c r="F24" s="67"/>
      <c r="G24" s="67"/>
      <c r="H24" s="68"/>
    </row>
    <row r="25" spans="2:8" ht="15.6" x14ac:dyDescent="0.3">
      <c r="B25" s="20"/>
      <c r="D25" s="70" t="s">
        <v>24</v>
      </c>
    </row>
  </sheetData>
  <sheetProtection algorithmName="SHA-512" hashValue="xnM8zOsaLJxW8zGK8tEmvKDtWaRK41TaKXOGVlvaqlUM3I5kguy1UNed1mWMykdtFDvUZI4gwOk8rVfNY79Zkw==" saltValue="4+a36ZEAmYPZ4ssyMknivw==" spinCount="100000" sheet="1" objects="1" scenarios="1"/>
  <hyperlinks>
    <hyperlink ref="B13" r:id="rId1" tooltip="California Climate Investments co-benefits webpage" xr:uid="{00000000-0004-0000-0000-000000000000}"/>
    <hyperlink ref="B20" r:id="rId2" tooltip="California Climate Investments program email" xr:uid="{00000000-0004-0000-0000-000001000000}"/>
    <hyperlink ref="B10" r:id="rId3" tooltip="California Climate Investments resources webpage" xr:uid="{00000000-0004-0000-0000-000002000000}"/>
    <hyperlink ref="B24" r:id="rId4" tooltip="California Climate Investments program webpage" xr:uid="{00000000-0004-0000-0000-000003000000}"/>
    <hyperlink ref="B16" r:id="rId5" xr:uid="{00000000-0004-0000-0000-000004000000}"/>
  </hyperlinks>
  <pageMargins left="0.7" right="0.7" top="0.75" bottom="0.75" header="0.3" footer="0.3"/>
  <pageSetup orientation="portrait" r:id="rId6"/>
  <drawing r:id="rId7"/>
  <picture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9.9978637043366805E-2"/>
    <pageSetUpPr fitToPage="1"/>
  </sheetPr>
  <dimension ref="B1:R61"/>
  <sheetViews>
    <sheetView showGridLines="0" zoomScaleNormal="100" workbookViewId="0"/>
  </sheetViews>
  <sheetFormatPr defaultColWidth="9.109375" defaultRowHeight="15.6" x14ac:dyDescent="0.3"/>
  <cols>
    <col min="1" max="1" width="2.88671875" style="3" customWidth="1"/>
    <col min="2" max="2" width="75.6640625" style="3" customWidth="1"/>
    <col min="3" max="3" width="35.6640625" style="3" customWidth="1"/>
    <col min="4" max="16384" width="9.109375" style="3"/>
  </cols>
  <sheetData>
    <row r="1" spans="2:18" ht="18" x14ac:dyDescent="0.35">
      <c r="B1" s="37" t="str">
        <f>'Read Me'!B1</f>
        <v>California Air Resources Board</v>
      </c>
      <c r="C1" s="37"/>
    </row>
    <row r="2" spans="2:18" ht="18" x14ac:dyDescent="0.35">
      <c r="B2" s="37"/>
      <c r="C2" s="37"/>
    </row>
    <row r="3" spans="2:18" ht="18" x14ac:dyDescent="0.35">
      <c r="B3" s="37" t="str">
        <f>'Read Me'!B3</f>
        <v>Revised Draft Benefits Calculator Tool</v>
      </c>
      <c r="C3" s="37"/>
    </row>
    <row r="4" spans="2:18" ht="18" x14ac:dyDescent="0.35">
      <c r="B4" s="496" t="str">
        <f>'Read Me'!B4</f>
        <v>Land Restoration</v>
      </c>
      <c r="C4" s="38"/>
    </row>
    <row r="5" spans="2:18" ht="18" x14ac:dyDescent="0.35">
      <c r="B5" s="37"/>
      <c r="C5" s="37"/>
    </row>
    <row r="6" spans="2:18" ht="18" x14ac:dyDescent="0.35">
      <c r="B6" s="37" t="str">
        <f>'Read Me'!B6</f>
        <v xml:space="preserve">California Climate Investments </v>
      </c>
      <c r="C6" s="37"/>
    </row>
    <row r="8" spans="2:18" ht="16.2" thickBot="1" x14ac:dyDescent="0.35"/>
    <row r="9" spans="2:18" ht="16.2" thickBot="1" x14ac:dyDescent="0.35">
      <c r="B9" s="93" t="s">
        <v>29</v>
      </c>
      <c r="C9" s="97" t="str">
        <f>IF(ISBLANK(ProjectName),"",ProjectName)</f>
        <v/>
      </c>
    </row>
    <row r="10" spans="2:18" ht="16.2" thickBot="1" x14ac:dyDescent="0.35"/>
    <row r="11" spans="2:18" ht="18.75" customHeight="1" x14ac:dyDescent="0.3">
      <c r="B11" s="483" t="s">
        <v>30</v>
      </c>
      <c r="C11" s="484" t="s">
        <v>47</v>
      </c>
    </row>
    <row r="12" spans="2:18" ht="15.75" customHeight="1" x14ac:dyDescent="0.3">
      <c r="B12" s="489" t="str">
        <f>VLOOKUP('Project Info'!D25,'Project Info'!$D$38:$E$39,2,FALSE)&amp;" California Climate Invesments Funds"</f>
        <v>Wetlands California Climate Invesments Funds</v>
      </c>
      <c r="C12" s="491">
        <f>'Project Info'!C32</f>
        <v>0</v>
      </c>
    </row>
    <row r="13" spans="2:18" ht="15.75" customHeight="1" x14ac:dyDescent="0.3">
      <c r="B13" s="489" t="s">
        <v>60</v>
      </c>
      <c r="C13" s="491">
        <f>'Project Info'!C33</f>
        <v>0</v>
      </c>
    </row>
    <row r="14" spans="2:18" ht="15.75" customHeight="1" x14ac:dyDescent="0.3">
      <c r="B14" s="489" t="s">
        <v>61</v>
      </c>
      <c r="C14" s="491">
        <f>'Project Info'!C34</f>
        <v>0</v>
      </c>
    </row>
    <row r="15" spans="2:18" ht="15.75" customHeight="1" thickBot="1" x14ac:dyDescent="0.35">
      <c r="B15" s="490" t="s">
        <v>62</v>
      </c>
      <c r="C15" s="492">
        <f>'Project Info'!C35</f>
        <v>0</v>
      </c>
    </row>
    <row r="16" spans="2:18" ht="15" customHeight="1" thickBot="1" x14ac:dyDescent="0.35">
      <c r="B16" s="10"/>
      <c r="C16" s="10"/>
      <c r="D16" s="11"/>
      <c r="E16" s="11"/>
      <c r="F16" s="11"/>
      <c r="G16" s="11"/>
      <c r="H16" s="11"/>
      <c r="I16" s="11"/>
      <c r="J16" s="11"/>
      <c r="K16" s="11"/>
      <c r="L16" s="11"/>
      <c r="M16" s="11"/>
      <c r="N16" s="11"/>
      <c r="O16" s="11"/>
      <c r="P16" s="12"/>
      <c r="Q16" s="12"/>
      <c r="R16" s="11"/>
    </row>
    <row r="17" spans="2:3" ht="18.75" customHeight="1" x14ac:dyDescent="0.3">
      <c r="B17" s="483" t="s">
        <v>63</v>
      </c>
      <c r="C17" s="484" t="s">
        <v>47</v>
      </c>
    </row>
    <row r="18" spans="2:3" s="26" customFormat="1" ht="15.75" customHeight="1" x14ac:dyDescent="0.3">
      <c r="B18" s="485" t="str">
        <f>"Per "&amp;VLOOKUP('Project Info'!D25,'Project Info'!$D$38:$E$39,2,FALSE)&amp;" California Climate Invesments Funds (MTCO2e)"</f>
        <v>Per Wetlands California Climate Invesments Funds (MTCO2e)</v>
      </c>
      <c r="C18" s="550" t="str">
        <f>IFERROR(IF(C20*(C12/SUM(C12:C13))&gt;1,ROUND(C20*(C12/SUM(C12:C13)),0),ROUNDUP(C20*(C12/SUM(C12:C13)),0)),"")</f>
        <v/>
      </c>
    </row>
    <row r="19" spans="2:3" s="26" customFormat="1" ht="15.75" customHeight="1" x14ac:dyDescent="0.3">
      <c r="B19" s="485" t="s">
        <v>58</v>
      </c>
      <c r="C19" s="550" t="str">
        <f>IFERROR(IF(C20*(C13/SUM(C12:C13))&gt;1,ROUND(C20*(C13/SUM(C12:C13)),0),ROUNDUP(C20*(C13/SUM(C12:C13)),0)),"")</f>
        <v/>
      </c>
    </row>
    <row r="20" spans="2:3" s="26" customFormat="1" ht="15.75" customHeight="1" thickBot="1" x14ac:dyDescent="0.35">
      <c r="B20" s="486" t="s">
        <v>59</v>
      </c>
      <c r="C20" s="550">
        <f>IF(SUM(CTW_CO2,Delta_CO2,MM_CO2,SIW_CO2,GW_CO2)&gt;1,ROUND(SUM(CTW_CO2,Delta_CO2,MM_CO2,SIW_CO2,GW_CO2),0),ROUNDUP(SUM(CTW_CO2,Delta_CO2,MM_CO2,SIW_CO2,GW_CO2),0))</f>
        <v>0</v>
      </c>
    </row>
    <row r="21" spans="2:3" s="26" customFormat="1" ht="31.5" customHeight="1" x14ac:dyDescent="0.3">
      <c r="B21" s="487" t="str">
        <f>"Total GHG Emission Reductions per "&amp;VLOOKUP('Project Info'!D25,'Project Info'!$D$38:$E$39,2,FALSE)&amp;
" California Climate Invesments Funds (MTCO2e/$)"</f>
        <v>Total GHG Emission Reductions per Wetlands California Climate Invesments Funds (MTCO2e/$)</v>
      </c>
      <c r="C21" s="494" t="str">
        <f>IFERROR(C18/C12,"")</f>
        <v/>
      </c>
    </row>
    <row r="22" spans="2:3" s="26" customFormat="1" ht="31.5" customHeight="1" thickBot="1" x14ac:dyDescent="0.35">
      <c r="B22" s="488" t="s">
        <v>31</v>
      </c>
      <c r="C22" s="493" t="str">
        <f>IFERROR(C20/C15,"")</f>
        <v/>
      </c>
    </row>
    <row r="23" spans="2:3" ht="15" customHeight="1" x14ac:dyDescent="0.3">
      <c r="B23" s="13"/>
      <c r="C23" s="13"/>
    </row>
    <row r="24" spans="2:3" ht="15" customHeight="1" x14ac:dyDescent="0.3">
      <c r="B24" s="13"/>
      <c r="C24" s="13"/>
    </row>
    <row r="25" spans="2:3" ht="15" customHeight="1" x14ac:dyDescent="0.3">
      <c r="B25" s="13"/>
      <c r="C25" s="13"/>
    </row>
    <row r="26" spans="2:3" ht="15" customHeight="1" x14ac:dyDescent="0.3">
      <c r="B26" s="13"/>
      <c r="C26" s="13"/>
    </row>
    <row r="27" spans="2:3" ht="15" customHeight="1" x14ac:dyDescent="0.3">
      <c r="B27" s="13"/>
      <c r="C27" s="13"/>
    </row>
    <row r="28" spans="2:3" ht="15" customHeight="1" x14ac:dyDescent="0.3">
      <c r="B28" s="13"/>
      <c r="C28" s="13"/>
    </row>
    <row r="29" spans="2:3" ht="15" customHeight="1" x14ac:dyDescent="0.3">
      <c r="B29" s="14"/>
      <c r="C29" s="14"/>
    </row>
    <row r="30" spans="2:3" ht="15" customHeight="1" x14ac:dyDescent="0.3">
      <c r="B30" s="15"/>
      <c r="C30" s="15"/>
    </row>
    <row r="31" spans="2:3" ht="15" customHeight="1" x14ac:dyDescent="0.3">
      <c r="B31" s="16"/>
      <c r="C31" s="16"/>
    </row>
    <row r="32" spans="2:3" ht="15" customHeight="1" x14ac:dyDescent="0.3">
      <c r="B32" s="16"/>
      <c r="C32" s="16"/>
    </row>
    <row r="33" spans="2:3" ht="15" customHeight="1" x14ac:dyDescent="0.3">
      <c r="B33" s="16"/>
      <c r="C33" s="16"/>
    </row>
    <row r="34" spans="2:3" ht="15" customHeight="1" x14ac:dyDescent="0.3">
      <c r="B34" s="16"/>
      <c r="C34" s="16"/>
    </row>
    <row r="35" spans="2:3" ht="15" customHeight="1" x14ac:dyDescent="0.3">
      <c r="B35" s="16"/>
      <c r="C35" s="16"/>
    </row>
    <row r="36" spans="2:3" ht="15" customHeight="1" x14ac:dyDescent="0.3">
      <c r="B36" s="16"/>
      <c r="C36" s="16"/>
    </row>
    <row r="37" spans="2:3" ht="15" customHeight="1" x14ac:dyDescent="0.3">
      <c r="B37" s="16"/>
      <c r="C37" s="16"/>
    </row>
    <row r="38" spans="2:3" ht="15" customHeight="1" x14ac:dyDescent="0.3">
      <c r="B38" s="16"/>
      <c r="C38" s="16"/>
    </row>
    <row r="39" spans="2:3" ht="15" customHeight="1" x14ac:dyDescent="0.3">
      <c r="B39" s="17"/>
      <c r="C39" s="17"/>
    </row>
    <row r="40" spans="2:3" ht="15" customHeight="1" x14ac:dyDescent="0.3">
      <c r="B40" s="17"/>
      <c r="C40" s="17"/>
    </row>
    <row r="41" spans="2:3" ht="15" customHeight="1" x14ac:dyDescent="0.3">
      <c r="B41" s="18"/>
      <c r="C41" s="18"/>
    </row>
    <row r="42" spans="2:3" ht="15" customHeight="1" x14ac:dyDescent="0.3"/>
    <row r="43" spans="2:3" ht="15" customHeight="1" x14ac:dyDescent="0.3"/>
    <row r="44" spans="2:3" ht="15" customHeight="1" x14ac:dyDescent="0.3"/>
    <row r="45" spans="2:3" ht="15" customHeight="1" x14ac:dyDescent="0.3"/>
    <row r="46" spans="2:3" ht="15" customHeight="1" x14ac:dyDescent="0.3"/>
    <row r="47" spans="2:3" ht="15" customHeight="1" x14ac:dyDescent="0.3"/>
    <row r="48" spans="2:3"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sheetData>
  <sheetProtection algorithmName="SHA-512" hashValue="uxGsGLSNRS/6hdba8/X1SUL+YQTXzBpc4dcvbBOtMifHbFOghTgDkzVpWgLpYpmSKE2+fT+J6LvIlmKtQcQ/Lg==" saltValue="trB7GF0KSAXoV/JkVLvd2Q==" spinCount="100000" sheet="1" objects="1" scenarios="1"/>
  <pageMargins left="0.7" right="0.7" top="0.98479166666666662" bottom="0.75" header="0.3" footer="0.3"/>
  <pageSetup fitToHeight="0" orientation="landscape" r:id="rId1"/>
  <headerFooter>
    <oddHeader>&amp;C&amp;G</oddHeader>
    <oddFooter>&amp;L&amp;"Arial,Regular"&amp;12&amp;K000000DRAFT &amp;KFF0000Month XX, 201X&amp;C&amp;"Arial,Regular"&amp;12Page &amp;P of &amp;N&amp;R&amp;"Arial,Regular"&amp;12&amp;K000000&amp;A</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pageSetUpPr fitToPage="1"/>
  </sheetPr>
  <dimension ref="B1:E36"/>
  <sheetViews>
    <sheetView showGridLines="0" zoomScaleNormal="100" workbookViewId="0"/>
  </sheetViews>
  <sheetFormatPr defaultColWidth="9.109375" defaultRowHeight="15.6" x14ac:dyDescent="0.3"/>
  <cols>
    <col min="1" max="1" width="2.88671875" style="3" customWidth="1"/>
    <col min="2" max="2" width="46.33203125" style="3" customWidth="1"/>
    <col min="3" max="5" width="24" style="3" customWidth="1"/>
    <col min="6" max="16384" width="9.109375" style="3"/>
  </cols>
  <sheetData>
    <row r="1" spans="2:5" ht="18" x14ac:dyDescent="0.3">
      <c r="B1" s="92" t="str">
        <f>'Read Me'!B1</f>
        <v>California Air Resources Board</v>
      </c>
      <c r="C1" s="92"/>
      <c r="D1" s="92"/>
      <c r="E1" s="91"/>
    </row>
    <row r="2" spans="2:5" ht="18" x14ac:dyDescent="0.35">
      <c r="B2" s="37"/>
      <c r="C2" s="37"/>
      <c r="D2" s="37"/>
      <c r="E2" s="40"/>
    </row>
    <row r="3" spans="2:5" ht="18" x14ac:dyDescent="0.35">
      <c r="B3" s="37" t="str">
        <f>'Read Me'!B3</f>
        <v>Revised Draft Benefits Calculator Tool</v>
      </c>
      <c r="C3" s="37"/>
      <c r="D3" s="37"/>
      <c r="E3" s="40"/>
    </row>
    <row r="4" spans="2:5" ht="18" x14ac:dyDescent="0.35">
      <c r="B4" s="496" t="str">
        <f>'Read Me'!B4</f>
        <v>Land Restoration</v>
      </c>
      <c r="C4" s="38"/>
      <c r="D4" s="38"/>
      <c r="E4" s="40"/>
    </row>
    <row r="5" spans="2:5" ht="18" x14ac:dyDescent="0.35">
      <c r="B5" s="37"/>
      <c r="C5" s="37"/>
      <c r="D5" s="37"/>
      <c r="E5" s="40"/>
    </row>
    <row r="6" spans="2:5" ht="18" x14ac:dyDescent="0.35">
      <c r="B6" s="37" t="str">
        <f>'Read Me'!B6</f>
        <v xml:space="preserve">California Climate Investments </v>
      </c>
      <c r="C6" s="37"/>
      <c r="D6" s="37"/>
      <c r="E6" s="40"/>
    </row>
    <row r="8" spans="2:5" ht="16.2" thickBot="1" x14ac:dyDescent="0.35"/>
    <row r="9" spans="2:5" ht="16.2" thickBot="1" x14ac:dyDescent="0.35">
      <c r="B9" s="93" t="s">
        <v>29</v>
      </c>
      <c r="C9" s="96" t="str">
        <f>IF(ISBLANK(ProjectName),"",ProjectName)</f>
        <v/>
      </c>
      <c r="D9" s="94"/>
      <c r="E9" s="95"/>
    </row>
    <row r="10" spans="2:5" ht="16.2" thickBot="1" x14ac:dyDescent="0.35"/>
    <row r="11" spans="2:5" ht="46.8" x14ac:dyDescent="0.3">
      <c r="B11" s="497" t="s">
        <v>438</v>
      </c>
      <c r="C11" s="498" t="str">
        <f>C19</f>
        <v>Per Wetlands California Climate Investment Funds</v>
      </c>
      <c r="D11" s="498" t="s">
        <v>437</v>
      </c>
      <c r="E11" s="499" t="s">
        <v>53</v>
      </c>
    </row>
    <row r="12" spans="2:5" ht="15" customHeight="1" x14ac:dyDescent="0.3">
      <c r="B12" s="500" t="s">
        <v>51</v>
      </c>
      <c r="C12" s="505" t="str">
        <f>IFERROR(IF(C20&gt;1,ROUND(C20,0),ROUNDUP(C20,0)),"")</f>
        <v/>
      </c>
      <c r="D12" s="505" t="str">
        <f t="shared" ref="D12:E12" si="0">IFERROR(IF(D20&gt;1,ROUND(D20,0),ROUNDUP(D20,0)),"")</f>
        <v/>
      </c>
      <c r="E12" s="506">
        <f t="shared" si="0"/>
        <v>0</v>
      </c>
    </row>
    <row r="13" spans="2:5" ht="15" customHeight="1" x14ac:dyDescent="0.3">
      <c r="B13" s="500" t="s">
        <v>52</v>
      </c>
      <c r="C13" s="505" t="str">
        <f t="shared" ref="C13:E13" si="1">IFERROR(IF(C21&gt;1,ROUND(C21,0),ROUNDUP(C21,0)),"")</f>
        <v/>
      </c>
      <c r="D13" s="505" t="str">
        <f t="shared" si="1"/>
        <v/>
      </c>
      <c r="E13" s="506">
        <f t="shared" si="1"/>
        <v>0</v>
      </c>
    </row>
    <row r="14" spans="2:5" ht="15" customHeight="1" x14ac:dyDescent="0.3">
      <c r="B14" s="501" t="s">
        <v>436</v>
      </c>
      <c r="C14" s="507" t="str">
        <f t="shared" ref="C14:E14" si="2">IFERROR(IF(C22&gt;1,ROUND(C22,0),ROUNDUP(C22,0)),"")</f>
        <v/>
      </c>
      <c r="D14" s="507" t="str">
        <f t="shared" si="2"/>
        <v/>
      </c>
      <c r="E14" s="506">
        <f t="shared" si="2"/>
        <v>0</v>
      </c>
    </row>
    <row r="15" spans="2:5" ht="15" customHeight="1" thickBot="1" x14ac:dyDescent="0.35">
      <c r="B15" s="502" t="s">
        <v>186</v>
      </c>
      <c r="C15" s="508" t="str">
        <f t="shared" ref="C15:E15" si="3">IFERROR(IF(C23&gt;1,ROUND(C23,0),ROUNDUP(C23,0)),"")</f>
        <v/>
      </c>
      <c r="D15" s="508" t="str">
        <f t="shared" si="3"/>
        <v/>
      </c>
      <c r="E15" s="509">
        <f t="shared" si="3"/>
        <v>0</v>
      </c>
    </row>
    <row r="16" spans="2:5" ht="15" customHeight="1" x14ac:dyDescent="0.3">
      <c r="B16" s="16"/>
      <c r="C16" s="16"/>
      <c r="D16" s="16"/>
    </row>
    <row r="17" spans="2:5" ht="15" customHeight="1" x14ac:dyDescent="0.3">
      <c r="B17" s="16"/>
      <c r="C17" s="16"/>
      <c r="D17" s="16"/>
    </row>
    <row r="18" spans="2:5" ht="15" hidden="1" customHeight="1" x14ac:dyDescent="0.3">
      <c r="B18" s="3" t="s">
        <v>435</v>
      </c>
      <c r="C18" s="3" t="s">
        <v>435</v>
      </c>
      <c r="D18" s="3" t="s">
        <v>435</v>
      </c>
      <c r="E18" s="3" t="s">
        <v>435</v>
      </c>
    </row>
    <row r="19" spans="2:5" ht="46.8" hidden="1" x14ac:dyDescent="0.3">
      <c r="B19" s="503" t="str">
        <f>B11</f>
        <v>Co-benefits and 
Key Variables</v>
      </c>
      <c r="C19" s="503" t="str">
        <f>"Per "&amp;VLOOKUP('Project Info'!C25,'Project Info'!$C$38:$E$39,3,FALSE)&amp;" California Climate Investment Funds"</f>
        <v>Per Wetlands California Climate Investment Funds</v>
      </c>
      <c r="D19" s="503" t="str">
        <f>D11</f>
        <v>Per Additional California Climate Investments Funds</v>
      </c>
      <c r="E19" s="503" t="str">
        <f>E11</f>
        <v>Per Total Funds</v>
      </c>
    </row>
    <row r="20" spans="2:5" ht="15" hidden="1" customHeight="1" x14ac:dyDescent="0.3">
      <c r="B20" s="504" t="str">
        <f t="shared" ref="B20:B23" si="4">B12</f>
        <v>Local NOx emission reductions (lbs)</v>
      </c>
      <c r="C20" s="510" t="e">
        <f>$E20*(Funds_Program/(SUM(Funds_Program,Funds_CCI)))</f>
        <v>#DIV/0!</v>
      </c>
      <c r="D20" s="510" t="e">
        <f>$E20*(Funds_CCI/(SUM(Funds_Program,Funds_CCI)))</f>
        <v>#DIV/0!</v>
      </c>
      <c r="E20" s="510">
        <f>SUM(CTW_NOx,Delta_NOx,MM_NOx,SIW_NOx,GW_NOx)</f>
        <v>0</v>
      </c>
    </row>
    <row r="21" spans="2:5" ht="15" hidden="1" customHeight="1" x14ac:dyDescent="0.3">
      <c r="B21" s="504" t="str">
        <f t="shared" si="4"/>
        <v>Local PM2.5 emission reductions (lbs)</v>
      </c>
      <c r="C21" s="510" t="e">
        <f>$E21*(Funds_Program/(SUM(Funds_Program,Funds_CCI)))</f>
        <v>#DIV/0!</v>
      </c>
      <c r="D21" s="510" t="e">
        <f>$E21*(Funds_CCI/(SUM(Funds_Program,Funds_CCI)))</f>
        <v>#DIV/0!</v>
      </c>
      <c r="E21" s="510">
        <f>SUM(CTW_PM2.5,Delta_PM2.5,MM_PM2.5,SIW_PM2.5,GW_PM2.5)</f>
        <v>0</v>
      </c>
    </row>
    <row r="22" spans="2:5" ht="15" hidden="1" customHeight="1" x14ac:dyDescent="0.3">
      <c r="B22" s="504" t="str">
        <f t="shared" si="4"/>
        <v>Land Restored (acres)</v>
      </c>
      <c r="C22" s="510" t="e">
        <f>$E22*(Funds_Program/(SUM(Funds_Program,Funds_CCI)))</f>
        <v>#DIV/0!</v>
      </c>
      <c r="D22" s="510" t="e">
        <f>$E22*(Funds_CCI/(SUM(Funds_Program,Funds_CCI)))</f>
        <v>#DIV/0!</v>
      </c>
      <c r="E22" s="510">
        <f>SUM(CTW_acres,Delta_acres,MM_acres,SIW_acres,GW_acres)</f>
        <v>0</v>
      </c>
    </row>
    <row r="23" spans="2:5" ht="15" hidden="1" customHeight="1" x14ac:dyDescent="0.3">
      <c r="B23" s="504" t="str">
        <f t="shared" si="4"/>
        <v>Trees Planted</v>
      </c>
      <c r="C23" s="510" t="e">
        <f>$E23*(Funds_Program/(SUM(Funds_Program,Funds_CCI)))</f>
        <v>#DIV/0!</v>
      </c>
      <c r="D23" s="510" t="e">
        <f>$E23*(Funds_CCI/(SUM(Funds_Program,Funds_CCI)))</f>
        <v>#DIV/0!</v>
      </c>
      <c r="E23" s="510">
        <f>SUM(CTW_trees,Delta_trees,MM_trees,SIW_trees,GW_trees)</f>
        <v>0</v>
      </c>
    </row>
    <row r="24" spans="2:5" ht="15" hidden="1" customHeight="1" x14ac:dyDescent="0.3">
      <c r="B24" s="3" t="s">
        <v>435</v>
      </c>
      <c r="C24" s="3" t="s">
        <v>435</v>
      </c>
      <c r="D24" s="3" t="s">
        <v>435</v>
      </c>
      <c r="E24" s="3" t="s">
        <v>435</v>
      </c>
    </row>
    <row r="25" spans="2:5" ht="15" customHeight="1" x14ac:dyDescent="0.3"/>
    <row r="26" spans="2:5" ht="15" customHeight="1" x14ac:dyDescent="0.3"/>
    <row r="27" spans="2:5" ht="15" customHeight="1" x14ac:dyDescent="0.3"/>
    <row r="28" spans="2:5" ht="15" customHeight="1" x14ac:dyDescent="0.3"/>
    <row r="29" spans="2:5" ht="15" customHeight="1" x14ac:dyDescent="0.3"/>
    <row r="30" spans="2:5" ht="15" customHeight="1" x14ac:dyDescent="0.3"/>
    <row r="31" spans="2:5" ht="15" customHeight="1" x14ac:dyDescent="0.3"/>
    <row r="32" spans="2:5" ht="15" customHeight="1" x14ac:dyDescent="0.3"/>
    <row r="33" ht="15" customHeight="1" x14ac:dyDescent="0.3"/>
    <row r="34" ht="15" customHeight="1" x14ac:dyDescent="0.3"/>
    <row r="35" ht="15" customHeight="1" x14ac:dyDescent="0.3"/>
    <row r="36" ht="15" customHeight="1" x14ac:dyDescent="0.3"/>
  </sheetData>
  <sheetProtection algorithmName="SHA-512" hashValue="E8A9xd31WEfkcv5ssg2TxieDx0ewy8yku7nU+A7ZplLiTOK51rp3xw3qjoYcJdVTa8T5o+VhHtPFInzGju2SAg==" saltValue="CSEEFYylU3CDx5uTY3ILIw==" spinCount="100000" sheet="1" objects="1" scenarios="1"/>
  <pageMargins left="0.7" right="0.7" top="0.98479166666666662" bottom="0.75" header="0.3" footer="0.3"/>
  <pageSetup scale="73" fitToHeight="0" orientation="landscape" r:id="rId1"/>
  <headerFooter>
    <oddHeader>&amp;C&amp;G</oddHeader>
    <oddFooter>&amp;L&amp;"Arial,Regular"&amp;12&amp;K000000DRAFT &amp;KFF0000Month XX, 201X&amp;C&amp;"Arial,Regular"&amp;12Page &amp;P of &amp;N&amp;R&amp;"Arial,Regular"&amp;12&amp;K000000&amp;A</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66"/>
    <pageSetUpPr fitToPage="1"/>
  </sheetPr>
  <dimension ref="B1:L62"/>
  <sheetViews>
    <sheetView showGridLines="0" zoomScaleNormal="100" workbookViewId="0"/>
  </sheetViews>
  <sheetFormatPr defaultColWidth="9.109375" defaultRowHeight="15.6" x14ac:dyDescent="0.3"/>
  <cols>
    <col min="1" max="1" width="2.88671875" style="3" customWidth="1"/>
    <col min="2" max="2" width="24.5546875" style="3" customWidth="1"/>
    <col min="3" max="3" width="100.6640625" style="3" customWidth="1"/>
    <col min="4" max="16384" width="9.109375" style="3"/>
  </cols>
  <sheetData>
    <row r="1" spans="2:12" ht="18.75" customHeight="1" x14ac:dyDescent="0.35">
      <c r="B1" s="40"/>
      <c r="C1" s="98" t="str">
        <f>'Read Me'!B1</f>
        <v>California Air Resources Board</v>
      </c>
      <c r="D1" s="40"/>
      <c r="E1" s="40"/>
      <c r="F1" s="37"/>
      <c r="G1" s="40"/>
      <c r="H1" s="40"/>
      <c r="I1" s="40"/>
      <c r="J1" s="40"/>
      <c r="K1" s="40"/>
      <c r="L1" s="40"/>
    </row>
    <row r="2" spans="2:12" ht="15" customHeight="1" x14ac:dyDescent="0.35">
      <c r="B2" s="40"/>
      <c r="C2" s="98"/>
      <c r="D2" s="40"/>
      <c r="E2" s="40"/>
      <c r="F2" s="37"/>
      <c r="G2" s="40"/>
      <c r="H2" s="40"/>
      <c r="I2" s="40"/>
      <c r="J2" s="40"/>
      <c r="K2" s="40"/>
      <c r="L2" s="40"/>
    </row>
    <row r="3" spans="2:12" ht="18.75" customHeight="1" x14ac:dyDescent="0.35">
      <c r="B3" s="40"/>
      <c r="C3" s="98" t="str">
        <f>'Read Me'!B3</f>
        <v>Revised Draft Benefits Calculator Tool</v>
      </c>
      <c r="D3" s="40"/>
      <c r="E3" s="40"/>
      <c r="F3" s="37"/>
      <c r="G3" s="40"/>
      <c r="H3" s="40"/>
      <c r="I3" s="40"/>
      <c r="J3" s="40"/>
      <c r="K3" s="40"/>
      <c r="L3" s="40"/>
    </row>
    <row r="4" spans="2:12" ht="18.75" customHeight="1" x14ac:dyDescent="0.35">
      <c r="B4" s="40"/>
      <c r="C4" s="511" t="str">
        <f>'Read Me'!B4</f>
        <v>Land Restoration</v>
      </c>
      <c r="D4" s="40"/>
      <c r="E4" s="40"/>
      <c r="F4" s="38"/>
      <c r="G4" s="40"/>
      <c r="H4" s="40"/>
      <c r="I4" s="40"/>
      <c r="J4" s="40"/>
      <c r="K4" s="40"/>
      <c r="L4" s="40"/>
    </row>
    <row r="5" spans="2:12" ht="15" customHeight="1" x14ac:dyDescent="0.35">
      <c r="B5" s="40"/>
      <c r="C5" s="98"/>
      <c r="D5" s="40"/>
      <c r="E5" s="40"/>
      <c r="F5" s="37"/>
      <c r="G5" s="40"/>
      <c r="H5" s="40"/>
      <c r="I5" s="40"/>
      <c r="J5" s="40"/>
      <c r="K5" s="40"/>
      <c r="L5" s="40"/>
    </row>
    <row r="6" spans="2:12" ht="18.75" customHeight="1" x14ac:dyDescent="0.35">
      <c r="B6" s="40"/>
      <c r="C6" s="98" t="str">
        <f>'Read Me'!B6</f>
        <v xml:space="preserve">California Climate Investments </v>
      </c>
      <c r="D6" s="40"/>
      <c r="E6" s="40"/>
      <c r="F6" s="37"/>
      <c r="G6" s="40"/>
      <c r="H6" s="40"/>
      <c r="I6" s="40"/>
      <c r="J6" s="40"/>
      <c r="K6" s="40"/>
      <c r="L6" s="40"/>
    </row>
    <row r="7" spans="2:12" ht="15" customHeight="1" x14ac:dyDescent="0.35">
      <c r="F7" s="37"/>
    </row>
    <row r="8" spans="2:12" ht="15" customHeight="1" x14ac:dyDescent="0.3"/>
    <row r="9" spans="2:12" ht="15" customHeight="1" x14ac:dyDescent="0.3"/>
    <row r="10" spans="2:12" ht="18.75" customHeight="1" x14ac:dyDescent="0.3">
      <c r="B10" s="73" t="s">
        <v>54</v>
      </c>
      <c r="C10" s="101" t="s">
        <v>55</v>
      </c>
    </row>
    <row r="11" spans="2:12" ht="18.75" customHeight="1" x14ac:dyDescent="0.3">
      <c r="B11" s="99" t="s">
        <v>56</v>
      </c>
      <c r="C11" s="100" t="s">
        <v>0</v>
      </c>
    </row>
    <row r="12" spans="2:12" ht="18.75" customHeight="1" x14ac:dyDescent="0.3">
      <c r="B12" s="99" t="s">
        <v>398</v>
      </c>
      <c r="C12" s="100" t="s">
        <v>111</v>
      </c>
    </row>
    <row r="13" spans="2:12" ht="18.75" customHeight="1" x14ac:dyDescent="0.3">
      <c r="B13" s="99" t="s">
        <v>448</v>
      </c>
      <c r="C13" s="100" t="s">
        <v>449</v>
      </c>
    </row>
    <row r="14" spans="2:12" ht="18.75" customHeight="1" x14ac:dyDescent="0.3">
      <c r="B14" s="99" t="s">
        <v>110</v>
      </c>
      <c r="C14" s="100" t="s">
        <v>440</v>
      </c>
    </row>
    <row r="15" spans="2:12" ht="18.75" customHeight="1" x14ac:dyDescent="0.3">
      <c r="B15" s="99" t="s">
        <v>446</v>
      </c>
      <c r="C15" s="100" t="s">
        <v>447</v>
      </c>
    </row>
    <row r="16" spans="2:12" ht="18.75" customHeight="1" x14ac:dyDescent="0.3">
      <c r="B16" s="99" t="s">
        <v>523</v>
      </c>
      <c r="C16" s="100" t="s">
        <v>524</v>
      </c>
    </row>
    <row r="17" spans="2:3" ht="18.75" customHeight="1" x14ac:dyDescent="0.3">
      <c r="B17" s="99" t="s">
        <v>184</v>
      </c>
      <c r="C17" s="100" t="s">
        <v>441</v>
      </c>
    </row>
    <row r="18" spans="2:3" ht="18.75" customHeight="1" x14ac:dyDescent="0.3">
      <c r="B18" s="99" t="s">
        <v>443</v>
      </c>
      <c r="C18" s="100" t="s">
        <v>444</v>
      </c>
    </row>
    <row r="19" spans="2:3" ht="18.75" customHeight="1" x14ac:dyDescent="0.3">
      <c r="B19" s="99" t="s">
        <v>445</v>
      </c>
      <c r="C19" s="100" t="s">
        <v>442</v>
      </c>
    </row>
    <row r="20" spans="2:3" ht="18.75" customHeight="1" x14ac:dyDescent="0.3">
      <c r="B20" s="99" t="s">
        <v>450</v>
      </c>
      <c r="C20" s="100" t="s">
        <v>451</v>
      </c>
    </row>
    <row r="21" spans="2:3" ht="18.75" customHeight="1" x14ac:dyDescent="0.3">
      <c r="B21" s="99" t="s">
        <v>113</v>
      </c>
      <c r="C21" s="100" t="s">
        <v>439</v>
      </c>
    </row>
    <row r="22" spans="2:3" ht="18.75" customHeight="1" x14ac:dyDescent="0.3">
      <c r="B22" s="102" t="s">
        <v>525</v>
      </c>
      <c r="C22" s="103" t="s">
        <v>526</v>
      </c>
    </row>
    <row r="23" spans="2:3" ht="15" customHeight="1" x14ac:dyDescent="0.3"/>
    <row r="24" spans="2:3" ht="15" customHeight="1" x14ac:dyDescent="0.3">
      <c r="B24" s="11"/>
    </row>
    <row r="25" spans="2:3" ht="15" customHeight="1" x14ac:dyDescent="0.3">
      <c r="B25" s="11"/>
    </row>
    <row r="26" spans="2:3" ht="15" customHeight="1" x14ac:dyDescent="0.3">
      <c r="B26" s="11"/>
    </row>
    <row r="27" spans="2:3" ht="15" customHeight="1" x14ac:dyDescent="0.3">
      <c r="B27" s="11"/>
    </row>
    <row r="28" spans="2:3" ht="15" customHeight="1" x14ac:dyDescent="0.3"/>
    <row r="29" spans="2:3" ht="15" customHeight="1" x14ac:dyDescent="0.3"/>
    <row r="30" spans="2:3" ht="15" customHeight="1" x14ac:dyDescent="0.3"/>
    <row r="31" spans="2:3" ht="15" customHeight="1" x14ac:dyDescent="0.3"/>
    <row r="32" spans="2:3"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sheetData>
  <sheetProtection algorithmName="SHA-512" hashValue="d2JRf5+erOp6oGpcd4Zpmx6HSp3NM6eHN24xP18jeJq4ikMVsr7z0WM0j7enyLpA1N+2OGL7YEwJDF+0DETM9A==" saltValue="51IKXluDISfnArvFJJSHSA==" spinCount="100000" sheet="1" objects="1" scenarios="1"/>
  <pageMargins left="0.7" right="0.7" top="0.98479166666666662" bottom="0.75" header="0.3" footer="0.3"/>
  <pageSetup scale="73" fitToHeight="0" orientation="landscape" r:id="rId1"/>
  <headerFooter>
    <oddHeader>&amp;C&amp;G</oddHeader>
    <oddFooter>&amp;L&amp;"Arial,Regular"&amp;12&amp;K000000DRAFT &amp;KFF0000Month XX, 201X&amp;C&amp;"Arial,Regular"&amp;12Page &amp;P of &amp;N&amp;R&amp;"Arial,Regular"&amp;12&amp;K000000&amp;A</oddFooter>
  </headerFooter>
  <drawing r:id="rId2"/>
  <legacyDrawingHF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66"/>
    <pageSetUpPr fitToPage="1"/>
  </sheetPr>
  <dimension ref="A1:E27"/>
  <sheetViews>
    <sheetView showGridLines="0" zoomScaleNormal="100" zoomScalePageLayoutView="70" workbookViewId="0"/>
  </sheetViews>
  <sheetFormatPr defaultColWidth="9.109375" defaultRowHeight="15.6" x14ac:dyDescent="0.3"/>
  <cols>
    <col min="1" max="1" width="4.33203125" style="3" customWidth="1"/>
    <col min="2" max="4" width="42.88671875" style="3" customWidth="1"/>
    <col min="5" max="5" width="13.88671875" style="3" customWidth="1"/>
    <col min="6" max="16384" width="9.109375" style="3"/>
  </cols>
  <sheetData>
    <row r="1" spans="1:4" ht="18" x14ac:dyDescent="0.35">
      <c r="C1" s="37" t="str">
        <f>'Read Me'!B1</f>
        <v>California Air Resources Board</v>
      </c>
    </row>
    <row r="2" spans="1:4" ht="18" x14ac:dyDescent="0.35">
      <c r="C2" s="37"/>
    </row>
    <row r="3" spans="1:4" ht="18" x14ac:dyDescent="0.35">
      <c r="C3" s="37" t="str">
        <f>'Read Me'!B3</f>
        <v>Revised Draft Benefits Calculator Tool</v>
      </c>
    </row>
    <row r="4" spans="1:4" ht="18" x14ac:dyDescent="0.35">
      <c r="B4" s="11"/>
      <c r="C4" s="496" t="str">
        <f>'Read Me'!B4</f>
        <v>Land Restoration</v>
      </c>
    </row>
    <row r="5" spans="1:4" ht="18" x14ac:dyDescent="0.35">
      <c r="C5" s="37"/>
    </row>
    <row r="6" spans="1:4" ht="18" x14ac:dyDescent="0.35">
      <c r="C6" s="37" t="str">
        <f>'Read Me'!B6</f>
        <v xml:space="preserve">California Climate Investments </v>
      </c>
    </row>
    <row r="9" spans="1:4" ht="15" customHeight="1" x14ac:dyDescent="0.3">
      <c r="A9" s="16"/>
      <c r="B9" s="27" t="s">
        <v>41</v>
      </c>
      <c r="C9" s="28"/>
      <c r="D9" s="29"/>
    </row>
    <row r="10" spans="1:4" ht="15" customHeight="1" x14ac:dyDescent="0.3">
      <c r="A10" s="16"/>
      <c r="B10" s="27" t="s">
        <v>64</v>
      </c>
      <c r="C10" s="28"/>
      <c r="D10" s="29"/>
    </row>
    <row r="11" spans="1:4" ht="15" customHeight="1" x14ac:dyDescent="0.3">
      <c r="A11" s="16"/>
      <c r="B11" s="27" t="s">
        <v>43</v>
      </c>
      <c r="C11" s="28"/>
      <c r="D11" s="29"/>
    </row>
    <row r="12" spans="1:4" ht="15" customHeight="1" x14ac:dyDescent="0.3">
      <c r="A12" s="16"/>
      <c r="B12" s="27" t="s">
        <v>42</v>
      </c>
      <c r="C12" s="28"/>
      <c r="D12" s="29"/>
    </row>
    <row r="13" spans="1:4" ht="15" customHeight="1" x14ac:dyDescent="0.3">
      <c r="A13" s="16"/>
      <c r="B13" s="16"/>
      <c r="C13" s="16"/>
      <c r="D13" s="16"/>
    </row>
    <row r="14" spans="1:4" ht="18" customHeight="1" x14ac:dyDescent="0.3">
      <c r="B14" s="30" t="s">
        <v>38</v>
      </c>
      <c r="C14" s="30"/>
      <c r="D14" s="30"/>
    </row>
    <row r="15" spans="1:4" ht="15" customHeight="1" thickBot="1" x14ac:dyDescent="0.35">
      <c r="B15" s="31" t="s">
        <v>48</v>
      </c>
      <c r="C15" s="16"/>
      <c r="D15" s="16"/>
    </row>
    <row r="16" spans="1:4" ht="15" customHeight="1" x14ac:dyDescent="0.3">
      <c r="A16" s="32"/>
      <c r="B16" s="41" t="s">
        <v>37</v>
      </c>
      <c r="C16" s="42" t="s">
        <v>34</v>
      </c>
      <c r="D16" s="76" t="s">
        <v>46</v>
      </c>
    </row>
    <row r="17" spans="1:5" ht="65.25" customHeight="1" x14ac:dyDescent="0.3">
      <c r="A17" s="33"/>
      <c r="B17" s="75" t="s">
        <v>39</v>
      </c>
      <c r="C17" s="77"/>
      <c r="D17" s="74" t="str">
        <f>IF(ISBLANK(C17),"Required","")</f>
        <v>Required</v>
      </c>
    </row>
    <row r="18" spans="1:5" ht="99" customHeight="1" x14ac:dyDescent="0.3">
      <c r="A18" s="33"/>
      <c r="B18" s="75" t="s">
        <v>452</v>
      </c>
      <c r="C18" s="77"/>
      <c r="D18" s="74" t="str">
        <f t="shared" ref="D18:D19" si="0">IF(ISBLANK(C18),"Required","")</f>
        <v>Required</v>
      </c>
    </row>
    <row r="19" spans="1:5" ht="99" customHeight="1" x14ac:dyDescent="0.3">
      <c r="A19" s="33"/>
      <c r="B19" s="75" t="s">
        <v>453</v>
      </c>
      <c r="C19" s="77"/>
      <c r="D19" s="74" t="str">
        <f t="shared" si="0"/>
        <v>Required</v>
      </c>
    </row>
    <row r="20" spans="1:5" ht="15" customHeight="1" x14ac:dyDescent="0.3">
      <c r="A20" s="13"/>
      <c r="B20" s="13"/>
      <c r="C20" s="13"/>
      <c r="D20" s="13"/>
    </row>
    <row r="21" spans="1:5" ht="15" customHeight="1" x14ac:dyDescent="0.3">
      <c r="A21" s="13"/>
      <c r="B21" s="30" t="s">
        <v>36</v>
      </c>
      <c r="C21" s="13"/>
      <c r="D21" s="13"/>
    </row>
    <row r="22" spans="1:5" ht="15" customHeight="1" x14ac:dyDescent="0.3">
      <c r="A22" s="30"/>
      <c r="B22" s="31" t="s">
        <v>40</v>
      </c>
      <c r="C22" s="30"/>
      <c r="D22" s="30"/>
    </row>
    <row r="23" spans="1:5" ht="15" customHeight="1" thickBot="1" x14ac:dyDescent="0.35">
      <c r="A23" s="30"/>
      <c r="B23" s="31" t="s">
        <v>455</v>
      </c>
      <c r="C23" s="30"/>
      <c r="D23" s="30"/>
    </row>
    <row r="24" spans="1:5" ht="33.75" customHeight="1" x14ac:dyDescent="0.3">
      <c r="A24" s="13"/>
      <c r="B24" s="512" t="s">
        <v>454</v>
      </c>
      <c r="C24" s="80" t="s">
        <v>35</v>
      </c>
      <c r="D24" s="81" t="s">
        <v>34</v>
      </c>
      <c r="E24" s="82" t="s">
        <v>46</v>
      </c>
    </row>
    <row r="25" spans="1:5" ht="54.75" customHeight="1" thickBot="1" x14ac:dyDescent="0.35">
      <c r="A25" s="16"/>
      <c r="B25" s="79" t="s">
        <v>33</v>
      </c>
      <c r="C25" s="35" t="s">
        <v>32</v>
      </c>
      <c r="D25" s="78"/>
      <c r="E25" s="34" t="str">
        <f t="shared" ref="E25" si="1">IF(ISBLANK(D25),"Required","")</f>
        <v>Required</v>
      </c>
    </row>
    <row r="26" spans="1:5" ht="15" customHeight="1" x14ac:dyDescent="0.3">
      <c r="A26" s="16"/>
      <c r="B26" s="16"/>
      <c r="C26" s="16"/>
      <c r="D26" s="16"/>
    </row>
    <row r="27" spans="1:5" ht="15" customHeight="1" x14ac:dyDescent="0.3">
      <c r="A27" s="16"/>
      <c r="B27" s="16"/>
      <c r="C27" s="16"/>
      <c r="D27" s="16"/>
    </row>
  </sheetData>
  <sheetProtection algorithmName="SHA-512" hashValue="SxKnYtNcd/Cx2HndM32TQiAcRQu3uDi8zKCFohyRUym9AOmB5YZLdXgkwItb1Yw2KET4+43T3dX5jC4pVq+P1A==" saltValue="RcRrVyf5c2i9YaSKyoeM8A==" spinCount="100000" sheet="1" objects="1" scenarios="1"/>
  <dataValidations count="2">
    <dataValidation type="list" allowBlank="1" showInputMessage="1" showErrorMessage="1" sqref="D25" xr:uid="{00000000-0002-0000-0C00-000000000000}">
      <formula1>$B$10:$B$11</formula1>
    </dataValidation>
    <dataValidation type="list" allowBlank="1" showInputMessage="1" showErrorMessage="1" sqref="C17:C19" xr:uid="{00000000-0002-0000-0C00-000001000000}">
      <formula1>#REF!</formula1>
    </dataValidation>
  </dataValidations>
  <pageMargins left="0.7" right="0.7" top="0.98479166666666662" bottom="0.75" header="0.3" footer="0.3"/>
  <pageSetup scale="72" fitToHeight="0" orientation="landscape" r:id="rId1"/>
  <headerFooter>
    <oddHeader>&amp;C&amp;G</oddHeader>
    <oddFooter>&amp;L&amp;"Arial,Regular"&amp;12&amp;K000000DRAFT &amp;KFF0000Month XX, 201X&amp;C&amp;"Arial,Regular"&amp;12Page &amp;P of &amp;N&amp;R&amp;"Arial,Regular"&amp;12&amp;K000000&amp;A</oddFooter>
  </headerFooter>
  <rowBreaks count="1" manualBreakCount="1">
    <brk id="21" max="16383" man="1"/>
  </rowBreaks>
  <drawing r:id="rId2"/>
  <legacyDrawingHF r:id="rId3"/>
  <tableParts count="2">
    <tablePart r:id="rId4"/>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BQ3"/>
  <sheetViews>
    <sheetView showGridLines="0" zoomScaleNormal="100" workbookViewId="0">
      <selection activeCell="AC1" sqref="AC1"/>
    </sheetView>
  </sheetViews>
  <sheetFormatPr defaultColWidth="17.44140625" defaultRowHeight="45" customHeight="1" x14ac:dyDescent="0.3"/>
  <cols>
    <col min="1" max="16384" width="17.44140625" style="3"/>
  </cols>
  <sheetData>
    <row r="1" spans="1:69" ht="61.5" customHeight="1" x14ac:dyDescent="0.3">
      <c r="A1" s="515" t="s">
        <v>456</v>
      </c>
      <c r="B1" s="515" t="s">
        <v>457</v>
      </c>
      <c r="C1" s="515" t="s">
        <v>458</v>
      </c>
      <c r="D1" s="515" t="s">
        <v>459</v>
      </c>
      <c r="E1" s="515" t="s">
        <v>92</v>
      </c>
      <c r="F1" s="515" t="s">
        <v>460</v>
      </c>
      <c r="G1" s="515" t="s">
        <v>461</v>
      </c>
      <c r="H1" s="515" t="s">
        <v>462</v>
      </c>
      <c r="I1" s="515" t="s">
        <v>463</v>
      </c>
      <c r="J1" s="516" t="s">
        <v>464</v>
      </c>
      <c r="K1" s="516" t="s">
        <v>465</v>
      </c>
      <c r="L1" s="515" t="s">
        <v>466</v>
      </c>
      <c r="M1" s="516" t="s">
        <v>467</v>
      </c>
      <c r="N1" s="521" t="s">
        <v>468</v>
      </c>
      <c r="O1" s="521" t="s">
        <v>469</v>
      </c>
      <c r="P1" s="521" t="s">
        <v>470</v>
      </c>
      <c r="Q1" s="521" t="s">
        <v>471</v>
      </c>
      <c r="R1" s="526" t="s">
        <v>472</v>
      </c>
      <c r="S1" s="526" t="s">
        <v>473</v>
      </c>
      <c r="T1" s="526" t="s">
        <v>474</v>
      </c>
      <c r="U1" s="526" t="s">
        <v>475</v>
      </c>
      <c r="V1" s="526" t="s">
        <v>476</v>
      </c>
      <c r="W1" s="526" t="s">
        <v>477</v>
      </c>
      <c r="X1" s="526" t="s">
        <v>478</v>
      </c>
      <c r="Y1" s="526" t="s">
        <v>479</v>
      </c>
      <c r="Z1" s="526" t="s">
        <v>480</v>
      </c>
      <c r="AA1" s="526" t="s">
        <v>481</v>
      </c>
      <c r="AB1" s="527" t="s">
        <v>482</v>
      </c>
      <c r="AC1" s="527" t="s">
        <v>483</v>
      </c>
      <c r="AD1" s="527" t="s">
        <v>484</v>
      </c>
      <c r="AE1" s="526" t="s">
        <v>186</v>
      </c>
      <c r="AF1" s="526" t="s">
        <v>485</v>
      </c>
      <c r="AG1" s="526" t="s">
        <v>486</v>
      </c>
      <c r="AH1" s="526" t="s">
        <v>487</v>
      </c>
      <c r="AI1" s="526" t="s">
        <v>488</v>
      </c>
      <c r="AJ1" s="517" t="s">
        <v>489</v>
      </c>
      <c r="AK1" s="517" t="s">
        <v>490</v>
      </c>
      <c r="AL1" s="517" t="s">
        <v>491</v>
      </c>
      <c r="AM1" s="523" t="s">
        <v>492</v>
      </c>
      <c r="AN1" s="522" t="s">
        <v>493</v>
      </c>
      <c r="AO1" s="522" t="s">
        <v>494</v>
      </c>
      <c r="AP1" s="522" t="s">
        <v>495</v>
      </c>
      <c r="AQ1" s="522" t="s">
        <v>496</v>
      </c>
      <c r="AR1" s="523" t="s">
        <v>497</v>
      </c>
      <c r="AS1" s="523" t="s">
        <v>498</v>
      </c>
      <c r="AT1" s="523" t="s">
        <v>499</v>
      </c>
      <c r="AU1" s="523" t="s">
        <v>500</v>
      </c>
      <c r="AV1" s="523" t="s">
        <v>501</v>
      </c>
      <c r="AW1" s="523" t="s">
        <v>502</v>
      </c>
      <c r="AX1" s="523" t="s">
        <v>503</v>
      </c>
      <c r="AY1" s="523" t="s">
        <v>504</v>
      </c>
      <c r="AZ1" s="524" t="s">
        <v>505</v>
      </c>
      <c r="BA1" s="524" t="s">
        <v>506</v>
      </c>
      <c r="BB1" s="524" t="s">
        <v>507</v>
      </c>
      <c r="BC1" s="524" t="s">
        <v>508</v>
      </c>
      <c r="BD1" s="524" t="s">
        <v>509</v>
      </c>
      <c r="BE1" s="524" t="s">
        <v>510</v>
      </c>
      <c r="BF1" s="523" t="s">
        <v>511</v>
      </c>
      <c r="BG1" s="525" t="s">
        <v>512</v>
      </c>
      <c r="BH1" s="525" t="s">
        <v>513</v>
      </c>
      <c r="BI1" s="525" t="s">
        <v>514</v>
      </c>
      <c r="BJ1" s="525" t="s">
        <v>515</v>
      </c>
      <c r="BK1" s="525" t="s">
        <v>516</v>
      </c>
      <c r="BL1" s="525" t="s">
        <v>517</v>
      </c>
      <c r="BM1" s="525" t="s">
        <v>518</v>
      </c>
      <c r="BN1" s="525" t="s">
        <v>519</v>
      </c>
      <c r="BO1" s="525" t="s">
        <v>520</v>
      </c>
      <c r="BP1" s="525" t="s">
        <v>521</v>
      </c>
      <c r="BQ1" s="525" t="s">
        <v>522</v>
      </c>
    </row>
    <row r="2" spans="1:69" ht="30.75" customHeight="1" x14ac:dyDescent="0.3">
      <c r="A2" s="513" t="str">
        <f>'Project Info'!D25</f>
        <v>CDFW</v>
      </c>
      <c r="B2" s="513" t="str">
        <f>VLOOKUP('Project Info'!D25,'Project Info'!D38:E39,2,FALSE)</f>
        <v>Wetlands</v>
      </c>
      <c r="C2" s="513"/>
      <c r="D2" s="513">
        <f>ProjectName</f>
        <v>0</v>
      </c>
      <c r="E2" s="513" t="str">
        <f>ProjectType</f>
        <v>Delta Wetland</v>
      </c>
      <c r="F2" s="513"/>
      <c r="G2" s="513"/>
      <c r="H2" s="513"/>
      <c r="I2" s="518"/>
      <c r="J2" s="518"/>
      <c r="K2" s="518"/>
      <c r="L2" s="518"/>
      <c r="M2" s="518"/>
      <c r="N2" s="513">
        <f>Funds_Total</f>
        <v>0</v>
      </c>
      <c r="O2" s="513">
        <f>Funds_Program</f>
        <v>0</v>
      </c>
      <c r="P2" s="513"/>
      <c r="Q2" s="513"/>
      <c r="R2" s="513"/>
      <c r="S2" s="513"/>
      <c r="T2" s="513" t="str">
        <f>'GHG Summary'!C18</f>
        <v/>
      </c>
      <c r="U2" s="513"/>
      <c r="V2" s="513"/>
      <c r="W2" s="513"/>
      <c r="X2" s="513"/>
      <c r="Y2" s="513"/>
      <c r="Z2" s="513" t="str">
        <f>'Co-benefits Summary'!C12</f>
        <v/>
      </c>
      <c r="AA2" s="513" t="str">
        <f>'Co-benefits Summary'!C13</f>
        <v/>
      </c>
      <c r="AB2" s="513" t="str">
        <f>'Co-benefits Summary'!C14</f>
        <v/>
      </c>
      <c r="AC2" s="513"/>
      <c r="AD2" s="513"/>
      <c r="AE2" s="513" t="str">
        <f>'Co-benefits Summary'!C15</f>
        <v/>
      </c>
      <c r="AF2" s="513" t="str">
        <f>AB2</f>
        <v/>
      </c>
      <c r="AG2" s="513"/>
      <c r="AH2" s="513"/>
      <c r="AI2" s="513"/>
      <c r="AJ2" s="519"/>
      <c r="AK2" s="519"/>
      <c r="AL2" s="519"/>
      <c r="AM2" s="513"/>
      <c r="AN2" s="513"/>
      <c r="AO2" s="513"/>
      <c r="AP2" s="513"/>
      <c r="AQ2" s="513"/>
      <c r="AR2" s="513"/>
      <c r="AS2" s="513"/>
      <c r="AT2" s="513"/>
      <c r="AU2" s="513"/>
      <c r="AV2" s="513"/>
      <c r="AW2" s="513"/>
      <c r="AX2" s="513"/>
      <c r="AY2" s="513"/>
      <c r="AZ2" s="520">
        <v>0</v>
      </c>
      <c r="BA2" s="520">
        <v>0</v>
      </c>
      <c r="BB2" s="520">
        <v>0</v>
      </c>
      <c r="BC2" s="520">
        <v>0</v>
      </c>
      <c r="BD2" s="520">
        <v>0</v>
      </c>
      <c r="BE2" s="520">
        <v>0</v>
      </c>
      <c r="BF2" s="514"/>
      <c r="BG2" s="520" t="s">
        <v>194</v>
      </c>
      <c r="BH2" s="520" t="s">
        <v>194</v>
      </c>
      <c r="BI2" s="520">
        <v>0</v>
      </c>
      <c r="BJ2" s="520">
        <v>0</v>
      </c>
      <c r="BK2" s="520">
        <v>0</v>
      </c>
      <c r="BL2" s="520">
        <v>0</v>
      </c>
      <c r="BM2" s="520">
        <v>0</v>
      </c>
      <c r="BN2" s="520">
        <v>0</v>
      </c>
      <c r="BO2" s="520">
        <v>0</v>
      </c>
      <c r="BP2" s="520">
        <v>0</v>
      </c>
      <c r="BQ2" s="520">
        <v>0</v>
      </c>
    </row>
    <row r="3" spans="1:69" ht="45" customHeight="1" x14ac:dyDescent="0.3">
      <c r="A3" s="11"/>
      <c r="B3" s="11"/>
      <c r="C3" s="11"/>
      <c r="D3" s="11"/>
      <c r="E3" s="11"/>
      <c r="F3" s="11"/>
      <c r="G3" s="11"/>
      <c r="H3" s="11"/>
      <c r="I3" s="12"/>
      <c r="J3" s="12"/>
      <c r="K3" s="11"/>
    </row>
  </sheetData>
  <pageMargins left="0.7" right="0.7" top="0.98479166666666662" bottom="0.75" header="0.3" footer="0.3"/>
  <pageSetup scale="73" fitToHeight="0" orientation="landscape" r:id="rId1"/>
  <headerFooter>
    <oddHeader>&amp;C&amp;G</oddHeader>
    <oddFooter>&amp;L&amp;"Arial,Regular"&amp;12&amp;K000000DRAFT &amp;KFF0000Month XX, 201X&amp;C&amp;"Arial,Regular"&amp;12Page &amp;P of &amp;N&amp;R&amp;"Arial,Regular"&amp;12&amp;K000000&amp;A</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B1:J43"/>
  <sheetViews>
    <sheetView showGridLines="0" zoomScaleNormal="100" workbookViewId="0"/>
  </sheetViews>
  <sheetFormatPr defaultColWidth="9.109375" defaultRowHeight="15.6" x14ac:dyDescent="0.3"/>
  <cols>
    <col min="1" max="1" width="2.88671875" style="47" customWidth="1"/>
    <col min="2" max="2" width="50.6640625" style="47" customWidth="1"/>
    <col min="3" max="3" width="53.109375" style="47" customWidth="1"/>
    <col min="4" max="4" width="13.88671875" style="47" customWidth="1"/>
    <col min="5" max="5" width="4.33203125" style="47" customWidth="1"/>
    <col min="6" max="16384" width="9.109375" style="47"/>
  </cols>
  <sheetData>
    <row r="1" spans="2:7" ht="18" x14ac:dyDescent="0.35">
      <c r="B1" s="45"/>
      <c r="C1" s="46" t="str">
        <f>'Read Me'!B1</f>
        <v>California Air Resources Board</v>
      </c>
    </row>
    <row r="2" spans="2:7" ht="18" x14ac:dyDescent="0.35">
      <c r="C2" s="48"/>
    </row>
    <row r="3" spans="2:7" ht="18" x14ac:dyDescent="0.35">
      <c r="B3" s="45"/>
      <c r="C3" s="46" t="str">
        <f>'Read Me'!B3</f>
        <v>Revised Draft Benefits Calculator Tool</v>
      </c>
    </row>
    <row r="4" spans="2:7" ht="18" x14ac:dyDescent="0.35">
      <c r="B4" s="45"/>
      <c r="C4" s="162" t="str">
        <f>'Read Me'!B4</f>
        <v>Land Restoration</v>
      </c>
    </row>
    <row r="5" spans="2:7" ht="18" x14ac:dyDescent="0.35">
      <c r="C5" s="98" t="str">
        <f>IF(ISBLANK(Program),"",Agency&amp;" "&amp;Program)</f>
        <v>CDFW Wetlands Restoration for GHG Reduction Program</v>
      </c>
      <c r="D5" s="547"/>
    </row>
    <row r="6" spans="2:7" x14ac:dyDescent="0.3">
      <c r="B6" s="45"/>
    </row>
    <row r="7" spans="2:7" ht="18" x14ac:dyDescent="0.35">
      <c r="C7" s="46" t="str">
        <f>'Read Me'!B6</f>
        <v xml:space="preserve">California Climate Investments </v>
      </c>
    </row>
    <row r="8" spans="2:7" ht="18" x14ac:dyDescent="0.35">
      <c r="C8" s="48"/>
      <c r="D8" s="49"/>
      <c r="E8" s="49"/>
      <c r="F8" s="49"/>
      <c r="G8" s="49"/>
    </row>
    <row r="9" spans="2:7" x14ac:dyDescent="0.3">
      <c r="B9" s="50" t="s">
        <v>8</v>
      </c>
      <c r="D9" s="49"/>
      <c r="E9" s="49"/>
      <c r="F9" s="49"/>
      <c r="G9" s="49"/>
    </row>
    <row r="10" spans="2:7" ht="15" customHeight="1" x14ac:dyDescent="0.3">
      <c r="B10" s="604" t="s">
        <v>114</v>
      </c>
      <c r="C10" s="605"/>
      <c r="D10" s="606"/>
    </row>
    <row r="11" spans="2:7" ht="15" customHeight="1" x14ac:dyDescent="0.3">
      <c r="B11" s="612" t="s">
        <v>539</v>
      </c>
      <c r="C11" s="607"/>
      <c r="D11" s="608"/>
    </row>
    <row r="12" spans="2:7" x14ac:dyDescent="0.3">
      <c r="D12" s="49"/>
      <c r="E12" s="49"/>
      <c r="F12" s="49"/>
      <c r="G12" s="49"/>
    </row>
    <row r="13" spans="2:7" ht="15" customHeight="1" x14ac:dyDescent="0.3">
      <c r="B13" s="51" t="s">
        <v>9</v>
      </c>
    </row>
    <row r="14" spans="2:7" x14ac:dyDescent="0.3">
      <c r="B14" s="542" t="s">
        <v>527</v>
      </c>
      <c r="C14" s="542"/>
      <c r="D14" s="542"/>
      <c r="E14" s="542"/>
      <c r="F14" s="542"/>
    </row>
    <row r="15" spans="2:7" x14ac:dyDescent="0.3">
      <c r="B15" s="541" t="s">
        <v>528</v>
      </c>
      <c r="C15" s="541"/>
      <c r="D15" s="541"/>
      <c r="E15" s="541"/>
      <c r="F15" s="541"/>
    </row>
    <row r="16" spans="2:7" ht="15" customHeight="1" x14ac:dyDescent="0.3">
      <c r="B16" s="52" t="s">
        <v>105</v>
      </c>
      <c r="C16" s="53"/>
      <c r="D16" s="53"/>
      <c r="E16" s="53"/>
      <c r="F16" s="53"/>
    </row>
    <row r="17" spans="2:10" ht="15.75" customHeight="1" x14ac:dyDescent="0.3">
      <c r="B17" s="116" t="s">
        <v>69</v>
      </c>
      <c r="C17" s="43" t="s">
        <v>10</v>
      </c>
      <c r="D17" s="161" t="s">
        <v>106</v>
      </c>
      <c r="E17" s="54"/>
      <c r="F17" s="53"/>
    </row>
    <row r="18" spans="2:10" x14ac:dyDescent="0.3">
      <c r="B18" s="116" t="s">
        <v>70</v>
      </c>
      <c r="C18" s="44" t="s">
        <v>28</v>
      </c>
      <c r="D18" s="161" t="s">
        <v>107</v>
      </c>
      <c r="E18" s="54"/>
    </row>
    <row r="20" spans="2:10" x14ac:dyDescent="0.3">
      <c r="B20" s="51" t="s">
        <v>49</v>
      </c>
    </row>
    <row r="21" spans="2:10" ht="15" customHeight="1" x14ac:dyDescent="0.3">
      <c r="B21" s="52" t="s">
        <v>108</v>
      </c>
      <c r="C21" s="52"/>
      <c r="D21" s="52"/>
      <c r="E21" s="52"/>
      <c r="F21" s="52"/>
    </row>
    <row r="22" spans="2:10" ht="15" customHeight="1" x14ac:dyDescent="0.3">
      <c r="B22" s="52"/>
      <c r="C22" s="52"/>
      <c r="D22" s="52"/>
      <c r="E22" s="52"/>
      <c r="F22" s="52"/>
    </row>
    <row r="23" spans="2:10" ht="16.2" thickBot="1" x14ac:dyDescent="0.35">
      <c r="B23" s="55" t="s">
        <v>45</v>
      </c>
      <c r="C23" s="55" t="s">
        <v>44</v>
      </c>
      <c r="D23" s="176" t="s">
        <v>46</v>
      </c>
      <c r="E23" s="52"/>
      <c r="F23" s="52"/>
    </row>
    <row r="24" spans="2:10" x14ac:dyDescent="0.3">
      <c r="B24" s="56" t="s">
        <v>11</v>
      </c>
      <c r="C24" s="84"/>
      <c r="D24" s="83" t="str">
        <f>IF(ISBLANK(C24),"Required","")</f>
        <v>Required</v>
      </c>
      <c r="E24" s="57"/>
      <c r="F24" s="146" t="s">
        <v>27</v>
      </c>
      <c r="G24" s="147"/>
      <c r="H24" s="147"/>
      <c r="I24" s="147"/>
      <c r="J24" s="148"/>
    </row>
    <row r="25" spans="2:10" x14ac:dyDescent="0.3">
      <c r="B25" s="61" t="s">
        <v>109</v>
      </c>
      <c r="C25" s="87" t="s">
        <v>112</v>
      </c>
      <c r="D25" s="85" t="str">
        <f>IF(ISBLANK(C25),"Required",VLOOKUP(C25,$C$38:$D$39,2,FALSE))</f>
        <v>CDFW</v>
      </c>
      <c r="E25" s="57"/>
      <c r="F25" s="62" t="s">
        <v>18</v>
      </c>
      <c r="G25" s="63" t="s">
        <v>22</v>
      </c>
      <c r="H25" s="63"/>
      <c r="I25" s="63"/>
      <c r="J25" s="64"/>
    </row>
    <row r="26" spans="2:10" x14ac:dyDescent="0.3">
      <c r="B26" s="61" t="s">
        <v>92</v>
      </c>
      <c r="C26" s="87" t="s">
        <v>531</v>
      </c>
      <c r="D26" s="149" t="str">
        <f>IF(ISBLANK(C26),"Required",IF(AND(ProjectType=GW,G40=""),"ERROR",""))</f>
        <v/>
      </c>
      <c r="E26" s="57"/>
      <c r="F26" s="65" t="s">
        <v>19</v>
      </c>
      <c r="G26" s="63" t="s">
        <v>23</v>
      </c>
      <c r="H26" s="63"/>
      <c r="I26" s="63"/>
      <c r="J26" s="64"/>
    </row>
    <row r="27" spans="2:10" x14ac:dyDescent="0.3">
      <c r="B27" s="61" t="s">
        <v>12</v>
      </c>
      <c r="C27" s="86" t="str">
        <f>IF(AND(C25=C38,ProjectType="Grassland &amp; Woodland Restoration"),"ERROR: PROJECT TYPE NOT PART OF PROGRAM","To be completed by "&amp;IF(D25="Required","agency",D25)&amp;" staff")</f>
        <v>To be completed by CDFW staff</v>
      </c>
      <c r="D27" s="90"/>
      <c r="E27" s="57"/>
      <c r="F27" s="66" t="s">
        <v>20</v>
      </c>
      <c r="G27" s="63" t="s">
        <v>26</v>
      </c>
      <c r="H27" s="63"/>
      <c r="I27" s="63"/>
      <c r="J27" s="64"/>
    </row>
    <row r="28" spans="2:10" ht="16.2" thickBot="1" x14ac:dyDescent="0.35">
      <c r="B28" s="61" t="s">
        <v>13</v>
      </c>
      <c r="C28" s="87"/>
      <c r="D28" s="85" t="str">
        <f>IF(ISBLANK(C28),"Required","")</f>
        <v>Required</v>
      </c>
      <c r="E28" s="57"/>
      <c r="F28" s="114" t="s">
        <v>21</v>
      </c>
      <c r="G28" s="67" t="s">
        <v>25</v>
      </c>
      <c r="H28" s="67"/>
      <c r="I28" s="67"/>
      <c r="J28" s="68"/>
    </row>
    <row r="29" spans="2:10" x14ac:dyDescent="0.3">
      <c r="B29" s="61" t="s">
        <v>14</v>
      </c>
      <c r="C29" s="87"/>
      <c r="D29" s="85" t="str">
        <f>IF(ISBLANK(C29),"Required","")</f>
        <v>Required</v>
      </c>
      <c r="E29" s="57"/>
      <c r="F29" s="70" t="s">
        <v>24</v>
      </c>
      <c r="G29" s="72"/>
      <c r="H29" s="72"/>
      <c r="I29" s="72"/>
      <c r="J29" s="72"/>
    </row>
    <row r="30" spans="2:10" x14ac:dyDescent="0.3">
      <c r="B30" s="61" t="s">
        <v>15</v>
      </c>
      <c r="C30" s="579"/>
      <c r="D30" s="85" t="str">
        <f>IF(ISBLANK(C30),"Required","")</f>
        <v>Required</v>
      </c>
      <c r="E30" s="57"/>
      <c r="F30" s="72"/>
      <c r="G30" s="72"/>
      <c r="H30" s="72"/>
      <c r="I30" s="72"/>
      <c r="J30" s="72"/>
    </row>
    <row r="31" spans="2:10" ht="16.2" thickBot="1" x14ac:dyDescent="0.35">
      <c r="B31" s="106" t="s">
        <v>16</v>
      </c>
      <c r="C31" s="107"/>
      <c r="D31" s="108" t="str">
        <f>IF(ISBLANK(C31),"Required","")</f>
        <v>Required</v>
      </c>
      <c r="E31" s="57"/>
    </row>
    <row r="32" spans="2:10" ht="30" customHeight="1" x14ac:dyDescent="0.3">
      <c r="B32" s="109" t="str">
        <f>"Total "&amp;IFERROR(VLOOKUP(D25,$D$38:$E$39,2,FALSE),"Program")&amp;" California Climate Investments Funds Requested ($):"</f>
        <v>Total Wetlands California Climate Investments Funds Requested ($):</v>
      </c>
      <c r="C32" s="110"/>
      <c r="D32" s="83" t="str">
        <f>IF(ISBLANK(C32),"Required","")</f>
        <v>Required</v>
      </c>
      <c r="E32" s="57"/>
    </row>
    <row r="33" spans="2:7" ht="30" customHeight="1" x14ac:dyDescent="0.3">
      <c r="B33" s="69" t="s">
        <v>65</v>
      </c>
      <c r="C33" s="175"/>
      <c r="D33" s="85" t="str">
        <f>IF(ISBLANK(C33),"Optional","")</f>
        <v>Optional</v>
      </c>
      <c r="E33" s="57"/>
    </row>
    <row r="34" spans="2:7" ht="30" customHeight="1" x14ac:dyDescent="0.3">
      <c r="B34" s="61" t="s">
        <v>66</v>
      </c>
      <c r="C34" s="175"/>
      <c r="D34" s="85" t="str">
        <f>IF(ISBLANK(C34),"Optional","")</f>
        <v>Optional</v>
      </c>
    </row>
    <row r="35" spans="2:7" ht="30" customHeight="1" thickBot="1" x14ac:dyDescent="0.35">
      <c r="B35" s="71" t="s">
        <v>17</v>
      </c>
      <c r="C35" s="88">
        <f>SUM(C32:C34)</f>
        <v>0</v>
      </c>
      <c r="D35" s="89"/>
    </row>
    <row r="37" spans="2:7" x14ac:dyDescent="0.3">
      <c r="B37" s="47" t="s">
        <v>435</v>
      </c>
      <c r="C37" s="47" t="s">
        <v>435</v>
      </c>
      <c r="D37" s="47" t="s">
        <v>435</v>
      </c>
      <c r="E37" s="47" t="s">
        <v>435</v>
      </c>
      <c r="G37" s="47" t="s">
        <v>435</v>
      </c>
    </row>
    <row r="38" spans="2:7" x14ac:dyDescent="0.3">
      <c r="B38" s="117" t="s">
        <v>532</v>
      </c>
      <c r="C38" s="47" t="s">
        <v>112</v>
      </c>
      <c r="D38" s="47" t="s">
        <v>110</v>
      </c>
      <c r="E38" s="47" t="s">
        <v>397</v>
      </c>
      <c r="G38" s="47" t="str">
        <f>IF(ISBLANK(Program),"",CTW)</f>
        <v>Coastal Tidal Wetland</v>
      </c>
    </row>
    <row r="39" spans="2:7" x14ac:dyDescent="0.3">
      <c r="B39" s="117" t="s">
        <v>531</v>
      </c>
      <c r="C39" s="47" t="s">
        <v>111</v>
      </c>
      <c r="D39" s="47" t="s">
        <v>113</v>
      </c>
      <c r="E39" s="47" t="s">
        <v>398</v>
      </c>
      <c r="G39" s="47" t="str">
        <f>IF(ISBLANK(Program),"",Delta)</f>
        <v>Delta Wetland</v>
      </c>
    </row>
    <row r="40" spans="2:7" x14ac:dyDescent="0.3">
      <c r="B40" s="117" t="s">
        <v>538</v>
      </c>
      <c r="G40" s="47" t="str">
        <f>IF(OR(ISBLANK(Program),Agency=D38),"",GW)</f>
        <v/>
      </c>
    </row>
    <row r="41" spans="2:7" x14ac:dyDescent="0.3">
      <c r="B41" s="117" t="s">
        <v>533</v>
      </c>
      <c r="G41" s="47" t="str">
        <f>IF(ISBLANK(Program),"",MM)</f>
        <v>Mountain Meadow</v>
      </c>
    </row>
    <row r="42" spans="2:7" x14ac:dyDescent="0.3">
      <c r="B42" s="117" t="s">
        <v>534</v>
      </c>
      <c r="G42" s="47" t="str">
        <f>IF(ISBLANK(Program),"",SIW)</f>
        <v>Seasonal Inland Wetland</v>
      </c>
    </row>
    <row r="43" spans="2:7" x14ac:dyDescent="0.3">
      <c r="B43" s="47" t="s">
        <v>435</v>
      </c>
      <c r="C43" s="47" t="s">
        <v>435</v>
      </c>
      <c r="D43" s="47" t="s">
        <v>435</v>
      </c>
      <c r="E43" s="47" t="s">
        <v>435</v>
      </c>
      <c r="G43" s="47" t="s">
        <v>435</v>
      </c>
    </row>
  </sheetData>
  <sheetProtection algorithmName="SHA-512" hashValue="psGZza2mGDsSpnM5bqIMgvkY61h9M1miJiZalArd2Mv+BFh7FTXWxeCUgcuV1iUJJEtTXJXYCt47N8wjT6b6LQ==" saltValue="iTutnoxSlytZi1i+5GyJhQ==" spinCount="100000" sheet="1" objects="1" scenarios="1"/>
  <conditionalFormatting sqref="C33:D33">
    <cfRule type="expression" dxfId="201" priority="5">
      <formula>D33="Optional"</formula>
    </cfRule>
  </conditionalFormatting>
  <conditionalFormatting sqref="D33">
    <cfRule type="expression" dxfId="200" priority="4">
      <formula>D33="Optional"</formula>
    </cfRule>
  </conditionalFormatting>
  <conditionalFormatting sqref="D34">
    <cfRule type="expression" dxfId="199" priority="3">
      <formula>D34="Optional"</formula>
    </cfRule>
  </conditionalFormatting>
  <conditionalFormatting sqref="C34">
    <cfRule type="expression" dxfId="198" priority="2">
      <formula>D34="Optional"</formula>
    </cfRule>
  </conditionalFormatting>
  <conditionalFormatting sqref="D26">
    <cfRule type="expression" dxfId="197" priority="1">
      <formula>$D$26="ERROR"</formula>
    </cfRule>
  </conditionalFormatting>
  <dataValidations count="2">
    <dataValidation type="list" allowBlank="1" showInputMessage="1" showErrorMessage="1" sqref="C26" xr:uid="{00000000-0002-0000-0100-000000000000}">
      <formula1>$G$38:$G$42</formula1>
    </dataValidation>
    <dataValidation type="list" allowBlank="1" showInputMessage="1" showErrorMessage="1" sqref="C25" xr:uid="{00000000-0002-0000-0100-000001000000}">
      <formula1>$C$38:$C$39</formula1>
    </dataValidation>
  </dataValidations>
  <hyperlinks>
    <hyperlink ref="D17" r:id="rId1" tooltip="Link to SoilWeb Tool" xr:uid="{00000000-0004-0000-0100-000000000000}"/>
    <hyperlink ref="D18" r:id="rId2" tooltip="Link to i-Tree Planting Calculator" xr:uid="{00000000-0004-0000-0100-000001000000}"/>
    <hyperlink ref="B11" r:id="rId3" tooltip="Link to Land Restoration Benefits Tool User Guide" xr:uid="{00000000-0004-0000-0100-000002000000}"/>
  </hyperlinks>
  <pageMargins left="0.7" right="0.7" top="0.75" bottom="0.75" header="0.3" footer="0.3"/>
  <pageSetup orientation="portrait" r:id="rId4"/>
  <ignoredErrors>
    <ignoredError sqref="D25:D26 D33:D34" calculatedColumn="1"/>
  </ignoredErrors>
  <drawing r:id="rId5"/>
  <tableParts count="1">
    <tablePart r:id="rId6"/>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B1:AV129"/>
  <sheetViews>
    <sheetView showGridLines="0" zoomScaleNormal="100" workbookViewId="0"/>
  </sheetViews>
  <sheetFormatPr defaultColWidth="9.109375" defaultRowHeight="15.6" x14ac:dyDescent="0.3"/>
  <cols>
    <col min="1" max="1" width="2.88671875" style="2" customWidth="1"/>
    <col min="2" max="2" width="9.5546875" style="2" customWidth="1"/>
    <col min="3" max="3" width="20.88671875" style="2" customWidth="1"/>
    <col min="4" max="4" width="10.6640625" style="5" customWidth="1"/>
    <col min="5" max="5" width="19.33203125" style="2" customWidth="1"/>
    <col min="6" max="6" width="10.6640625" style="5" customWidth="1"/>
    <col min="7" max="7" width="17.109375" style="2" customWidth="1"/>
    <col min="8" max="8" width="10.88671875" style="2" customWidth="1"/>
    <col min="9" max="9" width="16.5546875" style="2" customWidth="1"/>
    <col min="10" max="10" width="10.88671875" style="2" customWidth="1"/>
    <col min="11" max="11" width="16.33203125" style="2" customWidth="1"/>
    <col min="12" max="12" width="10.88671875" style="2" customWidth="1"/>
    <col min="13" max="13" width="14.33203125" style="2" customWidth="1"/>
    <col min="14" max="14" width="13.88671875" style="2" bestFit="1" customWidth="1"/>
    <col min="15" max="15" width="14.5546875" style="2" customWidth="1"/>
    <col min="16" max="16" width="10.88671875" style="2" customWidth="1"/>
    <col min="17" max="17" width="20.109375" style="2" customWidth="1"/>
    <col min="18" max="18" width="10.88671875" style="2" customWidth="1"/>
    <col min="19" max="19" width="16.109375" style="2" customWidth="1"/>
    <col min="20" max="20" width="10.6640625" style="2" customWidth="1"/>
    <col min="21" max="21" width="12.44140625" style="2" customWidth="1"/>
    <col min="22" max="22" width="10.88671875" style="2" customWidth="1"/>
    <col min="23" max="23" width="9.109375" style="2"/>
    <col min="24" max="24" width="10.88671875" style="164" hidden="1" customWidth="1"/>
    <col min="25" max="25" width="9.88671875" style="2" hidden="1" customWidth="1"/>
    <col min="26" max="28" width="0" style="2" hidden="1" customWidth="1"/>
    <col min="29" max="29" width="10.109375" style="2" hidden="1" customWidth="1"/>
    <col min="30" max="36" width="0" style="2" hidden="1" customWidth="1"/>
    <col min="37" max="37" width="10.6640625" style="2" hidden="1" customWidth="1"/>
    <col min="38" max="38" width="12.44140625" style="165" hidden="1" customWidth="1"/>
    <col min="39" max="39" width="12" style="2" hidden="1" customWidth="1"/>
    <col min="40" max="40" width="0" style="2" hidden="1" customWidth="1"/>
    <col min="41" max="41" width="13.5546875" style="2" hidden="1" customWidth="1"/>
    <col min="42" max="42" width="24.88671875" style="2" hidden="1" customWidth="1"/>
    <col min="43" max="43" width="0" style="2" hidden="1" customWidth="1"/>
    <col min="44" max="16384" width="9.109375" style="2"/>
  </cols>
  <sheetData>
    <row r="1" spans="2:24" ht="21" x14ac:dyDescent="0.4">
      <c r="B1" s="140" t="str">
        <f>'Read Me'!B1</f>
        <v>California Air Resources Board</v>
      </c>
      <c r="C1" s="36"/>
      <c r="D1" s="39"/>
      <c r="E1" s="36"/>
      <c r="F1" s="39"/>
      <c r="G1" s="36"/>
      <c r="H1" s="36"/>
      <c r="I1" s="36"/>
    </row>
    <row r="2" spans="2:24" ht="21" x14ac:dyDescent="0.4">
      <c r="B2" s="140"/>
      <c r="C2" s="36"/>
      <c r="D2" s="39"/>
      <c r="E2" s="36"/>
      <c r="F2" s="39"/>
      <c r="G2" s="36"/>
      <c r="H2" s="36"/>
      <c r="I2" s="36"/>
    </row>
    <row r="3" spans="2:24" ht="21" x14ac:dyDescent="0.4">
      <c r="B3" s="140" t="str">
        <f>'Read Me'!B3</f>
        <v>Revised Draft Benefits Calculator Tool</v>
      </c>
      <c r="C3" s="36"/>
      <c r="D3" s="39"/>
      <c r="E3" s="36"/>
      <c r="F3" s="39"/>
      <c r="G3" s="36"/>
      <c r="H3" s="36"/>
      <c r="I3" s="36"/>
    </row>
    <row r="4" spans="2:24" ht="21" x14ac:dyDescent="0.4">
      <c r="B4" s="140" t="str">
        <f>CTW</f>
        <v>Coastal Tidal Wetland</v>
      </c>
      <c r="C4" s="36"/>
      <c r="D4" s="39"/>
      <c r="E4" s="36"/>
      <c r="F4" s="39"/>
      <c r="G4" s="36"/>
      <c r="H4" s="36"/>
      <c r="I4" s="36"/>
    </row>
    <row r="5" spans="2:24" ht="21" x14ac:dyDescent="0.4">
      <c r="B5" s="140"/>
      <c r="C5" s="36"/>
      <c r="D5" s="39"/>
      <c r="E5" s="36"/>
      <c r="F5" s="39"/>
      <c r="G5" s="36"/>
      <c r="H5" s="36"/>
      <c r="I5" s="36"/>
    </row>
    <row r="6" spans="2:24" ht="21" x14ac:dyDescent="0.4">
      <c r="B6" s="140" t="str">
        <f>'Read Me'!B6</f>
        <v xml:space="preserve">California Climate Investments </v>
      </c>
      <c r="C6" s="36"/>
      <c r="D6" s="39"/>
      <c r="E6" s="36"/>
      <c r="F6" s="39"/>
      <c r="G6" s="36"/>
      <c r="H6" s="36"/>
      <c r="I6" s="36"/>
    </row>
    <row r="8" spans="2:24" ht="16.2" thickBot="1" x14ac:dyDescent="0.35">
      <c r="B8" s="1" t="s">
        <v>8</v>
      </c>
      <c r="F8" s="7"/>
      <c r="G8" s="3"/>
      <c r="H8" s="3"/>
      <c r="I8" s="3"/>
      <c r="J8" s="3"/>
    </row>
    <row r="9" spans="2:24" ht="15" customHeight="1" x14ac:dyDescent="0.3">
      <c r="B9" s="580" t="s">
        <v>114</v>
      </c>
      <c r="C9" s="581"/>
      <c r="D9" s="582"/>
      <c r="E9" s="581"/>
      <c r="F9" s="582"/>
      <c r="G9" s="581"/>
      <c r="H9" s="581"/>
      <c r="I9" s="583"/>
      <c r="K9" s="146" t="s">
        <v>27</v>
      </c>
      <c r="L9" s="147"/>
      <c r="M9" s="147"/>
      <c r="N9" s="147"/>
      <c r="O9" s="148"/>
    </row>
    <row r="10" spans="2:24" ht="15" customHeight="1" x14ac:dyDescent="0.3">
      <c r="B10" s="613" t="s">
        <v>539</v>
      </c>
      <c r="C10" s="584"/>
      <c r="D10" s="585"/>
      <c r="E10" s="584"/>
      <c r="F10" s="585"/>
      <c r="G10" s="584"/>
      <c r="H10" s="584"/>
      <c r="I10" s="586"/>
      <c r="K10" s="136" t="s">
        <v>18</v>
      </c>
      <c r="L10" s="63" t="s">
        <v>22</v>
      </c>
      <c r="M10" s="63"/>
      <c r="N10" s="63"/>
      <c r="O10" s="64"/>
    </row>
    <row r="11" spans="2:24" ht="15" customHeight="1" x14ac:dyDescent="0.3">
      <c r="B11" s="587" t="s">
        <v>535</v>
      </c>
      <c r="C11" s="584"/>
      <c r="D11" s="585"/>
      <c r="E11" s="584"/>
      <c r="F11" s="585"/>
      <c r="G11" s="584"/>
      <c r="H11" s="584"/>
      <c r="I11" s="586"/>
      <c r="K11" s="137" t="s">
        <v>19</v>
      </c>
      <c r="L11" s="63" t="s">
        <v>23</v>
      </c>
      <c r="M11" s="63"/>
      <c r="N11" s="63"/>
      <c r="O11" s="64"/>
    </row>
    <row r="12" spans="2:24" ht="15" customHeight="1" x14ac:dyDescent="0.3">
      <c r="B12" s="588" t="s">
        <v>106</v>
      </c>
      <c r="C12" s="589"/>
      <c r="D12" s="590"/>
      <c r="E12" s="589"/>
      <c r="F12" s="590"/>
      <c r="G12" s="589"/>
      <c r="H12" s="589"/>
      <c r="I12" s="591"/>
      <c r="K12" s="138" t="s">
        <v>20</v>
      </c>
      <c r="L12" s="63" t="s">
        <v>26</v>
      </c>
      <c r="M12" s="63"/>
      <c r="N12" s="63"/>
      <c r="O12" s="64"/>
    </row>
    <row r="13" spans="2:24" ht="15" customHeight="1" thickBot="1" x14ac:dyDescent="0.35">
      <c r="B13" s="47"/>
      <c r="C13" s="47"/>
      <c r="D13" s="47"/>
      <c r="E13" s="47"/>
      <c r="F13" s="47"/>
      <c r="G13" s="47"/>
      <c r="H13" s="47"/>
      <c r="I13" s="47"/>
      <c r="K13" s="139" t="s">
        <v>21</v>
      </c>
      <c r="L13" s="67" t="s">
        <v>25</v>
      </c>
      <c r="M13" s="67"/>
      <c r="N13" s="67"/>
      <c r="O13" s="68"/>
    </row>
    <row r="14" spans="2:24" ht="15" customHeight="1" x14ac:dyDescent="0.3">
      <c r="B14" s="592" t="str">
        <f>"This worksheet is for calculating the GHG benefit for "&amp;B4&amp;"."</f>
        <v>This worksheet is for calculating the GHG benefit for Coastal Tidal Wetland.</v>
      </c>
      <c r="C14" s="593"/>
      <c r="D14" s="593"/>
      <c r="E14" s="593"/>
      <c r="F14" s="593"/>
      <c r="G14" s="593"/>
      <c r="H14" s="593"/>
      <c r="I14" s="594"/>
      <c r="K14" s="70" t="s">
        <v>24</v>
      </c>
      <c r="L14" s="72"/>
      <c r="M14" s="72"/>
      <c r="N14" s="72"/>
      <c r="O14" s="72"/>
    </row>
    <row r="15" spans="2:24" ht="15" customHeight="1" x14ac:dyDescent="0.3">
      <c r="B15" s="595" t="str">
        <f>IF(ProjectType=B4,"","DO NOT USE THIS WORKSHEET FOR THE SELECTED TYPE IN THE PROJECT INFO WORKSHEET.")</f>
        <v>DO NOT USE THIS WORKSHEET FOR THE SELECTED TYPE IN THE PROJECT INFO WORKSHEET.</v>
      </c>
      <c r="C15" s="596"/>
      <c r="D15" s="596"/>
      <c r="E15" s="596"/>
      <c r="F15" s="596"/>
      <c r="G15" s="596"/>
      <c r="H15" s="596"/>
      <c r="I15" s="597"/>
    </row>
    <row r="16" spans="2:24" ht="15" customHeight="1" x14ac:dyDescent="0.3">
      <c r="D16" s="2"/>
      <c r="F16" s="2"/>
      <c r="X16" s="282" t="s">
        <v>195</v>
      </c>
    </row>
    <row r="17" spans="2:48" ht="15" customHeight="1" x14ac:dyDescent="0.3">
      <c r="B17" s="51" t="s">
        <v>50</v>
      </c>
      <c r="C17" s="4"/>
      <c r="D17" s="6"/>
      <c r="E17" s="4"/>
      <c r="F17" s="6"/>
      <c r="G17" s="4"/>
      <c r="H17" s="4"/>
      <c r="I17" s="4"/>
      <c r="J17" s="4"/>
      <c r="K17" s="3"/>
      <c r="Y17" s="185"/>
      <c r="Z17" s="17"/>
      <c r="AA17" s="115"/>
      <c r="AB17" s="115"/>
      <c r="AC17" s="115"/>
      <c r="AD17" s="115"/>
      <c r="AE17" s="115"/>
      <c r="AF17" s="115"/>
      <c r="AG17" s="115"/>
    </row>
    <row r="18" spans="2:48" ht="19.5" customHeight="1" thickBot="1" x14ac:dyDescent="0.45">
      <c r="X18" s="536" t="s">
        <v>76</v>
      </c>
      <c r="Y18" s="279" t="s">
        <v>277</v>
      </c>
      <c r="Z18" s="279" t="s">
        <v>253</v>
      </c>
      <c r="AA18" s="273" t="s">
        <v>246</v>
      </c>
      <c r="AB18" s="275" t="s">
        <v>272</v>
      </c>
      <c r="AC18" s="279" t="s">
        <v>273</v>
      </c>
      <c r="AD18" s="279" t="s">
        <v>274</v>
      </c>
      <c r="AE18" s="275" t="s">
        <v>275</v>
      </c>
      <c r="AF18" s="275" t="s">
        <v>237</v>
      </c>
      <c r="AG18" s="273" t="s">
        <v>233</v>
      </c>
      <c r="AH18" s="273" t="s">
        <v>255</v>
      </c>
      <c r="AI18" s="273" t="s">
        <v>276</v>
      </c>
    </row>
    <row r="19" spans="2:48" ht="93.75" customHeight="1" thickBot="1" x14ac:dyDescent="0.35">
      <c r="B19" s="558" t="s">
        <v>77</v>
      </c>
      <c r="C19" s="118" t="s">
        <v>72</v>
      </c>
      <c r="D19" s="9" t="s">
        <v>81</v>
      </c>
      <c r="E19" s="551" t="s">
        <v>78</v>
      </c>
      <c r="F19" s="9" t="s">
        <v>82</v>
      </c>
      <c r="G19" s="551" t="s">
        <v>94</v>
      </c>
      <c r="H19" s="554" t="s">
        <v>83</v>
      </c>
      <c r="I19" s="565" t="s">
        <v>80</v>
      </c>
      <c r="J19" s="9" t="s">
        <v>84</v>
      </c>
      <c r="K19" s="551" t="s">
        <v>74</v>
      </c>
      <c r="L19" s="9" t="s">
        <v>85</v>
      </c>
      <c r="M19" s="118" t="s">
        <v>127</v>
      </c>
      <c r="N19" s="554" t="s">
        <v>86</v>
      </c>
      <c r="O19" s="565" t="s">
        <v>75</v>
      </c>
      <c r="P19" s="9" t="s">
        <v>87</v>
      </c>
      <c r="Q19" s="118" t="s">
        <v>71</v>
      </c>
      <c r="R19" s="554" t="s">
        <v>88</v>
      </c>
      <c r="S19" s="565" t="s">
        <v>93</v>
      </c>
      <c r="T19" s="9" t="s">
        <v>89</v>
      </c>
      <c r="U19" s="118" t="s">
        <v>73</v>
      </c>
      <c r="V19" s="151" t="s">
        <v>90</v>
      </c>
      <c r="X19" s="537"/>
      <c r="Y19" s="271" t="s">
        <v>196</v>
      </c>
      <c r="Z19" s="271" t="s">
        <v>229</v>
      </c>
      <c r="AA19" s="271" t="s">
        <v>230</v>
      </c>
      <c r="AB19" s="271" t="s">
        <v>199</v>
      </c>
      <c r="AC19" s="271" t="s">
        <v>231</v>
      </c>
      <c r="AD19" s="271" t="s">
        <v>231</v>
      </c>
      <c r="AE19" s="271" t="s">
        <v>200</v>
      </c>
      <c r="AF19" s="272" t="s">
        <v>201</v>
      </c>
      <c r="AG19" s="271" t="s">
        <v>196</v>
      </c>
      <c r="AH19" s="271" t="s">
        <v>196</v>
      </c>
      <c r="AI19" s="267" t="s">
        <v>196</v>
      </c>
      <c r="AK19" s="287" t="s">
        <v>55</v>
      </c>
      <c r="AL19" s="287" t="s">
        <v>57</v>
      </c>
      <c r="AM19" s="196" t="s">
        <v>153</v>
      </c>
      <c r="AN19" s="286" t="s">
        <v>154</v>
      </c>
      <c r="AO19" s="291"/>
      <c r="AP19" s="291"/>
      <c r="AQ19" s="291"/>
      <c r="AR19" s="291"/>
      <c r="AS19" s="291"/>
      <c r="AT19" s="291"/>
      <c r="AU19" s="291"/>
      <c r="AV19" s="291"/>
    </row>
    <row r="20" spans="2:48" ht="16.5" customHeight="1" thickTop="1" x14ac:dyDescent="0.4">
      <c r="B20" s="559">
        <v>1</v>
      </c>
      <c r="C20" s="155"/>
      <c r="D20" s="120" t="str">
        <f>IF(ISBLANK(C20),IF(OR(NOT(ISBLANK(C20)),SUM(C20,E20,I20,K20,O20,Q20,S20)&gt;0),"Required","Optional"),"mo/yr")</f>
        <v>Optional</v>
      </c>
      <c r="E20" s="552"/>
      <c r="F20" s="120" t="str">
        <f t="shared" ref="F20:F29" si="0">IF(ISBLANK(E20),IF(OR(NOT(ISBLANK(C20)),SUM(C20,E20,I20,K20,O20,Q20,S20)&gt;0),"Required","Optional"),"acres")</f>
        <v>Optional</v>
      </c>
      <c r="G20" s="552"/>
      <c r="H20" s="555" t="str">
        <f t="shared" ref="H20:H29" si="1">IF(ISBLANK(G20),IF(E20&gt;0,"Required","N/A"),"mo/yr")</f>
        <v>N/A</v>
      </c>
      <c r="I20" s="566"/>
      <c r="J20" s="120" t="str">
        <f t="shared" ref="J20:J29" si="2">IF(ISBLANK(I20),IF(OR(NOT(ISBLANK(C20)),SUM(C20,E20,I20,K20,O20,Q20,S20)&gt;0),"Required","Optional"),"acres")</f>
        <v>Optional</v>
      </c>
      <c r="K20" s="552"/>
      <c r="L20" s="120" t="str">
        <f t="shared" ref="L20:L29" si="3">IF(ISBLANK(K20),IF(OR(NOT(ISBLANK(C20)),SUM(C20,E20,I20,K20,O20,Q20,S20)&gt;0),"Required","Optional"),"acres")</f>
        <v>Optional</v>
      </c>
      <c r="M20" s="177"/>
      <c r="N20" s="562" t="str">
        <f t="shared" ref="N20:N29" si="4">IF(ISBLANK(M20),IF(SUM(I20,K20)&gt;0,"Optional","N/A"),"lb-N/acre-yr")</f>
        <v>N/A</v>
      </c>
      <c r="O20" s="566"/>
      <c r="P20" s="120" t="str">
        <f t="shared" ref="P20:P29" si="5">IF(ISBLANK(O20),IF(OR(NOT(ISBLANK(C20)),SUM(C20,E20,I20,K20,O20,Q20,S20)&gt;0),"Required","Optional"),"acres")</f>
        <v>Optional</v>
      </c>
      <c r="Q20" s="155"/>
      <c r="R20" s="555" t="str">
        <f t="shared" ref="R20:R29" si="6">IF(ISBLANK(Q20),IF(OR(NOT(ISBLANK(C20)),SUM(C20,E20,I20,K20,O20,Q20,S20)&gt;0),"Required","Optional"),"mo/yr")</f>
        <v>Optional</v>
      </c>
      <c r="S20" s="566"/>
      <c r="T20" s="120" t="str">
        <f t="shared" ref="T20:T29" si="7">IF(ISBLANK(S20),IF(OR(NOT(ISBLANK(C20)),SUM(C20,E20,I20,K20,O20,Q20,S20)&gt;0),"Required","Optional"),"mo/yr")</f>
        <v>Optional</v>
      </c>
      <c r="U20" s="159"/>
      <c r="V20" s="124" t="str">
        <f t="shared" ref="V20:V29" si="8">IF(ISBLANK(U20),IF(SUM(K20,S20)&gt;0,"Required","N/A"),"")</f>
        <v>N/A</v>
      </c>
      <c r="X20" s="199">
        <v>1</v>
      </c>
      <c r="Y20" s="198">
        <f>(Z20-AA20*AB20+(AC20+AD20)*AE20)*AF20+AG20+AH20</f>
        <v>0</v>
      </c>
      <c r="Z20" s="198">
        <f t="shared" ref="Z20:Z29" si="9">Y37</f>
        <v>0</v>
      </c>
      <c r="AA20" s="198">
        <f t="shared" ref="AA20:AA29" si="10">Y53</f>
        <v>0</v>
      </c>
      <c r="AB20" s="199">
        <f t="shared" ref="AB20:AB29" si="11">$AL$23</f>
        <v>25</v>
      </c>
      <c r="AC20" s="198">
        <f t="shared" ref="AC20:AC29" si="12">Y69</f>
        <v>0</v>
      </c>
      <c r="AD20" s="198">
        <f t="shared" ref="AD20:AD29" si="13">Y85</f>
        <v>0</v>
      </c>
      <c r="AE20" s="199">
        <f t="shared" ref="AE20:AE29" si="14">$AL$26</f>
        <v>298</v>
      </c>
      <c r="AF20" s="199">
        <f t="shared" ref="AF20:AF29" si="15">$AL$27</f>
        <v>50</v>
      </c>
      <c r="AG20" s="198">
        <f t="shared" ref="AG20:AG29" si="16">Y101</f>
        <v>0</v>
      </c>
      <c r="AH20" s="198">
        <f t="shared" ref="AH20:AH29" si="17">Y117</f>
        <v>0</v>
      </c>
      <c r="AI20" s="200"/>
      <c r="AK20" s="279" t="s">
        <v>277</v>
      </c>
      <c r="AL20" s="294"/>
      <c r="AM20" s="286" t="s">
        <v>278</v>
      </c>
      <c r="AN20" s="286" t="s">
        <v>279</v>
      </c>
      <c r="AO20" s="291"/>
      <c r="AP20" s="291"/>
      <c r="AQ20" s="291"/>
      <c r="AR20" s="291"/>
      <c r="AS20" s="291"/>
      <c r="AT20" s="291"/>
      <c r="AU20" s="291"/>
      <c r="AV20" s="291"/>
    </row>
    <row r="21" spans="2:48" ht="15.75" customHeight="1" x14ac:dyDescent="0.4">
      <c r="B21" s="560">
        <v>2</v>
      </c>
      <c r="C21" s="155"/>
      <c r="D21" s="121" t="str">
        <f t="shared" ref="D21:D29" si="18">IF(ISBLANK(C21),IF(OR(NOT(ISBLANK(C21)),SUM(C21,E21,I21,K21,O21,Q21,S21)&gt;0),"Required","Optional"),"mo/yr")</f>
        <v>Optional</v>
      </c>
      <c r="E21" s="552"/>
      <c r="F21" s="121" t="str">
        <f t="shared" si="0"/>
        <v>Optional</v>
      </c>
      <c r="G21" s="552"/>
      <c r="H21" s="556" t="str">
        <f t="shared" si="1"/>
        <v>N/A</v>
      </c>
      <c r="I21" s="567"/>
      <c r="J21" s="121" t="str">
        <f t="shared" si="2"/>
        <v>Optional</v>
      </c>
      <c r="K21" s="552"/>
      <c r="L21" s="120" t="str">
        <f t="shared" si="3"/>
        <v>Optional</v>
      </c>
      <c r="M21" s="177"/>
      <c r="N21" s="562" t="str">
        <f t="shared" si="4"/>
        <v>N/A</v>
      </c>
      <c r="O21" s="566"/>
      <c r="P21" s="120" t="str">
        <f t="shared" si="5"/>
        <v>Optional</v>
      </c>
      <c r="Q21" s="155"/>
      <c r="R21" s="555" t="str">
        <f t="shared" si="6"/>
        <v>Optional</v>
      </c>
      <c r="S21" s="566"/>
      <c r="T21" s="120" t="str">
        <f t="shared" si="7"/>
        <v>Optional</v>
      </c>
      <c r="U21" s="159"/>
      <c r="V21" s="125" t="str">
        <f t="shared" si="8"/>
        <v>N/A</v>
      </c>
      <c r="X21" s="199">
        <v>2</v>
      </c>
      <c r="Y21" s="198">
        <f>(Z21-AA21*AB21+(AC21+AD21)*AE21)*AF21+AG21+AH21</f>
        <v>0</v>
      </c>
      <c r="Z21" s="198">
        <f t="shared" si="9"/>
        <v>0</v>
      </c>
      <c r="AA21" s="198">
        <f t="shared" si="10"/>
        <v>0</v>
      </c>
      <c r="AB21" s="199">
        <f t="shared" si="11"/>
        <v>25</v>
      </c>
      <c r="AC21" s="198">
        <f t="shared" si="12"/>
        <v>0</v>
      </c>
      <c r="AD21" s="198">
        <f t="shared" si="13"/>
        <v>0</v>
      </c>
      <c r="AE21" s="199">
        <f t="shared" si="14"/>
        <v>298</v>
      </c>
      <c r="AF21" s="199">
        <f t="shared" si="15"/>
        <v>50</v>
      </c>
      <c r="AG21" s="198">
        <f t="shared" si="16"/>
        <v>0</v>
      </c>
      <c r="AH21" s="198">
        <f t="shared" si="17"/>
        <v>0</v>
      </c>
      <c r="AI21" s="201"/>
      <c r="AK21" s="279" t="s">
        <v>253</v>
      </c>
      <c r="AL21" s="294"/>
      <c r="AM21" s="286" t="s">
        <v>278</v>
      </c>
      <c r="AN21" s="286" t="s">
        <v>280</v>
      </c>
      <c r="AO21" s="291"/>
      <c r="AP21" s="291"/>
      <c r="AQ21" s="291"/>
      <c r="AR21" s="291"/>
      <c r="AS21" s="291"/>
      <c r="AT21" s="291"/>
      <c r="AU21" s="291"/>
      <c r="AV21" s="291"/>
    </row>
    <row r="22" spans="2:48" ht="15.75" customHeight="1" x14ac:dyDescent="0.35">
      <c r="B22" s="560">
        <v>3</v>
      </c>
      <c r="C22" s="155"/>
      <c r="D22" s="121" t="str">
        <f t="shared" si="18"/>
        <v>Optional</v>
      </c>
      <c r="E22" s="552"/>
      <c r="F22" s="121" t="str">
        <f t="shared" si="0"/>
        <v>Optional</v>
      </c>
      <c r="G22" s="552"/>
      <c r="H22" s="556" t="str">
        <f t="shared" si="1"/>
        <v>N/A</v>
      </c>
      <c r="I22" s="567"/>
      <c r="J22" s="121" t="str">
        <f t="shared" si="2"/>
        <v>Optional</v>
      </c>
      <c r="K22" s="552"/>
      <c r="L22" s="120" t="str">
        <f t="shared" si="3"/>
        <v>Optional</v>
      </c>
      <c r="M22" s="177"/>
      <c r="N22" s="562" t="str">
        <f t="shared" si="4"/>
        <v>N/A</v>
      </c>
      <c r="O22" s="566"/>
      <c r="P22" s="120" t="str">
        <f t="shared" si="5"/>
        <v>Optional</v>
      </c>
      <c r="Q22" s="155"/>
      <c r="R22" s="555" t="str">
        <f t="shared" si="6"/>
        <v>Optional</v>
      </c>
      <c r="S22" s="566"/>
      <c r="T22" s="120" t="str">
        <f t="shared" si="7"/>
        <v>Optional</v>
      </c>
      <c r="U22" s="159"/>
      <c r="V22" s="125" t="str">
        <f t="shared" si="8"/>
        <v>N/A</v>
      </c>
      <c r="X22" s="199">
        <v>3</v>
      </c>
      <c r="Y22" s="198">
        <f t="shared" ref="Y22:Y29" si="19">(Z22-AA22*AB22+(AC22+AD22)*AE22)*AF22+AG22+AH22</f>
        <v>0</v>
      </c>
      <c r="Z22" s="198">
        <f t="shared" si="9"/>
        <v>0</v>
      </c>
      <c r="AA22" s="198">
        <f t="shared" si="10"/>
        <v>0</v>
      </c>
      <c r="AB22" s="199">
        <f t="shared" si="11"/>
        <v>25</v>
      </c>
      <c r="AC22" s="198">
        <f t="shared" si="12"/>
        <v>0</v>
      </c>
      <c r="AD22" s="198">
        <f t="shared" si="13"/>
        <v>0</v>
      </c>
      <c r="AE22" s="199">
        <f t="shared" si="14"/>
        <v>298</v>
      </c>
      <c r="AF22" s="199">
        <f t="shared" si="15"/>
        <v>50</v>
      </c>
      <c r="AG22" s="198">
        <f t="shared" si="16"/>
        <v>0</v>
      </c>
      <c r="AH22" s="198">
        <f t="shared" si="17"/>
        <v>0</v>
      </c>
      <c r="AI22" s="201"/>
      <c r="AK22" s="273" t="s">
        <v>246</v>
      </c>
      <c r="AL22" s="294"/>
      <c r="AM22" s="286" t="s">
        <v>278</v>
      </c>
      <c r="AN22" s="286" t="s">
        <v>281</v>
      </c>
      <c r="AO22" s="291"/>
      <c r="AP22" s="291"/>
      <c r="AQ22" s="291"/>
      <c r="AR22" s="291"/>
      <c r="AS22" s="291"/>
      <c r="AT22" s="291"/>
      <c r="AU22" s="291"/>
      <c r="AV22" s="291"/>
    </row>
    <row r="23" spans="2:48" ht="15.75" customHeight="1" x14ac:dyDescent="0.3">
      <c r="B23" s="560">
        <v>4</v>
      </c>
      <c r="C23" s="155"/>
      <c r="D23" s="121" t="str">
        <f t="shared" si="18"/>
        <v>Optional</v>
      </c>
      <c r="E23" s="552"/>
      <c r="F23" s="121" t="str">
        <f t="shared" si="0"/>
        <v>Optional</v>
      </c>
      <c r="G23" s="552"/>
      <c r="H23" s="556" t="str">
        <f t="shared" si="1"/>
        <v>N/A</v>
      </c>
      <c r="I23" s="567"/>
      <c r="J23" s="121" t="str">
        <f t="shared" si="2"/>
        <v>Optional</v>
      </c>
      <c r="K23" s="552"/>
      <c r="L23" s="120" t="str">
        <f t="shared" si="3"/>
        <v>Optional</v>
      </c>
      <c r="M23" s="177"/>
      <c r="N23" s="562" t="str">
        <f t="shared" si="4"/>
        <v>N/A</v>
      </c>
      <c r="O23" s="566"/>
      <c r="P23" s="120" t="str">
        <f t="shared" si="5"/>
        <v>Optional</v>
      </c>
      <c r="Q23" s="155"/>
      <c r="R23" s="555" t="str">
        <f t="shared" si="6"/>
        <v>Optional</v>
      </c>
      <c r="S23" s="566"/>
      <c r="T23" s="120" t="str">
        <f t="shared" si="7"/>
        <v>Optional</v>
      </c>
      <c r="U23" s="159"/>
      <c r="V23" s="125" t="str">
        <f t="shared" si="8"/>
        <v>N/A</v>
      </c>
      <c r="X23" s="199">
        <v>4</v>
      </c>
      <c r="Y23" s="198">
        <f t="shared" si="19"/>
        <v>0</v>
      </c>
      <c r="Z23" s="198">
        <f t="shared" si="9"/>
        <v>0</v>
      </c>
      <c r="AA23" s="198">
        <f t="shared" si="10"/>
        <v>0</v>
      </c>
      <c r="AB23" s="199">
        <f t="shared" si="11"/>
        <v>25</v>
      </c>
      <c r="AC23" s="198">
        <f t="shared" si="12"/>
        <v>0</v>
      </c>
      <c r="AD23" s="198">
        <f t="shared" si="13"/>
        <v>0</v>
      </c>
      <c r="AE23" s="199">
        <f t="shared" si="14"/>
        <v>298</v>
      </c>
      <c r="AF23" s="199">
        <f t="shared" si="15"/>
        <v>50</v>
      </c>
      <c r="AG23" s="198">
        <f t="shared" si="16"/>
        <v>0</v>
      </c>
      <c r="AH23" s="198">
        <f t="shared" si="17"/>
        <v>0</v>
      </c>
      <c r="AI23" s="201"/>
      <c r="AK23" s="275" t="s">
        <v>272</v>
      </c>
      <c r="AL23" s="165">
        <v>25</v>
      </c>
      <c r="AM23" s="286" t="s">
        <v>159</v>
      </c>
      <c r="AN23" s="286" t="s">
        <v>162</v>
      </c>
      <c r="AO23" s="291"/>
      <c r="AP23" s="291"/>
      <c r="AQ23" s="291"/>
      <c r="AR23" s="291"/>
      <c r="AS23" s="291"/>
      <c r="AT23" s="291"/>
      <c r="AU23" s="291"/>
      <c r="AV23" s="291"/>
    </row>
    <row r="24" spans="2:48" ht="15.75" customHeight="1" x14ac:dyDescent="0.4">
      <c r="B24" s="560">
        <v>5</v>
      </c>
      <c r="C24" s="155"/>
      <c r="D24" s="121" t="str">
        <f t="shared" si="18"/>
        <v>Optional</v>
      </c>
      <c r="E24" s="552"/>
      <c r="F24" s="121" t="str">
        <f t="shared" si="0"/>
        <v>Optional</v>
      </c>
      <c r="G24" s="552"/>
      <c r="H24" s="556" t="str">
        <f t="shared" si="1"/>
        <v>N/A</v>
      </c>
      <c r="I24" s="567"/>
      <c r="J24" s="121" t="str">
        <f t="shared" si="2"/>
        <v>Optional</v>
      </c>
      <c r="K24" s="552"/>
      <c r="L24" s="120" t="str">
        <f t="shared" si="3"/>
        <v>Optional</v>
      </c>
      <c r="M24" s="177"/>
      <c r="N24" s="562" t="str">
        <f t="shared" si="4"/>
        <v>N/A</v>
      </c>
      <c r="O24" s="566"/>
      <c r="P24" s="120" t="str">
        <f t="shared" si="5"/>
        <v>Optional</v>
      </c>
      <c r="Q24" s="155"/>
      <c r="R24" s="555" t="str">
        <f t="shared" si="6"/>
        <v>Optional</v>
      </c>
      <c r="S24" s="566"/>
      <c r="T24" s="120" t="str">
        <f t="shared" si="7"/>
        <v>Optional</v>
      </c>
      <c r="U24" s="159"/>
      <c r="V24" s="125" t="str">
        <f t="shared" si="8"/>
        <v>N/A</v>
      </c>
      <c r="X24" s="199">
        <v>5</v>
      </c>
      <c r="Y24" s="198">
        <f t="shared" si="19"/>
        <v>0</v>
      </c>
      <c r="Z24" s="198">
        <f t="shared" si="9"/>
        <v>0</v>
      </c>
      <c r="AA24" s="198">
        <f t="shared" si="10"/>
        <v>0</v>
      </c>
      <c r="AB24" s="199">
        <f t="shared" si="11"/>
        <v>25</v>
      </c>
      <c r="AC24" s="198">
        <f t="shared" si="12"/>
        <v>0</v>
      </c>
      <c r="AD24" s="198">
        <f t="shared" si="13"/>
        <v>0</v>
      </c>
      <c r="AE24" s="199">
        <f t="shared" si="14"/>
        <v>298</v>
      </c>
      <c r="AF24" s="199">
        <f t="shared" si="15"/>
        <v>50</v>
      </c>
      <c r="AG24" s="198">
        <f t="shared" si="16"/>
        <v>0</v>
      </c>
      <c r="AH24" s="198">
        <f t="shared" si="17"/>
        <v>0</v>
      </c>
      <c r="AI24" s="201"/>
      <c r="AK24" s="279" t="s">
        <v>273</v>
      </c>
      <c r="AL24" s="294"/>
      <c r="AM24" s="286" t="s">
        <v>278</v>
      </c>
      <c r="AN24" s="286" t="s">
        <v>282</v>
      </c>
      <c r="AO24" s="291"/>
      <c r="AP24" s="291"/>
      <c r="AQ24" s="291"/>
      <c r="AR24" s="291"/>
      <c r="AS24" s="291"/>
      <c r="AT24" s="291"/>
      <c r="AU24" s="291"/>
      <c r="AV24" s="291"/>
    </row>
    <row r="25" spans="2:48" ht="15.75" customHeight="1" x14ac:dyDescent="0.4">
      <c r="B25" s="560">
        <v>6</v>
      </c>
      <c r="C25" s="155"/>
      <c r="D25" s="121" t="str">
        <f t="shared" si="18"/>
        <v>Optional</v>
      </c>
      <c r="E25" s="552"/>
      <c r="F25" s="121" t="str">
        <f t="shared" si="0"/>
        <v>Optional</v>
      </c>
      <c r="G25" s="552"/>
      <c r="H25" s="556" t="str">
        <f t="shared" si="1"/>
        <v>N/A</v>
      </c>
      <c r="I25" s="567"/>
      <c r="J25" s="121" t="str">
        <f t="shared" si="2"/>
        <v>Optional</v>
      </c>
      <c r="K25" s="552"/>
      <c r="L25" s="120" t="str">
        <f t="shared" si="3"/>
        <v>Optional</v>
      </c>
      <c r="M25" s="177"/>
      <c r="N25" s="562" t="str">
        <f t="shared" si="4"/>
        <v>N/A</v>
      </c>
      <c r="O25" s="566"/>
      <c r="P25" s="120" t="str">
        <f t="shared" si="5"/>
        <v>Optional</v>
      </c>
      <c r="Q25" s="155"/>
      <c r="R25" s="555" t="str">
        <f t="shared" si="6"/>
        <v>Optional</v>
      </c>
      <c r="S25" s="566"/>
      <c r="T25" s="120" t="str">
        <f t="shared" si="7"/>
        <v>Optional</v>
      </c>
      <c r="U25" s="159"/>
      <c r="V25" s="125" t="str">
        <f t="shared" si="8"/>
        <v>N/A</v>
      </c>
      <c r="X25" s="199">
        <v>6</v>
      </c>
      <c r="Y25" s="198">
        <f t="shared" si="19"/>
        <v>0</v>
      </c>
      <c r="Z25" s="198">
        <f t="shared" si="9"/>
        <v>0</v>
      </c>
      <c r="AA25" s="198">
        <f t="shared" si="10"/>
        <v>0</v>
      </c>
      <c r="AB25" s="199">
        <f t="shared" si="11"/>
        <v>25</v>
      </c>
      <c r="AC25" s="198">
        <f t="shared" si="12"/>
        <v>0</v>
      </c>
      <c r="AD25" s="198">
        <f t="shared" si="13"/>
        <v>0</v>
      </c>
      <c r="AE25" s="199">
        <f t="shared" si="14"/>
        <v>298</v>
      </c>
      <c r="AF25" s="199">
        <f t="shared" si="15"/>
        <v>50</v>
      </c>
      <c r="AG25" s="198">
        <f t="shared" si="16"/>
        <v>0</v>
      </c>
      <c r="AH25" s="198">
        <f t="shared" si="17"/>
        <v>0</v>
      </c>
      <c r="AI25" s="201"/>
      <c r="AK25" s="279" t="s">
        <v>274</v>
      </c>
      <c r="AL25" s="295"/>
      <c r="AM25" s="286" t="s">
        <v>278</v>
      </c>
      <c r="AN25" s="286" t="s">
        <v>158</v>
      </c>
      <c r="AO25" s="291"/>
      <c r="AP25" s="291"/>
      <c r="AQ25" s="291"/>
      <c r="AR25" s="291"/>
      <c r="AS25" s="291"/>
      <c r="AT25" s="291"/>
      <c r="AU25" s="291"/>
      <c r="AV25" s="291"/>
    </row>
    <row r="26" spans="2:48" ht="15.75" customHeight="1" x14ac:dyDescent="0.3">
      <c r="B26" s="560">
        <v>7</v>
      </c>
      <c r="C26" s="155"/>
      <c r="D26" s="121" t="str">
        <f t="shared" si="18"/>
        <v>Optional</v>
      </c>
      <c r="E26" s="552"/>
      <c r="F26" s="121" t="str">
        <f t="shared" si="0"/>
        <v>Optional</v>
      </c>
      <c r="G26" s="552"/>
      <c r="H26" s="556" t="str">
        <f t="shared" si="1"/>
        <v>N/A</v>
      </c>
      <c r="I26" s="567"/>
      <c r="J26" s="121" t="str">
        <f t="shared" si="2"/>
        <v>Optional</v>
      </c>
      <c r="K26" s="552"/>
      <c r="L26" s="120" t="str">
        <f t="shared" si="3"/>
        <v>Optional</v>
      </c>
      <c r="M26" s="177"/>
      <c r="N26" s="562" t="str">
        <f t="shared" si="4"/>
        <v>N/A</v>
      </c>
      <c r="O26" s="566"/>
      <c r="P26" s="120" t="str">
        <f t="shared" si="5"/>
        <v>Optional</v>
      </c>
      <c r="Q26" s="155"/>
      <c r="R26" s="555" t="str">
        <f t="shared" si="6"/>
        <v>Optional</v>
      </c>
      <c r="S26" s="566"/>
      <c r="T26" s="120" t="str">
        <f t="shared" si="7"/>
        <v>Optional</v>
      </c>
      <c r="U26" s="159"/>
      <c r="V26" s="125" t="str">
        <f t="shared" si="8"/>
        <v>N/A</v>
      </c>
      <c r="X26" s="199">
        <v>7</v>
      </c>
      <c r="Y26" s="198">
        <f t="shared" si="19"/>
        <v>0</v>
      </c>
      <c r="Z26" s="198">
        <f t="shared" si="9"/>
        <v>0</v>
      </c>
      <c r="AA26" s="198">
        <f t="shared" si="10"/>
        <v>0</v>
      </c>
      <c r="AB26" s="199">
        <f t="shared" si="11"/>
        <v>25</v>
      </c>
      <c r="AC26" s="198">
        <f t="shared" si="12"/>
        <v>0</v>
      </c>
      <c r="AD26" s="198">
        <f t="shared" si="13"/>
        <v>0</v>
      </c>
      <c r="AE26" s="199">
        <f t="shared" si="14"/>
        <v>298</v>
      </c>
      <c r="AF26" s="199">
        <f t="shared" si="15"/>
        <v>50</v>
      </c>
      <c r="AG26" s="198">
        <f t="shared" si="16"/>
        <v>0</v>
      </c>
      <c r="AH26" s="198">
        <f t="shared" si="17"/>
        <v>0</v>
      </c>
      <c r="AI26" s="201"/>
      <c r="AK26" s="275" t="s">
        <v>275</v>
      </c>
      <c r="AL26" s="295">
        <v>298</v>
      </c>
      <c r="AM26" s="286" t="s">
        <v>159</v>
      </c>
      <c r="AN26" s="286" t="s">
        <v>160</v>
      </c>
      <c r="AO26" s="291"/>
      <c r="AP26" s="291"/>
      <c r="AQ26" s="291"/>
      <c r="AR26" s="291"/>
      <c r="AS26" s="291"/>
      <c r="AT26" s="291"/>
      <c r="AU26" s="291"/>
      <c r="AV26" s="291"/>
    </row>
    <row r="27" spans="2:48" ht="15.75" customHeight="1" x14ac:dyDescent="0.3">
      <c r="B27" s="560">
        <v>8</v>
      </c>
      <c r="C27" s="155"/>
      <c r="D27" s="121" t="str">
        <f t="shared" si="18"/>
        <v>Optional</v>
      </c>
      <c r="E27" s="552"/>
      <c r="F27" s="121" t="str">
        <f t="shared" si="0"/>
        <v>Optional</v>
      </c>
      <c r="G27" s="552"/>
      <c r="H27" s="556" t="str">
        <f t="shared" si="1"/>
        <v>N/A</v>
      </c>
      <c r="I27" s="567"/>
      <c r="J27" s="121" t="str">
        <f t="shared" si="2"/>
        <v>Optional</v>
      </c>
      <c r="K27" s="552"/>
      <c r="L27" s="120" t="str">
        <f t="shared" si="3"/>
        <v>Optional</v>
      </c>
      <c r="M27" s="177"/>
      <c r="N27" s="562" t="str">
        <f t="shared" si="4"/>
        <v>N/A</v>
      </c>
      <c r="O27" s="566"/>
      <c r="P27" s="120" t="str">
        <f t="shared" si="5"/>
        <v>Optional</v>
      </c>
      <c r="Q27" s="155"/>
      <c r="R27" s="555" t="str">
        <f t="shared" si="6"/>
        <v>Optional</v>
      </c>
      <c r="S27" s="566"/>
      <c r="T27" s="120" t="str">
        <f t="shared" si="7"/>
        <v>Optional</v>
      </c>
      <c r="U27" s="159"/>
      <c r="V27" s="125" t="str">
        <f t="shared" si="8"/>
        <v>N/A</v>
      </c>
      <c r="X27" s="199">
        <v>8</v>
      </c>
      <c r="Y27" s="198">
        <f t="shared" si="19"/>
        <v>0</v>
      </c>
      <c r="Z27" s="198">
        <f t="shared" si="9"/>
        <v>0</v>
      </c>
      <c r="AA27" s="198">
        <f t="shared" si="10"/>
        <v>0</v>
      </c>
      <c r="AB27" s="199">
        <f t="shared" si="11"/>
        <v>25</v>
      </c>
      <c r="AC27" s="198">
        <f t="shared" si="12"/>
        <v>0</v>
      </c>
      <c r="AD27" s="198">
        <f t="shared" si="13"/>
        <v>0</v>
      </c>
      <c r="AE27" s="199">
        <f t="shared" si="14"/>
        <v>298</v>
      </c>
      <c r="AF27" s="199">
        <f t="shared" si="15"/>
        <v>50</v>
      </c>
      <c r="AG27" s="198">
        <f t="shared" si="16"/>
        <v>0</v>
      </c>
      <c r="AH27" s="198">
        <f t="shared" si="17"/>
        <v>0</v>
      </c>
      <c r="AI27" s="201"/>
      <c r="AK27" s="275" t="s">
        <v>237</v>
      </c>
      <c r="AL27" s="294">
        <v>50</v>
      </c>
      <c r="AM27" s="286" t="s">
        <v>159</v>
      </c>
      <c r="AN27" s="286" t="s">
        <v>163</v>
      </c>
      <c r="AO27" s="291"/>
      <c r="AP27" s="291"/>
      <c r="AQ27" s="291"/>
      <c r="AR27" s="291"/>
      <c r="AS27" s="291"/>
      <c r="AT27" s="291"/>
      <c r="AU27" s="291"/>
      <c r="AV27" s="291"/>
    </row>
    <row r="28" spans="2:48" ht="15.75" customHeight="1" x14ac:dyDescent="0.35">
      <c r="B28" s="560">
        <v>9</v>
      </c>
      <c r="C28" s="155"/>
      <c r="D28" s="121" t="str">
        <f t="shared" si="18"/>
        <v>Optional</v>
      </c>
      <c r="E28" s="552"/>
      <c r="F28" s="121" t="str">
        <f t="shared" si="0"/>
        <v>Optional</v>
      </c>
      <c r="G28" s="552"/>
      <c r="H28" s="556" t="str">
        <f t="shared" si="1"/>
        <v>N/A</v>
      </c>
      <c r="I28" s="567"/>
      <c r="J28" s="121" t="str">
        <f t="shared" si="2"/>
        <v>Optional</v>
      </c>
      <c r="K28" s="552"/>
      <c r="L28" s="120" t="str">
        <f t="shared" si="3"/>
        <v>Optional</v>
      </c>
      <c r="M28" s="177"/>
      <c r="N28" s="562" t="str">
        <f t="shared" si="4"/>
        <v>N/A</v>
      </c>
      <c r="O28" s="566"/>
      <c r="P28" s="120" t="str">
        <f t="shared" si="5"/>
        <v>Optional</v>
      </c>
      <c r="Q28" s="155"/>
      <c r="R28" s="555" t="str">
        <f t="shared" si="6"/>
        <v>Optional</v>
      </c>
      <c r="S28" s="566"/>
      <c r="T28" s="120" t="str">
        <f t="shared" si="7"/>
        <v>Optional</v>
      </c>
      <c r="U28" s="159"/>
      <c r="V28" s="125" t="str">
        <f t="shared" si="8"/>
        <v>N/A</v>
      </c>
      <c r="X28" s="199">
        <v>9</v>
      </c>
      <c r="Y28" s="198">
        <f t="shared" si="19"/>
        <v>0</v>
      </c>
      <c r="Z28" s="198">
        <f t="shared" si="9"/>
        <v>0</v>
      </c>
      <c r="AA28" s="198">
        <f t="shared" si="10"/>
        <v>0</v>
      </c>
      <c r="AB28" s="199">
        <f t="shared" si="11"/>
        <v>25</v>
      </c>
      <c r="AC28" s="198">
        <f t="shared" si="12"/>
        <v>0</v>
      </c>
      <c r="AD28" s="198">
        <f t="shared" si="13"/>
        <v>0</v>
      </c>
      <c r="AE28" s="199">
        <f t="shared" si="14"/>
        <v>298</v>
      </c>
      <c r="AF28" s="199">
        <f t="shared" si="15"/>
        <v>50</v>
      </c>
      <c r="AG28" s="198">
        <f t="shared" si="16"/>
        <v>0</v>
      </c>
      <c r="AH28" s="198">
        <f t="shared" si="17"/>
        <v>0</v>
      </c>
      <c r="AI28" s="201"/>
      <c r="AK28" s="273" t="s">
        <v>233</v>
      </c>
      <c r="AL28" s="294"/>
      <c r="AM28" s="286" t="s">
        <v>278</v>
      </c>
      <c r="AN28" s="286" t="s">
        <v>283</v>
      </c>
      <c r="AO28" s="291"/>
      <c r="AP28" s="291"/>
      <c r="AQ28" s="291"/>
      <c r="AR28" s="291"/>
      <c r="AS28" s="291"/>
      <c r="AT28" s="291"/>
      <c r="AU28" s="291"/>
      <c r="AV28" s="291"/>
    </row>
    <row r="29" spans="2:48" ht="15.75" customHeight="1" x14ac:dyDescent="0.35">
      <c r="B29" s="561">
        <v>10</v>
      </c>
      <c r="C29" s="156"/>
      <c r="D29" s="122" t="str">
        <f t="shared" si="18"/>
        <v>Optional</v>
      </c>
      <c r="E29" s="553"/>
      <c r="F29" s="122" t="str">
        <f t="shared" si="0"/>
        <v>Optional</v>
      </c>
      <c r="G29" s="553"/>
      <c r="H29" s="557" t="str">
        <f t="shared" si="1"/>
        <v>N/A</v>
      </c>
      <c r="I29" s="568"/>
      <c r="J29" s="122" t="str">
        <f t="shared" si="2"/>
        <v>Optional</v>
      </c>
      <c r="K29" s="553"/>
      <c r="L29" s="123" t="str">
        <f t="shared" si="3"/>
        <v>Optional</v>
      </c>
      <c r="M29" s="178"/>
      <c r="N29" s="563" t="str">
        <f t="shared" si="4"/>
        <v>N/A</v>
      </c>
      <c r="O29" s="569"/>
      <c r="P29" s="123" t="str">
        <f t="shared" si="5"/>
        <v>Optional</v>
      </c>
      <c r="Q29" s="156"/>
      <c r="R29" s="564" t="str">
        <f t="shared" si="6"/>
        <v>Optional</v>
      </c>
      <c r="S29" s="569"/>
      <c r="T29" s="123" t="str">
        <f t="shared" si="7"/>
        <v>Optional</v>
      </c>
      <c r="U29" s="160"/>
      <c r="V29" s="126" t="str">
        <f t="shared" si="8"/>
        <v>N/A</v>
      </c>
      <c r="X29" s="199">
        <v>10</v>
      </c>
      <c r="Y29" s="198">
        <f t="shared" si="19"/>
        <v>0</v>
      </c>
      <c r="Z29" s="198">
        <f t="shared" si="9"/>
        <v>0</v>
      </c>
      <c r="AA29" s="198">
        <f t="shared" si="10"/>
        <v>0</v>
      </c>
      <c r="AB29" s="199">
        <f t="shared" si="11"/>
        <v>25</v>
      </c>
      <c r="AC29" s="198">
        <f t="shared" si="12"/>
        <v>0</v>
      </c>
      <c r="AD29" s="198">
        <f t="shared" si="13"/>
        <v>0</v>
      </c>
      <c r="AE29" s="199">
        <f t="shared" si="14"/>
        <v>298</v>
      </c>
      <c r="AF29" s="199">
        <f t="shared" si="15"/>
        <v>50</v>
      </c>
      <c r="AG29" s="198">
        <f t="shared" si="16"/>
        <v>0</v>
      </c>
      <c r="AH29" s="198">
        <f t="shared" si="17"/>
        <v>0</v>
      </c>
      <c r="AI29" s="202"/>
      <c r="AK29" s="273" t="s">
        <v>255</v>
      </c>
      <c r="AL29" s="294"/>
      <c r="AM29" s="286" t="s">
        <v>278</v>
      </c>
      <c r="AN29" s="286" t="s">
        <v>284</v>
      </c>
      <c r="AO29" s="291"/>
      <c r="AP29" s="291"/>
      <c r="AQ29" s="291"/>
      <c r="AR29" s="291"/>
      <c r="AS29" s="291"/>
      <c r="AT29" s="291"/>
      <c r="AU29" s="291"/>
      <c r="AV29" s="291"/>
    </row>
    <row r="30" spans="2:48" ht="15.75" customHeight="1" x14ac:dyDescent="0.35">
      <c r="X30" s="199" t="s">
        <v>202</v>
      </c>
      <c r="Y30" s="198">
        <f>SUM(Y20:Y29)</f>
        <v>0</v>
      </c>
      <c r="Z30" s="198">
        <f>Y47</f>
        <v>0</v>
      </c>
      <c r="AA30" s="198">
        <f>Y63</f>
        <v>0</v>
      </c>
      <c r="AB30" s="203"/>
      <c r="AC30" s="198">
        <f>Y79</f>
        <v>0</v>
      </c>
      <c r="AD30" s="198">
        <f>Y95</f>
        <v>0</v>
      </c>
      <c r="AE30" s="204"/>
      <c r="AF30" s="205"/>
      <c r="AG30" s="198">
        <f>Y111</f>
        <v>0</v>
      </c>
      <c r="AH30" s="198">
        <f>Y127</f>
        <v>0</v>
      </c>
      <c r="AI30" s="401">
        <f>Trees!$E$41</f>
        <v>0</v>
      </c>
      <c r="AK30" s="273" t="s">
        <v>276</v>
      </c>
      <c r="AL30" s="294"/>
      <c r="AM30" s="286" t="s">
        <v>278</v>
      </c>
      <c r="AN30" s="286" t="s">
        <v>299</v>
      </c>
      <c r="AO30" s="291"/>
      <c r="AP30" s="291"/>
      <c r="AQ30" s="291"/>
      <c r="AR30" s="291"/>
      <c r="AS30" s="291"/>
      <c r="AT30" s="291"/>
      <c r="AU30" s="291"/>
      <c r="AV30" s="291"/>
    </row>
    <row r="31" spans="2:48" ht="15.75" customHeight="1" x14ac:dyDescent="0.35">
      <c r="B31" s="51" t="s">
        <v>192</v>
      </c>
      <c r="X31" s="199" t="s">
        <v>203</v>
      </c>
      <c r="Y31" s="198">
        <f>Y30+AI30</f>
        <v>0</v>
      </c>
      <c r="Z31" s="207"/>
      <c r="AA31" s="208"/>
      <c r="AB31" s="209"/>
      <c r="AC31" s="208"/>
      <c r="AD31" s="208"/>
      <c r="AE31" s="209"/>
      <c r="AF31" s="209"/>
      <c r="AG31" s="208"/>
      <c r="AH31" s="208"/>
      <c r="AI31" s="210"/>
      <c r="AK31" s="273" t="s">
        <v>240</v>
      </c>
      <c r="AL31" s="294"/>
      <c r="AM31" s="286" t="s">
        <v>44</v>
      </c>
      <c r="AN31" s="286" t="s">
        <v>300</v>
      </c>
      <c r="AO31" s="291"/>
      <c r="AP31" s="291"/>
      <c r="AQ31" s="291"/>
      <c r="AR31" s="291"/>
      <c r="AS31" s="291"/>
      <c r="AT31" s="291"/>
      <c r="AU31" s="291"/>
      <c r="AV31" s="291"/>
    </row>
    <row r="32" spans="2:48" ht="16.5" customHeight="1" thickBot="1" x14ac:dyDescent="0.35">
      <c r="X32" s="283"/>
      <c r="Y32" s="115"/>
      <c r="Z32" s="115"/>
      <c r="AA32" s="115"/>
      <c r="AB32" s="115"/>
      <c r="AC32" s="115"/>
      <c r="AD32" s="115"/>
      <c r="AE32" s="115"/>
      <c r="AF32" s="115"/>
      <c r="AG32" s="115"/>
      <c r="AH32" s="115"/>
      <c r="AI32" s="115"/>
      <c r="AK32" s="276" t="s">
        <v>238</v>
      </c>
      <c r="AL32" s="165">
        <v>12</v>
      </c>
      <c r="AM32" s="286" t="s">
        <v>176</v>
      </c>
      <c r="AN32" s="286" t="s">
        <v>290</v>
      </c>
      <c r="AO32" s="291"/>
      <c r="AP32" s="291"/>
      <c r="AQ32" s="291"/>
      <c r="AR32" s="291"/>
      <c r="AS32" s="291"/>
      <c r="AT32" s="291"/>
      <c r="AU32" s="291"/>
      <c r="AV32" s="291"/>
    </row>
    <row r="33" spans="2:48" ht="18" x14ac:dyDescent="0.3">
      <c r="B33" s="407" t="str">
        <f>"Greenhouse Gas Benefit from "&amp;B4&amp;" Restoration"</f>
        <v>Greenhouse Gas Benefit from Coastal Tidal Wetland Restoration</v>
      </c>
      <c r="C33" s="402"/>
      <c r="D33" s="402"/>
      <c r="E33" s="402"/>
      <c r="F33" s="402"/>
      <c r="G33" s="402"/>
      <c r="H33" s="402"/>
      <c r="I33" s="403">
        <f>($B$4=ProjectType)*Y31</f>
        <v>0</v>
      </c>
      <c r="J33" s="105" t="s">
        <v>184</v>
      </c>
      <c r="X33" s="284" t="s">
        <v>204</v>
      </c>
      <c r="Z33" s="3"/>
      <c r="AA33" s="3"/>
      <c r="AB33" s="3"/>
      <c r="AC33" s="3"/>
      <c r="AD33" s="3"/>
      <c r="AE33" s="3"/>
      <c r="AF33" s="3"/>
      <c r="AG33" s="3"/>
      <c r="AH33" s="3"/>
      <c r="AI33" s="3"/>
      <c r="AJ33" s="115"/>
      <c r="AK33" s="293" t="s">
        <v>254</v>
      </c>
      <c r="AL33" s="294">
        <v>0.05</v>
      </c>
      <c r="AM33" s="286" t="s">
        <v>159</v>
      </c>
      <c r="AN33" s="286" t="s">
        <v>317</v>
      </c>
      <c r="AO33" s="291"/>
      <c r="AP33" s="291"/>
      <c r="AQ33" s="291"/>
      <c r="AR33" s="291"/>
      <c r="AS33" s="291"/>
      <c r="AT33" s="291"/>
      <c r="AU33" s="291"/>
      <c r="AV33" s="291"/>
    </row>
    <row r="34" spans="2:48" ht="22.5" customHeight="1" x14ac:dyDescent="0.3">
      <c r="B34" s="408" t="str">
        <f>"Land Restoration Co-Benefit from "&amp;B4&amp;" Restoration"</f>
        <v>Land Restoration Co-Benefit from Coastal Tidal Wetland Restoration</v>
      </c>
      <c r="C34" s="404"/>
      <c r="D34" s="404"/>
      <c r="E34" s="404"/>
      <c r="F34" s="404"/>
      <c r="G34" s="404"/>
      <c r="H34" s="404"/>
      <c r="I34" s="405">
        <f>($B$4=ProjectType)*SUM(CTW_Input[Acres restored to coastal tidal wetland],CTW_Input[Acres
restored to improved 
coastal grassland])</f>
        <v>0</v>
      </c>
      <c r="J34" s="409" t="s">
        <v>185</v>
      </c>
      <c r="X34" s="283"/>
      <c r="Y34" s="115"/>
      <c r="Z34" s="115"/>
      <c r="AA34" s="115"/>
      <c r="AB34" s="115"/>
      <c r="AC34" s="115"/>
      <c r="AD34" s="115"/>
      <c r="AE34" s="115"/>
      <c r="AF34" s="115"/>
      <c r="AG34" s="115"/>
      <c r="AH34" s="115"/>
      <c r="AI34" s="115"/>
      <c r="AJ34" s="115"/>
      <c r="AK34" s="292" t="s">
        <v>252</v>
      </c>
      <c r="AL34" s="296">
        <v>40468564</v>
      </c>
      <c r="AM34" s="286" t="s">
        <v>176</v>
      </c>
      <c r="AN34" s="286" t="s">
        <v>285</v>
      </c>
      <c r="AO34" s="291"/>
      <c r="AP34" s="291"/>
      <c r="AQ34" s="291"/>
      <c r="AR34" s="291"/>
      <c r="AS34" s="291"/>
      <c r="AT34" s="291"/>
      <c r="AU34" s="291"/>
      <c r="AV34" s="291"/>
    </row>
    <row r="35" spans="2:48" ht="18.75" customHeight="1" x14ac:dyDescent="0.4">
      <c r="B35" s="408" t="s">
        <v>186</v>
      </c>
      <c r="C35" s="406"/>
      <c r="D35" s="406"/>
      <c r="E35" s="406"/>
      <c r="F35" s="406"/>
      <c r="G35" s="406"/>
      <c r="H35" s="406"/>
      <c r="I35" s="405">
        <f>($B$4=ProjectType)*Trees!$C$41</f>
        <v>0</v>
      </c>
      <c r="J35" s="410" t="s">
        <v>187</v>
      </c>
      <c r="X35" s="531" t="s">
        <v>76</v>
      </c>
      <c r="Y35" s="279" t="s">
        <v>253</v>
      </c>
      <c r="Z35" s="273" t="s">
        <v>240</v>
      </c>
      <c r="AA35" s="276" t="s">
        <v>238</v>
      </c>
      <c r="AB35" s="275" t="s">
        <v>254</v>
      </c>
      <c r="AC35" s="278" t="s">
        <v>252</v>
      </c>
      <c r="AD35" s="275" t="s">
        <v>251</v>
      </c>
      <c r="AE35" s="275" t="s">
        <v>236</v>
      </c>
      <c r="AF35" s="273" t="s">
        <v>242</v>
      </c>
      <c r="AG35" s="115"/>
      <c r="AH35" s="115"/>
      <c r="AI35" s="115"/>
      <c r="AJ35" s="217"/>
      <c r="AK35" s="275" t="s">
        <v>251</v>
      </c>
      <c r="AL35" s="288">
        <v>1000000</v>
      </c>
      <c r="AM35" s="286" t="s">
        <v>176</v>
      </c>
      <c r="AN35" s="286" t="s">
        <v>286</v>
      </c>
      <c r="AO35" s="291"/>
      <c r="AP35" s="291"/>
      <c r="AQ35" s="291"/>
      <c r="AR35" s="291"/>
      <c r="AS35" s="291"/>
      <c r="AT35" s="291"/>
      <c r="AU35" s="291"/>
      <c r="AV35" s="291"/>
    </row>
    <row r="36" spans="2:48" ht="22.5" customHeight="1" x14ac:dyDescent="0.3">
      <c r="B36" s="408" t="s">
        <v>190</v>
      </c>
      <c r="C36" s="406"/>
      <c r="D36" s="406"/>
      <c r="E36" s="406"/>
      <c r="F36" s="406"/>
      <c r="G36" s="406"/>
      <c r="H36" s="406"/>
      <c r="I36" s="405">
        <f>($B$4=ProjectType)*Trees!$G$41</f>
        <v>0</v>
      </c>
      <c r="J36" s="410" t="s">
        <v>188</v>
      </c>
      <c r="X36" s="533"/>
      <c r="Y36" s="195" t="s">
        <v>197</v>
      </c>
      <c r="Z36" s="195" t="s">
        <v>205</v>
      </c>
      <c r="AA36" s="195" t="s">
        <v>211</v>
      </c>
      <c r="AB36" s="211" t="s">
        <v>232</v>
      </c>
      <c r="AC36" s="211" t="s">
        <v>206</v>
      </c>
      <c r="AD36" s="211" t="s">
        <v>207</v>
      </c>
      <c r="AE36" s="195" t="s">
        <v>208</v>
      </c>
      <c r="AF36" s="195" t="s">
        <v>185</v>
      </c>
      <c r="AG36" s="115"/>
      <c r="AH36" s="115"/>
      <c r="AI36" s="115"/>
      <c r="AJ36" s="217"/>
      <c r="AK36" s="275" t="s">
        <v>236</v>
      </c>
      <c r="AL36" s="289">
        <f>44/12</f>
        <v>3.6666666666666665</v>
      </c>
      <c r="AM36" s="286" t="s">
        <v>176</v>
      </c>
      <c r="AN36" s="286" t="s">
        <v>178</v>
      </c>
      <c r="AO36" s="291"/>
      <c r="AP36" s="291"/>
      <c r="AQ36" s="291"/>
      <c r="AR36" s="291"/>
      <c r="AS36" s="291"/>
      <c r="AT36" s="291"/>
      <c r="AU36" s="291"/>
      <c r="AV36" s="291"/>
    </row>
    <row r="37" spans="2:48" ht="18.600000000000001" thickBot="1" x14ac:dyDescent="0.4">
      <c r="B37" s="411" t="s">
        <v>191</v>
      </c>
      <c r="C37" s="412"/>
      <c r="D37" s="412"/>
      <c r="E37" s="412"/>
      <c r="F37" s="412"/>
      <c r="G37" s="412"/>
      <c r="H37" s="412"/>
      <c r="I37" s="413">
        <f>($B$4=ProjectType)*Trees!$I$41</f>
        <v>0</v>
      </c>
      <c r="J37" s="414" t="s">
        <v>189</v>
      </c>
      <c r="X37" s="199">
        <v>1</v>
      </c>
      <c r="Y37" s="212">
        <f>(Z37/AA37)*(AB37*AC37/AD37*AE37)*AF37</f>
        <v>0</v>
      </c>
      <c r="Z37" s="212">
        <f>IFERROR((G20*E20+AA69*I20)/(E20+I20),0)</f>
        <v>0</v>
      </c>
      <c r="AA37" s="302">
        <f t="shared" ref="AA37:AA46" si="20">$AL$32</f>
        <v>12</v>
      </c>
      <c r="AB37" s="213">
        <f t="shared" ref="AB37:AB46" si="21">$AL$33</f>
        <v>0.05</v>
      </c>
      <c r="AC37" s="301">
        <f t="shared" ref="AC37:AC46" si="22">$AL$34</f>
        <v>40468564</v>
      </c>
      <c r="AD37" s="214">
        <f t="shared" ref="AD37:AD46" si="23">$AL$35</f>
        <v>1000000</v>
      </c>
      <c r="AE37" s="215">
        <f t="shared" ref="AE37:AE46" si="24">$AL$36</f>
        <v>3.6666666666666665</v>
      </c>
      <c r="AF37" s="216">
        <f>E20+I20</f>
        <v>0</v>
      </c>
      <c r="AG37" s="217"/>
      <c r="AH37" s="217"/>
      <c r="AK37" s="273" t="s">
        <v>242</v>
      </c>
      <c r="AL37" s="289"/>
      <c r="AM37" s="286" t="s">
        <v>44</v>
      </c>
      <c r="AN37" s="286" t="s">
        <v>292</v>
      </c>
      <c r="AO37" s="291"/>
      <c r="AP37" s="291"/>
      <c r="AQ37" s="291"/>
      <c r="AR37" s="291"/>
      <c r="AS37" s="291"/>
      <c r="AT37" s="291"/>
      <c r="AU37" s="291"/>
      <c r="AV37" s="291"/>
    </row>
    <row r="38" spans="2:48" ht="15.75" customHeight="1" x14ac:dyDescent="0.3">
      <c r="X38" s="199">
        <v>2</v>
      </c>
      <c r="Y38" s="212">
        <f t="shared" ref="Y38:Y46" si="25">(Z38/AA38)*(AB38*AC38/AD38*AE38)*AF38</f>
        <v>0</v>
      </c>
      <c r="Z38" s="212">
        <f t="shared" ref="Z38:Z46" si="26">IFERROR((G21*E21+AA70*I21)/(E21+I21),0)</f>
        <v>0</v>
      </c>
      <c r="AA38" s="302">
        <f t="shared" si="20"/>
        <v>12</v>
      </c>
      <c r="AB38" s="213">
        <f t="shared" si="21"/>
        <v>0.05</v>
      </c>
      <c r="AC38" s="301">
        <f t="shared" si="22"/>
        <v>40468564</v>
      </c>
      <c r="AD38" s="214">
        <f t="shared" si="23"/>
        <v>1000000</v>
      </c>
      <c r="AE38" s="215">
        <f t="shared" si="24"/>
        <v>3.6666666666666665</v>
      </c>
      <c r="AF38" s="216">
        <f t="shared" ref="AF38:AF46" si="27">E21+I21</f>
        <v>0</v>
      </c>
      <c r="AG38" s="217"/>
      <c r="AH38" s="217"/>
      <c r="AI38" s="217"/>
      <c r="AJ38" s="217"/>
      <c r="AK38" s="275" t="s">
        <v>245</v>
      </c>
      <c r="AL38" s="287">
        <v>193.7</v>
      </c>
      <c r="AM38" s="286" t="s">
        <v>159</v>
      </c>
      <c r="AN38" s="286" t="s">
        <v>325</v>
      </c>
      <c r="AO38" s="291"/>
      <c r="AP38" s="291"/>
      <c r="AQ38" s="291"/>
      <c r="AR38" s="291"/>
      <c r="AS38" s="291"/>
      <c r="AT38" s="291"/>
      <c r="AU38" s="291"/>
      <c r="AV38" s="291"/>
    </row>
    <row r="39" spans="2:48" ht="15.75" customHeight="1" x14ac:dyDescent="0.35">
      <c r="X39" s="199">
        <v>3</v>
      </c>
      <c r="Y39" s="212">
        <f t="shared" si="25"/>
        <v>0</v>
      </c>
      <c r="Z39" s="212">
        <f t="shared" si="26"/>
        <v>0</v>
      </c>
      <c r="AA39" s="302">
        <f t="shared" si="20"/>
        <v>12</v>
      </c>
      <c r="AB39" s="213">
        <f t="shared" si="21"/>
        <v>0.05</v>
      </c>
      <c r="AC39" s="301">
        <f t="shared" si="22"/>
        <v>40468564</v>
      </c>
      <c r="AD39" s="214">
        <f t="shared" si="23"/>
        <v>1000000</v>
      </c>
      <c r="AE39" s="215">
        <f t="shared" si="24"/>
        <v>3.6666666666666665</v>
      </c>
      <c r="AF39" s="216">
        <f t="shared" si="27"/>
        <v>0</v>
      </c>
      <c r="AG39" s="217"/>
      <c r="AH39" s="217"/>
      <c r="AI39" s="217"/>
      <c r="AJ39" s="217"/>
      <c r="AK39" s="273" t="s">
        <v>234</v>
      </c>
      <c r="AL39" s="294"/>
      <c r="AM39" s="286" t="s">
        <v>44</v>
      </c>
      <c r="AN39" s="286" t="s">
        <v>287</v>
      </c>
      <c r="AO39" s="291"/>
      <c r="AP39" s="291"/>
      <c r="AQ39" s="291"/>
      <c r="AR39" s="291"/>
      <c r="AS39" s="291"/>
      <c r="AT39" s="291"/>
      <c r="AU39" s="291"/>
      <c r="AV39" s="291"/>
    </row>
    <row r="40" spans="2:48" ht="15.75" customHeight="1" x14ac:dyDescent="0.35">
      <c r="X40" s="199">
        <v>4</v>
      </c>
      <c r="Y40" s="212">
        <f t="shared" si="25"/>
        <v>0</v>
      </c>
      <c r="Z40" s="212">
        <f t="shared" si="26"/>
        <v>0</v>
      </c>
      <c r="AA40" s="302">
        <f t="shared" si="20"/>
        <v>12</v>
      </c>
      <c r="AB40" s="213">
        <f t="shared" si="21"/>
        <v>0.05</v>
      </c>
      <c r="AC40" s="301">
        <f t="shared" si="22"/>
        <v>40468564</v>
      </c>
      <c r="AD40" s="214">
        <f t="shared" si="23"/>
        <v>1000000</v>
      </c>
      <c r="AE40" s="215">
        <f t="shared" si="24"/>
        <v>3.6666666666666665</v>
      </c>
      <c r="AF40" s="216">
        <f t="shared" si="27"/>
        <v>0</v>
      </c>
      <c r="AG40" s="217"/>
      <c r="AH40" s="217"/>
      <c r="AI40" s="217"/>
      <c r="AJ40" s="217"/>
      <c r="AK40" s="273" t="s">
        <v>247</v>
      </c>
      <c r="AL40" s="294"/>
      <c r="AM40" s="286" t="s">
        <v>44</v>
      </c>
      <c r="AN40" s="286" t="s">
        <v>288</v>
      </c>
      <c r="AO40" s="291"/>
      <c r="AP40" s="291"/>
      <c r="AQ40" s="291"/>
      <c r="AR40" s="291"/>
      <c r="AS40" s="291"/>
      <c r="AT40" s="291"/>
      <c r="AU40" s="291"/>
      <c r="AV40" s="291"/>
    </row>
    <row r="41" spans="2:48" ht="15.75" customHeight="1" x14ac:dyDescent="0.35">
      <c r="X41" s="199">
        <v>5</v>
      </c>
      <c r="Y41" s="212">
        <f t="shared" si="25"/>
        <v>0</v>
      </c>
      <c r="Z41" s="212">
        <f t="shared" si="26"/>
        <v>0</v>
      </c>
      <c r="AA41" s="302">
        <f t="shared" si="20"/>
        <v>12</v>
      </c>
      <c r="AB41" s="213">
        <f t="shared" si="21"/>
        <v>0.05</v>
      </c>
      <c r="AC41" s="301">
        <f t="shared" si="22"/>
        <v>40468564</v>
      </c>
      <c r="AD41" s="214">
        <f t="shared" si="23"/>
        <v>1000000</v>
      </c>
      <c r="AE41" s="215">
        <f t="shared" si="24"/>
        <v>3.6666666666666665</v>
      </c>
      <c r="AF41" s="216">
        <f t="shared" si="27"/>
        <v>0</v>
      </c>
      <c r="AG41" s="217"/>
      <c r="AH41" s="217"/>
      <c r="AI41" s="217"/>
      <c r="AJ41" s="217"/>
      <c r="AK41" s="273" t="s">
        <v>248</v>
      </c>
      <c r="AL41" s="294"/>
      <c r="AM41" s="286" t="s">
        <v>155</v>
      </c>
      <c r="AN41" s="286" t="s">
        <v>289</v>
      </c>
      <c r="AO41" s="291"/>
      <c r="AP41" s="291"/>
      <c r="AQ41" s="291"/>
      <c r="AR41" s="291"/>
      <c r="AS41" s="291"/>
      <c r="AT41" s="291"/>
      <c r="AU41" s="291"/>
      <c r="AV41" s="291"/>
    </row>
    <row r="42" spans="2:48" ht="15.75" customHeight="1" x14ac:dyDescent="0.3">
      <c r="X42" s="199">
        <v>6</v>
      </c>
      <c r="Y42" s="212">
        <f t="shared" si="25"/>
        <v>0</v>
      </c>
      <c r="Z42" s="212">
        <f t="shared" si="26"/>
        <v>0</v>
      </c>
      <c r="AA42" s="302">
        <f t="shared" si="20"/>
        <v>12</v>
      </c>
      <c r="AB42" s="213">
        <f t="shared" si="21"/>
        <v>0.05</v>
      </c>
      <c r="AC42" s="301">
        <f t="shared" si="22"/>
        <v>40468564</v>
      </c>
      <c r="AD42" s="214">
        <f t="shared" si="23"/>
        <v>1000000</v>
      </c>
      <c r="AE42" s="215">
        <f t="shared" si="24"/>
        <v>3.6666666666666665</v>
      </c>
      <c r="AF42" s="216">
        <f t="shared" si="27"/>
        <v>0</v>
      </c>
      <c r="AG42" s="217"/>
      <c r="AH42" s="217"/>
      <c r="AI42" s="217"/>
      <c r="AJ42" s="217"/>
      <c r="AK42" s="275" t="s">
        <v>249</v>
      </c>
      <c r="AL42" s="287">
        <v>0.4047</v>
      </c>
      <c r="AM42" s="286" t="s">
        <v>176</v>
      </c>
      <c r="AN42" s="286" t="s">
        <v>177</v>
      </c>
      <c r="AO42" s="291"/>
      <c r="AP42" s="291"/>
      <c r="AQ42" s="291"/>
      <c r="AR42" s="291"/>
      <c r="AS42" s="291"/>
      <c r="AT42" s="291"/>
      <c r="AU42" s="291"/>
      <c r="AV42" s="291"/>
    </row>
    <row r="43" spans="2:48" ht="15.75" customHeight="1" x14ac:dyDescent="0.3">
      <c r="X43" s="199">
        <v>7</v>
      </c>
      <c r="Y43" s="212">
        <f t="shared" si="25"/>
        <v>0</v>
      </c>
      <c r="Z43" s="212">
        <f t="shared" si="26"/>
        <v>0</v>
      </c>
      <c r="AA43" s="302">
        <f t="shared" si="20"/>
        <v>12</v>
      </c>
      <c r="AB43" s="213">
        <f t="shared" si="21"/>
        <v>0.05</v>
      </c>
      <c r="AC43" s="301">
        <f t="shared" si="22"/>
        <v>40468564</v>
      </c>
      <c r="AD43" s="214">
        <f t="shared" si="23"/>
        <v>1000000</v>
      </c>
      <c r="AE43" s="215">
        <f t="shared" si="24"/>
        <v>3.6666666666666665</v>
      </c>
      <c r="AF43" s="216">
        <f t="shared" si="27"/>
        <v>0</v>
      </c>
      <c r="AG43" s="217"/>
      <c r="AH43" s="217"/>
      <c r="AI43" s="217"/>
      <c r="AJ43" s="217"/>
      <c r="AK43" s="275" t="s">
        <v>250</v>
      </c>
      <c r="AL43" s="288">
        <v>1000</v>
      </c>
      <c r="AM43" s="286" t="s">
        <v>176</v>
      </c>
      <c r="AN43" s="286" t="s">
        <v>183</v>
      </c>
      <c r="AO43" s="291"/>
      <c r="AP43" s="291"/>
      <c r="AQ43" s="291"/>
      <c r="AR43" s="291"/>
      <c r="AS43" s="291"/>
      <c r="AT43" s="291"/>
      <c r="AU43" s="291"/>
      <c r="AV43" s="291"/>
    </row>
    <row r="44" spans="2:48" ht="15.75" customHeight="1" x14ac:dyDescent="0.3">
      <c r="X44" s="199">
        <v>8</v>
      </c>
      <c r="Y44" s="212">
        <f t="shared" si="25"/>
        <v>0</v>
      </c>
      <c r="Z44" s="212">
        <f t="shared" si="26"/>
        <v>0</v>
      </c>
      <c r="AA44" s="302">
        <f t="shared" si="20"/>
        <v>12</v>
      </c>
      <c r="AB44" s="213">
        <f t="shared" si="21"/>
        <v>0.05</v>
      </c>
      <c r="AC44" s="301">
        <f t="shared" si="22"/>
        <v>40468564</v>
      </c>
      <c r="AD44" s="214">
        <f t="shared" si="23"/>
        <v>1000000</v>
      </c>
      <c r="AE44" s="215">
        <f t="shared" si="24"/>
        <v>3.6666666666666665</v>
      </c>
      <c r="AF44" s="216">
        <f t="shared" si="27"/>
        <v>0</v>
      </c>
      <c r="AG44" s="217"/>
      <c r="AH44" s="217"/>
      <c r="AI44" s="217"/>
      <c r="AJ44" s="217"/>
      <c r="AK44" s="275" t="s">
        <v>241</v>
      </c>
      <c r="AL44" s="287">
        <v>8.0000000000000002E-3</v>
      </c>
      <c r="AM44" s="286" t="s">
        <v>159</v>
      </c>
      <c r="AN44" s="286" t="s">
        <v>291</v>
      </c>
      <c r="AO44" s="291"/>
      <c r="AP44" s="291"/>
      <c r="AQ44" s="291"/>
      <c r="AR44" s="291"/>
      <c r="AS44" s="291"/>
      <c r="AT44" s="291"/>
      <c r="AU44" s="291"/>
      <c r="AV44" s="291"/>
    </row>
    <row r="45" spans="2:48" ht="15.75" customHeight="1" x14ac:dyDescent="0.3">
      <c r="X45" s="199">
        <v>9</v>
      </c>
      <c r="Y45" s="212">
        <f t="shared" si="25"/>
        <v>0</v>
      </c>
      <c r="Z45" s="212">
        <f t="shared" si="26"/>
        <v>0</v>
      </c>
      <c r="AA45" s="302">
        <f t="shared" si="20"/>
        <v>12</v>
      </c>
      <c r="AB45" s="213">
        <f t="shared" si="21"/>
        <v>0.05</v>
      </c>
      <c r="AC45" s="301">
        <f t="shared" si="22"/>
        <v>40468564</v>
      </c>
      <c r="AD45" s="214">
        <f t="shared" si="23"/>
        <v>1000000</v>
      </c>
      <c r="AE45" s="215">
        <f t="shared" si="24"/>
        <v>3.6666666666666665</v>
      </c>
      <c r="AF45" s="216">
        <f t="shared" si="27"/>
        <v>0</v>
      </c>
      <c r="AG45" s="217"/>
      <c r="AH45" s="217"/>
      <c r="AI45" s="217"/>
      <c r="AJ45" s="217"/>
      <c r="AK45" s="275" t="s">
        <v>243</v>
      </c>
      <c r="AL45" s="289">
        <f>44/28</f>
        <v>1.5714285714285714</v>
      </c>
      <c r="AM45" s="286" t="s">
        <v>176</v>
      </c>
      <c r="AN45" s="286" t="s">
        <v>182</v>
      </c>
      <c r="AO45" s="291"/>
      <c r="AP45" s="291"/>
      <c r="AQ45" s="291"/>
      <c r="AR45" s="291"/>
      <c r="AS45" s="291"/>
      <c r="AT45" s="291"/>
      <c r="AU45" s="291"/>
      <c r="AV45" s="291"/>
    </row>
    <row r="46" spans="2:48" ht="15.75" customHeight="1" x14ac:dyDescent="0.3">
      <c r="X46" s="199">
        <v>10</v>
      </c>
      <c r="Y46" s="212">
        <f t="shared" si="25"/>
        <v>0</v>
      </c>
      <c r="Z46" s="212">
        <f t="shared" si="26"/>
        <v>0</v>
      </c>
      <c r="AA46" s="302">
        <f t="shared" si="20"/>
        <v>12</v>
      </c>
      <c r="AB46" s="213">
        <f t="shared" si="21"/>
        <v>0.05</v>
      </c>
      <c r="AC46" s="301">
        <f t="shared" si="22"/>
        <v>40468564</v>
      </c>
      <c r="AD46" s="214">
        <f t="shared" si="23"/>
        <v>1000000</v>
      </c>
      <c r="AE46" s="215">
        <f t="shared" si="24"/>
        <v>3.6666666666666665</v>
      </c>
      <c r="AF46" s="216">
        <f t="shared" si="27"/>
        <v>0</v>
      </c>
      <c r="AG46" s="217"/>
      <c r="AH46" s="217"/>
      <c r="AI46" s="217"/>
      <c r="AK46" s="275" t="s">
        <v>265</v>
      </c>
      <c r="AL46" s="287">
        <v>0.01</v>
      </c>
      <c r="AM46" s="286" t="s">
        <v>159</v>
      </c>
      <c r="AN46" s="286" t="s">
        <v>320</v>
      </c>
      <c r="AO46" s="291"/>
      <c r="AP46" s="291"/>
      <c r="AQ46" s="291"/>
      <c r="AR46" s="291"/>
      <c r="AS46" s="291"/>
      <c r="AT46" s="291"/>
      <c r="AU46" s="291"/>
      <c r="AV46" s="291"/>
    </row>
    <row r="47" spans="2:48" ht="15.75" customHeight="1" x14ac:dyDescent="0.4">
      <c r="X47" s="199" t="s">
        <v>202</v>
      </c>
      <c r="Y47" s="198">
        <f>SUM(Y37:Y46)</f>
        <v>0</v>
      </c>
      <c r="Z47" s="218"/>
      <c r="AA47" s="219"/>
      <c r="AB47" s="219"/>
      <c r="AC47" s="220"/>
      <c r="AD47" s="221"/>
      <c r="AE47" s="222"/>
      <c r="AF47" s="216" t="e">
        <f>#REF!</f>
        <v>#REF!</v>
      </c>
      <c r="AG47" s="217"/>
      <c r="AH47" s="217"/>
      <c r="AI47" s="217"/>
      <c r="AK47" s="279" t="s">
        <v>269</v>
      </c>
      <c r="AL47" s="294"/>
      <c r="AM47" s="286" t="s">
        <v>44</v>
      </c>
      <c r="AN47" s="286" t="s">
        <v>179</v>
      </c>
      <c r="AO47" s="291"/>
      <c r="AP47" s="291"/>
      <c r="AQ47" s="291"/>
      <c r="AR47" s="291"/>
      <c r="AS47" s="291"/>
      <c r="AT47" s="291"/>
      <c r="AU47" s="291"/>
      <c r="AV47" s="291"/>
    </row>
    <row r="48" spans="2:48" ht="15.75" customHeight="1" x14ac:dyDescent="0.4">
      <c r="X48" s="283"/>
      <c r="Y48" s="115"/>
      <c r="Z48" s="115"/>
      <c r="AA48" s="115"/>
      <c r="AB48" s="115"/>
      <c r="AC48" s="115"/>
      <c r="AD48" s="115"/>
      <c r="AE48" s="115"/>
      <c r="AF48" s="115"/>
      <c r="AG48" s="115"/>
      <c r="AH48" s="115"/>
      <c r="AI48" s="115"/>
      <c r="AK48" s="279" t="s">
        <v>270</v>
      </c>
      <c r="AL48" s="294"/>
      <c r="AM48" s="286" t="s">
        <v>44</v>
      </c>
      <c r="AN48" s="286" t="s">
        <v>180</v>
      </c>
      <c r="AO48" s="291"/>
      <c r="AP48" s="291"/>
      <c r="AQ48" s="291"/>
      <c r="AR48" s="291"/>
      <c r="AS48" s="291"/>
      <c r="AT48" s="291"/>
      <c r="AU48" s="291"/>
      <c r="AV48" s="291"/>
    </row>
    <row r="49" spans="24:48" ht="15.75" customHeight="1" x14ac:dyDescent="0.3">
      <c r="X49" s="284" t="s">
        <v>209</v>
      </c>
      <c r="Y49" s="185"/>
      <c r="Z49" s="3"/>
      <c r="AA49" s="3"/>
      <c r="AB49" s="3"/>
      <c r="AC49" s="3"/>
      <c r="AD49" s="3"/>
      <c r="AE49" s="3"/>
      <c r="AF49" s="3"/>
      <c r="AG49" s="3"/>
      <c r="AH49" s="3"/>
      <c r="AI49" s="3"/>
      <c r="AK49" s="274" t="s">
        <v>266</v>
      </c>
      <c r="AL49" s="287">
        <v>2204.62</v>
      </c>
      <c r="AM49" s="286" t="s">
        <v>176</v>
      </c>
      <c r="AN49" s="286" t="s">
        <v>181</v>
      </c>
      <c r="AO49" s="291"/>
      <c r="AP49" s="291"/>
      <c r="AQ49" s="291"/>
      <c r="AR49" s="291"/>
      <c r="AS49" s="291"/>
      <c r="AT49" s="291"/>
      <c r="AU49" s="291"/>
      <c r="AV49" s="291"/>
    </row>
    <row r="50" spans="24:48" ht="15.75" customHeight="1" x14ac:dyDescent="0.3">
      <c r="X50" s="283"/>
      <c r="Y50" s="115"/>
      <c r="Z50" s="115"/>
      <c r="AA50" s="115"/>
      <c r="AB50" s="115"/>
      <c r="AC50" s="115"/>
      <c r="AD50" s="115"/>
      <c r="AE50" s="115"/>
      <c r="AF50" s="115"/>
      <c r="AG50" s="115"/>
      <c r="AH50" s="115"/>
      <c r="AI50" s="115"/>
      <c r="AK50" s="276" t="s">
        <v>239</v>
      </c>
      <c r="AL50" s="298">
        <v>79</v>
      </c>
      <c r="AM50" s="286" t="s">
        <v>159</v>
      </c>
      <c r="AN50" s="286" t="s">
        <v>324</v>
      </c>
      <c r="AO50" s="291"/>
      <c r="AP50" s="291"/>
      <c r="AQ50" s="291"/>
      <c r="AR50" s="291"/>
      <c r="AS50" s="291"/>
      <c r="AT50" s="291"/>
      <c r="AU50" s="291"/>
      <c r="AV50" s="291"/>
    </row>
    <row r="51" spans="24:48" ht="16.5" customHeight="1" x14ac:dyDescent="0.35">
      <c r="X51" s="531" t="s">
        <v>76</v>
      </c>
      <c r="Y51" s="273" t="s">
        <v>246</v>
      </c>
      <c r="Z51" s="275" t="s">
        <v>245</v>
      </c>
      <c r="AA51" s="273" t="s">
        <v>234</v>
      </c>
      <c r="AB51" s="273" t="s">
        <v>247</v>
      </c>
      <c r="AC51" s="273" t="s">
        <v>248</v>
      </c>
      <c r="AD51" s="275" t="s">
        <v>238</v>
      </c>
      <c r="AE51" s="275" t="s">
        <v>249</v>
      </c>
      <c r="AF51" s="275" t="s">
        <v>250</v>
      </c>
      <c r="AG51" s="115"/>
      <c r="AH51" s="115"/>
      <c r="AI51" s="115"/>
      <c r="AK51" s="273" t="s">
        <v>235</v>
      </c>
      <c r="AL51" s="294"/>
      <c r="AM51" s="286" t="s">
        <v>44</v>
      </c>
      <c r="AN51" s="286" t="s">
        <v>293</v>
      </c>
      <c r="AO51" s="291"/>
      <c r="AP51" s="291"/>
      <c r="AQ51" s="291"/>
      <c r="AR51" s="291"/>
      <c r="AS51" s="291"/>
      <c r="AT51" s="291"/>
      <c r="AU51" s="291"/>
      <c r="AV51" s="291"/>
    </row>
    <row r="52" spans="24:48" ht="19.5" customHeight="1" x14ac:dyDescent="0.3">
      <c r="X52" s="533"/>
      <c r="Y52" s="195" t="s">
        <v>198</v>
      </c>
      <c r="Z52" s="211" t="s">
        <v>210</v>
      </c>
      <c r="AA52" s="211" t="s">
        <v>185</v>
      </c>
      <c r="AB52" s="211" t="s">
        <v>211</v>
      </c>
      <c r="AC52" s="195" t="s">
        <v>211</v>
      </c>
      <c r="AD52" s="195" t="s">
        <v>211</v>
      </c>
      <c r="AE52" s="195" t="s">
        <v>212</v>
      </c>
      <c r="AF52" s="195" t="s">
        <v>213</v>
      </c>
      <c r="AG52" s="115"/>
      <c r="AH52" s="115"/>
      <c r="AI52" s="115"/>
      <c r="AK52" s="275" t="s">
        <v>301</v>
      </c>
      <c r="AL52" s="287">
        <v>4046.86</v>
      </c>
      <c r="AM52" s="286" t="s">
        <v>176</v>
      </c>
      <c r="AN52" s="286" t="s">
        <v>294</v>
      </c>
      <c r="AO52" s="291"/>
      <c r="AP52" s="291"/>
      <c r="AQ52" s="291"/>
      <c r="AR52" s="291"/>
      <c r="AS52" s="291"/>
      <c r="AT52" s="291"/>
      <c r="AU52" s="291"/>
      <c r="AV52" s="291"/>
    </row>
    <row r="53" spans="24:48" ht="15.75" customHeight="1" x14ac:dyDescent="0.4">
      <c r="X53" s="199">
        <v>1</v>
      </c>
      <c r="Y53" s="198">
        <f>Z53*AA53*(AB53-AC53)/AD53*AE53/AF53</f>
        <v>0</v>
      </c>
      <c r="Z53" s="223">
        <f t="shared" ref="Z53:Z62" si="28">$AL$38</f>
        <v>193.7</v>
      </c>
      <c r="AA53" s="224">
        <f>O20</f>
        <v>0</v>
      </c>
      <c r="AB53" s="224">
        <f>Q20</f>
        <v>0</v>
      </c>
      <c r="AC53" s="224">
        <f>MIN(AB53,AB101)</f>
        <v>0</v>
      </c>
      <c r="AD53" s="300">
        <f t="shared" ref="AD53:AD62" si="29">$AL$32</f>
        <v>12</v>
      </c>
      <c r="AE53" s="235">
        <f t="shared" ref="AE53:AE62" si="30">$AL$42</f>
        <v>0.4047</v>
      </c>
      <c r="AF53" s="225">
        <f t="shared" ref="AF53:AF62" si="31">$AL$43</f>
        <v>1000</v>
      </c>
      <c r="AG53" s="217"/>
      <c r="AH53" s="217"/>
      <c r="AI53" s="217"/>
      <c r="AK53" s="279" t="s">
        <v>257</v>
      </c>
      <c r="AL53" s="297" t="s">
        <v>302</v>
      </c>
      <c r="AM53" s="286" t="s">
        <v>159</v>
      </c>
      <c r="AN53" s="286" t="s">
        <v>323</v>
      </c>
      <c r="AO53" s="291"/>
      <c r="AP53" s="291"/>
      <c r="AQ53" s="291"/>
      <c r="AR53" s="291"/>
      <c r="AS53" s="291"/>
      <c r="AT53" s="291"/>
      <c r="AU53" s="291"/>
      <c r="AV53" s="291"/>
    </row>
    <row r="54" spans="24:48" ht="15.75" customHeight="1" x14ac:dyDescent="0.4">
      <c r="X54" s="199">
        <v>2</v>
      </c>
      <c r="Y54" s="198">
        <f>Z54*AA54*(AB54-AC54)/AD54*AE54/AF54</f>
        <v>0</v>
      </c>
      <c r="Z54" s="223">
        <f t="shared" si="28"/>
        <v>193.7</v>
      </c>
      <c r="AA54" s="224">
        <f t="shared" ref="AA54:AA62" si="32">O21</f>
        <v>0</v>
      </c>
      <c r="AB54" s="224">
        <f t="shared" ref="AB54:AB62" si="33">Q21</f>
        <v>0</v>
      </c>
      <c r="AC54" s="224">
        <f t="shared" ref="AC54:AC62" si="34">MIN(AB54,AB102)</f>
        <v>0</v>
      </c>
      <c r="AD54" s="300">
        <f t="shared" si="29"/>
        <v>12</v>
      </c>
      <c r="AE54" s="235">
        <f t="shared" si="30"/>
        <v>0.4047</v>
      </c>
      <c r="AF54" s="225">
        <f t="shared" si="31"/>
        <v>1000</v>
      </c>
      <c r="AG54" s="217"/>
      <c r="AH54" s="217"/>
      <c r="AI54" s="217"/>
      <c r="AK54" s="279" t="s">
        <v>258</v>
      </c>
      <c r="AL54" s="290">
        <v>1.37</v>
      </c>
      <c r="AM54" s="286" t="s">
        <v>159</v>
      </c>
      <c r="AN54" s="286" t="s">
        <v>165</v>
      </c>
      <c r="AO54" s="291"/>
      <c r="AP54" s="291"/>
      <c r="AQ54" s="291"/>
      <c r="AR54" s="291"/>
      <c r="AS54" s="291"/>
      <c r="AT54" s="291"/>
      <c r="AU54" s="291"/>
      <c r="AV54" s="291"/>
    </row>
    <row r="55" spans="24:48" ht="15.75" customHeight="1" x14ac:dyDescent="0.4">
      <c r="X55" s="199">
        <v>3</v>
      </c>
      <c r="Y55" s="198">
        <f t="shared" ref="Y55:Y62" si="35">Z55*AA55*(AB55-AC55)/AD55*AE55/AF55</f>
        <v>0</v>
      </c>
      <c r="Z55" s="223">
        <f t="shared" si="28"/>
        <v>193.7</v>
      </c>
      <c r="AA55" s="224">
        <f t="shared" si="32"/>
        <v>0</v>
      </c>
      <c r="AB55" s="224">
        <f t="shared" si="33"/>
        <v>0</v>
      </c>
      <c r="AC55" s="224">
        <f t="shared" si="34"/>
        <v>0</v>
      </c>
      <c r="AD55" s="300">
        <f t="shared" si="29"/>
        <v>12</v>
      </c>
      <c r="AE55" s="235">
        <f t="shared" si="30"/>
        <v>0.4047</v>
      </c>
      <c r="AF55" s="225">
        <f t="shared" si="31"/>
        <v>1000</v>
      </c>
      <c r="AG55" s="217"/>
      <c r="AH55" s="217"/>
      <c r="AI55" s="217"/>
      <c r="AK55" s="279" t="s">
        <v>259</v>
      </c>
      <c r="AL55" s="290">
        <v>1.1399999999999999</v>
      </c>
      <c r="AM55" s="286" t="s">
        <v>159</v>
      </c>
      <c r="AN55" s="286" t="s">
        <v>166</v>
      </c>
      <c r="AO55" s="291"/>
      <c r="AP55" s="291"/>
      <c r="AQ55" s="291"/>
      <c r="AR55" s="291"/>
      <c r="AS55" s="291"/>
      <c r="AT55" s="291"/>
      <c r="AU55" s="291"/>
      <c r="AV55" s="291"/>
    </row>
    <row r="56" spans="24:48" ht="15.75" customHeight="1" x14ac:dyDescent="0.4">
      <c r="X56" s="199">
        <v>4</v>
      </c>
      <c r="Y56" s="198">
        <f t="shared" si="35"/>
        <v>0</v>
      </c>
      <c r="Z56" s="223">
        <f t="shared" si="28"/>
        <v>193.7</v>
      </c>
      <c r="AA56" s="224">
        <f t="shared" si="32"/>
        <v>0</v>
      </c>
      <c r="AB56" s="224">
        <f t="shared" si="33"/>
        <v>0</v>
      </c>
      <c r="AC56" s="224">
        <f t="shared" si="34"/>
        <v>0</v>
      </c>
      <c r="AD56" s="300">
        <f t="shared" si="29"/>
        <v>12</v>
      </c>
      <c r="AE56" s="235">
        <f t="shared" si="30"/>
        <v>0.4047</v>
      </c>
      <c r="AF56" s="225">
        <f t="shared" si="31"/>
        <v>1000</v>
      </c>
      <c r="AG56" s="217"/>
      <c r="AH56" s="217"/>
      <c r="AI56" s="217"/>
      <c r="AK56" s="279" t="s">
        <v>260</v>
      </c>
      <c r="AL56" s="294"/>
      <c r="AM56" s="286" t="s">
        <v>44</v>
      </c>
      <c r="AN56" s="286" t="s">
        <v>295</v>
      </c>
      <c r="AO56" s="291"/>
      <c r="AP56" s="291"/>
      <c r="AQ56" s="291"/>
      <c r="AR56" s="291"/>
      <c r="AS56" s="291"/>
      <c r="AT56" s="291"/>
      <c r="AU56" s="291"/>
      <c r="AV56" s="291"/>
    </row>
    <row r="57" spans="24:48" ht="15.75" customHeight="1" x14ac:dyDescent="0.4">
      <c r="X57" s="199">
        <v>5</v>
      </c>
      <c r="Y57" s="198">
        <f t="shared" si="35"/>
        <v>0</v>
      </c>
      <c r="Z57" s="223">
        <f t="shared" si="28"/>
        <v>193.7</v>
      </c>
      <c r="AA57" s="224">
        <f t="shared" si="32"/>
        <v>0</v>
      </c>
      <c r="AB57" s="224">
        <f t="shared" si="33"/>
        <v>0</v>
      </c>
      <c r="AC57" s="224">
        <f t="shared" si="34"/>
        <v>0</v>
      </c>
      <c r="AD57" s="300">
        <f t="shared" si="29"/>
        <v>12</v>
      </c>
      <c r="AE57" s="235">
        <f t="shared" si="30"/>
        <v>0.4047</v>
      </c>
      <c r="AF57" s="225">
        <f t="shared" si="31"/>
        <v>1000</v>
      </c>
      <c r="AG57" s="217"/>
      <c r="AH57" s="217"/>
      <c r="AI57" s="217"/>
      <c r="AK57" s="279" t="s">
        <v>262</v>
      </c>
      <c r="AL57" s="290">
        <v>0.95</v>
      </c>
      <c r="AM57" s="286" t="s">
        <v>159</v>
      </c>
      <c r="AN57" s="286" t="s">
        <v>296</v>
      </c>
      <c r="AO57" s="291"/>
      <c r="AP57" s="291"/>
      <c r="AQ57" s="291"/>
      <c r="AR57" s="291"/>
      <c r="AS57" s="291"/>
      <c r="AT57" s="291"/>
      <c r="AU57" s="291"/>
      <c r="AV57" s="291"/>
    </row>
    <row r="58" spans="24:48" ht="15.75" customHeight="1" x14ac:dyDescent="0.4">
      <c r="X58" s="199">
        <v>6</v>
      </c>
      <c r="Y58" s="198">
        <f t="shared" si="35"/>
        <v>0</v>
      </c>
      <c r="Z58" s="223">
        <f t="shared" si="28"/>
        <v>193.7</v>
      </c>
      <c r="AA58" s="224">
        <f t="shared" si="32"/>
        <v>0</v>
      </c>
      <c r="AB58" s="224">
        <f t="shared" si="33"/>
        <v>0</v>
      </c>
      <c r="AC58" s="224">
        <f t="shared" si="34"/>
        <v>0</v>
      </c>
      <c r="AD58" s="300">
        <f t="shared" si="29"/>
        <v>12</v>
      </c>
      <c r="AE58" s="235">
        <f t="shared" si="30"/>
        <v>0.4047</v>
      </c>
      <c r="AF58" s="225">
        <f t="shared" si="31"/>
        <v>1000</v>
      </c>
      <c r="AG58" s="217"/>
      <c r="AH58" s="217"/>
      <c r="AI58" s="217"/>
      <c r="AK58" s="279" t="s">
        <v>261</v>
      </c>
      <c r="AL58" s="294"/>
      <c r="AM58" s="286" t="s">
        <v>44</v>
      </c>
      <c r="AN58" s="286" t="s">
        <v>297</v>
      </c>
      <c r="AO58" s="291"/>
      <c r="AP58" s="291"/>
      <c r="AQ58" s="291"/>
      <c r="AR58" s="291"/>
      <c r="AS58" s="291"/>
      <c r="AT58" s="291"/>
      <c r="AU58" s="291"/>
      <c r="AV58" s="291"/>
    </row>
    <row r="59" spans="24:48" ht="18" x14ac:dyDescent="0.4">
      <c r="X59" s="199">
        <v>7</v>
      </c>
      <c r="Y59" s="198">
        <f t="shared" si="35"/>
        <v>0</v>
      </c>
      <c r="Z59" s="223">
        <f t="shared" si="28"/>
        <v>193.7</v>
      </c>
      <c r="AA59" s="224">
        <f t="shared" si="32"/>
        <v>0</v>
      </c>
      <c r="AB59" s="224">
        <f t="shared" si="33"/>
        <v>0</v>
      </c>
      <c r="AC59" s="224">
        <f t="shared" si="34"/>
        <v>0</v>
      </c>
      <c r="AD59" s="300">
        <f t="shared" si="29"/>
        <v>12</v>
      </c>
      <c r="AE59" s="235">
        <f t="shared" si="30"/>
        <v>0.4047</v>
      </c>
      <c r="AF59" s="225">
        <f t="shared" si="31"/>
        <v>1000</v>
      </c>
      <c r="AG59" s="217"/>
      <c r="AH59" s="217"/>
      <c r="AI59" s="217"/>
      <c r="AK59" s="279" t="s">
        <v>263</v>
      </c>
      <c r="AL59" s="299" t="s">
        <v>193</v>
      </c>
      <c r="AM59" s="286" t="s">
        <v>159</v>
      </c>
      <c r="AN59" s="286" t="s">
        <v>174</v>
      </c>
      <c r="AO59" s="291"/>
      <c r="AP59" s="154"/>
      <c r="AQ59" s="154"/>
      <c r="AR59" s="154"/>
      <c r="AS59" s="154"/>
      <c r="AT59" s="154"/>
      <c r="AU59" s="154"/>
      <c r="AV59" s="154"/>
    </row>
    <row r="60" spans="24:48" ht="18" x14ac:dyDescent="0.4">
      <c r="X60" s="199">
        <v>8</v>
      </c>
      <c r="Y60" s="198">
        <f t="shared" si="35"/>
        <v>0</v>
      </c>
      <c r="Z60" s="223">
        <f t="shared" si="28"/>
        <v>193.7</v>
      </c>
      <c r="AA60" s="224">
        <f t="shared" si="32"/>
        <v>0</v>
      </c>
      <c r="AB60" s="224">
        <f t="shared" si="33"/>
        <v>0</v>
      </c>
      <c r="AC60" s="224">
        <f t="shared" si="34"/>
        <v>0</v>
      </c>
      <c r="AD60" s="300">
        <f t="shared" si="29"/>
        <v>12</v>
      </c>
      <c r="AE60" s="235">
        <f t="shared" si="30"/>
        <v>0.4047</v>
      </c>
      <c r="AF60" s="225">
        <f t="shared" si="31"/>
        <v>1000</v>
      </c>
      <c r="AG60" s="217"/>
      <c r="AH60" s="217"/>
      <c r="AI60" s="217"/>
      <c r="AK60" s="279" t="s">
        <v>264</v>
      </c>
      <c r="AL60" s="294"/>
      <c r="AM60" s="286" t="s">
        <v>44</v>
      </c>
      <c r="AN60" s="286" t="s">
        <v>298</v>
      </c>
      <c r="AO60" s="154"/>
      <c r="AP60" s="154"/>
      <c r="AQ60" s="154"/>
      <c r="AR60" s="154"/>
      <c r="AS60" s="154"/>
      <c r="AT60" s="154"/>
      <c r="AU60" s="154"/>
      <c r="AV60" s="154"/>
    </row>
    <row r="61" spans="24:48" x14ac:dyDescent="0.3">
      <c r="X61" s="199">
        <v>9</v>
      </c>
      <c r="Y61" s="198">
        <f t="shared" si="35"/>
        <v>0</v>
      </c>
      <c r="Z61" s="223">
        <f t="shared" si="28"/>
        <v>193.7</v>
      </c>
      <c r="AA61" s="224">
        <f t="shared" si="32"/>
        <v>0</v>
      </c>
      <c r="AB61" s="224">
        <f t="shared" si="33"/>
        <v>0</v>
      </c>
      <c r="AC61" s="224">
        <f t="shared" si="34"/>
        <v>0</v>
      </c>
      <c r="AD61" s="300">
        <f t="shared" si="29"/>
        <v>12</v>
      </c>
      <c r="AE61" s="235">
        <f t="shared" si="30"/>
        <v>0.4047</v>
      </c>
      <c r="AF61" s="225">
        <f t="shared" si="31"/>
        <v>1000</v>
      </c>
      <c r="AG61" s="217"/>
      <c r="AH61" s="217"/>
      <c r="AI61" s="217"/>
      <c r="AN61" s="154"/>
    </row>
    <row r="62" spans="24:48" x14ac:dyDescent="0.3">
      <c r="X62" s="199">
        <v>10</v>
      </c>
      <c r="Y62" s="198">
        <f t="shared" si="35"/>
        <v>0</v>
      </c>
      <c r="Z62" s="223">
        <f t="shared" si="28"/>
        <v>193.7</v>
      </c>
      <c r="AA62" s="224">
        <f t="shared" si="32"/>
        <v>0</v>
      </c>
      <c r="AB62" s="224">
        <f t="shared" si="33"/>
        <v>0</v>
      </c>
      <c r="AC62" s="224">
        <f t="shared" si="34"/>
        <v>0</v>
      </c>
      <c r="AD62" s="300">
        <f t="shared" si="29"/>
        <v>12</v>
      </c>
      <c r="AE62" s="235">
        <f t="shared" si="30"/>
        <v>0.4047</v>
      </c>
      <c r="AF62" s="225">
        <f t="shared" si="31"/>
        <v>1000</v>
      </c>
      <c r="AG62" s="217"/>
      <c r="AH62" s="217"/>
      <c r="AI62" s="217"/>
    </row>
    <row r="63" spans="24:48" x14ac:dyDescent="0.3">
      <c r="X63" s="199" t="s">
        <v>202</v>
      </c>
      <c r="Y63" s="307">
        <f>SUM(Y53:Y62)</f>
        <v>0</v>
      </c>
      <c r="Z63" s="226"/>
      <c r="AA63" s="234">
        <f>SUM(AA53:AA62)</f>
        <v>0</v>
      </c>
      <c r="AB63" s="227"/>
      <c r="AC63" s="228"/>
      <c r="AD63" s="229"/>
      <c r="AE63" s="229"/>
      <c r="AF63" s="230"/>
      <c r="AG63" s="217"/>
      <c r="AH63" s="217"/>
      <c r="AI63" s="217"/>
    </row>
    <row r="64" spans="24:48" x14ac:dyDescent="0.3">
      <c r="X64" s="283"/>
      <c r="Y64" s="115"/>
      <c r="Z64" s="115"/>
      <c r="AA64" s="115"/>
      <c r="AB64" s="115"/>
      <c r="AC64" s="115"/>
      <c r="AD64" s="115"/>
      <c r="AE64" s="115"/>
      <c r="AF64" s="115"/>
      <c r="AG64" s="115"/>
      <c r="AH64" s="115"/>
      <c r="AI64" s="115"/>
    </row>
    <row r="65" spans="24:36" x14ac:dyDescent="0.3">
      <c r="X65" s="283" t="s">
        <v>214</v>
      </c>
      <c r="Y65" s="185"/>
      <c r="Z65" s="115"/>
      <c r="AA65" s="115"/>
      <c r="AB65" s="115"/>
      <c r="AC65" s="115"/>
      <c r="AD65" s="115"/>
      <c r="AE65" s="115"/>
      <c r="AF65" s="115"/>
      <c r="AG65" s="115"/>
      <c r="AH65" s="115"/>
      <c r="AI65" s="115"/>
    </row>
    <row r="66" spans="24:36" x14ac:dyDescent="0.3">
      <c r="X66" s="283"/>
      <c r="Y66" s="115"/>
      <c r="Z66" s="115"/>
      <c r="AA66" s="115"/>
      <c r="AB66" s="115"/>
      <c r="AC66" s="115"/>
      <c r="AD66" s="115"/>
      <c r="AE66" s="115"/>
      <c r="AF66" s="115"/>
      <c r="AG66" s="115"/>
      <c r="AH66" s="115"/>
      <c r="AI66" s="115"/>
    </row>
    <row r="67" spans="24:36" ht="16.2" x14ac:dyDescent="0.35">
      <c r="X67" s="531" t="s">
        <v>76</v>
      </c>
      <c r="Y67" s="273" t="s">
        <v>244</v>
      </c>
      <c r="Z67" s="273" t="s">
        <v>240</v>
      </c>
      <c r="AA67" s="275" t="s">
        <v>238</v>
      </c>
      <c r="AB67" s="275" t="s">
        <v>241</v>
      </c>
      <c r="AC67" s="273" t="s">
        <v>242</v>
      </c>
      <c r="AD67" s="273">
        <v>0.4047</v>
      </c>
      <c r="AE67" s="275" t="s">
        <v>243</v>
      </c>
      <c r="AF67" s="217"/>
      <c r="AG67" s="217"/>
      <c r="AH67" s="217"/>
      <c r="AI67" s="217"/>
      <c r="AJ67" s="217"/>
    </row>
    <row r="68" spans="24:36" ht="21.75" customHeight="1" x14ac:dyDescent="0.3">
      <c r="X68" s="533"/>
      <c r="Y68" s="195" t="s">
        <v>215</v>
      </c>
      <c r="Z68" s="195" t="s">
        <v>205</v>
      </c>
      <c r="AA68" s="195" t="s">
        <v>211</v>
      </c>
      <c r="AB68" s="195" t="s">
        <v>216</v>
      </c>
      <c r="AC68" s="211" t="s">
        <v>79</v>
      </c>
      <c r="AD68" s="211" t="s">
        <v>212</v>
      </c>
      <c r="AE68" s="195" t="s">
        <v>217</v>
      </c>
      <c r="AF68" s="231"/>
      <c r="AG68" s="231"/>
      <c r="AH68" s="231"/>
      <c r="AI68" s="231"/>
      <c r="AJ68" s="231"/>
    </row>
    <row r="69" spans="24:36" x14ac:dyDescent="0.3">
      <c r="X69" s="265">
        <v>1</v>
      </c>
      <c r="Y69" s="232">
        <f>Z69/AA69*AB69*AC69*AD69*AE69</f>
        <v>0</v>
      </c>
      <c r="Z69" s="212">
        <f>IFERROR((G20*E20+AA69*I20)/(E20+I20),0)</f>
        <v>0</v>
      </c>
      <c r="AA69" s="300">
        <f t="shared" ref="AA69:AA78" si="36">$AL$32</f>
        <v>12</v>
      </c>
      <c r="AB69" s="233">
        <f t="shared" ref="AB69:AB78" si="37">$AL$44</f>
        <v>8.0000000000000002E-3</v>
      </c>
      <c r="AC69" s="234">
        <f>E20+I20</f>
        <v>0</v>
      </c>
      <c r="AD69" s="235">
        <f t="shared" ref="AD69:AD78" si="38">$AL$42</f>
        <v>0.4047</v>
      </c>
      <c r="AE69" s="236">
        <f t="shared" ref="AE69:AE78" si="39">$AL$45</f>
        <v>1.5714285714285714</v>
      </c>
      <c r="AF69" s="115"/>
      <c r="AG69" s="115"/>
      <c r="AH69" s="115"/>
      <c r="AI69" s="115"/>
      <c r="AJ69" s="115"/>
    </row>
    <row r="70" spans="24:36" x14ac:dyDescent="0.3">
      <c r="X70" s="265">
        <v>2</v>
      </c>
      <c r="Y70" s="232">
        <f t="shared" ref="Y70:Y78" si="40">Z70/AA70*AB70*AC70*AD70*AE70</f>
        <v>0</v>
      </c>
      <c r="Z70" s="212">
        <f t="shared" ref="Z70:Z78" si="41">IFERROR((G21*E21+AA70*I21)/(E21+I21),0)</f>
        <v>0</v>
      </c>
      <c r="AA70" s="300">
        <f t="shared" si="36"/>
        <v>12</v>
      </c>
      <c r="AB70" s="233">
        <f t="shared" si="37"/>
        <v>8.0000000000000002E-3</v>
      </c>
      <c r="AC70" s="234">
        <f t="shared" ref="AC70:AC78" si="42">E21+I21</f>
        <v>0</v>
      </c>
      <c r="AD70" s="235">
        <f t="shared" si="38"/>
        <v>0.4047</v>
      </c>
      <c r="AE70" s="236">
        <f t="shared" si="39"/>
        <v>1.5714285714285714</v>
      </c>
      <c r="AF70" s="115"/>
      <c r="AG70" s="115"/>
      <c r="AH70" s="115"/>
      <c r="AI70" s="115"/>
      <c r="AJ70" s="115"/>
    </row>
    <row r="71" spans="24:36" x14ac:dyDescent="0.3">
      <c r="X71" s="266">
        <v>3</v>
      </c>
      <c r="Y71" s="232">
        <f t="shared" si="40"/>
        <v>0</v>
      </c>
      <c r="Z71" s="212">
        <f t="shared" si="41"/>
        <v>0</v>
      </c>
      <c r="AA71" s="300">
        <f t="shared" si="36"/>
        <v>12</v>
      </c>
      <c r="AB71" s="233">
        <f t="shared" si="37"/>
        <v>8.0000000000000002E-3</v>
      </c>
      <c r="AC71" s="234">
        <f t="shared" si="42"/>
        <v>0</v>
      </c>
      <c r="AD71" s="235">
        <f t="shared" si="38"/>
        <v>0.4047</v>
      </c>
      <c r="AE71" s="236">
        <f t="shared" si="39"/>
        <v>1.5714285714285714</v>
      </c>
      <c r="AF71" s="115"/>
      <c r="AG71" s="115"/>
      <c r="AH71" s="115"/>
      <c r="AI71" s="115"/>
      <c r="AJ71" s="115"/>
    </row>
    <row r="72" spans="24:36" x14ac:dyDescent="0.3">
      <c r="X72" s="266">
        <v>4</v>
      </c>
      <c r="Y72" s="232">
        <f t="shared" si="40"/>
        <v>0</v>
      </c>
      <c r="Z72" s="212">
        <f t="shared" si="41"/>
        <v>0</v>
      </c>
      <c r="AA72" s="300">
        <f t="shared" si="36"/>
        <v>12</v>
      </c>
      <c r="AB72" s="233">
        <f t="shared" si="37"/>
        <v>8.0000000000000002E-3</v>
      </c>
      <c r="AC72" s="234">
        <f t="shared" si="42"/>
        <v>0</v>
      </c>
      <c r="AD72" s="235">
        <f t="shared" si="38"/>
        <v>0.4047</v>
      </c>
      <c r="AE72" s="236">
        <f t="shared" si="39"/>
        <v>1.5714285714285714</v>
      </c>
      <c r="AF72" s="115"/>
      <c r="AG72" s="115"/>
      <c r="AH72" s="115"/>
      <c r="AI72" s="115"/>
      <c r="AJ72" s="115"/>
    </row>
    <row r="73" spans="24:36" x14ac:dyDescent="0.3">
      <c r="X73" s="265">
        <v>5</v>
      </c>
      <c r="Y73" s="232">
        <f t="shared" si="40"/>
        <v>0</v>
      </c>
      <c r="Z73" s="212">
        <f t="shared" si="41"/>
        <v>0</v>
      </c>
      <c r="AA73" s="300">
        <f t="shared" si="36"/>
        <v>12</v>
      </c>
      <c r="AB73" s="233">
        <f t="shared" si="37"/>
        <v>8.0000000000000002E-3</v>
      </c>
      <c r="AC73" s="234">
        <f t="shared" si="42"/>
        <v>0</v>
      </c>
      <c r="AD73" s="235">
        <f t="shared" si="38"/>
        <v>0.4047</v>
      </c>
      <c r="AE73" s="236">
        <f t="shared" si="39"/>
        <v>1.5714285714285714</v>
      </c>
      <c r="AF73" s="115"/>
      <c r="AG73" s="115"/>
      <c r="AH73" s="115"/>
      <c r="AI73" s="115"/>
      <c r="AJ73" s="115"/>
    </row>
    <row r="74" spans="24:36" x14ac:dyDescent="0.3">
      <c r="X74" s="266">
        <v>6</v>
      </c>
      <c r="Y74" s="232">
        <f t="shared" si="40"/>
        <v>0</v>
      </c>
      <c r="Z74" s="212">
        <f t="shared" si="41"/>
        <v>0</v>
      </c>
      <c r="AA74" s="300">
        <f t="shared" si="36"/>
        <v>12</v>
      </c>
      <c r="AB74" s="233">
        <f t="shared" si="37"/>
        <v>8.0000000000000002E-3</v>
      </c>
      <c r="AC74" s="234">
        <f t="shared" si="42"/>
        <v>0</v>
      </c>
      <c r="AD74" s="235">
        <f t="shared" si="38"/>
        <v>0.4047</v>
      </c>
      <c r="AE74" s="236">
        <f t="shared" si="39"/>
        <v>1.5714285714285714</v>
      </c>
      <c r="AF74" s="115"/>
      <c r="AG74" s="115"/>
      <c r="AH74" s="115"/>
      <c r="AI74" s="115"/>
      <c r="AJ74" s="115"/>
    </row>
    <row r="75" spans="24:36" x14ac:dyDescent="0.3">
      <c r="X75" s="266">
        <v>7</v>
      </c>
      <c r="Y75" s="232">
        <f t="shared" si="40"/>
        <v>0</v>
      </c>
      <c r="Z75" s="212">
        <f t="shared" si="41"/>
        <v>0</v>
      </c>
      <c r="AA75" s="300">
        <f t="shared" si="36"/>
        <v>12</v>
      </c>
      <c r="AB75" s="233">
        <f t="shared" si="37"/>
        <v>8.0000000000000002E-3</v>
      </c>
      <c r="AC75" s="234">
        <f t="shared" si="42"/>
        <v>0</v>
      </c>
      <c r="AD75" s="235">
        <f t="shared" si="38"/>
        <v>0.4047</v>
      </c>
      <c r="AE75" s="236">
        <f t="shared" si="39"/>
        <v>1.5714285714285714</v>
      </c>
      <c r="AF75" s="115"/>
      <c r="AG75" s="115"/>
      <c r="AH75" s="115"/>
      <c r="AI75" s="115"/>
      <c r="AJ75" s="115"/>
    </row>
    <row r="76" spans="24:36" x14ac:dyDescent="0.3">
      <c r="X76" s="265">
        <v>8</v>
      </c>
      <c r="Y76" s="232">
        <f t="shared" si="40"/>
        <v>0</v>
      </c>
      <c r="Z76" s="212">
        <f t="shared" si="41"/>
        <v>0</v>
      </c>
      <c r="AA76" s="300">
        <f t="shared" si="36"/>
        <v>12</v>
      </c>
      <c r="AB76" s="233">
        <f t="shared" si="37"/>
        <v>8.0000000000000002E-3</v>
      </c>
      <c r="AC76" s="234">
        <f t="shared" si="42"/>
        <v>0</v>
      </c>
      <c r="AD76" s="235">
        <f t="shared" si="38"/>
        <v>0.4047</v>
      </c>
      <c r="AE76" s="236">
        <f t="shared" si="39"/>
        <v>1.5714285714285714</v>
      </c>
      <c r="AF76" s="115"/>
      <c r="AG76" s="115"/>
      <c r="AH76" s="115"/>
      <c r="AI76" s="115"/>
      <c r="AJ76" s="115"/>
    </row>
    <row r="77" spans="24:36" x14ac:dyDescent="0.3">
      <c r="X77" s="266">
        <v>9</v>
      </c>
      <c r="Y77" s="232">
        <f t="shared" si="40"/>
        <v>0</v>
      </c>
      <c r="Z77" s="212">
        <f t="shared" si="41"/>
        <v>0</v>
      </c>
      <c r="AA77" s="300">
        <f t="shared" si="36"/>
        <v>12</v>
      </c>
      <c r="AB77" s="233">
        <f t="shared" si="37"/>
        <v>8.0000000000000002E-3</v>
      </c>
      <c r="AC77" s="234">
        <f t="shared" si="42"/>
        <v>0</v>
      </c>
      <c r="AD77" s="235">
        <f t="shared" si="38"/>
        <v>0.4047</v>
      </c>
      <c r="AE77" s="236">
        <f t="shared" si="39"/>
        <v>1.5714285714285714</v>
      </c>
      <c r="AF77" s="115"/>
      <c r="AG77" s="115"/>
      <c r="AH77" s="115"/>
      <c r="AI77" s="115"/>
      <c r="AJ77" s="115"/>
    </row>
    <row r="78" spans="24:36" x14ac:dyDescent="0.3">
      <c r="X78" s="266">
        <v>10</v>
      </c>
      <c r="Y78" s="232">
        <f t="shared" si="40"/>
        <v>0</v>
      </c>
      <c r="Z78" s="212">
        <f t="shared" si="41"/>
        <v>0</v>
      </c>
      <c r="AA78" s="300">
        <f t="shared" si="36"/>
        <v>12</v>
      </c>
      <c r="AB78" s="233">
        <f t="shared" si="37"/>
        <v>8.0000000000000002E-3</v>
      </c>
      <c r="AC78" s="234">
        <f t="shared" si="42"/>
        <v>0</v>
      </c>
      <c r="AD78" s="235">
        <f t="shared" si="38"/>
        <v>0.4047</v>
      </c>
      <c r="AE78" s="236">
        <f t="shared" si="39"/>
        <v>1.5714285714285714</v>
      </c>
      <c r="AF78" s="115"/>
      <c r="AG78" s="115"/>
      <c r="AH78" s="115"/>
      <c r="AI78" s="115"/>
      <c r="AJ78" s="115"/>
    </row>
    <row r="79" spans="24:36" x14ac:dyDescent="0.3">
      <c r="X79" s="266" t="s">
        <v>202</v>
      </c>
      <c r="Y79" s="232">
        <f>SUM(Y69:Y78)</f>
        <v>0</v>
      </c>
      <c r="Z79" s="218"/>
      <c r="AA79" s="219"/>
      <c r="AB79" s="237"/>
      <c r="AC79" s="234">
        <f>SUM(AC69:AC78)</f>
        <v>0</v>
      </c>
      <c r="AD79" s="238"/>
      <c r="AE79" s="239"/>
      <c r="AF79" s="115"/>
      <c r="AG79" s="115"/>
      <c r="AH79" s="115"/>
      <c r="AI79" s="115"/>
      <c r="AJ79" s="115"/>
    </row>
    <row r="80" spans="24:36" x14ac:dyDescent="0.3">
      <c r="X80" s="283"/>
      <c r="Y80" s="115"/>
      <c r="Z80" s="115"/>
      <c r="AA80" s="115"/>
      <c r="AB80" s="115"/>
      <c r="AC80" s="115"/>
      <c r="AD80" s="115"/>
      <c r="AE80" s="115"/>
      <c r="AF80" s="115"/>
      <c r="AG80" s="115"/>
      <c r="AH80" s="115"/>
      <c r="AI80" s="115"/>
    </row>
    <row r="81" spans="24:35" x14ac:dyDescent="0.3">
      <c r="X81" s="283" t="s">
        <v>218</v>
      </c>
      <c r="Y81" s="185"/>
      <c r="Z81" s="115"/>
      <c r="AA81" s="115"/>
      <c r="AB81" s="115"/>
      <c r="AC81" s="115"/>
      <c r="AD81" s="115"/>
      <c r="AE81" s="115"/>
      <c r="AF81" s="185"/>
      <c r="AG81" s="115"/>
      <c r="AH81" s="115"/>
      <c r="AI81" s="115"/>
    </row>
    <row r="82" spans="24:35" x14ac:dyDescent="0.3">
      <c r="X82" s="283"/>
      <c r="Y82" s="115"/>
      <c r="Z82" s="115"/>
      <c r="AA82" s="115"/>
      <c r="AB82" s="115"/>
      <c r="AC82" s="115"/>
      <c r="AD82" s="115"/>
      <c r="AE82" s="115"/>
      <c r="AF82" s="115"/>
      <c r="AG82" s="115"/>
      <c r="AH82" s="115"/>
      <c r="AI82" s="115"/>
    </row>
    <row r="83" spans="24:35" ht="18" x14ac:dyDescent="0.4">
      <c r="X83" s="531" t="s">
        <v>76</v>
      </c>
      <c r="Y83" s="273" t="s">
        <v>271</v>
      </c>
      <c r="Z83" s="274" t="s">
        <v>265</v>
      </c>
      <c r="AA83" s="280" t="s">
        <v>269</v>
      </c>
      <c r="AB83" s="280" t="s">
        <v>270</v>
      </c>
      <c r="AC83" s="274" t="s">
        <v>266</v>
      </c>
      <c r="AD83" s="274" t="s">
        <v>243</v>
      </c>
      <c r="AE83" s="115"/>
      <c r="AF83" s="115"/>
      <c r="AG83" s="115"/>
      <c r="AH83" s="115"/>
      <c r="AI83" s="115"/>
    </row>
    <row r="84" spans="24:35" ht="21.75" customHeight="1" x14ac:dyDescent="0.3">
      <c r="X84" s="533"/>
      <c r="Y84" s="195" t="s">
        <v>215</v>
      </c>
      <c r="Z84" s="195" t="s">
        <v>219</v>
      </c>
      <c r="AA84" s="195" t="s">
        <v>220</v>
      </c>
      <c r="AB84" s="211" t="s">
        <v>185</v>
      </c>
      <c r="AC84" s="211" t="s">
        <v>221</v>
      </c>
      <c r="AD84" s="195" t="s">
        <v>217</v>
      </c>
      <c r="AE84" s="115"/>
      <c r="AF84" s="115"/>
      <c r="AG84" s="115"/>
      <c r="AH84" s="115"/>
      <c r="AI84" s="115"/>
    </row>
    <row r="85" spans="24:35" x14ac:dyDescent="0.3">
      <c r="X85" s="265">
        <v>1</v>
      </c>
      <c r="Y85" s="232">
        <f>Z85*AA85*AB85/AC85*AD85</f>
        <v>0</v>
      </c>
      <c r="Z85" s="240">
        <f t="shared" ref="Z85:Z94" si="43">$AL$46</f>
        <v>0.01</v>
      </c>
      <c r="AA85" s="234">
        <f>M20</f>
        <v>0</v>
      </c>
      <c r="AB85" s="234">
        <f>I20+K20</f>
        <v>0</v>
      </c>
      <c r="AC85" s="236">
        <f t="shared" ref="AC85:AC94" si="44">$AL$49</f>
        <v>2204.62</v>
      </c>
      <c r="AD85" s="236">
        <f t="shared" ref="AD85:AD94" si="45">$AL$45</f>
        <v>1.5714285714285714</v>
      </c>
      <c r="AE85" s="115"/>
      <c r="AF85" s="115"/>
      <c r="AG85" s="115"/>
      <c r="AH85" s="115"/>
      <c r="AI85" s="115"/>
    </row>
    <row r="86" spans="24:35" x14ac:dyDescent="0.3">
      <c r="X86" s="265">
        <v>2</v>
      </c>
      <c r="Y86" s="232">
        <f>Z86*AA86*AB86/AC86*AD86</f>
        <v>0</v>
      </c>
      <c r="Z86" s="240">
        <f t="shared" si="43"/>
        <v>0.01</v>
      </c>
      <c r="AA86" s="234">
        <f t="shared" ref="AA86:AA94" si="46">M21</f>
        <v>0</v>
      </c>
      <c r="AB86" s="234">
        <f t="shared" ref="AB86:AB94" si="47">I21+K21</f>
        <v>0</v>
      </c>
      <c r="AC86" s="236">
        <f t="shared" si="44"/>
        <v>2204.62</v>
      </c>
      <c r="AD86" s="236">
        <f t="shared" si="45"/>
        <v>1.5714285714285714</v>
      </c>
      <c r="AE86" s="115"/>
      <c r="AF86" s="115"/>
      <c r="AG86" s="115"/>
      <c r="AH86" s="115"/>
      <c r="AI86" s="115"/>
    </row>
    <row r="87" spans="24:35" x14ac:dyDescent="0.3">
      <c r="X87" s="266">
        <v>3</v>
      </c>
      <c r="Y87" s="232">
        <f t="shared" ref="Y87:Y94" si="48">Z87*AA87*AB87/AC87*AD87</f>
        <v>0</v>
      </c>
      <c r="Z87" s="240">
        <f t="shared" si="43"/>
        <v>0.01</v>
      </c>
      <c r="AA87" s="234">
        <f t="shared" si="46"/>
        <v>0</v>
      </c>
      <c r="AB87" s="234">
        <f t="shared" si="47"/>
        <v>0</v>
      </c>
      <c r="AC87" s="236">
        <f t="shared" si="44"/>
        <v>2204.62</v>
      </c>
      <c r="AD87" s="236">
        <f t="shared" si="45"/>
        <v>1.5714285714285714</v>
      </c>
      <c r="AE87" s="115"/>
      <c r="AF87" s="115"/>
      <c r="AG87" s="115"/>
      <c r="AH87" s="115"/>
      <c r="AI87" s="115"/>
    </row>
    <row r="88" spans="24:35" x14ac:dyDescent="0.3">
      <c r="X88" s="266">
        <v>4</v>
      </c>
      <c r="Y88" s="232">
        <f t="shared" si="48"/>
        <v>0</v>
      </c>
      <c r="Z88" s="240">
        <f t="shared" si="43"/>
        <v>0.01</v>
      </c>
      <c r="AA88" s="234">
        <f t="shared" si="46"/>
        <v>0</v>
      </c>
      <c r="AB88" s="234">
        <f t="shared" si="47"/>
        <v>0</v>
      </c>
      <c r="AC88" s="236">
        <f t="shared" si="44"/>
        <v>2204.62</v>
      </c>
      <c r="AD88" s="236">
        <f t="shared" si="45"/>
        <v>1.5714285714285714</v>
      </c>
      <c r="AE88" s="115"/>
      <c r="AF88" s="115"/>
      <c r="AG88" s="115"/>
      <c r="AH88" s="115"/>
      <c r="AI88" s="115"/>
    </row>
    <row r="89" spans="24:35" x14ac:dyDescent="0.3">
      <c r="X89" s="265">
        <v>5</v>
      </c>
      <c r="Y89" s="232">
        <f t="shared" si="48"/>
        <v>0</v>
      </c>
      <c r="Z89" s="240">
        <f t="shared" si="43"/>
        <v>0.01</v>
      </c>
      <c r="AA89" s="234">
        <f t="shared" si="46"/>
        <v>0</v>
      </c>
      <c r="AB89" s="234">
        <f t="shared" si="47"/>
        <v>0</v>
      </c>
      <c r="AC89" s="236">
        <f t="shared" si="44"/>
        <v>2204.62</v>
      </c>
      <c r="AD89" s="236">
        <f t="shared" si="45"/>
        <v>1.5714285714285714</v>
      </c>
      <c r="AE89" s="115"/>
      <c r="AF89" s="115"/>
      <c r="AG89" s="115"/>
      <c r="AH89" s="115"/>
      <c r="AI89" s="115"/>
    </row>
    <row r="90" spans="24:35" x14ac:dyDescent="0.3">
      <c r="X90" s="266">
        <v>6</v>
      </c>
      <c r="Y90" s="232">
        <f t="shared" si="48"/>
        <v>0</v>
      </c>
      <c r="Z90" s="240">
        <f t="shared" si="43"/>
        <v>0.01</v>
      </c>
      <c r="AA90" s="234">
        <f t="shared" si="46"/>
        <v>0</v>
      </c>
      <c r="AB90" s="234">
        <f t="shared" si="47"/>
        <v>0</v>
      </c>
      <c r="AC90" s="236">
        <f t="shared" si="44"/>
        <v>2204.62</v>
      </c>
      <c r="AD90" s="236">
        <f t="shared" si="45"/>
        <v>1.5714285714285714</v>
      </c>
      <c r="AE90" s="115"/>
      <c r="AF90" s="115"/>
      <c r="AG90" s="115"/>
      <c r="AH90" s="115"/>
      <c r="AI90" s="115"/>
    </row>
    <row r="91" spans="24:35" x14ac:dyDescent="0.3">
      <c r="X91" s="266">
        <v>7</v>
      </c>
      <c r="Y91" s="232">
        <f t="shared" si="48"/>
        <v>0</v>
      </c>
      <c r="Z91" s="240">
        <f t="shared" si="43"/>
        <v>0.01</v>
      </c>
      <c r="AA91" s="234">
        <f t="shared" si="46"/>
        <v>0</v>
      </c>
      <c r="AB91" s="234">
        <f t="shared" si="47"/>
        <v>0</v>
      </c>
      <c r="AC91" s="236">
        <f t="shared" si="44"/>
        <v>2204.62</v>
      </c>
      <c r="AD91" s="236">
        <f t="shared" si="45"/>
        <v>1.5714285714285714</v>
      </c>
      <c r="AE91" s="115"/>
      <c r="AF91" s="115"/>
      <c r="AG91" s="115"/>
      <c r="AH91" s="115"/>
      <c r="AI91" s="115"/>
    </row>
    <row r="92" spans="24:35" x14ac:dyDescent="0.3">
      <c r="X92" s="265">
        <v>8</v>
      </c>
      <c r="Y92" s="232">
        <f t="shared" si="48"/>
        <v>0</v>
      </c>
      <c r="Z92" s="240">
        <f t="shared" si="43"/>
        <v>0.01</v>
      </c>
      <c r="AA92" s="234">
        <f t="shared" si="46"/>
        <v>0</v>
      </c>
      <c r="AB92" s="234">
        <f t="shared" si="47"/>
        <v>0</v>
      </c>
      <c r="AC92" s="236">
        <f t="shared" si="44"/>
        <v>2204.62</v>
      </c>
      <c r="AD92" s="236">
        <f t="shared" si="45"/>
        <v>1.5714285714285714</v>
      </c>
      <c r="AE92" s="115"/>
      <c r="AF92" s="115"/>
      <c r="AG92" s="115"/>
      <c r="AH92" s="115"/>
      <c r="AI92" s="115"/>
    </row>
    <row r="93" spans="24:35" x14ac:dyDescent="0.3">
      <c r="X93" s="266">
        <v>9</v>
      </c>
      <c r="Y93" s="232">
        <f t="shared" si="48"/>
        <v>0</v>
      </c>
      <c r="Z93" s="240">
        <f t="shared" si="43"/>
        <v>0.01</v>
      </c>
      <c r="AA93" s="234">
        <f t="shared" si="46"/>
        <v>0</v>
      </c>
      <c r="AB93" s="234">
        <f t="shared" si="47"/>
        <v>0</v>
      </c>
      <c r="AC93" s="236">
        <f t="shared" si="44"/>
        <v>2204.62</v>
      </c>
      <c r="AD93" s="236">
        <f t="shared" si="45"/>
        <v>1.5714285714285714</v>
      </c>
      <c r="AE93" s="115"/>
      <c r="AF93" s="115"/>
      <c r="AG93" s="115"/>
      <c r="AH93" s="115"/>
      <c r="AI93" s="115"/>
    </row>
    <row r="94" spans="24:35" x14ac:dyDescent="0.3">
      <c r="X94" s="266">
        <v>10</v>
      </c>
      <c r="Y94" s="232">
        <f t="shared" si="48"/>
        <v>0</v>
      </c>
      <c r="Z94" s="240">
        <f t="shared" si="43"/>
        <v>0.01</v>
      </c>
      <c r="AA94" s="234">
        <f t="shared" si="46"/>
        <v>0</v>
      </c>
      <c r="AB94" s="234">
        <f t="shared" si="47"/>
        <v>0</v>
      </c>
      <c r="AC94" s="236">
        <f t="shared" si="44"/>
        <v>2204.62</v>
      </c>
      <c r="AD94" s="236">
        <f t="shared" si="45"/>
        <v>1.5714285714285714</v>
      </c>
      <c r="AE94" s="115"/>
      <c r="AF94" s="115"/>
      <c r="AG94" s="115"/>
      <c r="AH94" s="115"/>
      <c r="AI94" s="115"/>
    </row>
    <row r="95" spans="24:35" x14ac:dyDescent="0.3">
      <c r="X95" s="266" t="s">
        <v>202</v>
      </c>
      <c r="Y95" s="232">
        <f>SUM(Y85:Y94)</f>
        <v>0</v>
      </c>
      <c r="Z95" s="241"/>
      <c r="AA95" s="242"/>
      <c r="AB95" s="234">
        <f>SUM(AB85:AB94)</f>
        <v>0</v>
      </c>
      <c r="AC95" s="243"/>
      <c r="AD95" s="239"/>
      <c r="AE95" s="115"/>
      <c r="AF95" s="115"/>
      <c r="AG95" s="115"/>
      <c r="AH95" s="115"/>
      <c r="AI95" s="115"/>
    </row>
    <row r="96" spans="24:35" x14ac:dyDescent="0.3">
      <c r="X96" s="283"/>
      <c r="Y96" s="115"/>
      <c r="Z96" s="115"/>
      <c r="AA96" s="115"/>
      <c r="AB96" s="115"/>
      <c r="AC96" s="115"/>
      <c r="AD96" s="115"/>
      <c r="AE96" s="115"/>
      <c r="AF96" s="115"/>
      <c r="AG96" s="115"/>
      <c r="AH96" s="115"/>
      <c r="AI96" s="115"/>
    </row>
    <row r="97" spans="24:35" x14ac:dyDescent="0.3">
      <c r="X97" s="283" t="s">
        <v>222</v>
      </c>
      <c r="Y97" s="185"/>
      <c r="Z97" s="115"/>
      <c r="AA97" s="115"/>
      <c r="AB97" s="115"/>
      <c r="AC97" s="115"/>
      <c r="AD97" s="115"/>
      <c r="AE97" s="115"/>
      <c r="AF97" s="115"/>
      <c r="AG97" s="115"/>
      <c r="AH97" s="115"/>
      <c r="AI97" s="115"/>
    </row>
    <row r="98" spans="24:35" x14ac:dyDescent="0.3">
      <c r="X98" s="283"/>
      <c r="Y98" s="115"/>
      <c r="Z98" s="115"/>
      <c r="AA98" s="115"/>
      <c r="AB98" s="115"/>
      <c r="AC98" s="115"/>
      <c r="AD98" s="115"/>
      <c r="AE98" s="115"/>
      <c r="AF98" s="115"/>
      <c r="AG98" s="115"/>
      <c r="AH98" s="115"/>
      <c r="AI98" s="115"/>
    </row>
    <row r="99" spans="24:35" ht="16.2" x14ac:dyDescent="0.35">
      <c r="X99" s="531" t="s">
        <v>76</v>
      </c>
      <c r="Y99" s="273" t="s">
        <v>233</v>
      </c>
      <c r="Z99" s="276" t="s">
        <v>239</v>
      </c>
      <c r="AA99" s="273" t="s">
        <v>234</v>
      </c>
      <c r="AB99" s="273" t="s">
        <v>235</v>
      </c>
      <c r="AC99" s="275" t="s">
        <v>238</v>
      </c>
      <c r="AD99" s="275" t="s">
        <v>301</v>
      </c>
      <c r="AE99" s="275" t="s">
        <v>251</v>
      </c>
      <c r="AF99" s="275" t="s">
        <v>236</v>
      </c>
      <c r="AG99" s="275" t="s">
        <v>237</v>
      </c>
      <c r="AH99" s="115"/>
      <c r="AI99" s="115"/>
    </row>
    <row r="100" spans="24:35" ht="21.75" customHeight="1" x14ac:dyDescent="0.3">
      <c r="X100" s="533"/>
      <c r="Y100" s="195" t="s">
        <v>223</v>
      </c>
      <c r="Z100" s="211" t="s">
        <v>224</v>
      </c>
      <c r="AA100" s="195" t="s">
        <v>185</v>
      </c>
      <c r="AB100" s="211" t="s">
        <v>211</v>
      </c>
      <c r="AC100" s="211" t="s">
        <v>225</v>
      </c>
      <c r="AD100" s="211" t="s">
        <v>226</v>
      </c>
      <c r="AE100" s="211" t="s">
        <v>207</v>
      </c>
      <c r="AF100" s="195" t="s">
        <v>208</v>
      </c>
      <c r="AG100" s="211" t="s">
        <v>201</v>
      </c>
      <c r="AH100" s="115"/>
      <c r="AI100" s="115"/>
    </row>
    <row r="101" spans="24:35" x14ac:dyDescent="0.3">
      <c r="X101" s="265">
        <v>1</v>
      </c>
      <c r="Y101" s="232">
        <f>Z101*AA101*(1-AB101/AC101)*AD101/AE101*AF101*AG101</f>
        <v>0</v>
      </c>
      <c r="Z101" s="244">
        <f t="shared" ref="Z101:Z110" si="49">$AL$50</f>
        <v>79</v>
      </c>
      <c r="AA101" s="234">
        <f>O20</f>
        <v>0</v>
      </c>
      <c r="AB101" s="234">
        <f>C20</f>
        <v>0</v>
      </c>
      <c r="AC101" s="245">
        <f t="shared" ref="AC101:AC110" si="50">$AL$32</f>
        <v>12</v>
      </c>
      <c r="AD101" s="246">
        <f t="shared" ref="AD101:AD110" si="51">$AL$52</f>
        <v>4046.86</v>
      </c>
      <c r="AE101" s="224">
        <f t="shared" ref="AE101:AE110" si="52">$AL$35</f>
        <v>1000000</v>
      </c>
      <c r="AF101" s="247">
        <f t="shared" ref="AF101:AF110" si="53">$AL$36</f>
        <v>3.6666666666666665</v>
      </c>
      <c r="AG101" s="245">
        <f t="shared" ref="AG101:AG110" si="54">$AL$27</f>
        <v>50</v>
      </c>
      <c r="AH101" s="115"/>
      <c r="AI101" s="115"/>
    </row>
    <row r="102" spans="24:35" x14ac:dyDescent="0.3">
      <c r="X102" s="265">
        <v>2</v>
      </c>
      <c r="Y102" s="232">
        <f>Z102*AA102*(1-AB102/AC102)*AD102/AE102*AF102*AG102</f>
        <v>0</v>
      </c>
      <c r="Z102" s="244">
        <f t="shared" si="49"/>
        <v>79</v>
      </c>
      <c r="AA102" s="234">
        <f t="shared" ref="AA102:AA110" si="55">O21</f>
        <v>0</v>
      </c>
      <c r="AB102" s="234">
        <f t="shared" ref="AB102:AB110" si="56">C21</f>
        <v>0</v>
      </c>
      <c r="AC102" s="245">
        <f t="shared" si="50"/>
        <v>12</v>
      </c>
      <c r="AD102" s="246">
        <f t="shared" si="51"/>
        <v>4046.86</v>
      </c>
      <c r="AE102" s="224">
        <f t="shared" si="52"/>
        <v>1000000</v>
      </c>
      <c r="AF102" s="247">
        <f t="shared" si="53"/>
        <v>3.6666666666666665</v>
      </c>
      <c r="AG102" s="245">
        <f t="shared" si="54"/>
        <v>50</v>
      </c>
      <c r="AH102" s="115"/>
      <c r="AI102" s="115"/>
    </row>
    <row r="103" spans="24:35" x14ac:dyDescent="0.3">
      <c r="X103" s="266">
        <v>3</v>
      </c>
      <c r="Y103" s="232">
        <f>Z103*AA103*(1-AB103/AC103)*AD103/AE103*AF103*AG103</f>
        <v>0</v>
      </c>
      <c r="Z103" s="244">
        <f t="shared" si="49"/>
        <v>79</v>
      </c>
      <c r="AA103" s="234">
        <f t="shared" si="55"/>
        <v>0</v>
      </c>
      <c r="AB103" s="234">
        <f t="shared" si="56"/>
        <v>0</v>
      </c>
      <c r="AC103" s="245">
        <f t="shared" si="50"/>
        <v>12</v>
      </c>
      <c r="AD103" s="246">
        <f t="shared" si="51"/>
        <v>4046.86</v>
      </c>
      <c r="AE103" s="224">
        <f t="shared" si="52"/>
        <v>1000000</v>
      </c>
      <c r="AF103" s="247">
        <f t="shared" si="53"/>
        <v>3.6666666666666665</v>
      </c>
      <c r="AG103" s="245">
        <f t="shared" si="54"/>
        <v>50</v>
      </c>
      <c r="AH103" s="115"/>
      <c r="AI103" s="115"/>
    </row>
    <row r="104" spans="24:35" x14ac:dyDescent="0.3">
      <c r="X104" s="266">
        <v>4</v>
      </c>
      <c r="Y104" s="232">
        <f>Z104*AA104*(1-AB104/AC104)*AD104/AE104*AF104*AG104</f>
        <v>0</v>
      </c>
      <c r="Z104" s="244">
        <f t="shared" si="49"/>
        <v>79</v>
      </c>
      <c r="AA104" s="234">
        <f t="shared" si="55"/>
        <v>0</v>
      </c>
      <c r="AB104" s="234">
        <f t="shared" si="56"/>
        <v>0</v>
      </c>
      <c r="AC104" s="245">
        <f t="shared" si="50"/>
        <v>12</v>
      </c>
      <c r="AD104" s="246">
        <f t="shared" si="51"/>
        <v>4046.86</v>
      </c>
      <c r="AE104" s="224">
        <f t="shared" si="52"/>
        <v>1000000</v>
      </c>
      <c r="AF104" s="247">
        <f t="shared" si="53"/>
        <v>3.6666666666666665</v>
      </c>
      <c r="AG104" s="245">
        <f t="shared" si="54"/>
        <v>50</v>
      </c>
      <c r="AH104" s="115"/>
      <c r="AI104" s="115"/>
    </row>
    <row r="105" spans="24:35" x14ac:dyDescent="0.3">
      <c r="X105" s="265">
        <v>5</v>
      </c>
      <c r="Y105" s="232">
        <f t="shared" ref="Y105:Y110" si="57">Z105*AA105*(1-AB105/AC105)*AD105/AE105*AF105*AG105</f>
        <v>0</v>
      </c>
      <c r="Z105" s="244">
        <f t="shared" si="49"/>
        <v>79</v>
      </c>
      <c r="AA105" s="234">
        <f t="shared" si="55"/>
        <v>0</v>
      </c>
      <c r="AB105" s="234">
        <f t="shared" si="56"/>
        <v>0</v>
      </c>
      <c r="AC105" s="245">
        <f t="shared" si="50"/>
        <v>12</v>
      </c>
      <c r="AD105" s="246">
        <f t="shared" si="51"/>
        <v>4046.86</v>
      </c>
      <c r="AE105" s="224">
        <f t="shared" si="52"/>
        <v>1000000</v>
      </c>
      <c r="AF105" s="247">
        <f t="shared" si="53"/>
        <v>3.6666666666666665</v>
      </c>
      <c r="AG105" s="245">
        <f t="shared" si="54"/>
        <v>50</v>
      </c>
      <c r="AH105" s="115"/>
      <c r="AI105" s="115"/>
    </row>
    <row r="106" spans="24:35" x14ac:dyDescent="0.3">
      <c r="X106" s="266">
        <v>6</v>
      </c>
      <c r="Y106" s="232">
        <f t="shared" si="57"/>
        <v>0</v>
      </c>
      <c r="Z106" s="244">
        <f t="shared" si="49"/>
        <v>79</v>
      </c>
      <c r="AA106" s="234">
        <f t="shared" si="55"/>
        <v>0</v>
      </c>
      <c r="AB106" s="234">
        <f t="shared" si="56"/>
        <v>0</v>
      </c>
      <c r="AC106" s="245">
        <f t="shared" si="50"/>
        <v>12</v>
      </c>
      <c r="AD106" s="246">
        <f t="shared" si="51"/>
        <v>4046.86</v>
      </c>
      <c r="AE106" s="224">
        <f t="shared" si="52"/>
        <v>1000000</v>
      </c>
      <c r="AF106" s="247">
        <f t="shared" si="53"/>
        <v>3.6666666666666665</v>
      </c>
      <c r="AG106" s="245">
        <f t="shared" si="54"/>
        <v>50</v>
      </c>
      <c r="AH106" s="115"/>
      <c r="AI106" s="115"/>
    </row>
    <row r="107" spans="24:35" x14ac:dyDescent="0.3">
      <c r="X107" s="266">
        <v>7</v>
      </c>
      <c r="Y107" s="232">
        <f t="shared" si="57"/>
        <v>0</v>
      </c>
      <c r="Z107" s="244">
        <f t="shared" si="49"/>
        <v>79</v>
      </c>
      <c r="AA107" s="234">
        <f t="shared" si="55"/>
        <v>0</v>
      </c>
      <c r="AB107" s="234">
        <f t="shared" si="56"/>
        <v>0</v>
      </c>
      <c r="AC107" s="245">
        <f t="shared" si="50"/>
        <v>12</v>
      </c>
      <c r="AD107" s="246">
        <f t="shared" si="51"/>
        <v>4046.86</v>
      </c>
      <c r="AE107" s="224">
        <f t="shared" si="52"/>
        <v>1000000</v>
      </c>
      <c r="AF107" s="247">
        <f t="shared" si="53"/>
        <v>3.6666666666666665</v>
      </c>
      <c r="AG107" s="245">
        <f t="shared" si="54"/>
        <v>50</v>
      </c>
      <c r="AH107" s="115"/>
      <c r="AI107" s="115"/>
    </row>
    <row r="108" spans="24:35" x14ac:dyDescent="0.3">
      <c r="X108" s="265">
        <v>8</v>
      </c>
      <c r="Y108" s="232">
        <f t="shared" si="57"/>
        <v>0</v>
      </c>
      <c r="Z108" s="244">
        <f t="shared" si="49"/>
        <v>79</v>
      </c>
      <c r="AA108" s="234">
        <f t="shared" si="55"/>
        <v>0</v>
      </c>
      <c r="AB108" s="234">
        <f t="shared" si="56"/>
        <v>0</v>
      </c>
      <c r="AC108" s="245">
        <f t="shared" si="50"/>
        <v>12</v>
      </c>
      <c r="AD108" s="246">
        <f t="shared" si="51"/>
        <v>4046.86</v>
      </c>
      <c r="AE108" s="224">
        <f t="shared" si="52"/>
        <v>1000000</v>
      </c>
      <c r="AF108" s="247">
        <f t="shared" si="53"/>
        <v>3.6666666666666665</v>
      </c>
      <c r="AG108" s="245">
        <f t="shared" si="54"/>
        <v>50</v>
      </c>
      <c r="AH108" s="115"/>
      <c r="AI108" s="115"/>
    </row>
    <row r="109" spans="24:35" x14ac:dyDescent="0.3">
      <c r="X109" s="266">
        <v>9</v>
      </c>
      <c r="Y109" s="232">
        <f t="shared" si="57"/>
        <v>0</v>
      </c>
      <c r="Z109" s="244">
        <f t="shared" si="49"/>
        <v>79</v>
      </c>
      <c r="AA109" s="234">
        <f t="shared" si="55"/>
        <v>0</v>
      </c>
      <c r="AB109" s="234">
        <f t="shared" si="56"/>
        <v>0</v>
      </c>
      <c r="AC109" s="245">
        <f t="shared" si="50"/>
        <v>12</v>
      </c>
      <c r="AD109" s="246">
        <f t="shared" si="51"/>
        <v>4046.86</v>
      </c>
      <c r="AE109" s="224">
        <f t="shared" si="52"/>
        <v>1000000</v>
      </c>
      <c r="AF109" s="247">
        <f t="shared" si="53"/>
        <v>3.6666666666666665</v>
      </c>
      <c r="AG109" s="245">
        <f t="shared" si="54"/>
        <v>50</v>
      </c>
      <c r="AH109" s="115"/>
      <c r="AI109" s="115"/>
    </row>
    <row r="110" spans="24:35" x14ac:dyDescent="0.3">
      <c r="X110" s="266">
        <v>10</v>
      </c>
      <c r="Y110" s="232">
        <f t="shared" si="57"/>
        <v>0</v>
      </c>
      <c r="Z110" s="244">
        <f t="shared" si="49"/>
        <v>79</v>
      </c>
      <c r="AA110" s="234">
        <f t="shared" si="55"/>
        <v>0</v>
      </c>
      <c r="AB110" s="234">
        <f t="shared" si="56"/>
        <v>0</v>
      </c>
      <c r="AC110" s="245">
        <f t="shared" si="50"/>
        <v>12</v>
      </c>
      <c r="AD110" s="246">
        <f t="shared" si="51"/>
        <v>4046.86</v>
      </c>
      <c r="AE110" s="224">
        <f t="shared" si="52"/>
        <v>1000000</v>
      </c>
      <c r="AF110" s="247">
        <f t="shared" si="53"/>
        <v>3.6666666666666665</v>
      </c>
      <c r="AG110" s="245">
        <f t="shared" si="54"/>
        <v>50</v>
      </c>
      <c r="AH110" s="115"/>
      <c r="AI110" s="115"/>
    </row>
    <row r="111" spans="24:35" x14ac:dyDescent="0.3">
      <c r="X111" s="266" t="s">
        <v>202</v>
      </c>
      <c r="Y111" s="232">
        <f>SUM(Y101:Y110)</f>
        <v>0</v>
      </c>
      <c r="Z111" s="248"/>
      <c r="AA111" s="234">
        <f>SUM(AA101:AA110)</f>
        <v>0</v>
      </c>
      <c r="AB111" s="249"/>
      <c r="AC111" s="250"/>
      <c r="AD111" s="251"/>
      <c r="AE111" s="252"/>
      <c r="AF111" s="253"/>
      <c r="AG111" s="254"/>
      <c r="AH111" s="115"/>
      <c r="AI111" s="115"/>
    </row>
    <row r="112" spans="24:35" x14ac:dyDescent="0.3">
      <c r="X112" s="283"/>
      <c r="Y112" s="115"/>
      <c r="Z112" s="115"/>
      <c r="AA112" s="115"/>
      <c r="AB112" s="115"/>
      <c r="AC112" s="115"/>
      <c r="AD112" s="115"/>
      <c r="AE112" s="115"/>
      <c r="AF112" s="115"/>
      <c r="AG112" s="115"/>
      <c r="AH112" s="115"/>
      <c r="AI112" s="115"/>
    </row>
    <row r="113" spans="24:43" x14ac:dyDescent="0.3">
      <c r="X113" s="283" t="s">
        <v>227</v>
      </c>
      <c r="Y113" s="185"/>
      <c r="Z113" s="115"/>
      <c r="AA113" s="115"/>
      <c r="AB113" s="115"/>
      <c r="AC113" s="115"/>
      <c r="AD113" s="115"/>
      <c r="AE113" s="115"/>
      <c r="AF113" s="115"/>
      <c r="AG113" s="115"/>
      <c r="AH113" s="115"/>
      <c r="AI113" s="115"/>
      <c r="AL113" s="2"/>
    </row>
    <row r="114" spans="24:43" x14ac:dyDescent="0.3">
      <c r="X114" s="283"/>
      <c r="Y114" s="115"/>
      <c r="Z114" s="115"/>
      <c r="AA114" s="115"/>
      <c r="AB114" s="115"/>
      <c r="AC114" s="115"/>
      <c r="AD114" s="115"/>
      <c r="AE114" s="115"/>
      <c r="AF114" s="115"/>
      <c r="AG114" s="115"/>
      <c r="AH114" s="115"/>
      <c r="AI114" s="115"/>
      <c r="AL114" s="2"/>
    </row>
    <row r="115" spans="24:43" ht="18" x14ac:dyDescent="0.4">
      <c r="X115" s="531" t="s">
        <v>76</v>
      </c>
      <c r="Y115" s="273" t="s">
        <v>255</v>
      </c>
      <c r="Z115" s="279" t="s">
        <v>257</v>
      </c>
      <c r="AA115" s="279" t="s">
        <v>258</v>
      </c>
      <c r="AB115" s="279" t="s">
        <v>259</v>
      </c>
      <c r="AC115" s="279" t="s">
        <v>260</v>
      </c>
      <c r="AD115" s="279" t="s">
        <v>262</v>
      </c>
      <c r="AE115" s="279" t="s">
        <v>261</v>
      </c>
      <c r="AF115" s="279" t="s">
        <v>263</v>
      </c>
      <c r="AG115" s="279" t="s">
        <v>264</v>
      </c>
      <c r="AH115" s="275" t="s">
        <v>249</v>
      </c>
      <c r="AI115" s="275" t="s">
        <v>236</v>
      </c>
      <c r="AK115" s="530" t="s">
        <v>76</v>
      </c>
      <c r="AL115" s="531" t="s">
        <v>133</v>
      </c>
      <c r="AM115" s="534" t="s">
        <v>256</v>
      </c>
      <c r="AN115" s="115"/>
      <c r="AO115" s="528" t="s">
        <v>133</v>
      </c>
      <c r="AP115" s="528" t="s">
        <v>134</v>
      </c>
      <c r="AQ115" s="534" t="s">
        <v>256</v>
      </c>
    </row>
    <row r="116" spans="24:43" ht="21" customHeight="1" x14ac:dyDescent="0.3">
      <c r="X116" s="533"/>
      <c r="Y116" s="195" t="s">
        <v>223</v>
      </c>
      <c r="Z116" s="195" t="s">
        <v>228</v>
      </c>
      <c r="AA116" s="195" t="s">
        <v>205</v>
      </c>
      <c r="AB116" s="211" t="s">
        <v>205</v>
      </c>
      <c r="AC116" s="211" t="s">
        <v>185</v>
      </c>
      <c r="AD116" s="211" t="s">
        <v>205</v>
      </c>
      <c r="AE116" s="211" t="s">
        <v>185</v>
      </c>
      <c r="AF116" s="211" t="s">
        <v>205</v>
      </c>
      <c r="AG116" s="211" t="s">
        <v>185</v>
      </c>
      <c r="AH116" s="211" t="s">
        <v>212</v>
      </c>
      <c r="AI116" s="195" t="s">
        <v>208</v>
      </c>
      <c r="AK116" s="532"/>
      <c r="AL116" s="533"/>
      <c r="AM116" s="535"/>
      <c r="AN116" s="115"/>
      <c r="AO116" s="529"/>
      <c r="AP116" s="529"/>
      <c r="AQ116" s="535"/>
    </row>
    <row r="117" spans="24:43" x14ac:dyDescent="0.3">
      <c r="X117" s="265">
        <v>1</v>
      </c>
      <c r="Y117" s="232">
        <f>(Z117*AA117*AB117*AC117-Z117*AA117*AD117*AE117-Z117*AF117*AG117)*AH117*AI117</f>
        <v>0</v>
      </c>
      <c r="Z117" s="255" t="b">
        <f>AM117</f>
        <v>0</v>
      </c>
      <c r="AA117" s="256">
        <f t="shared" ref="AA117:AA126" si="58">$AL$54</f>
        <v>1.37</v>
      </c>
      <c r="AB117" s="256">
        <f t="shared" ref="AB117:AB126" si="59">$AL$55</f>
        <v>1.1399999999999999</v>
      </c>
      <c r="AC117" s="198">
        <f>S20</f>
        <v>0</v>
      </c>
      <c r="AD117" s="247">
        <f t="shared" ref="AD117:AD126" si="60">$AL$57</f>
        <v>0.95</v>
      </c>
      <c r="AE117" s="236">
        <f>AC117-AG117</f>
        <v>0</v>
      </c>
      <c r="AF117" s="245" t="str">
        <f t="shared" ref="AF117:AF126" si="61">$AL$59</f>
        <v>1</v>
      </c>
      <c r="AG117" s="236">
        <f>K20</f>
        <v>0</v>
      </c>
      <c r="AH117" s="257">
        <f t="shared" ref="AH117:AH126" si="62">$AL$42</f>
        <v>0.4047</v>
      </c>
      <c r="AI117" s="247">
        <f t="shared" ref="AI117:AI126" si="63">$AL$36</f>
        <v>3.6666666666666665</v>
      </c>
      <c r="AK117" s="269">
        <v>1</v>
      </c>
      <c r="AL117" s="306">
        <f>U20</f>
        <v>0</v>
      </c>
      <c r="AM117" s="244" t="b">
        <f>IFERROR(VLOOKUP(AL117,$AO$117:$AQ$129,3,FALSE),FALSE)</f>
        <v>0</v>
      </c>
      <c r="AN117" s="115"/>
      <c r="AO117" s="303" t="s">
        <v>135</v>
      </c>
      <c r="AP117" s="304" t="s">
        <v>136</v>
      </c>
      <c r="AQ117" s="287">
        <v>37</v>
      </c>
    </row>
    <row r="118" spans="24:43" x14ac:dyDescent="0.3">
      <c r="X118" s="265">
        <v>2</v>
      </c>
      <c r="Y118" s="232">
        <f t="shared" ref="Y118:Y126" si="64">(Z118*AA118*AB118*AC118-Z118*AA118*AD118*AE118-Z118*AF118*AG118)*AH118*AI118</f>
        <v>0</v>
      </c>
      <c r="Z118" s="255" t="b">
        <f t="shared" ref="Z118:Z126" si="65">AM118</f>
        <v>0</v>
      </c>
      <c r="AA118" s="256">
        <f t="shared" si="58"/>
        <v>1.37</v>
      </c>
      <c r="AB118" s="256">
        <f t="shared" si="59"/>
        <v>1.1399999999999999</v>
      </c>
      <c r="AC118" s="198">
        <f t="shared" ref="AC118:AC126" si="66">S21</f>
        <v>0</v>
      </c>
      <c r="AD118" s="247">
        <f t="shared" si="60"/>
        <v>0.95</v>
      </c>
      <c r="AE118" s="236">
        <f>AC118-AG118</f>
        <v>0</v>
      </c>
      <c r="AF118" s="245" t="str">
        <f t="shared" si="61"/>
        <v>1</v>
      </c>
      <c r="AG118" s="236">
        <f t="shared" ref="AG118:AG126" si="67">K21</f>
        <v>0</v>
      </c>
      <c r="AH118" s="257">
        <f t="shared" si="62"/>
        <v>0.4047</v>
      </c>
      <c r="AI118" s="247">
        <f t="shared" si="63"/>
        <v>3.6666666666666665</v>
      </c>
      <c r="AK118" s="269">
        <v>2</v>
      </c>
      <c r="AL118" s="306">
        <f t="shared" ref="AL118:AL126" si="68">U21</f>
        <v>0</v>
      </c>
      <c r="AM118" s="244" t="b">
        <f t="shared" ref="AM118:AM126" si="69">IFERROR(VLOOKUP(AL118,$AO$117:$AQ$129,3,FALSE),FALSE)</f>
        <v>0</v>
      </c>
      <c r="AN118" s="115"/>
      <c r="AO118" s="303" t="s">
        <v>137</v>
      </c>
      <c r="AP118" s="304" t="s">
        <v>138</v>
      </c>
      <c r="AQ118" s="287">
        <v>124</v>
      </c>
    </row>
    <row r="119" spans="24:43" x14ac:dyDescent="0.3">
      <c r="X119" s="266">
        <v>3</v>
      </c>
      <c r="Y119" s="232">
        <f t="shared" si="64"/>
        <v>0</v>
      </c>
      <c r="Z119" s="255" t="b">
        <f t="shared" si="65"/>
        <v>0</v>
      </c>
      <c r="AA119" s="256">
        <f t="shared" si="58"/>
        <v>1.37</v>
      </c>
      <c r="AB119" s="256">
        <f t="shared" si="59"/>
        <v>1.1399999999999999</v>
      </c>
      <c r="AC119" s="198">
        <f t="shared" si="66"/>
        <v>0</v>
      </c>
      <c r="AD119" s="247">
        <f t="shared" si="60"/>
        <v>0.95</v>
      </c>
      <c r="AE119" s="236">
        <f>AC119-AG119</f>
        <v>0</v>
      </c>
      <c r="AF119" s="245" t="str">
        <f t="shared" si="61"/>
        <v>1</v>
      </c>
      <c r="AG119" s="236">
        <f t="shared" si="67"/>
        <v>0</v>
      </c>
      <c r="AH119" s="257">
        <f t="shared" si="62"/>
        <v>0.4047</v>
      </c>
      <c r="AI119" s="247">
        <f t="shared" si="63"/>
        <v>3.6666666666666665</v>
      </c>
      <c r="AK119" s="270">
        <v>3</v>
      </c>
      <c r="AL119" s="306">
        <f t="shared" si="68"/>
        <v>0</v>
      </c>
      <c r="AM119" s="244" t="b">
        <f t="shared" si="69"/>
        <v>0</v>
      </c>
      <c r="AN119" s="115"/>
      <c r="AO119" s="303" t="s">
        <v>303</v>
      </c>
      <c r="AP119" s="304" t="s">
        <v>304</v>
      </c>
      <c r="AQ119" s="287">
        <v>48</v>
      </c>
    </row>
    <row r="120" spans="24:43" x14ac:dyDescent="0.3">
      <c r="X120" s="266">
        <v>4</v>
      </c>
      <c r="Y120" s="232">
        <f t="shared" si="64"/>
        <v>0</v>
      </c>
      <c r="Z120" s="255" t="b">
        <f t="shared" si="65"/>
        <v>0</v>
      </c>
      <c r="AA120" s="256">
        <f t="shared" si="58"/>
        <v>1.37</v>
      </c>
      <c r="AB120" s="256">
        <f t="shared" si="59"/>
        <v>1.1399999999999999</v>
      </c>
      <c r="AC120" s="198">
        <f t="shared" si="66"/>
        <v>0</v>
      </c>
      <c r="AD120" s="247">
        <f t="shared" si="60"/>
        <v>0.95</v>
      </c>
      <c r="AE120" s="236">
        <f t="shared" ref="AE120:AE126" si="70">AC120-AG120</f>
        <v>0</v>
      </c>
      <c r="AF120" s="245" t="str">
        <f t="shared" si="61"/>
        <v>1</v>
      </c>
      <c r="AG120" s="236">
        <f t="shared" si="67"/>
        <v>0</v>
      </c>
      <c r="AH120" s="257">
        <f t="shared" si="62"/>
        <v>0.4047</v>
      </c>
      <c r="AI120" s="247">
        <f t="shared" si="63"/>
        <v>3.6666666666666665</v>
      </c>
      <c r="AK120" s="270">
        <v>4</v>
      </c>
      <c r="AL120" s="306">
        <f t="shared" si="68"/>
        <v>0</v>
      </c>
      <c r="AM120" s="244" t="b">
        <f t="shared" si="69"/>
        <v>0</v>
      </c>
      <c r="AN120" s="115"/>
      <c r="AO120" s="304" t="s">
        <v>139</v>
      </c>
      <c r="AP120" s="304" t="s">
        <v>136</v>
      </c>
      <c r="AQ120" s="287">
        <v>37</v>
      </c>
    </row>
    <row r="121" spans="24:43" x14ac:dyDescent="0.3">
      <c r="X121" s="265">
        <v>5</v>
      </c>
      <c r="Y121" s="232">
        <f t="shared" si="64"/>
        <v>0</v>
      </c>
      <c r="Z121" s="255" t="b">
        <f t="shared" si="65"/>
        <v>0</v>
      </c>
      <c r="AA121" s="256">
        <f t="shared" si="58"/>
        <v>1.37</v>
      </c>
      <c r="AB121" s="256">
        <f t="shared" si="59"/>
        <v>1.1399999999999999</v>
      </c>
      <c r="AC121" s="198">
        <f t="shared" si="66"/>
        <v>0</v>
      </c>
      <c r="AD121" s="247">
        <f t="shared" si="60"/>
        <v>0.95</v>
      </c>
      <c r="AE121" s="236">
        <f t="shared" si="70"/>
        <v>0</v>
      </c>
      <c r="AF121" s="245" t="str">
        <f t="shared" si="61"/>
        <v>1</v>
      </c>
      <c r="AG121" s="236">
        <f t="shared" si="67"/>
        <v>0</v>
      </c>
      <c r="AH121" s="257">
        <f t="shared" si="62"/>
        <v>0.4047</v>
      </c>
      <c r="AI121" s="247">
        <f t="shared" si="63"/>
        <v>3.6666666666666665</v>
      </c>
      <c r="AK121" s="269">
        <v>5</v>
      </c>
      <c r="AL121" s="306">
        <f t="shared" si="68"/>
        <v>0</v>
      </c>
      <c r="AM121" s="244" t="b">
        <f t="shared" si="69"/>
        <v>0</v>
      </c>
      <c r="AN121" s="115"/>
      <c r="AO121" s="304" t="s">
        <v>140</v>
      </c>
      <c r="AP121" s="304" t="s">
        <v>141</v>
      </c>
      <c r="AQ121" s="287">
        <v>25</v>
      </c>
    </row>
    <row r="122" spans="24:43" x14ac:dyDescent="0.3">
      <c r="X122" s="266">
        <v>6</v>
      </c>
      <c r="Y122" s="232">
        <f t="shared" si="64"/>
        <v>0</v>
      </c>
      <c r="Z122" s="255" t="b">
        <f t="shared" si="65"/>
        <v>0</v>
      </c>
      <c r="AA122" s="256">
        <f t="shared" si="58"/>
        <v>1.37</v>
      </c>
      <c r="AB122" s="256">
        <f t="shared" si="59"/>
        <v>1.1399999999999999</v>
      </c>
      <c r="AC122" s="198">
        <f t="shared" si="66"/>
        <v>0</v>
      </c>
      <c r="AD122" s="247">
        <f t="shared" si="60"/>
        <v>0.95</v>
      </c>
      <c r="AE122" s="236">
        <f t="shared" si="70"/>
        <v>0</v>
      </c>
      <c r="AF122" s="245" t="str">
        <f t="shared" si="61"/>
        <v>1</v>
      </c>
      <c r="AG122" s="236">
        <f t="shared" si="67"/>
        <v>0</v>
      </c>
      <c r="AH122" s="257">
        <f t="shared" si="62"/>
        <v>0.4047</v>
      </c>
      <c r="AI122" s="247">
        <f t="shared" si="63"/>
        <v>3.6666666666666665</v>
      </c>
      <c r="AK122" s="269">
        <v>6</v>
      </c>
      <c r="AL122" s="306">
        <f t="shared" si="68"/>
        <v>0</v>
      </c>
      <c r="AM122" s="244" t="b">
        <f t="shared" si="69"/>
        <v>0</v>
      </c>
      <c r="AN122" s="115"/>
      <c r="AO122" s="304" t="s">
        <v>142</v>
      </c>
      <c r="AP122" s="304" t="s">
        <v>141</v>
      </c>
      <c r="AQ122" s="287">
        <v>25</v>
      </c>
    </row>
    <row r="123" spans="24:43" x14ac:dyDescent="0.3">
      <c r="X123" s="266">
        <v>7</v>
      </c>
      <c r="Y123" s="232">
        <f t="shared" si="64"/>
        <v>0</v>
      </c>
      <c r="Z123" s="255" t="b">
        <f t="shared" si="65"/>
        <v>0</v>
      </c>
      <c r="AA123" s="256">
        <f t="shared" si="58"/>
        <v>1.37</v>
      </c>
      <c r="AB123" s="256">
        <f t="shared" si="59"/>
        <v>1.1399999999999999</v>
      </c>
      <c r="AC123" s="198">
        <f t="shared" si="66"/>
        <v>0</v>
      </c>
      <c r="AD123" s="247">
        <f t="shared" si="60"/>
        <v>0.95</v>
      </c>
      <c r="AE123" s="236">
        <f t="shared" si="70"/>
        <v>0</v>
      </c>
      <c r="AF123" s="245" t="str">
        <f t="shared" si="61"/>
        <v>1</v>
      </c>
      <c r="AG123" s="236">
        <f t="shared" si="67"/>
        <v>0</v>
      </c>
      <c r="AH123" s="257">
        <f t="shared" si="62"/>
        <v>0.4047</v>
      </c>
      <c r="AI123" s="247">
        <f t="shared" si="63"/>
        <v>3.6666666666666665</v>
      </c>
      <c r="AK123" s="270">
        <v>7</v>
      </c>
      <c r="AL123" s="306">
        <f t="shared" si="68"/>
        <v>0</v>
      </c>
      <c r="AM123" s="244" t="b">
        <f t="shared" si="69"/>
        <v>0</v>
      </c>
      <c r="AN123" s="115"/>
      <c r="AO123" s="304" t="s">
        <v>143</v>
      </c>
      <c r="AP123" s="304" t="s">
        <v>136</v>
      </c>
      <c r="AQ123" s="287">
        <v>37</v>
      </c>
    </row>
    <row r="124" spans="24:43" x14ac:dyDescent="0.3">
      <c r="X124" s="265">
        <v>8</v>
      </c>
      <c r="Y124" s="232">
        <f t="shared" si="64"/>
        <v>0</v>
      </c>
      <c r="Z124" s="255" t="b">
        <f t="shared" si="65"/>
        <v>0</v>
      </c>
      <c r="AA124" s="256">
        <f t="shared" si="58"/>
        <v>1.37</v>
      </c>
      <c r="AB124" s="256">
        <f t="shared" si="59"/>
        <v>1.1399999999999999</v>
      </c>
      <c r="AC124" s="198">
        <f t="shared" si="66"/>
        <v>0</v>
      </c>
      <c r="AD124" s="247">
        <f t="shared" si="60"/>
        <v>0.95</v>
      </c>
      <c r="AE124" s="236">
        <f t="shared" si="70"/>
        <v>0</v>
      </c>
      <c r="AF124" s="245" t="str">
        <f t="shared" si="61"/>
        <v>1</v>
      </c>
      <c r="AG124" s="236">
        <f t="shared" si="67"/>
        <v>0</v>
      </c>
      <c r="AH124" s="257">
        <f t="shared" si="62"/>
        <v>0.4047</v>
      </c>
      <c r="AI124" s="247">
        <f t="shared" si="63"/>
        <v>3.6666666666666665</v>
      </c>
      <c r="AK124" s="270">
        <v>8</v>
      </c>
      <c r="AL124" s="306">
        <f t="shared" si="68"/>
        <v>0</v>
      </c>
      <c r="AM124" s="244" t="b">
        <f t="shared" si="69"/>
        <v>0</v>
      </c>
      <c r="AN124" s="115"/>
      <c r="AO124" s="304" t="s">
        <v>144</v>
      </c>
      <c r="AP124" s="304" t="s">
        <v>136</v>
      </c>
      <c r="AQ124" s="287">
        <v>37</v>
      </c>
    </row>
    <row r="125" spans="24:43" x14ac:dyDescent="0.3">
      <c r="X125" s="266">
        <v>9</v>
      </c>
      <c r="Y125" s="232">
        <f t="shared" si="64"/>
        <v>0</v>
      </c>
      <c r="Z125" s="255" t="b">
        <f t="shared" si="65"/>
        <v>0</v>
      </c>
      <c r="AA125" s="256">
        <f t="shared" si="58"/>
        <v>1.37</v>
      </c>
      <c r="AB125" s="256">
        <f t="shared" si="59"/>
        <v>1.1399999999999999</v>
      </c>
      <c r="AC125" s="198">
        <f t="shared" si="66"/>
        <v>0</v>
      </c>
      <c r="AD125" s="247">
        <f t="shared" si="60"/>
        <v>0.95</v>
      </c>
      <c r="AE125" s="236">
        <f t="shared" si="70"/>
        <v>0</v>
      </c>
      <c r="AF125" s="245" t="str">
        <f t="shared" si="61"/>
        <v>1</v>
      </c>
      <c r="AG125" s="236">
        <f t="shared" si="67"/>
        <v>0</v>
      </c>
      <c r="AH125" s="257">
        <f t="shared" si="62"/>
        <v>0.4047</v>
      </c>
      <c r="AI125" s="247">
        <f t="shared" si="63"/>
        <v>3.6666666666666665</v>
      </c>
      <c r="AK125" s="269">
        <v>9</v>
      </c>
      <c r="AL125" s="306">
        <f t="shared" si="68"/>
        <v>0</v>
      </c>
      <c r="AM125" s="244" t="b">
        <f t="shared" si="69"/>
        <v>0</v>
      </c>
      <c r="AN125" s="115"/>
      <c r="AO125" s="304" t="s">
        <v>145</v>
      </c>
      <c r="AP125" s="304" t="s">
        <v>141</v>
      </c>
      <c r="AQ125" s="287">
        <v>25</v>
      </c>
    </row>
    <row r="126" spans="24:43" x14ac:dyDescent="0.3">
      <c r="X126" s="266">
        <v>10</v>
      </c>
      <c r="Y126" s="232">
        <f t="shared" si="64"/>
        <v>0</v>
      </c>
      <c r="Z126" s="255" t="b">
        <f t="shared" si="65"/>
        <v>0</v>
      </c>
      <c r="AA126" s="256">
        <f t="shared" si="58"/>
        <v>1.37</v>
      </c>
      <c r="AB126" s="256">
        <f t="shared" si="59"/>
        <v>1.1399999999999999</v>
      </c>
      <c r="AC126" s="198">
        <f t="shared" si="66"/>
        <v>0</v>
      </c>
      <c r="AD126" s="247">
        <f t="shared" si="60"/>
        <v>0.95</v>
      </c>
      <c r="AE126" s="236">
        <f t="shared" si="70"/>
        <v>0</v>
      </c>
      <c r="AF126" s="245" t="str">
        <f t="shared" si="61"/>
        <v>1</v>
      </c>
      <c r="AG126" s="236">
        <f t="shared" si="67"/>
        <v>0</v>
      </c>
      <c r="AH126" s="257">
        <f t="shared" si="62"/>
        <v>0.4047</v>
      </c>
      <c r="AI126" s="247">
        <f t="shared" si="63"/>
        <v>3.6666666666666665</v>
      </c>
      <c r="AK126" s="269">
        <v>10</v>
      </c>
      <c r="AL126" s="306">
        <f t="shared" si="68"/>
        <v>0</v>
      </c>
      <c r="AM126" s="244" t="b">
        <f t="shared" si="69"/>
        <v>0</v>
      </c>
      <c r="AN126" s="115"/>
      <c r="AO126" s="304" t="s">
        <v>146</v>
      </c>
      <c r="AP126" s="304" t="s">
        <v>147</v>
      </c>
      <c r="AQ126" s="287">
        <v>16</v>
      </c>
    </row>
    <row r="127" spans="24:43" x14ac:dyDescent="0.3">
      <c r="X127" s="266" t="s">
        <v>202</v>
      </c>
      <c r="Y127" s="232">
        <f>SUM(Y117:Y126)</f>
        <v>0</v>
      </c>
      <c r="Z127" s="258"/>
      <c r="AA127" s="259"/>
      <c r="AB127" s="260"/>
      <c r="AC127" s="198">
        <f>SUM(AC117:AC126)</f>
        <v>0</v>
      </c>
      <c r="AD127" s="261"/>
      <c r="AE127" s="236">
        <f>AC127-AG127</f>
        <v>0</v>
      </c>
      <c r="AF127" s="262"/>
      <c r="AG127" s="198">
        <f>SUM(AG117:AG126)</f>
        <v>0</v>
      </c>
      <c r="AH127" s="263"/>
      <c r="AI127" s="264"/>
      <c r="AL127" s="305"/>
      <c r="AM127" s="115"/>
      <c r="AN127" s="115"/>
      <c r="AO127" s="304" t="s">
        <v>148</v>
      </c>
      <c r="AP127" s="304" t="s">
        <v>149</v>
      </c>
      <c r="AQ127" s="287">
        <v>86</v>
      </c>
    </row>
    <row r="128" spans="24:43" x14ac:dyDescent="0.3">
      <c r="AL128" s="305"/>
      <c r="AM128" s="115"/>
      <c r="AN128" s="115"/>
      <c r="AO128" s="304" t="s">
        <v>150</v>
      </c>
      <c r="AP128" s="304" t="s">
        <v>141</v>
      </c>
      <c r="AQ128" s="287">
        <v>25</v>
      </c>
    </row>
    <row r="129" spans="38:43" x14ac:dyDescent="0.3">
      <c r="AL129" s="305"/>
      <c r="AM129" s="115"/>
      <c r="AN129" s="115"/>
      <c r="AO129" s="304" t="s">
        <v>151</v>
      </c>
      <c r="AP129" s="304" t="s">
        <v>136</v>
      </c>
      <c r="AQ129" s="287">
        <v>37</v>
      </c>
    </row>
  </sheetData>
  <sheetProtection algorithmName="SHA-512" hashValue="DUHTwSNiIS9dHc8D9FT+sk5qYn0qCDgaXXSGxhbWa04HUjPKPGX3LrswESAgqFUwfJB6hgKWXv//ifebw4rjyA==" saltValue="A1Ugblx7dnkZANFWZGf1dA==" spinCount="100000" sheet="1" objects="1" scenarios="1"/>
  <conditionalFormatting sqref="U20:U29">
    <cfRule type="expression" dxfId="191" priority="27">
      <formula>V20="N/A"</formula>
    </cfRule>
  </conditionalFormatting>
  <conditionalFormatting sqref="V20:V29 H20:H29 N20:N29">
    <cfRule type="expression" dxfId="190" priority="26">
      <formula>H20="N/A"</formula>
    </cfRule>
  </conditionalFormatting>
  <conditionalFormatting sqref="G20:G29">
    <cfRule type="expression" dxfId="189" priority="25">
      <formula>H20="N/A"</formula>
    </cfRule>
  </conditionalFormatting>
  <conditionalFormatting sqref="M20:M29">
    <cfRule type="expression" dxfId="188" priority="22">
      <formula>N20="N/A"</formula>
    </cfRule>
  </conditionalFormatting>
  <conditionalFormatting sqref="C20:C29">
    <cfRule type="expression" dxfId="187" priority="21">
      <formula>D20="Optional"</formula>
    </cfRule>
  </conditionalFormatting>
  <conditionalFormatting sqref="D20:D29 F20:F29 J20:J29 L20:L29 P20:P29 R20:R29 T20:T29">
    <cfRule type="expression" dxfId="186" priority="20">
      <formula>D20="Optional"</formula>
    </cfRule>
  </conditionalFormatting>
  <conditionalFormatting sqref="E20:E29">
    <cfRule type="expression" dxfId="185" priority="19">
      <formula>F20="Optional"</formula>
    </cfRule>
  </conditionalFormatting>
  <conditionalFormatting sqref="I20:I29">
    <cfRule type="expression" dxfId="184" priority="17">
      <formula>J20="Optional"</formula>
    </cfRule>
  </conditionalFormatting>
  <conditionalFormatting sqref="K20:K29">
    <cfRule type="expression" dxfId="183" priority="15">
      <formula>L20="Optional"</formula>
    </cfRule>
  </conditionalFormatting>
  <conditionalFormatting sqref="O20:O29">
    <cfRule type="expression" dxfId="182" priority="13">
      <formula>P20="Optional"</formula>
    </cfRule>
  </conditionalFormatting>
  <conditionalFormatting sqref="Q20:Q29">
    <cfRule type="expression" dxfId="181" priority="11">
      <formula>R20="Optional"</formula>
    </cfRule>
  </conditionalFormatting>
  <conditionalFormatting sqref="S20:S29">
    <cfRule type="expression" dxfId="180" priority="9">
      <formula>T20="Optional"</formula>
    </cfRule>
  </conditionalFormatting>
  <conditionalFormatting sqref="B33:J37">
    <cfRule type="expression" dxfId="179" priority="5">
      <formula>NOT($B$15="")</formula>
    </cfRule>
  </conditionalFormatting>
  <conditionalFormatting sqref="I35:I37 B19:V29">
    <cfRule type="expression" dxfId="178" priority="2">
      <formula>NOT($B$15="")</formula>
    </cfRule>
  </conditionalFormatting>
  <dataValidations count="3">
    <dataValidation type="decimal" operator="greaterThanOrEqual" allowBlank="1" showInputMessage="1" showErrorMessage="1" sqref="O20:O29 M20:M29 K20:K29 I20:I29 S20:S29 E20:E29" xr:uid="{00000000-0002-0000-0200-000000000000}">
      <formula1>0</formula1>
    </dataValidation>
    <dataValidation type="decimal" allowBlank="1" showInputMessage="1" showErrorMessage="1" errorTitle="Invalid Input" error="Enter a number between 0 and 12 months per year." sqref="C20:C29 Q20:Q29 G20:G29" xr:uid="{00000000-0002-0000-0200-000001000000}">
      <formula1>0</formula1>
      <formula2>12</formula2>
    </dataValidation>
    <dataValidation type="list" allowBlank="1" showInputMessage="1" showErrorMessage="1" sqref="U20:U29" xr:uid="{00000000-0002-0000-0200-000002000000}">
      <formula1>$AO$117:$AO$129</formula1>
    </dataValidation>
  </dataValidations>
  <hyperlinks>
    <hyperlink ref="B12" r:id="rId1" tooltip="Link to SoilWeb Tool" xr:uid="{00000000-0004-0000-0200-000000000000}"/>
    <hyperlink ref="B10" r:id="rId2" tooltip="Link to Land Restoration Benefits Tool User Guide" xr:uid="{00000000-0004-0000-0200-000001000000}"/>
  </hyperlinks>
  <pageMargins left="0.7" right="0.7" top="0.75" bottom="0.75" header="0.3" footer="0.3"/>
  <pageSetup orientation="portrait" r:id="rId3"/>
  <ignoredErrors>
    <ignoredError sqref="Z99:AC99 AF99:AG99 Z51:AF51 AA35:AD35 AH115 Z83 AC83 AK38:AK44 AE99" numberStoredAsText="1"/>
  </ignoredErrors>
  <drawing r:id="rId4"/>
  <legacyDrawing r:id="rId5"/>
  <tableParts count="1">
    <tablePart r:id="rId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B1:AH86"/>
  <sheetViews>
    <sheetView showGridLines="0" zoomScaleNormal="100" workbookViewId="0"/>
  </sheetViews>
  <sheetFormatPr defaultColWidth="9.109375" defaultRowHeight="15.6" x14ac:dyDescent="0.3"/>
  <cols>
    <col min="1" max="1" width="2.88671875" style="2" customWidth="1"/>
    <col min="2" max="2" width="9.6640625" style="2" customWidth="1"/>
    <col min="3" max="3" width="16.33203125" style="2" customWidth="1"/>
    <col min="4" max="4" width="10.6640625" style="5" customWidth="1"/>
    <col min="5" max="5" width="15.109375" style="2" customWidth="1"/>
    <col min="6" max="6" width="14.33203125" style="5" bestFit="1" customWidth="1"/>
    <col min="7" max="7" width="15.109375" style="2" customWidth="1"/>
    <col min="8" max="8" width="10.88671875" style="2" customWidth="1"/>
    <col min="9" max="9" width="9.109375" style="2" customWidth="1"/>
    <col min="10" max="10" width="11" style="2" customWidth="1"/>
    <col min="11" max="14" width="10.109375" style="2" customWidth="1"/>
    <col min="15" max="15" width="10.88671875" style="2" customWidth="1"/>
    <col min="16" max="16" width="11.88671875" style="185" hidden="1" customWidth="1"/>
    <col min="17" max="17" width="11.33203125" style="185" hidden="1" customWidth="1"/>
    <col min="18" max="18" width="10.5546875" style="185" hidden="1" customWidth="1"/>
    <col min="19" max="19" width="11.5546875" style="185" hidden="1" customWidth="1"/>
    <col min="20" max="20" width="11.109375" style="185" hidden="1" customWidth="1"/>
    <col min="21" max="22" width="9.6640625" style="185" hidden="1" customWidth="1"/>
    <col min="23" max="23" width="9.5546875" style="185" hidden="1" customWidth="1"/>
    <col min="24" max="24" width="5.88671875" style="185" hidden="1" customWidth="1"/>
    <col min="25" max="25" width="8.88671875" style="185" hidden="1" customWidth="1"/>
    <col min="26" max="26" width="9" style="185" hidden="1" customWidth="1"/>
    <col min="27" max="27" width="9.6640625" style="185" hidden="1" customWidth="1"/>
    <col min="28" max="28" width="5.88671875" style="185" hidden="1" customWidth="1"/>
    <col min="29" max="29" width="9" style="185" hidden="1" customWidth="1"/>
    <col min="30" max="30" width="2.88671875" style="185" hidden="1" customWidth="1"/>
    <col min="31" max="32" width="11.5546875" style="185" hidden="1" customWidth="1"/>
    <col min="33" max="33" width="11.88671875" style="185" hidden="1" customWidth="1"/>
    <col min="34" max="34" width="10.6640625" style="185" hidden="1" customWidth="1"/>
    <col min="35" max="35" width="0" style="2" hidden="1" customWidth="1"/>
    <col min="36" max="16384" width="9.109375" style="2"/>
  </cols>
  <sheetData>
    <row r="1" spans="2:34" ht="21" x14ac:dyDescent="0.4">
      <c r="B1" s="140" t="str">
        <f>'Read Me'!B1</f>
        <v>California Air Resources Board</v>
      </c>
      <c r="C1" s="36"/>
      <c r="D1" s="39"/>
      <c r="E1" s="36"/>
      <c r="F1" s="39"/>
      <c r="G1" s="36"/>
      <c r="H1" s="36"/>
      <c r="I1" s="36"/>
      <c r="J1" s="36"/>
      <c r="P1" s="185" t="s">
        <v>435</v>
      </c>
      <c r="Q1" s="185" t="s">
        <v>435</v>
      </c>
      <c r="R1" s="185" t="s">
        <v>435</v>
      </c>
      <c r="S1" s="185" t="s">
        <v>435</v>
      </c>
      <c r="T1" s="185" t="s">
        <v>435</v>
      </c>
      <c r="U1" s="185" t="s">
        <v>435</v>
      </c>
      <c r="V1" s="185" t="s">
        <v>435</v>
      </c>
      <c r="W1" s="185" t="s">
        <v>435</v>
      </c>
      <c r="X1" s="185" t="s">
        <v>435</v>
      </c>
      <c r="Y1" s="185" t="s">
        <v>435</v>
      </c>
      <c r="Z1" s="185" t="s">
        <v>435</v>
      </c>
      <c r="AA1" s="185" t="s">
        <v>435</v>
      </c>
      <c r="AB1" s="185" t="s">
        <v>435</v>
      </c>
      <c r="AC1" s="185" t="s">
        <v>435</v>
      </c>
      <c r="AD1" s="185" t="s">
        <v>435</v>
      </c>
      <c r="AE1" s="185" t="s">
        <v>435</v>
      </c>
      <c r="AF1" s="185" t="s">
        <v>435</v>
      </c>
      <c r="AG1" s="185" t="s">
        <v>435</v>
      </c>
      <c r="AH1" s="185" t="s">
        <v>435</v>
      </c>
    </row>
    <row r="2" spans="2:34" ht="21" x14ac:dyDescent="0.4">
      <c r="B2" s="140"/>
      <c r="C2" s="36"/>
      <c r="D2" s="39"/>
      <c r="E2" s="36"/>
      <c r="F2" s="39"/>
      <c r="G2" s="36"/>
      <c r="H2" s="36"/>
      <c r="I2" s="36"/>
      <c r="J2" s="36"/>
    </row>
    <row r="3" spans="2:34" ht="21" x14ac:dyDescent="0.4">
      <c r="B3" s="140" t="str">
        <f>'Read Me'!B3</f>
        <v>Revised Draft Benefits Calculator Tool</v>
      </c>
      <c r="C3" s="36"/>
      <c r="D3" s="39"/>
      <c r="E3" s="36"/>
      <c r="F3" s="39"/>
      <c r="G3" s="36"/>
      <c r="H3" s="36"/>
      <c r="I3" s="36"/>
      <c r="J3" s="36"/>
    </row>
    <row r="4" spans="2:34" ht="21" x14ac:dyDescent="0.4">
      <c r="B4" s="140" t="str">
        <f>Delta</f>
        <v>Delta Wetland</v>
      </c>
      <c r="C4" s="36"/>
      <c r="D4" s="39"/>
      <c r="E4" s="36"/>
      <c r="F4" s="39"/>
      <c r="G4" s="36"/>
      <c r="H4" s="36"/>
      <c r="I4" s="36"/>
      <c r="J4" s="36"/>
    </row>
    <row r="5" spans="2:34" ht="21" x14ac:dyDescent="0.4">
      <c r="B5" s="140"/>
      <c r="C5" s="36"/>
      <c r="D5" s="39"/>
      <c r="E5" s="36"/>
      <c r="F5" s="39"/>
      <c r="G5" s="36"/>
      <c r="H5" s="36"/>
      <c r="I5" s="36"/>
      <c r="J5" s="36"/>
    </row>
    <row r="6" spans="2:34" ht="21" x14ac:dyDescent="0.4">
      <c r="B6" s="140" t="str">
        <f>'Read Me'!B6</f>
        <v xml:space="preserve">California Climate Investments </v>
      </c>
      <c r="C6" s="36"/>
      <c r="D6" s="39"/>
      <c r="E6" s="36"/>
      <c r="F6" s="39"/>
      <c r="G6" s="36"/>
      <c r="H6" s="36"/>
      <c r="I6" s="36"/>
      <c r="J6" s="36"/>
    </row>
    <row r="8" spans="2:34" x14ac:dyDescent="0.3">
      <c r="B8" s="1" t="s">
        <v>8</v>
      </c>
      <c r="F8" s="7"/>
      <c r="G8" s="3"/>
      <c r="H8" s="3"/>
      <c r="I8" s="3"/>
      <c r="J8" s="3"/>
      <c r="K8" s="3"/>
    </row>
    <row r="9" spans="2:34" ht="15" customHeight="1" x14ac:dyDescent="0.3">
      <c r="B9" s="580" t="s">
        <v>114</v>
      </c>
      <c r="C9" s="581"/>
      <c r="D9" s="582"/>
      <c r="E9" s="581"/>
      <c r="F9" s="582"/>
      <c r="G9" s="581"/>
      <c r="H9" s="581"/>
      <c r="I9" s="581"/>
      <c r="J9" s="583"/>
    </row>
    <row r="10" spans="2:34" ht="15" customHeight="1" x14ac:dyDescent="0.3">
      <c r="B10" s="614" t="s">
        <v>539</v>
      </c>
      <c r="C10" s="589"/>
      <c r="D10" s="590"/>
      <c r="E10" s="589"/>
      <c r="F10" s="590"/>
      <c r="G10" s="589"/>
      <c r="H10" s="589"/>
      <c r="I10" s="589"/>
      <c r="J10" s="591"/>
    </row>
    <row r="11" spans="2:34" ht="15" customHeight="1" x14ac:dyDescent="0.3">
      <c r="B11" s="47"/>
      <c r="C11" s="47"/>
      <c r="D11" s="47"/>
      <c r="E11" s="47"/>
      <c r="F11" s="47"/>
      <c r="G11" s="47"/>
      <c r="H11" s="47"/>
      <c r="I11" s="47"/>
      <c r="J11" s="47"/>
      <c r="S11" s="415"/>
      <c r="T11" s="72"/>
      <c r="U11" s="72"/>
      <c r="V11" s="72"/>
      <c r="W11" s="72"/>
    </row>
    <row r="12" spans="2:34" ht="15" customHeight="1" x14ac:dyDescent="0.3">
      <c r="B12" s="598" t="str">
        <f>"This worksheet is for calculating the GHG benefit for "&amp;B4&amp;"."</f>
        <v>This worksheet is for calculating the GHG benefit for Delta Wetland.</v>
      </c>
      <c r="C12" s="599"/>
      <c r="D12" s="599"/>
      <c r="E12" s="599"/>
      <c r="F12" s="599"/>
      <c r="G12" s="599"/>
      <c r="H12" s="599"/>
      <c r="I12" s="599"/>
      <c r="J12" s="600"/>
      <c r="P12" s="308"/>
      <c r="Q12" s="115"/>
      <c r="S12" s="115"/>
      <c r="T12" s="115"/>
      <c r="U12" s="115"/>
      <c r="V12" s="115"/>
      <c r="W12" s="115"/>
      <c r="X12" s="115"/>
      <c r="Y12" s="115"/>
      <c r="Z12" s="115"/>
      <c r="AA12" s="115"/>
      <c r="AB12" s="115"/>
      <c r="AC12" s="115"/>
    </row>
    <row r="13" spans="2:34" ht="15" customHeight="1" x14ac:dyDescent="0.3">
      <c r="B13" s="601" t="str">
        <f>IF(ProjectType=B4,"","DO NOT USE THIS WORKSHEET FOR THE SELECTED TYPE IN THE PROJECT INFO WORKSHEET.")</f>
        <v/>
      </c>
      <c r="C13" s="602"/>
      <c r="D13" s="602"/>
      <c r="E13" s="602"/>
      <c r="F13" s="602"/>
      <c r="G13" s="602"/>
      <c r="H13" s="602"/>
      <c r="I13" s="602"/>
      <c r="J13" s="603"/>
      <c r="P13" s="308" t="s">
        <v>305</v>
      </c>
      <c r="Q13" s="115"/>
      <c r="R13" s="115"/>
      <c r="S13" s="115"/>
      <c r="T13" s="115"/>
      <c r="U13" s="115"/>
      <c r="V13" s="115"/>
      <c r="W13" s="115"/>
      <c r="X13" s="115"/>
      <c r="Y13" s="115"/>
      <c r="Z13" s="115"/>
      <c r="AA13" s="115"/>
      <c r="AB13" s="115"/>
      <c r="AC13" s="115"/>
    </row>
    <row r="14" spans="2:34" ht="15" customHeight="1" x14ac:dyDescent="0.3">
      <c r="D14" s="2"/>
      <c r="F14" s="2"/>
      <c r="P14" s="308"/>
      <c r="Q14" s="115"/>
      <c r="R14" s="115"/>
      <c r="S14" s="115"/>
      <c r="T14" s="115"/>
      <c r="U14" s="115"/>
      <c r="V14" s="115"/>
      <c r="W14" s="115"/>
      <c r="X14" s="115"/>
      <c r="Y14" s="115"/>
      <c r="Z14" s="115"/>
      <c r="AA14" s="115"/>
      <c r="AB14" s="115"/>
      <c r="AC14" s="115"/>
    </row>
    <row r="15" spans="2:34" ht="15" customHeight="1" x14ac:dyDescent="0.3">
      <c r="B15" s="51" t="s">
        <v>50</v>
      </c>
      <c r="C15" s="4"/>
      <c r="D15" s="6"/>
      <c r="E15" s="4"/>
      <c r="F15" s="6"/>
      <c r="G15" s="4"/>
      <c r="H15" s="4"/>
      <c r="I15" s="4"/>
      <c r="J15" s="4"/>
      <c r="K15" s="4"/>
      <c r="L15" s="3"/>
      <c r="P15" s="308"/>
      <c r="Q15" s="115"/>
      <c r="R15" s="115"/>
      <c r="S15" s="115"/>
      <c r="T15" s="115"/>
      <c r="U15" s="115"/>
      <c r="V15" s="115"/>
      <c r="W15" s="115"/>
      <c r="X15" s="115"/>
      <c r="Y15" s="115"/>
      <c r="Z15" s="115"/>
      <c r="AA15" s="115"/>
      <c r="AB15" s="115"/>
      <c r="AC15" s="115"/>
    </row>
    <row r="16" spans="2:34" ht="16.2" x14ac:dyDescent="0.35">
      <c r="P16" s="534" t="s">
        <v>76</v>
      </c>
      <c r="Q16" s="320" t="s">
        <v>313</v>
      </c>
      <c r="R16" s="275" t="s">
        <v>254</v>
      </c>
      <c r="S16" s="275" t="s">
        <v>252</v>
      </c>
      <c r="T16" s="275" t="s">
        <v>251</v>
      </c>
      <c r="U16" s="275" t="s">
        <v>236</v>
      </c>
      <c r="V16" s="275" t="s">
        <v>311</v>
      </c>
      <c r="W16" s="275" t="s">
        <v>249</v>
      </c>
      <c r="X16" s="273" t="s">
        <v>314</v>
      </c>
      <c r="Y16" s="273" t="s">
        <v>315</v>
      </c>
      <c r="Z16" s="273" t="s">
        <v>316</v>
      </c>
      <c r="AA16" s="275" t="s">
        <v>275</v>
      </c>
      <c r="AB16" s="275" t="s">
        <v>237</v>
      </c>
      <c r="AC16" s="273" t="s">
        <v>276</v>
      </c>
      <c r="AE16" s="185" t="s">
        <v>396</v>
      </c>
    </row>
    <row r="17" spans="2:34" ht="78.599999999999994" thickBot="1" x14ac:dyDescent="0.35">
      <c r="B17" s="558" t="s">
        <v>77</v>
      </c>
      <c r="C17" s="118" t="s">
        <v>95</v>
      </c>
      <c r="D17" s="611" t="s">
        <v>82</v>
      </c>
      <c r="E17" s="118" t="s">
        <v>127</v>
      </c>
      <c r="F17" s="554" t="s">
        <v>131</v>
      </c>
      <c r="G17" s="118" t="s">
        <v>96</v>
      </c>
      <c r="H17" s="8" t="s">
        <v>84</v>
      </c>
      <c r="I17" s="150"/>
      <c r="P17" s="535"/>
      <c r="Q17" s="329" t="s">
        <v>384</v>
      </c>
      <c r="R17" s="416" t="s">
        <v>385</v>
      </c>
      <c r="S17" s="416" t="s">
        <v>386</v>
      </c>
      <c r="T17" s="416" t="s">
        <v>207</v>
      </c>
      <c r="U17" s="329" t="s">
        <v>387</v>
      </c>
      <c r="V17" s="329" t="s">
        <v>388</v>
      </c>
      <c r="W17" s="416" t="s">
        <v>212</v>
      </c>
      <c r="X17" s="416" t="s">
        <v>185</v>
      </c>
      <c r="Y17" s="329" t="s">
        <v>389</v>
      </c>
      <c r="Z17" s="329" t="s">
        <v>389</v>
      </c>
      <c r="AA17" s="329" t="s">
        <v>390</v>
      </c>
      <c r="AB17" s="416" t="s">
        <v>201</v>
      </c>
      <c r="AC17" s="417" t="s">
        <v>384</v>
      </c>
      <c r="AE17" s="287" t="s">
        <v>55</v>
      </c>
      <c r="AF17" s="285" t="s">
        <v>57</v>
      </c>
      <c r="AG17" s="285" t="s">
        <v>153</v>
      </c>
      <c r="AH17" s="286" t="s">
        <v>154</v>
      </c>
    </row>
    <row r="18" spans="2:34" ht="16.8" thickTop="1" x14ac:dyDescent="0.35">
      <c r="B18" s="559">
        <v>1</v>
      </c>
      <c r="C18" s="155"/>
      <c r="D18" s="120" t="str">
        <f t="shared" ref="D18:D27" si="0">IF(ISBLANK(C18),IF(OR(NOT(ISBLANK(C18)),NOT(ISBLANK(G18))),"Required","Optional"),"acres")</f>
        <v>Optional</v>
      </c>
      <c r="E18" s="177"/>
      <c r="F18" s="562" t="str">
        <f t="shared" ref="F18:F27" si="1">IF(ISBLANK(E18),IF(SUM(C18)&gt;0,"Optional","N/A"),"lb-N/acre-yr")</f>
        <v>N/A</v>
      </c>
      <c r="G18" s="155"/>
      <c r="H18" s="124" t="str">
        <f t="shared" ref="H18:H27" si="2">IF(ISBLANK(G18),IF(OR(NOT(ISBLANK(C18)),NOT(ISBLANK(G18))),"Required","Optional"),"acres")</f>
        <v>Optional</v>
      </c>
      <c r="J18" s="146" t="s">
        <v>27</v>
      </c>
      <c r="K18" s="147"/>
      <c r="L18" s="147"/>
      <c r="M18" s="147"/>
      <c r="N18" s="148"/>
      <c r="P18" s="418">
        <v>1</v>
      </c>
      <c r="Q18" s="419">
        <f>((R18*S18/T18*U18-V18*W18)*X18+(Y18+Z18)*AA18)*AB18</f>
        <v>0</v>
      </c>
      <c r="R18" s="420">
        <f t="shared" ref="R18:R27" si="3">$AF$19</f>
        <v>0.05</v>
      </c>
      <c r="S18" s="421">
        <f t="shared" ref="S18:S27" si="4">$AF$20</f>
        <v>40468564</v>
      </c>
      <c r="T18" s="422">
        <f t="shared" ref="T18:T27" si="5">$AF$21</f>
        <v>1000000</v>
      </c>
      <c r="U18" s="423">
        <f t="shared" ref="U18:U27" si="6">$AF$22</f>
        <v>3.6666666666666665</v>
      </c>
      <c r="V18" s="423">
        <f t="shared" ref="V18:V27" si="7">$AF$23</f>
        <v>2.6</v>
      </c>
      <c r="W18" s="424">
        <f t="shared" ref="W18:W27" si="8">$AF$24</f>
        <v>0.4047</v>
      </c>
      <c r="X18" s="425">
        <f>Delta_Input[[#This Row],[Acres restored to Delta wetland]]</f>
        <v>0</v>
      </c>
      <c r="Y18" s="425">
        <f>Q35</f>
        <v>0</v>
      </c>
      <c r="Z18" s="425">
        <f>Q51</f>
        <v>0</v>
      </c>
      <c r="AA18" s="426">
        <f t="shared" ref="AA18:AA27" si="9">$AF$28</f>
        <v>298</v>
      </c>
      <c r="AB18" s="426">
        <f t="shared" ref="AB18:AB27" si="10">$AF$29</f>
        <v>50</v>
      </c>
      <c r="AC18" s="427"/>
      <c r="AE18" s="320" t="s">
        <v>313</v>
      </c>
      <c r="AF18" s="196"/>
      <c r="AG18" s="286" t="s">
        <v>155</v>
      </c>
      <c r="AH18" s="286" t="s">
        <v>308</v>
      </c>
    </row>
    <row r="19" spans="2:34" x14ac:dyDescent="0.3">
      <c r="B19" s="560">
        <v>2</v>
      </c>
      <c r="C19" s="157"/>
      <c r="D19" s="121" t="str">
        <f t="shared" si="0"/>
        <v>Optional</v>
      </c>
      <c r="E19" s="177"/>
      <c r="F19" s="562" t="str">
        <f t="shared" si="1"/>
        <v>N/A</v>
      </c>
      <c r="G19" s="155"/>
      <c r="H19" s="124" t="str">
        <f t="shared" si="2"/>
        <v>Optional</v>
      </c>
      <c r="J19" s="136" t="s">
        <v>18</v>
      </c>
      <c r="K19" s="63" t="s">
        <v>22</v>
      </c>
      <c r="L19" s="63"/>
      <c r="M19" s="63"/>
      <c r="N19" s="64"/>
      <c r="P19" s="418">
        <v>2</v>
      </c>
      <c r="Q19" s="419">
        <f t="shared" ref="Q19:Q27" si="11">((R19*S19/T19*U19-V19*W19)*X19+(Y19+Z19)*AA19)*AB19</f>
        <v>0</v>
      </c>
      <c r="R19" s="420">
        <f t="shared" si="3"/>
        <v>0.05</v>
      </c>
      <c r="S19" s="421">
        <f t="shared" si="4"/>
        <v>40468564</v>
      </c>
      <c r="T19" s="422">
        <f t="shared" si="5"/>
        <v>1000000</v>
      </c>
      <c r="U19" s="423">
        <f t="shared" si="6"/>
        <v>3.6666666666666665</v>
      </c>
      <c r="V19" s="423">
        <f t="shared" si="7"/>
        <v>2.6</v>
      </c>
      <c r="W19" s="424">
        <f t="shared" si="8"/>
        <v>0.4047</v>
      </c>
      <c r="X19" s="425">
        <f>Delta_Input[[#This Row],[Acres restored to Delta wetland]]</f>
        <v>0</v>
      </c>
      <c r="Y19" s="425">
        <f t="shared" ref="Y19:Y27" si="12">Q36</f>
        <v>0</v>
      </c>
      <c r="Z19" s="425">
        <f t="shared" ref="Z19:Z27" si="13">Q52</f>
        <v>0</v>
      </c>
      <c r="AA19" s="426">
        <f t="shared" si="9"/>
        <v>298</v>
      </c>
      <c r="AB19" s="426">
        <f t="shared" si="10"/>
        <v>50</v>
      </c>
      <c r="AC19" s="428"/>
      <c r="AE19" s="287">
        <v>0.05</v>
      </c>
      <c r="AF19" s="196">
        <v>0.05</v>
      </c>
      <c r="AG19" s="286" t="s">
        <v>159</v>
      </c>
      <c r="AH19" s="286" t="s">
        <v>317</v>
      </c>
    </row>
    <row r="20" spans="2:34" x14ac:dyDescent="0.3">
      <c r="B20" s="560">
        <v>3</v>
      </c>
      <c r="C20" s="157"/>
      <c r="D20" s="121" t="str">
        <f t="shared" si="0"/>
        <v>Optional</v>
      </c>
      <c r="E20" s="177"/>
      <c r="F20" s="562" t="str">
        <f t="shared" si="1"/>
        <v>N/A</v>
      </c>
      <c r="G20" s="155"/>
      <c r="H20" s="124" t="str">
        <f t="shared" si="2"/>
        <v>Optional</v>
      </c>
      <c r="J20" s="137" t="s">
        <v>19</v>
      </c>
      <c r="K20" s="63" t="s">
        <v>23</v>
      </c>
      <c r="L20" s="63"/>
      <c r="M20" s="63"/>
      <c r="N20" s="64"/>
      <c r="P20" s="320">
        <v>3</v>
      </c>
      <c r="Q20" s="419">
        <f t="shared" si="11"/>
        <v>0</v>
      </c>
      <c r="R20" s="420">
        <f t="shared" si="3"/>
        <v>0.05</v>
      </c>
      <c r="S20" s="421">
        <f t="shared" si="4"/>
        <v>40468564</v>
      </c>
      <c r="T20" s="422">
        <f t="shared" si="5"/>
        <v>1000000</v>
      </c>
      <c r="U20" s="423">
        <f t="shared" si="6"/>
        <v>3.6666666666666665</v>
      </c>
      <c r="V20" s="423">
        <f t="shared" si="7"/>
        <v>2.6</v>
      </c>
      <c r="W20" s="424">
        <f t="shared" si="8"/>
        <v>0.4047</v>
      </c>
      <c r="X20" s="425">
        <f>Delta_Input[[#This Row],[Acres restored to Delta wetland]]</f>
        <v>0</v>
      </c>
      <c r="Y20" s="425">
        <f t="shared" si="12"/>
        <v>0</v>
      </c>
      <c r="Z20" s="425">
        <f t="shared" si="13"/>
        <v>0</v>
      </c>
      <c r="AA20" s="426">
        <f t="shared" si="9"/>
        <v>298</v>
      </c>
      <c r="AB20" s="426">
        <f t="shared" si="10"/>
        <v>50</v>
      </c>
      <c r="AC20" s="428"/>
      <c r="AE20" s="288">
        <v>40468564</v>
      </c>
      <c r="AF20" s="321">
        <v>40468564</v>
      </c>
      <c r="AG20" s="286" t="s">
        <v>176</v>
      </c>
      <c r="AH20" s="286" t="s">
        <v>285</v>
      </c>
    </row>
    <row r="21" spans="2:34" x14ac:dyDescent="0.3">
      <c r="B21" s="560">
        <v>4</v>
      </c>
      <c r="C21" s="157"/>
      <c r="D21" s="121" t="str">
        <f t="shared" si="0"/>
        <v>Optional</v>
      </c>
      <c r="E21" s="177"/>
      <c r="F21" s="562" t="str">
        <f t="shared" si="1"/>
        <v>N/A</v>
      </c>
      <c r="G21" s="155"/>
      <c r="H21" s="124" t="str">
        <f t="shared" si="2"/>
        <v>Optional</v>
      </c>
      <c r="J21" s="138" t="s">
        <v>20</v>
      </c>
      <c r="K21" s="63" t="s">
        <v>26</v>
      </c>
      <c r="L21" s="63"/>
      <c r="M21" s="63"/>
      <c r="N21" s="64"/>
      <c r="P21" s="320">
        <v>4</v>
      </c>
      <c r="Q21" s="419">
        <f t="shared" si="11"/>
        <v>0</v>
      </c>
      <c r="R21" s="420">
        <f t="shared" si="3"/>
        <v>0.05</v>
      </c>
      <c r="S21" s="421">
        <f t="shared" si="4"/>
        <v>40468564</v>
      </c>
      <c r="T21" s="422">
        <f t="shared" si="5"/>
        <v>1000000</v>
      </c>
      <c r="U21" s="423">
        <f t="shared" si="6"/>
        <v>3.6666666666666665</v>
      </c>
      <c r="V21" s="423">
        <f t="shared" si="7"/>
        <v>2.6</v>
      </c>
      <c r="W21" s="424">
        <f t="shared" si="8"/>
        <v>0.4047</v>
      </c>
      <c r="X21" s="425">
        <f>Delta_Input[[#This Row],[Acres restored to Delta wetland]]</f>
        <v>0</v>
      </c>
      <c r="Y21" s="425">
        <f t="shared" si="12"/>
        <v>0</v>
      </c>
      <c r="Z21" s="425">
        <f t="shared" si="13"/>
        <v>0</v>
      </c>
      <c r="AA21" s="426">
        <f t="shared" si="9"/>
        <v>298</v>
      </c>
      <c r="AB21" s="426">
        <f t="shared" si="10"/>
        <v>50</v>
      </c>
      <c r="AC21" s="429"/>
      <c r="AE21" s="288">
        <v>1000000</v>
      </c>
      <c r="AF21" s="321">
        <v>1000000</v>
      </c>
      <c r="AG21" s="286" t="s">
        <v>176</v>
      </c>
      <c r="AH21" s="286" t="s">
        <v>286</v>
      </c>
    </row>
    <row r="22" spans="2:34" ht="16.2" thickBot="1" x14ac:dyDescent="0.35">
      <c r="B22" s="560">
        <v>5</v>
      </c>
      <c r="C22" s="157"/>
      <c r="D22" s="121" t="str">
        <f t="shared" si="0"/>
        <v>Optional</v>
      </c>
      <c r="E22" s="177"/>
      <c r="F22" s="562" t="str">
        <f t="shared" si="1"/>
        <v>N/A</v>
      </c>
      <c r="G22" s="155"/>
      <c r="H22" s="124" t="str">
        <f t="shared" si="2"/>
        <v>Optional</v>
      </c>
      <c r="J22" s="139" t="s">
        <v>21</v>
      </c>
      <c r="K22" s="67" t="s">
        <v>25</v>
      </c>
      <c r="L22" s="67"/>
      <c r="M22" s="67"/>
      <c r="N22" s="68"/>
      <c r="P22" s="418">
        <v>5</v>
      </c>
      <c r="Q22" s="419">
        <f t="shared" si="11"/>
        <v>0</v>
      </c>
      <c r="R22" s="420">
        <f t="shared" si="3"/>
        <v>0.05</v>
      </c>
      <c r="S22" s="421">
        <f t="shared" si="4"/>
        <v>40468564</v>
      </c>
      <c r="T22" s="422">
        <f t="shared" si="5"/>
        <v>1000000</v>
      </c>
      <c r="U22" s="423">
        <f t="shared" si="6"/>
        <v>3.6666666666666665</v>
      </c>
      <c r="V22" s="423">
        <f t="shared" si="7"/>
        <v>2.6</v>
      </c>
      <c r="W22" s="424">
        <f t="shared" si="8"/>
        <v>0.4047</v>
      </c>
      <c r="X22" s="425">
        <f>Delta_Input[[#This Row],[Acres restored to Delta wetland]]</f>
        <v>0</v>
      </c>
      <c r="Y22" s="425">
        <f t="shared" si="12"/>
        <v>0</v>
      </c>
      <c r="Z22" s="425">
        <f t="shared" si="13"/>
        <v>0</v>
      </c>
      <c r="AA22" s="426">
        <f t="shared" si="9"/>
        <v>298</v>
      </c>
      <c r="AB22" s="426">
        <f t="shared" si="10"/>
        <v>50</v>
      </c>
      <c r="AC22" s="429"/>
      <c r="AE22" s="275" t="s">
        <v>236</v>
      </c>
      <c r="AF22" s="322">
        <f>44/12</f>
        <v>3.6666666666666665</v>
      </c>
      <c r="AG22" s="286" t="s">
        <v>176</v>
      </c>
      <c r="AH22" s="286" t="s">
        <v>178</v>
      </c>
    </row>
    <row r="23" spans="2:34" x14ac:dyDescent="0.3">
      <c r="B23" s="560">
        <v>6</v>
      </c>
      <c r="C23" s="157"/>
      <c r="D23" s="121" t="str">
        <f t="shared" si="0"/>
        <v>Optional</v>
      </c>
      <c r="E23" s="177"/>
      <c r="F23" s="562" t="str">
        <f t="shared" si="1"/>
        <v>N/A</v>
      </c>
      <c r="G23" s="155"/>
      <c r="H23" s="124" t="str">
        <f t="shared" si="2"/>
        <v>Optional</v>
      </c>
      <c r="J23" s="70" t="s">
        <v>24</v>
      </c>
      <c r="K23" s="72"/>
      <c r="L23" s="72"/>
      <c r="M23" s="72"/>
      <c r="N23" s="72"/>
      <c r="P23" s="320">
        <v>6</v>
      </c>
      <c r="Q23" s="419">
        <f t="shared" si="11"/>
        <v>0</v>
      </c>
      <c r="R23" s="420">
        <f t="shared" si="3"/>
        <v>0.05</v>
      </c>
      <c r="S23" s="421">
        <f t="shared" si="4"/>
        <v>40468564</v>
      </c>
      <c r="T23" s="422">
        <f t="shared" si="5"/>
        <v>1000000</v>
      </c>
      <c r="U23" s="423">
        <f t="shared" si="6"/>
        <v>3.6666666666666665</v>
      </c>
      <c r="V23" s="423">
        <f t="shared" si="7"/>
        <v>2.6</v>
      </c>
      <c r="W23" s="424">
        <f t="shared" si="8"/>
        <v>0.4047</v>
      </c>
      <c r="X23" s="425">
        <f>Delta_Input[[#This Row],[Acres restored to Delta wetland]]</f>
        <v>0</v>
      </c>
      <c r="Y23" s="425">
        <f t="shared" si="12"/>
        <v>0</v>
      </c>
      <c r="Z23" s="425">
        <f t="shared" si="13"/>
        <v>0</v>
      </c>
      <c r="AA23" s="426">
        <f t="shared" si="9"/>
        <v>298</v>
      </c>
      <c r="AB23" s="426">
        <f t="shared" si="10"/>
        <v>50</v>
      </c>
      <c r="AC23" s="429"/>
      <c r="AE23" s="275" t="s">
        <v>311</v>
      </c>
      <c r="AF23" s="318">
        <v>2.6</v>
      </c>
      <c r="AG23" s="286" t="s">
        <v>159</v>
      </c>
      <c r="AH23" s="286" t="s">
        <v>318</v>
      </c>
    </row>
    <row r="24" spans="2:34" x14ac:dyDescent="0.3">
      <c r="B24" s="560">
        <v>7</v>
      </c>
      <c r="C24" s="157"/>
      <c r="D24" s="121" t="str">
        <f t="shared" si="0"/>
        <v>Optional</v>
      </c>
      <c r="E24" s="177"/>
      <c r="F24" s="562" t="str">
        <f t="shared" si="1"/>
        <v>N/A</v>
      </c>
      <c r="G24" s="155"/>
      <c r="H24" s="124" t="str">
        <f t="shared" si="2"/>
        <v>Optional</v>
      </c>
      <c r="P24" s="320">
        <v>7</v>
      </c>
      <c r="Q24" s="419">
        <f t="shared" si="11"/>
        <v>0</v>
      </c>
      <c r="R24" s="420">
        <f t="shared" si="3"/>
        <v>0.05</v>
      </c>
      <c r="S24" s="421">
        <f t="shared" si="4"/>
        <v>40468564</v>
      </c>
      <c r="T24" s="422">
        <f t="shared" si="5"/>
        <v>1000000</v>
      </c>
      <c r="U24" s="423">
        <f t="shared" si="6"/>
        <v>3.6666666666666665</v>
      </c>
      <c r="V24" s="423">
        <f t="shared" si="7"/>
        <v>2.6</v>
      </c>
      <c r="W24" s="424">
        <f t="shared" si="8"/>
        <v>0.4047</v>
      </c>
      <c r="X24" s="425">
        <f>Delta_Input[[#This Row],[Acres restored to Delta wetland]]</f>
        <v>0</v>
      </c>
      <c r="Y24" s="425">
        <f t="shared" si="12"/>
        <v>0</v>
      </c>
      <c r="Z24" s="425">
        <f t="shared" si="13"/>
        <v>0</v>
      </c>
      <c r="AA24" s="426">
        <f t="shared" si="9"/>
        <v>298</v>
      </c>
      <c r="AB24" s="426">
        <f t="shared" si="10"/>
        <v>50</v>
      </c>
      <c r="AC24" s="429"/>
      <c r="AE24" s="275" t="s">
        <v>249</v>
      </c>
      <c r="AF24" s="287">
        <v>0.4047</v>
      </c>
      <c r="AG24" s="286" t="s">
        <v>176</v>
      </c>
      <c r="AH24" s="286" t="s">
        <v>177</v>
      </c>
    </row>
    <row r="25" spans="2:34" ht="16.2" x14ac:dyDescent="0.35">
      <c r="B25" s="560">
        <v>8</v>
      </c>
      <c r="C25" s="157"/>
      <c r="D25" s="121" t="str">
        <f t="shared" si="0"/>
        <v>Optional</v>
      </c>
      <c r="E25" s="177"/>
      <c r="F25" s="562" t="str">
        <f t="shared" si="1"/>
        <v>N/A</v>
      </c>
      <c r="G25" s="155"/>
      <c r="H25" s="124" t="str">
        <f t="shared" si="2"/>
        <v>Optional</v>
      </c>
      <c r="P25" s="418">
        <v>8</v>
      </c>
      <c r="Q25" s="419">
        <f t="shared" si="11"/>
        <v>0</v>
      </c>
      <c r="R25" s="420">
        <f t="shared" si="3"/>
        <v>0.05</v>
      </c>
      <c r="S25" s="421">
        <f t="shared" si="4"/>
        <v>40468564</v>
      </c>
      <c r="T25" s="422">
        <f t="shared" si="5"/>
        <v>1000000</v>
      </c>
      <c r="U25" s="423">
        <f t="shared" si="6"/>
        <v>3.6666666666666665</v>
      </c>
      <c r="V25" s="423">
        <f t="shared" si="7"/>
        <v>2.6</v>
      </c>
      <c r="W25" s="424">
        <f t="shared" si="8"/>
        <v>0.4047</v>
      </c>
      <c r="X25" s="425">
        <f>Delta_Input[[#This Row],[Acres restored to Delta wetland]]</f>
        <v>0</v>
      </c>
      <c r="Y25" s="425">
        <f t="shared" si="12"/>
        <v>0</v>
      </c>
      <c r="Z25" s="425">
        <f t="shared" si="13"/>
        <v>0</v>
      </c>
      <c r="AA25" s="426">
        <f t="shared" si="9"/>
        <v>298</v>
      </c>
      <c r="AB25" s="426">
        <f t="shared" si="10"/>
        <v>50</v>
      </c>
      <c r="AC25" s="429"/>
      <c r="AE25" s="273" t="s">
        <v>314</v>
      </c>
      <c r="AF25" s="196"/>
      <c r="AG25" s="286" t="s">
        <v>44</v>
      </c>
      <c r="AH25" s="286" t="s">
        <v>309</v>
      </c>
    </row>
    <row r="26" spans="2:34" ht="16.2" x14ac:dyDescent="0.35">
      <c r="B26" s="560">
        <v>9</v>
      </c>
      <c r="C26" s="157"/>
      <c r="D26" s="121" t="str">
        <f t="shared" si="0"/>
        <v>Optional</v>
      </c>
      <c r="E26" s="177"/>
      <c r="F26" s="562" t="str">
        <f t="shared" si="1"/>
        <v>N/A</v>
      </c>
      <c r="G26" s="155"/>
      <c r="H26" s="124" t="str">
        <f t="shared" si="2"/>
        <v>Optional</v>
      </c>
      <c r="P26" s="320">
        <v>9</v>
      </c>
      <c r="Q26" s="419">
        <f t="shared" si="11"/>
        <v>0</v>
      </c>
      <c r="R26" s="420">
        <f t="shared" si="3"/>
        <v>0.05</v>
      </c>
      <c r="S26" s="421">
        <f t="shared" si="4"/>
        <v>40468564</v>
      </c>
      <c r="T26" s="422">
        <f t="shared" si="5"/>
        <v>1000000</v>
      </c>
      <c r="U26" s="423">
        <f t="shared" si="6"/>
        <v>3.6666666666666665</v>
      </c>
      <c r="V26" s="423">
        <f t="shared" si="7"/>
        <v>2.6</v>
      </c>
      <c r="W26" s="424">
        <f t="shared" si="8"/>
        <v>0.4047</v>
      </c>
      <c r="X26" s="425">
        <f>Delta_Input[[#This Row],[Acres restored to Delta wetland]]</f>
        <v>0</v>
      </c>
      <c r="Y26" s="425">
        <f t="shared" si="12"/>
        <v>0</v>
      </c>
      <c r="Z26" s="425">
        <f t="shared" si="13"/>
        <v>0</v>
      </c>
      <c r="AA26" s="426">
        <f t="shared" si="9"/>
        <v>298</v>
      </c>
      <c r="AB26" s="426">
        <f t="shared" si="10"/>
        <v>50</v>
      </c>
      <c r="AC26" s="429"/>
      <c r="AE26" s="273" t="s">
        <v>315</v>
      </c>
      <c r="AF26" s="196"/>
      <c r="AG26" s="286" t="s">
        <v>155</v>
      </c>
      <c r="AH26" s="286" t="s">
        <v>282</v>
      </c>
    </row>
    <row r="27" spans="2:34" ht="16.2" x14ac:dyDescent="0.35">
      <c r="B27" s="561">
        <v>10</v>
      </c>
      <c r="C27" s="158"/>
      <c r="D27" s="122" t="str">
        <f t="shared" si="0"/>
        <v>Optional</v>
      </c>
      <c r="E27" s="178"/>
      <c r="F27" s="563" t="str">
        <f t="shared" si="1"/>
        <v>N/A</v>
      </c>
      <c r="G27" s="156"/>
      <c r="H27" s="127" t="str">
        <f t="shared" si="2"/>
        <v>Optional</v>
      </c>
      <c r="P27" s="320">
        <v>10</v>
      </c>
      <c r="Q27" s="419">
        <f t="shared" si="11"/>
        <v>0</v>
      </c>
      <c r="R27" s="420">
        <f t="shared" si="3"/>
        <v>0.05</v>
      </c>
      <c r="S27" s="421">
        <f t="shared" si="4"/>
        <v>40468564</v>
      </c>
      <c r="T27" s="422">
        <f t="shared" si="5"/>
        <v>1000000</v>
      </c>
      <c r="U27" s="423">
        <f t="shared" si="6"/>
        <v>3.6666666666666665</v>
      </c>
      <c r="V27" s="423">
        <f t="shared" si="7"/>
        <v>2.6</v>
      </c>
      <c r="W27" s="424">
        <f t="shared" si="8"/>
        <v>0.4047</v>
      </c>
      <c r="X27" s="425">
        <f>Delta_Input[[#This Row],[Acres restored to Delta wetland]]</f>
        <v>0</v>
      </c>
      <c r="Y27" s="425">
        <f t="shared" si="12"/>
        <v>0</v>
      </c>
      <c r="Z27" s="425">
        <f t="shared" si="13"/>
        <v>0</v>
      </c>
      <c r="AA27" s="426">
        <f t="shared" si="9"/>
        <v>298</v>
      </c>
      <c r="AB27" s="426">
        <f t="shared" si="10"/>
        <v>50</v>
      </c>
      <c r="AC27" s="429"/>
      <c r="AE27" s="273" t="s">
        <v>316</v>
      </c>
      <c r="AF27" s="196"/>
      <c r="AG27" s="286" t="s">
        <v>155</v>
      </c>
      <c r="AH27" s="286" t="s">
        <v>158</v>
      </c>
    </row>
    <row r="28" spans="2:34" x14ac:dyDescent="0.3">
      <c r="P28" s="320" t="s">
        <v>202</v>
      </c>
      <c r="Q28" s="430">
        <f>SUM(Q18:Q27)</f>
        <v>0</v>
      </c>
      <c r="R28" s="431"/>
      <c r="S28" s="432"/>
      <c r="T28" s="433"/>
      <c r="U28" s="434"/>
      <c r="V28" s="434"/>
      <c r="W28" s="435"/>
      <c r="X28" s="430">
        <f>SUM(X18:X27)</f>
        <v>0</v>
      </c>
      <c r="Y28" s="430">
        <f>SUM(Y18:Y27)</f>
        <v>0</v>
      </c>
      <c r="Z28" s="430">
        <f>SUM(Z18:Z27)</f>
        <v>0</v>
      </c>
      <c r="AA28" s="436"/>
      <c r="AB28" s="437"/>
      <c r="AC28" s="438">
        <f>Trees!$E$41</f>
        <v>0</v>
      </c>
      <c r="AE28" s="287">
        <v>298</v>
      </c>
      <c r="AF28" s="287">
        <v>298</v>
      </c>
      <c r="AG28" s="285" t="s">
        <v>159</v>
      </c>
      <c r="AH28" s="286" t="s">
        <v>160</v>
      </c>
    </row>
    <row r="29" spans="2:34" x14ac:dyDescent="0.3">
      <c r="B29" s="51" t="s">
        <v>192</v>
      </c>
      <c r="P29" s="320" t="s">
        <v>203</v>
      </c>
      <c r="Q29" s="419">
        <f>Q28+AC28</f>
        <v>0</v>
      </c>
      <c r="R29" s="439"/>
      <c r="S29" s="440"/>
      <c r="T29" s="441"/>
      <c r="U29" s="442"/>
      <c r="V29" s="442"/>
      <c r="W29" s="441"/>
      <c r="X29" s="443"/>
      <c r="Y29" s="443"/>
      <c r="Z29" s="444"/>
      <c r="AA29" s="442"/>
      <c r="AB29" s="442"/>
      <c r="AC29" s="445"/>
      <c r="AE29" s="319" t="s">
        <v>237</v>
      </c>
      <c r="AF29" s="287">
        <v>50</v>
      </c>
      <c r="AG29" s="285" t="s">
        <v>159</v>
      </c>
      <c r="AH29" s="286" t="s">
        <v>163</v>
      </c>
    </row>
    <row r="30" spans="2:34" ht="16.8" thickBot="1" x14ac:dyDescent="0.4">
      <c r="P30" s="115"/>
      <c r="R30" s="115"/>
      <c r="S30" s="115"/>
      <c r="T30" s="115"/>
      <c r="U30" s="115"/>
      <c r="V30" s="115"/>
      <c r="W30" s="115"/>
      <c r="X30" s="115"/>
      <c r="Y30" s="115"/>
      <c r="Z30" s="115"/>
      <c r="AA30" s="115"/>
      <c r="AB30" s="115"/>
      <c r="AC30" s="115"/>
      <c r="AE30" s="273" t="s">
        <v>276</v>
      </c>
      <c r="AF30" s="287"/>
      <c r="AG30" s="286" t="s">
        <v>278</v>
      </c>
      <c r="AH30" s="286" t="s">
        <v>299</v>
      </c>
    </row>
    <row r="31" spans="2:34" ht="22.5" customHeight="1" x14ac:dyDescent="0.35">
      <c r="B31" s="407" t="str">
        <f>"Greenhouse Gas Benefit from "&amp;B4&amp;" Restoration"</f>
        <v>Greenhouse Gas Benefit from Delta Wetland Restoration</v>
      </c>
      <c r="C31" s="402"/>
      <c r="D31" s="402"/>
      <c r="E31" s="402"/>
      <c r="F31" s="402"/>
      <c r="G31" s="402"/>
      <c r="H31" s="402"/>
      <c r="I31" s="403">
        <f>($B$4=ProjectType)*Q29</f>
        <v>0</v>
      </c>
      <c r="J31" s="105" t="s">
        <v>184</v>
      </c>
      <c r="P31" s="115" t="s">
        <v>214</v>
      </c>
      <c r="Q31" s="115"/>
      <c r="R31" s="115"/>
      <c r="S31" s="115"/>
      <c r="T31" s="115"/>
      <c r="U31" s="115"/>
      <c r="V31" s="115"/>
      <c r="W31" s="115"/>
      <c r="X31" s="115"/>
      <c r="Y31" s="115"/>
      <c r="Z31" s="115"/>
      <c r="AA31" s="115"/>
      <c r="AB31" s="115"/>
      <c r="AC31" s="115"/>
      <c r="AE31" s="273" t="s">
        <v>240</v>
      </c>
      <c r="AF31" s="287">
        <v>12</v>
      </c>
      <c r="AG31" s="286" t="s">
        <v>44</v>
      </c>
      <c r="AH31" s="286" t="s">
        <v>312</v>
      </c>
    </row>
    <row r="32" spans="2:34" ht="22.5" customHeight="1" x14ac:dyDescent="0.3">
      <c r="B32" s="408" t="str">
        <f>"Land Restoration Co-Benefit from "&amp;B4&amp;" Restoration"</f>
        <v>Land Restoration Co-Benefit from Delta Wetland Restoration</v>
      </c>
      <c r="C32" s="404"/>
      <c r="D32" s="404"/>
      <c r="E32" s="404"/>
      <c r="F32" s="404"/>
      <c r="G32" s="404"/>
      <c r="H32" s="404"/>
      <c r="I32" s="405">
        <f>($B$4=ProjectType)*X28</f>
        <v>0</v>
      </c>
      <c r="J32" s="409" t="s">
        <v>185</v>
      </c>
      <c r="P32" s="115"/>
      <c r="Q32" s="115"/>
      <c r="R32" s="115"/>
      <c r="S32" s="115"/>
      <c r="T32" s="115"/>
      <c r="U32" s="115"/>
      <c r="V32" s="115"/>
      <c r="W32" s="115"/>
      <c r="X32" s="115"/>
      <c r="Y32" s="115"/>
      <c r="Z32" s="115"/>
      <c r="AA32" s="115"/>
      <c r="AB32" s="115"/>
      <c r="AC32" s="115"/>
      <c r="AE32" s="275" t="s">
        <v>238</v>
      </c>
      <c r="AF32" s="277">
        <v>12</v>
      </c>
      <c r="AG32" s="286" t="s">
        <v>176</v>
      </c>
      <c r="AH32" s="286" t="s">
        <v>290</v>
      </c>
    </row>
    <row r="33" spans="2:34" ht="22.5" customHeight="1" x14ac:dyDescent="0.3">
      <c r="B33" s="408" t="s">
        <v>186</v>
      </c>
      <c r="C33" s="406"/>
      <c r="D33" s="406"/>
      <c r="E33" s="406"/>
      <c r="F33" s="406"/>
      <c r="G33" s="406"/>
      <c r="H33" s="406"/>
      <c r="I33" s="405">
        <f>($B$4=ProjectType)*Trees!$C$41</f>
        <v>0</v>
      </c>
      <c r="J33" s="410" t="s">
        <v>187</v>
      </c>
      <c r="P33" s="538" t="s">
        <v>76</v>
      </c>
      <c r="Q33" s="457" t="s">
        <v>315</v>
      </c>
      <c r="R33" s="457" t="s">
        <v>240</v>
      </c>
      <c r="S33" s="293" t="s">
        <v>238</v>
      </c>
      <c r="T33" s="293" t="s">
        <v>241</v>
      </c>
      <c r="U33" s="457" t="s">
        <v>242</v>
      </c>
      <c r="V33" s="457">
        <v>0.4047</v>
      </c>
      <c r="W33" s="293" t="s">
        <v>243</v>
      </c>
      <c r="X33" s="115"/>
      <c r="Y33" s="115"/>
      <c r="Z33" s="115"/>
      <c r="AA33" s="115"/>
      <c r="AB33" s="115"/>
      <c r="AC33" s="115"/>
      <c r="AE33" s="275" t="s">
        <v>241</v>
      </c>
      <c r="AF33" s="287">
        <v>8.0000000000000002E-3</v>
      </c>
      <c r="AG33" s="285" t="s">
        <v>159</v>
      </c>
      <c r="AH33" s="286" t="s">
        <v>319</v>
      </c>
    </row>
    <row r="34" spans="2:34" ht="22.5" customHeight="1" x14ac:dyDescent="0.35">
      <c r="B34" s="408" t="s">
        <v>190</v>
      </c>
      <c r="C34" s="406"/>
      <c r="D34" s="406"/>
      <c r="E34" s="406"/>
      <c r="F34" s="406"/>
      <c r="G34" s="406"/>
      <c r="H34" s="406"/>
      <c r="I34" s="405">
        <f>($B$4=ProjectType)*Trees!$G$41</f>
        <v>0</v>
      </c>
      <c r="J34" s="410" t="s">
        <v>188</v>
      </c>
      <c r="P34" s="539"/>
      <c r="Q34" s="329" t="s">
        <v>391</v>
      </c>
      <c r="R34" s="329" t="s">
        <v>205</v>
      </c>
      <c r="S34" s="329" t="s">
        <v>211</v>
      </c>
      <c r="T34" s="329" t="s">
        <v>392</v>
      </c>
      <c r="U34" s="416" t="s">
        <v>79</v>
      </c>
      <c r="V34" s="416" t="s">
        <v>212</v>
      </c>
      <c r="W34" s="329" t="s">
        <v>393</v>
      </c>
      <c r="X34" s="446"/>
      <c r="Y34" s="446"/>
      <c r="Z34" s="446"/>
      <c r="AA34" s="446"/>
      <c r="AB34" s="446"/>
      <c r="AC34" s="446"/>
      <c r="AE34" s="273" t="s">
        <v>242</v>
      </c>
      <c r="AF34" s="287"/>
      <c r="AG34" s="285" t="s">
        <v>44</v>
      </c>
      <c r="AH34" s="286" t="s">
        <v>310</v>
      </c>
    </row>
    <row r="35" spans="2:34" ht="22.5" customHeight="1" thickBot="1" x14ac:dyDescent="0.35">
      <c r="B35" s="411" t="s">
        <v>191</v>
      </c>
      <c r="C35" s="412"/>
      <c r="D35" s="412"/>
      <c r="E35" s="412"/>
      <c r="F35" s="412"/>
      <c r="G35" s="412"/>
      <c r="H35" s="412"/>
      <c r="I35" s="413">
        <f>($B$4=ProjectType)*Trees!$I$41</f>
        <v>0</v>
      </c>
      <c r="J35" s="414" t="s">
        <v>189</v>
      </c>
      <c r="P35" s="447">
        <v>1</v>
      </c>
      <c r="Q35" s="419">
        <f>R35/S35*T35*U35*V35*W35</f>
        <v>0</v>
      </c>
      <c r="R35" s="302">
        <f t="shared" ref="R35:R44" si="14">$AF$31</f>
        <v>12</v>
      </c>
      <c r="S35" s="302">
        <f t="shared" ref="S35:S44" si="15">$AF$32</f>
        <v>12</v>
      </c>
      <c r="T35" s="420">
        <f t="shared" ref="T35:T44" si="16">$AF$33</f>
        <v>8.0000000000000002E-3</v>
      </c>
      <c r="U35" s="430">
        <f>C18</f>
        <v>0</v>
      </c>
      <c r="V35" s="424">
        <f t="shared" ref="V35:V44" si="17">$AF$24</f>
        <v>0.4047</v>
      </c>
      <c r="W35" s="423">
        <f t="shared" ref="W35:W44" si="18">$AF$35</f>
        <v>1.5714285714285714</v>
      </c>
      <c r="X35" s="115"/>
      <c r="Y35" s="115"/>
      <c r="Z35" s="115"/>
      <c r="AA35" s="115"/>
      <c r="AB35" s="115"/>
      <c r="AC35" s="115"/>
      <c r="AE35" s="275" t="s">
        <v>243</v>
      </c>
      <c r="AF35" s="323">
        <f>44/28</f>
        <v>1.5714285714285714</v>
      </c>
      <c r="AG35" s="285" t="s">
        <v>176</v>
      </c>
      <c r="AH35" s="286" t="s">
        <v>182</v>
      </c>
    </row>
    <row r="36" spans="2:34" x14ac:dyDescent="0.3">
      <c r="P36" s="447">
        <v>2</v>
      </c>
      <c r="Q36" s="419">
        <f t="shared" ref="Q36:Q44" si="19">R36/S36*T36*U36*V36*W36</f>
        <v>0</v>
      </c>
      <c r="R36" s="302">
        <f t="shared" si="14"/>
        <v>12</v>
      </c>
      <c r="S36" s="302">
        <f t="shared" si="15"/>
        <v>12</v>
      </c>
      <c r="T36" s="420">
        <f t="shared" si="16"/>
        <v>8.0000000000000002E-3</v>
      </c>
      <c r="U36" s="430">
        <f t="shared" ref="U36:U44" si="20">C19</f>
        <v>0</v>
      </c>
      <c r="V36" s="424">
        <f t="shared" si="17"/>
        <v>0.4047</v>
      </c>
      <c r="W36" s="423">
        <f t="shared" si="18"/>
        <v>1.5714285714285714</v>
      </c>
      <c r="X36" s="115"/>
      <c r="Y36" s="115"/>
      <c r="Z36" s="115"/>
      <c r="AA36" s="115"/>
      <c r="AB36" s="115"/>
      <c r="AC36" s="115"/>
      <c r="AE36" s="319" t="s">
        <v>265</v>
      </c>
      <c r="AF36" s="287">
        <v>0.01</v>
      </c>
      <c r="AG36" s="285" t="s">
        <v>159</v>
      </c>
      <c r="AH36" s="286" t="s">
        <v>320</v>
      </c>
    </row>
    <row r="37" spans="2:34" ht="16.2" x14ac:dyDescent="0.35">
      <c r="P37" s="448">
        <v>3</v>
      </c>
      <c r="Q37" s="419">
        <f t="shared" si="19"/>
        <v>0</v>
      </c>
      <c r="R37" s="302">
        <f t="shared" si="14"/>
        <v>12</v>
      </c>
      <c r="S37" s="302">
        <f t="shared" si="15"/>
        <v>12</v>
      </c>
      <c r="T37" s="420">
        <f t="shared" si="16"/>
        <v>8.0000000000000002E-3</v>
      </c>
      <c r="U37" s="430">
        <f t="shared" si="20"/>
        <v>0</v>
      </c>
      <c r="V37" s="424">
        <f t="shared" si="17"/>
        <v>0.4047</v>
      </c>
      <c r="W37" s="423">
        <f t="shared" si="18"/>
        <v>1.5714285714285714</v>
      </c>
      <c r="X37" s="115"/>
      <c r="Y37" s="115"/>
      <c r="Z37" s="115"/>
      <c r="AA37" s="115"/>
      <c r="AB37" s="115"/>
      <c r="AC37" s="115"/>
      <c r="AE37" s="273" t="s">
        <v>268</v>
      </c>
      <c r="AF37" s="196"/>
      <c r="AG37" s="286" t="s">
        <v>44</v>
      </c>
      <c r="AH37" s="286" t="s">
        <v>179</v>
      </c>
    </row>
    <row r="38" spans="2:34" ht="16.2" x14ac:dyDescent="0.35">
      <c r="P38" s="448">
        <v>4</v>
      </c>
      <c r="Q38" s="419">
        <f t="shared" si="19"/>
        <v>0</v>
      </c>
      <c r="R38" s="302">
        <f t="shared" si="14"/>
        <v>12</v>
      </c>
      <c r="S38" s="302">
        <f t="shared" si="15"/>
        <v>12</v>
      </c>
      <c r="T38" s="420">
        <f t="shared" si="16"/>
        <v>8.0000000000000002E-3</v>
      </c>
      <c r="U38" s="430">
        <f t="shared" si="20"/>
        <v>0</v>
      </c>
      <c r="V38" s="424">
        <f t="shared" si="17"/>
        <v>0.4047</v>
      </c>
      <c r="W38" s="423">
        <f t="shared" si="18"/>
        <v>1.5714285714285714</v>
      </c>
      <c r="X38" s="115"/>
      <c r="Y38" s="115"/>
      <c r="Z38" s="115"/>
      <c r="AA38" s="115"/>
      <c r="AB38" s="115"/>
      <c r="AC38" s="115"/>
      <c r="AE38" s="273" t="s">
        <v>267</v>
      </c>
      <c r="AF38" s="196"/>
      <c r="AG38" s="286" t="s">
        <v>44</v>
      </c>
      <c r="AH38" s="286" t="s">
        <v>180</v>
      </c>
    </row>
    <row r="39" spans="2:34" x14ac:dyDescent="0.3">
      <c r="P39" s="447">
        <v>5</v>
      </c>
      <c r="Q39" s="419">
        <f t="shared" si="19"/>
        <v>0</v>
      </c>
      <c r="R39" s="302">
        <f t="shared" si="14"/>
        <v>12</v>
      </c>
      <c r="S39" s="302">
        <f t="shared" si="15"/>
        <v>12</v>
      </c>
      <c r="T39" s="420">
        <f t="shared" si="16"/>
        <v>8.0000000000000002E-3</v>
      </c>
      <c r="U39" s="430">
        <f t="shared" si="20"/>
        <v>0</v>
      </c>
      <c r="V39" s="424">
        <f t="shared" si="17"/>
        <v>0.4047</v>
      </c>
      <c r="W39" s="423">
        <f t="shared" si="18"/>
        <v>1.5714285714285714</v>
      </c>
      <c r="X39" s="115"/>
      <c r="Y39" s="115"/>
      <c r="Z39" s="115"/>
      <c r="AA39" s="115"/>
      <c r="AB39" s="115"/>
      <c r="AC39" s="115"/>
      <c r="AE39" s="275" t="s">
        <v>266</v>
      </c>
      <c r="AF39" s="318">
        <v>2204.62</v>
      </c>
      <c r="AG39" s="286" t="s">
        <v>176</v>
      </c>
      <c r="AH39" s="286" t="s">
        <v>181</v>
      </c>
    </row>
    <row r="40" spans="2:34" x14ac:dyDescent="0.3">
      <c r="P40" s="447">
        <v>6</v>
      </c>
      <c r="Q40" s="419">
        <f t="shared" si="19"/>
        <v>0</v>
      </c>
      <c r="R40" s="302">
        <f t="shared" si="14"/>
        <v>12</v>
      </c>
      <c r="S40" s="302">
        <f t="shared" si="15"/>
        <v>12</v>
      </c>
      <c r="T40" s="420">
        <f t="shared" si="16"/>
        <v>8.0000000000000002E-3</v>
      </c>
      <c r="U40" s="430">
        <f t="shared" si="20"/>
        <v>0</v>
      </c>
      <c r="V40" s="424">
        <f t="shared" si="17"/>
        <v>0.4047</v>
      </c>
      <c r="W40" s="423">
        <f t="shared" si="18"/>
        <v>1.5714285714285714</v>
      </c>
      <c r="X40" s="115"/>
      <c r="Y40" s="115"/>
      <c r="Z40" s="115"/>
      <c r="AA40" s="115"/>
      <c r="AB40" s="115"/>
      <c r="AC40" s="115"/>
    </row>
    <row r="41" spans="2:34" x14ac:dyDescent="0.3">
      <c r="P41" s="448">
        <v>7</v>
      </c>
      <c r="Q41" s="419">
        <f t="shared" si="19"/>
        <v>0</v>
      </c>
      <c r="R41" s="302">
        <f t="shared" si="14"/>
        <v>12</v>
      </c>
      <c r="S41" s="302">
        <f t="shared" si="15"/>
        <v>12</v>
      </c>
      <c r="T41" s="420">
        <f t="shared" si="16"/>
        <v>8.0000000000000002E-3</v>
      </c>
      <c r="U41" s="430">
        <f t="shared" si="20"/>
        <v>0</v>
      </c>
      <c r="V41" s="424">
        <f t="shared" si="17"/>
        <v>0.4047</v>
      </c>
      <c r="W41" s="423">
        <f t="shared" si="18"/>
        <v>1.5714285714285714</v>
      </c>
      <c r="X41" s="115"/>
      <c r="Y41" s="115"/>
      <c r="Z41" s="115"/>
      <c r="AA41" s="115"/>
      <c r="AB41" s="115"/>
      <c r="AC41" s="115"/>
    </row>
    <row r="42" spans="2:34" x14ac:dyDescent="0.3">
      <c r="P42" s="448">
        <v>8</v>
      </c>
      <c r="Q42" s="419">
        <f t="shared" si="19"/>
        <v>0</v>
      </c>
      <c r="R42" s="302">
        <f t="shared" si="14"/>
        <v>12</v>
      </c>
      <c r="S42" s="302">
        <f t="shared" si="15"/>
        <v>12</v>
      </c>
      <c r="T42" s="420">
        <f t="shared" si="16"/>
        <v>8.0000000000000002E-3</v>
      </c>
      <c r="U42" s="430">
        <f t="shared" si="20"/>
        <v>0</v>
      </c>
      <c r="V42" s="424">
        <f t="shared" si="17"/>
        <v>0.4047</v>
      </c>
      <c r="W42" s="423">
        <f t="shared" si="18"/>
        <v>1.5714285714285714</v>
      </c>
      <c r="X42" s="115"/>
      <c r="Y42" s="115"/>
      <c r="Z42" s="115"/>
      <c r="AA42" s="115"/>
      <c r="AB42" s="115"/>
      <c r="AC42" s="115"/>
    </row>
    <row r="43" spans="2:34" x14ac:dyDescent="0.3">
      <c r="P43" s="447">
        <v>9</v>
      </c>
      <c r="Q43" s="419">
        <f t="shared" si="19"/>
        <v>0</v>
      </c>
      <c r="R43" s="302">
        <f t="shared" si="14"/>
        <v>12</v>
      </c>
      <c r="S43" s="302">
        <f t="shared" si="15"/>
        <v>12</v>
      </c>
      <c r="T43" s="420">
        <f t="shared" si="16"/>
        <v>8.0000000000000002E-3</v>
      </c>
      <c r="U43" s="430">
        <f t="shared" si="20"/>
        <v>0</v>
      </c>
      <c r="V43" s="424">
        <f t="shared" si="17"/>
        <v>0.4047</v>
      </c>
      <c r="W43" s="423">
        <f t="shared" si="18"/>
        <v>1.5714285714285714</v>
      </c>
      <c r="X43" s="115"/>
      <c r="Y43" s="115"/>
      <c r="Z43" s="115"/>
      <c r="AA43" s="115"/>
      <c r="AB43" s="115"/>
      <c r="AC43" s="115"/>
    </row>
    <row r="44" spans="2:34" x14ac:dyDescent="0.3">
      <c r="P44" s="447">
        <v>10</v>
      </c>
      <c r="Q44" s="419">
        <f t="shared" si="19"/>
        <v>0</v>
      </c>
      <c r="R44" s="302">
        <f t="shared" si="14"/>
        <v>12</v>
      </c>
      <c r="S44" s="302">
        <f t="shared" si="15"/>
        <v>12</v>
      </c>
      <c r="T44" s="420">
        <f t="shared" si="16"/>
        <v>8.0000000000000002E-3</v>
      </c>
      <c r="U44" s="430">
        <f t="shared" si="20"/>
        <v>0</v>
      </c>
      <c r="V44" s="424">
        <f t="shared" si="17"/>
        <v>0.4047</v>
      </c>
      <c r="W44" s="423">
        <f t="shared" si="18"/>
        <v>1.5714285714285714</v>
      </c>
      <c r="X44" s="115"/>
      <c r="Y44" s="115"/>
      <c r="Z44" s="115"/>
      <c r="AA44" s="115"/>
      <c r="AB44" s="115"/>
      <c r="AC44" s="115"/>
    </row>
    <row r="45" spans="2:34" x14ac:dyDescent="0.3">
      <c r="P45" s="448" t="s">
        <v>202</v>
      </c>
      <c r="Q45" s="430">
        <f>SUM(Q35:Q44)</f>
        <v>0</v>
      </c>
      <c r="R45" s="449"/>
      <c r="S45" s="450"/>
      <c r="T45" s="451"/>
      <c r="U45" s="430">
        <f>SUM(U35:U44)</f>
        <v>0</v>
      </c>
      <c r="V45" s="452"/>
      <c r="W45" s="453"/>
      <c r="X45" s="115"/>
      <c r="Y45" s="115"/>
      <c r="Z45" s="115"/>
      <c r="AA45" s="115"/>
      <c r="AB45" s="115"/>
      <c r="AC45" s="115"/>
    </row>
    <row r="46" spans="2:34" x14ac:dyDescent="0.3">
      <c r="P46" s="115"/>
      <c r="Q46" s="115"/>
      <c r="R46" s="115"/>
      <c r="S46" s="115"/>
      <c r="T46" s="115"/>
      <c r="U46" s="115"/>
      <c r="V46" s="115"/>
      <c r="W46" s="115"/>
      <c r="X46" s="115"/>
      <c r="Y46" s="115"/>
      <c r="Z46" s="115"/>
      <c r="AA46" s="115"/>
      <c r="AB46" s="115"/>
      <c r="AC46" s="115"/>
    </row>
    <row r="47" spans="2:34" x14ac:dyDescent="0.3">
      <c r="P47" s="115" t="s">
        <v>218</v>
      </c>
      <c r="R47" s="115"/>
      <c r="S47" s="115"/>
      <c r="T47" s="115"/>
      <c r="U47" s="115"/>
      <c r="V47" s="115"/>
      <c r="W47" s="115"/>
      <c r="Y47" s="115"/>
      <c r="Z47" s="115"/>
      <c r="AA47" s="115"/>
      <c r="AB47" s="115"/>
      <c r="AC47" s="115"/>
    </row>
    <row r="48" spans="2:34" x14ac:dyDescent="0.3">
      <c r="P48" s="115"/>
      <c r="Q48" s="115"/>
      <c r="R48" s="115"/>
      <c r="S48" s="115"/>
      <c r="T48" s="115"/>
      <c r="U48" s="115"/>
      <c r="V48" s="115"/>
      <c r="W48" s="115"/>
      <c r="X48" s="115"/>
      <c r="Y48" s="115"/>
      <c r="Z48" s="115"/>
      <c r="AA48" s="115"/>
      <c r="AB48" s="115"/>
      <c r="AC48" s="115"/>
    </row>
    <row r="49" spans="16:29" ht="16.2" x14ac:dyDescent="0.35">
      <c r="P49" s="534" t="s">
        <v>76</v>
      </c>
      <c r="Q49" s="273" t="s">
        <v>316</v>
      </c>
      <c r="R49" s="275" t="s">
        <v>265</v>
      </c>
      <c r="S49" s="273" t="s">
        <v>268</v>
      </c>
      <c r="T49" s="273" t="s">
        <v>267</v>
      </c>
      <c r="U49" s="275" t="s">
        <v>266</v>
      </c>
      <c r="V49" s="275" t="s">
        <v>243</v>
      </c>
      <c r="W49" s="115"/>
      <c r="X49" s="115"/>
      <c r="Y49" s="115"/>
      <c r="Z49" s="115"/>
      <c r="AA49" s="115"/>
      <c r="AB49" s="115"/>
      <c r="AC49" s="115"/>
    </row>
    <row r="50" spans="16:29" ht="30" x14ac:dyDescent="0.3">
      <c r="P50" s="535"/>
      <c r="Q50" s="329" t="s">
        <v>391</v>
      </c>
      <c r="R50" s="329" t="s">
        <v>394</v>
      </c>
      <c r="S50" s="329" t="s">
        <v>395</v>
      </c>
      <c r="T50" s="416" t="s">
        <v>185</v>
      </c>
      <c r="U50" s="416" t="s">
        <v>307</v>
      </c>
      <c r="V50" s="329" t="s">
        <v>393</v>
      </c>
      <c r="W50" s="115"/>
      <c r="X50" s="115"/>
      <c r="Y50" s="115"/>
      <c r="Z50" s="115"/>
      <c r="AA50" s="115"/>
      <c r="AB50" s="115"/>
      <c r="AC50" s="115"/>
    </row>
    <row r="51" spans="16:29" x14ac:dyDescent="0.3">
      <c r="P51" s="418">
        <v>1</v>
      </c>
      <c r="Q51" s="419">
        <f>R51*S51*T51/U51*V51</f>
        <v>0</v>
      </c>
      <c r="R51" s="454">
        <f t="shared" ref="R51:R60" si="21">$AF$36</f>
        <v>0.01</v>
      </c>
      <c r="S51" s="430">
        <f>E18</f>
        <v>0</v>
      </c>
      <c r="T51" s="430">
        <f>C18</f>
        <v>0</v>
      </c>
      <c r="U51" s="423">
        <f t="shared" ref="U51:U60" si="22">$AF$39</f>
        <v>2204.62</v>
      </c>
      <c r="V51" s="423">
        <f t="shared" ref="V51:V60" si="23">$AF$35</f>
        <v>1.5714285714285714</v>
      </c>
      <c r="W51" s="115"/>
      <c r="X51" s="115"/>
      <c r="Y51" s="115"/>
      <c r="Z51" s="115"/>
      <c r="AA51" s="115"/>
      <c r="AB51" s="115"/>
      <c r="AC51" s="115"/>
    </row>
    <row r="52" spans="16:29" ht="15.75" customHeight="1" x14ac:dyDescent="0.3">
      <c r="P52" s="418">
        <v>2</v>
      </c>
      <c r="Q52" s="419">
        <f t="shared" ref="Q52:Q60" si="24">R52*S52*T52/U52*V52</f>
        <v>0</v>
      </c>
      <c r="R52" s="454">
        <f t="shared" si="21"/>
        <v>0.01</v>
      </c>
      <c r="S52" s="430">
        <f t="shared" ref="S52:S60" si="25">E19</f>
        <v>0</v>
      </c>
      <c r="T52" s="430">
        <f t="shared" ref="T52:T60" si="26">C19</f>
        <v>0</v>
      </c>
      <c r="U52" s="423">
        <f t="shared" si="22"/>
        <v>2204.62</v>
      </c>
      <c r="V52" s="423">
        <f t="shared" si="23"/>
        <v>1.5714285714285714</v>
      </c>
      <c r="W52" s="115"/>
      <c r="X52" s="115"/>
      <c r="Y52" s="115"/>
      <c r="Z52" s="115"/>
      <c r="AA52" s="115"/>
      <c r="AB52" s="115"/>
      <c r="AC52" s="115"/>
    </row>
    <row r="53" spans="16:29" ht="15.75" customHeight="1" x14ac:dyDescent="0.3">
      <c r="P53" s="320">
        <v>3</v>
      </c>
      <c r="Q53" s="419">
        <f t="shared" si="24"/>
        <v>0</v>
      </c>
      <c r="R53" s="454">
        <f t="shared" si="21"/>
        <v>0.01</v>
      </c>
      <c r="S53" s="430">
        <f t="shared" si="25"/>
        <v>0</v>
      </c>
      <c r="T53" s="430">
        <f t="shared" si="26"/>
        <v>0</v>
      </c>
      <c r="U53" s="423">
        <f t="shared" si="22"/>
        <v>2204.62</v>
      </c>
      <c r="V53" s="423">
        <f t="shared" si="23"/>
        <v>1.5714285714285714</v>
      </c>
      <c r="W53" s="115"/>
      <c r="X53" s="115"/>
      <c r="Y53" s="115"/>
      <c r="Z53" s="115"/>
      <c r="AA53" s="115"/>
      <c r="AB53" s="115"/>
      <c r="AC53" s="115"/>
    </row>
    <row r="54" spans="16:29" ht="15.75" customHeight="1" x14ac:dyDescent="0.3">
      <c r="P54" s="320">
        <v>4</v>
      </c>
      <c r="Q54" s="419">
        <f t="shared" si="24"/>
        <v>0</v>
      </c>
      <c r="R54" s="454">
        <f t="shared" si="21"/>
        <v>0.01</v>
      </c>
      <c r="S54" s="430">
        <f t="shared" si="25"/>
        <v>0</v>
      </c>
      <c r="T54" s="430">
        <f t="shared" si="26"/>
        <v>0</v>
      </c>
      <c r="U54" s="423">
        <f t="shared" si="22"/>
        <v>2204.62</v>
      </c>
      <c r="V54" s="423">
        <f t="shared" si="23"/>
        <v>1.5714285714285714</v>
      </c>
      <c r="W54" s="115"/>
      <c r="X54" s="115"/>
      <c r="Y54" s="115"/>
      <c r="Z54" s="115"/>
      <c r="AA54" s="115"/>
      <c r="AB54" s="115"/>
      <c r="AC54" s="115"/>
    </row>
    <row r="55" spans="16:29" ht="15.75" customHeight="1" x14ac:dyDescent="0.3">
      <c r="P55" s="418">
        <v>5</v>
      </c>
      <c r="Q55" s="419">
        <f t="shared" si="24"/>
        <v>0</v>
      </c>
      <c r="R55" s="454">
        <f t="shared" si="21"/>
        <v>0.01</v>
      </c>
      <c r="S55" s="430">
        <f t="shared" si="25"/>
        <v>0</v>
      </c>
      <c r="T55" s="430">
        <f t="shared" si="26"/>
        <v>0</v>
      </c>
      <c r="U55" s="423">
        <f t="shared" si="22"/>
        <v>2204.62</v>
      </c>
      <c r="V55" s="423">
        <f t="shared" si="23"/>
        <v>1.5714285714285714</v>
      </c>
      <c r="W55" s="115"/>
      <c r="X55" s="115"/>
      <c r="Y55" s="115"/>
      <c r="Z55" s="115"/>
      <c r="AA55" s="115"/>
      <c r="AB55" s="115"/>
      <c r="AC55" s="115"/>
    </row>
    <row r="56" spans="16:29" ht="15.75" customHeight="1" x14ac:dyDescent="0.3">
      <c r="P56" s="418">
        <v>6</v>
      </c>
      <c r="Q56" s="419">
        <f t="shared" si="24"/>
        <v>0</v>
      </c>
      <c r="R56" s="454">
        <f t="shared" si="21"/>
        <v>0.01</v>
      </c>
      <c r="S56" s="430">
        <f t="shared" si="25"/>
        <v>0</v>
      </c>
      <c r="T56" s="430">
        <f t="shared" si="26"/>
        <v>0</v>
      </c>
      <c r="U56" s="423">
        <f t="shared" si="22"/>
        <v>2204.62</v>
      </c>
      <c r="V56" s="423">
        <f t="shared" si="23"/>
        <v>1.5714285714285714</v>
      </c>
      <c r="W56" s="115"/>
      <c r="X56" s="115"/>
      <c r="Y56" s="115"/>
      <c r="Z56" s="115"/>
      <c r="AA56" s="115"/>
      <c r="AB56" s="115"/>
      <c r="AC56" s="115"/>
    </row>
    <row r="57" spans="16:29" ht="15.75" customHeight="1" x14ac:dyDescent="0.3">
      <c r="P57" s="320">
        <v>7</v>
      </c>
      <c r="Q57" s="419">
        <f t="shared" si="24"/>
        <v>0</v>
      </c>
      <c r="R57" s="454">
        <f t="shared" si="21"/>
        <v>0.01</v>
      </c>
      <c r="S57" s="430">
        <f t="shared" si="25"/>
        <v>0</v>
      </c>
      <c r="T57" s="430">
        <f t="shared" si="26"/>
        <v>0</v>
      </c>
      <c r="U57" s="423">
        <f t="shared" si="22"/>
        <v>2204.62</v>
      </c>
      <c r="V57" s="423">
        <f t="shared" si="23"/>
        <v>1.5714285714285714</v>
      </c>
      <c r="W57" s="115"/>
      <c r="X57" s="115"/>
      <c r="Y57" s="115"/>
      <c r="Z57" s="115"/>
      <c r="AA57" s="115"/>
      <c r="AB57" s="115"/>
      <c r="AC57" s="115"/>
    </row>
    <row r="58" spans="16:29" ht="15.75" customHeight="1" x14ac:dyDescent="0.3">
      <c r="P58" s="320">
        <v>8</v>
      </c>
      <c r="Q58" s="419">
        <f t="shared" si="24"/>
        <v>0</v>
      </c>
      <c r="R58" s="454">
        <f t="shared" si="21"/>
        <v>0.01</v>
      </c>
      <c r="S58" s="430">
        <f t="shared" si="25"/>
        <v>0</v>
      </c>
      <c r="T58" s="430">
        <f t="shared" si="26"/>
        <v>0</v>
      </c>
      <c r="U58" s="423">
        <f t="shared" si="22"/>
        <v>2204.62</v>
      </c>
      <c r="V58" s="423">
        <f t="shared" si="23"/>
        <v>1.5714285714285714</v>
      </c>
      <c r="W58" s="115"/>
      <c r="X58" s="115"/>
      <c r="Y58" s="115"/>
      <c r="Z58" s="115"/>
      <c r="AA58" s="115"/>
      <c r="AB58" s="115"/>
      <c r="AC58" s="115"/>
    </row>
    <row r="59" spans="16:29" ht="15.75" customHeight="1" x14ac:dyDescent="0.3">
      <c r="P59" s="418">
        <v>9</v>
      </c>
      <c r="Q59" s="419">
        <f t="shared" si="24"/>
        <v>0</v>
      </c>
      <c r="R59" s="454">
        <f t="shared" si="21"/>
        <v>0.01</v>
      </c>
      <c r="S59" s="430">
        <f t="shared" si="25"/>
        <v>0</v>
      </c>
      <c r="T59" s="430">
        <f t="shared" si="26"/>
        <v>0</v>
      </c>
      <c r="U59" s="423">
        <f t="shared" si="22"/>
        <v>2204.62</v>
      </c>
      <c r="V59" s="423">
        <f t="shared" si="23"/>
        <v>1.5714285714285714</v>
      </c>
      <c r="W59" s="115"/>
      <c r="X59" s="115"/>
      <c r="Y59" s="115"/>
      <c r="Z59" s="115"/>
      <c r="AA59" s="115"/>
      <c r="AB59" s="115"/>
      <c r="AC59" s="115"/>
    </row>
    <row r="60" spans="16:29" ht="15.75" customHeight="1" x14ac:dyDescent="0.3">
      <c r="P60" s="418">
        <v>10</v>
      </c>
      <c r="Q60" s="419">
        <f t="shared" si="24"/>
        <v>0</v>
      </c>
      <c r="R60" s="454">
        <f t="shared" si="21"/>
        <v>0.01</v>
      </c>
      <c r="S60" s="430">
        <f t="shared" si="25"/>
        <v>0</v>
      </c>
      <c r="T60" s="430">
        <f t="shared" si="26"/>
        <v>0</v>
      </c>
      <c r="U60" s="423">
        <f t="shared" si="22"/>
        <v>2204.62</v>
      </c>
      <c r="V60" s="423">
        <f t="shared" si="23"/>
        <v>1.5714285714285714</v>
      </c>
      <c r="W60" s="115"/>
      <c r="X60" s="115"/>
      <c r="Y60" s="115"/>
      <c r="Z60" s="115"/>
      <c r="AA60" s="115"/>
      <c r="AB60" s="115"/>
      <c r="AC60" s="115"/>
    </row>
    <row r="61" spans="16:29" ht="15.75" customHeight="1" x14ac:dyDescent="0.3">
      <c r="P61" s="320" t="s">
        <v>202</v>
      </c>
      <c r="Q61" s="430">
        <f>SUM(Q51:Q60)</f>
        <v>0</v>
      </c>
      <c r="R61" s="455"/>
      <c r="S61" s="430">
        <f>SUM(S51:S60)</f>
        <v>0</v>
      </c>
      <c r="T61" s="430">
        <f>SUM(T51:T60)</f>
        <v>0</v>
      </c>
      <c r="U61" s="456"/>
      <c r="V61" s="456"/>
      <c r="W61" s="115"/>
      <c r="X61" s="115"/>
      <c r="Y61" s="115"/>
      <c r="Z61" s="115"/>
      <c r="AA61" s="115"/>
      <c r="AB61" s="115"/>
      <c r="AC61" s="115"/>
    </row>
    <row r="62" spans="16:29" ht="15.75" customHeight="1" x14ac:dyDescent="0.3">
      <c r="P62" s="115"/>
      <c r="Q62" s="115"/>
      <c r="R62" s="115"/>
      <c r="S62" s="115"/>
      <c r="T62" s="115"/>
      <c r="U62" s="115"/>
      <c r="V62" s="115"/>
      <c r="W62" s="115"/>
      <c r="X62" s="115"/>
      <c r="Y62" s="115"/>
      <c r="Z62" s="115"/>
      <c r="AA62" s="115"/>
      <c r="AB62" s="115"/>
      <c r="AC62" s="115"/>
    </row>
    <row r="63" spans="16:29" ht="15.75" customHeight="1" x14ac:dyDescent="0.3">
      <c r="T63" s="291"/>
      <c r="U63" s="291"/>
      <c r="V63" s="291"/>
      <c r="W63" s="291"/>
      <c r="X63" s="291"/>
      <c r="Y63" s="291"/>
      <c r="Z63" s="291"/>
      <c r="AA63" s="291"/>
      <c r="AB63" s="291"/>
      <c r="AC63" s="115"/>
    </row>
    <row r="64" spans="16:29" ht="15.75" customHeight="1" x14ac:dyDescent="0.3">
      <c r="T64" s="446"/>
      <c r="U64" s="446"/>
      <c r="V64" s="446"/>
      <c r="W64" s="446"/>
      <c r="X64" s="446"/>
      <c r="Y64" s="446"/>
      <c r="Z64" s="446"/>
      <c r="AA64" s="446"/>
      <c r="AB64" s="446"/>
      <c r="AC64" s="115"/>
    </row>
    <row r="65" spans="20:29" ht="15.75" customHeight="1" x14ac:dyDescent="0.3">
      <c r="T65" s="446"/>
      <c r="U65" s="446"/>
      <c r="V65" s="446"/>
      <c r="W65" s="446"/>
      <c r="X65" s="446"/>
      <c r="Y65" s="446"/>
      <c r="Z65" s="446"/>
      <c r="AA65" s="446"/>
      <c r="AB65" s="446"/>
      <c r="AC65" s="115"/>
    </row>
    <row r="66" spans="20:29" ht="15.75" customHeight="1" x14ac:dyDescent="0.3">
      <c r="T66" s="446"/>
      <c r="U66" s="446"/>
      <c r="V66" s="446"/>
      <c r="W66" s="446"/>
      <c r="X66" s="446"/>
      <c r="Y66" s="446"/>
      <c r="Z66" s="446"/>
      <c r="AA66" s="446"/>
      <c r="AB66" s="446"/>
      <c r="AC66" s="115"/>
    </row>
    <row r="67" spans="20:29" x14ac:dyDescent="0.3">
      <c r="T67" s="446"/>
      <c r="U67" s="446"/>
      <c r="V67" s="446"/>
      <c r="W67" s="446"/>
      <c r="X67" s="446"/>
      <c r="Y67" s="446"/>
      <c r="Z67" s="446"/>
      <c r="AA67" s="446"/>
      <c r="AB67" s="446"/>
      <c r="AC67" s="115"/>
    </row>
    <row r="68" spans="20:29" x14ac:dyDescent="0.3">
      <c r="T68" s="446"/>
      <c r="U68" s="446"/>
      <c r="V68" s="446"/>
      <c r="W68" s="446"/>
      <c r="X68" s="446"/>
      <c r="Y68" s="446"/>
      <c r="Z68" s="446"/>
      <c r="AA68" s="446"/>
      <c r="AB68" s="446"/>
      <c r="AC68" s="115"/>
    </row>
    <row r="69" spans="20:29" ht="15.75" customHeight="1" x14ac:dyDescent="0.3">
      <c r="T69" s="446"/>
      <c r="U69" s="446"/>
      <c r="V69" s="446"/>
      <c r="W69" s="446"/>
      <c r="X69" s="446"/>
      <c r="Y69" s="446"/>
      <c r="Z69" s="446"/>
      <c r="AA69" s="446"/>
      <c r="AB69" s="446"/>
      <c r="AC69" s="115"/>
    </row>
    <row r="70" spans="20:29" ht="15.75" customHeight="1" x14ac:dyDescent="0.3">
      <c r="T70" s="446"/>
      <c r="U70" s="446"/>
      <c r="V70" s="446"/>
      <c r="W70" s="446"/>
      <c r="X70" s="446"/>
      <c r="Y70" s="446"/>
      <c r="Z70" s="446"/>
      <c r="AA70" s="446"/>
      <c r="AB70" s="446"/>
      <c r="AC70" s="115"/>
    </row>
    <row r="71" spans="20:29" ht="15.75" customHeight="1" x14ac:dyDescent="0.3">
      <c r="T71" s="446"/>
      <c r="U71" s="446"/>
      <c r="V71" s="446"/>
      <c r="W71" s="446"/>
      <c r="X71" s="446"/>
      <c r="Y71" s="446"/>
      <c r="Z71" s="446"/>
      <c r="AA71" s="446"/>
      <c r="AB71" s="446"/>
      <c r="AC71" s="115"/>
    </row>
    <row r="72" spans="20:29" ht="15.75" customHeight="1" x14ac:dyDescent="0.3">
      <c r="T72" s="446"/>
      <c r="U72" s="446"/>
      <c r="V72" s="446"/>
      <c r="W72" s="446"/>
      <c r="X72" s="446"/>
      <c r="Y72" s="446"/>
      <c r="Z72" s="446"/>
      <c r="AA72" s="446"/>
      <c r="AB72" s="446"/>
      <c r="AC72" s="115"/>
    </row>
    <row r="73" spans="20:29" ht="15.75" customHeight="1" x14ac:dyDescent="0.3">
      <c r="T73" s="446"/>
      <c r="U73" s="446"/>
      <c r="V73" s="446"/>
      <c r="W73" s="446"/>
      <c r="X73" s="446"/>
      <c r="Y73" s="446"/>
      <c r="Z73" s="446"/>
      <c r="AA73" s="446"/>
      <c r="AB73" s="446"/>
      <c r="AC73" s="115"/>
    </row>
    <row r="74" spans="20:29" ht="15.75" customHeight="1" x14ac:dyDescent="0.3">
      <c r="T74" s="446"/>
      <c r="U74" s="446"/>
      <c r="V74" s="446"/>
      <c r="W74" s="446"/>
      <c r="X74" s="446"/>
      <c r="Y74" s="446"/>
      <c r="Z74" s="446"/>
      <c r="AA74" s="446"/>
      <c r="AB74" s="446"/>
      <c r="AC74" s="115"/>
    </row>
    <row r="75" spans="20:29" ht="15.75" customHeight="1" x14ac:dyDescent="0.3">
      <c r="T75" s="446"/>
      <c r="U75" s="446"/>
      <c r="V75" s="446"/>
      <c r="W75" s="446"/>
      <c r="X75" s="446"/>
      <c r="Y75" s="446"/>
      <c r="Z75" s="446"/>
      <c r="AA75" s="446"/>
      <c r="AB75" s="446"/>
      <c r="AC75" s="115"/>
    </row>
    <row r="76" spans="20:29" ht="15.75" customHeight="1" x14ac:dyDescent="0.3">
      <c r="T76" s="446"/>
      <c r="U76" s="446"/>
      <c r="V76" s="446"/>
      <c r="W76" s="446"/>
      <c r="X76" s="446"/>
      <c r="Y76" s="446"/>
      <c r="Z76" s="446"/>
      <c r="AA76" s="446"/>
      <c r="AB76" s="446"/>
      <c r="AC76" s="115"/>
    </row>
    <row r="77" spans="20:29" ht="15.75" customHeight="1" x14ac:dyDescent="0.3">
      <c r="T77" s="446"/>
      <c r="U77" s="446"/>
      <c r="V77" s="446"/>
      <c r="W77" s="446"/>
      <c r="X77" s="446"/>
      <c r="Y77" s="446"/>
      <c r="Z77" s="446"/>
      <c r="AA77" s="446"/>
      <c r="AB77" s="446"/>
      <c r="AC77" s="115"/>
    </row>
    <row r="78" spans="20:29" ht="15.75" customHeight="1" x14ac:dyDescent="0.3">
      <c r="T78" s="446"/>
      <c r="U78" s="446"/>
      <c r="V78" s="446"/>
      <c r="W78" s="446"/>
      <c r="X78" s="446"/>
      <c r="Y78" s="446"/>
      <c r="Z78" s="446"/>
      <c r="AA78" s="446"/>
      <c r="AB78" s="446"/>
      <c r="AC78" s="115"/>
    </row>
    <row r="79" spans="20:29" x14ac:dyDescent="0.3">
      <c r="T79" s="446"/>
      <c r="U79" s="446"/>
      <c r="V79" s="446"/>
      <c r="W79" s="446"/>
      <c r="X79" s="446"/>
      <c r="Y79" s="446"/>
      <c r="Z79" s="446"/>
      <c r="AA79" s="446"/>
      <c r="AB79" s="446"/>
      <c r="AC79" s="115"/>
    </row>
    <row r="80" spans="20:29" x14ac:dyDescent="0.3">
      <c r="T80" s="446"/>
      <c r="U80" s="446"/>
      <c r="V80" s="446"/>
      <c r="W80" s="446"/>
      <c r="X80" s="446"/>
      <c r="Y80" s="446"/>
      <c r="Z80" s="446"/>
      <c r="AA80" s="446"/>
      <c r="AB80" s="446"/>
      <c r="AC80" s="115"/>
    </row>
    <row r="81" spans="16:29" x14ac:dyDescent="0.3">
      <c r="T81" s="446"/>
      <c r="U81" s="446"/>
      <c r="V81" s="446"/>
      <c r="W81" s="446"/>
      <c r="X81" s="446"/>
      <c r="Y81" s="446"/>
      <c r="Z81" s="446"/>
      <c r="AA81" s="446"/>
      <c r="AB81" s="446"/>
      <c r="AC81" s="115"/>
    </row>
    <row r="82" spans="16:29" x14ac:dyDescent="0.3">
      <c r="T82" s="446"/>
      <c r="U82" s="446"/>
      <c r="V82" s="446"/>
      <c r="W82" s="446"/>
      <c r="X82" s="446"/>
      <c r="Y82" s="446"/>
      <c r="Z82" s="446"/>
      <c r="AA82" s="446"/>
      <c r="AB82" s="446"/>
      <c r="AC82" s="115"/>
    </row>
    <row r="83" spans="16:29" x14ac:dyDescent="0.3">
      <c r="T83" s="446"/>
      <c r="U83" s="446"/>
      <c r="V83" s="446"/>
      <c r="W83" s="446"/>
      <c r="X83" s="446"/>
      <c r="Y83" s="446"/>
      <c r="Z83" s="446"/>
      <c r="AA83" s="446"/>
      <c r="AB83" s="446"/>
      <c r="AC83" s="115"/>
    </row>
    <row r="84" spans="16:29" x14ac:dyDescent="0.3">
      <c r="T84" s="446"/>
      <c r="U84" s="446"/>
      <c r="V84" s="446"/>
      <c r="W84" s="446"/>
      <c r="X84" s="446"/>
      <c r="Y84" s="446"/>
      <c r="Z84" s="446"/>
      <c r="AA84" s="446"/>
      <c r="AB84" s="446"/>
      <c r="AC84" s="115"/>
    </row>
    <row r="85" spans="16:29" x14ac:dyDescent="0.3">
      <c r="T85" s="115"/>
      <c r="U85" s="115"/>
      <c r="V85" s="115"/>
      <c r="W85" s="115"/>
      <c r="X85" s="115"/>
      <c r="Y85" s="115"/>
      <c r="Z85" s="115"/>
      <c r="AA85" s="115"/>
      <c r="AB85" s="115"/>
    </row>
    <row r="86" spans="16:29" x14ac:dyDescent="0.3">
      <c r="P86" s="115"/>
      <c r="Q86" s="115"/>
      <c r="R86" s="115"/>
      <c r="S86" s="115"/>
    </row>
  </sheetData>
  <sheetProtection algorithmName="SHA-512" hashValue="SzDNXeIm6pAWD8scHOZjMAhyofbD8bElWHN7qio/07vM8fJr+m+7v3KKRmaLtccmcP1PhnpVsLbzJ5vJRHLOeA==" saltValue="BvjvFnWHspcltmmTgA6YTg==" spinCount="100000" sheet="1" objects="1" scenarios="1"/>
  <conditionalFormatting sqref="E18:E27">
    <cfRule type="expression" dxfId="151" priority="19">
      <formula>F18="N/A"</formula>
    </cfRule>
  </conditionalFormatting>
  <conditionalFormatting sqref="F18:F27">
    <cfRule type="expression" dxfId="150" priority="20">
      <formula>F18="N/A"</formula>
    </cfRule>
  </conditionalFormatting>
  <conditionalFormatting sqref="C18:C27">
    <cfRule type="expression" dxfId="149" priority="14">
      <formula>D18="Optional"</formula>
    </cfRule>
  </conditionalFormatting>
  <conditionalFormatting sqref="D18:D27">
    <cfRule type="expression" dxfId="148" priority="13">
      <formula>D18="Optional"</formula>
    </cfRule>
  </conditionalFormatting>
  <conditionalFormatting sqref="G18:G27">
    <cfRule type="expression" dxfId="147" priority="10">
      <formula>H18="Optional"</formula>
    </cfRule>
  </conditionalFormatting>
  <conditionalFormatting sqref="H18:H27">
    <cfRule type="expression" dxfId="146" priority="9">
      <formula>H18="Optional"</formula>
    </cfRule>
  </conditionalFormatting>
  <conditionalFormatting sqref="B17:H27">
    <cfRule type="expression" dxfId="145" priority="4">
      <formula>NOT($B$13="")</formula>
    </cfRule>
  </conditionalFormatting>
  <conditionalFormatting sqref="B31:J32 B33:H35 J33:J35">
    <cfRule type="expression" dxfId="144" priority="2">
      <formula>NOT($B$13="")</formula>
    </cfRule>
  </conditionalFormatting>
  <conditionalFormatting sqref="I33:I35">
    <cfRule type="expression" dxfId="143" priority="1">
      <formula>NOT($B$13="")</formula>
    </cfRule>
  </conditionalFormatting>
  <dataValidations count="2">
    <dataValidation type="decimal" operator="greaterThanOrEqual" allowBlank="1" showInputMessage="1" showErrorMessage="1" sqref="C18:C27 E18:E27" xr:uid="{00000000-0002-0000-0300-000000000000}">
      <formula1>0</formula1>
    </dataValidation>
    <dataValidation type="decimal" operator="greaterThan" allowBlank="1" showInputMessage="1" showErrorMessage="1" sqref="G18:G27" xr:uid="{00000000-0002-0000-0300-000001000000}">
      <formula1>0</formula1>
    </dataValidation>
  </dataValidations>
  <hyperlinks>
    <hyperlink ref="B10" r:id="rId1" tooltip="Link to Land Restoration Benefits Tool User Guide" xr:uid="{00000000-0004-0000-0300-000000000000}"/>
  </hyperlinks>
  <pageMargins left="0.7" right="0.7" top="0.75" bottom="0.75" header="0.3" footer="0.3"/>
  <pageSetup orientation="portrait" r:id="rId2"/>
  <ignoredErrors>
    <ignoredError sqref="AE23:AE39 R49:U49" numberStoredAsText="1"/>
  </ignoredErrors>
  <drawing r:id="rId3"/>
  <legacyDrawing r:id="rId4"/>
  <tableParts count="1">
    <tablePart r:id="rId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B1:AO109"/>
  <sheetViews>
    <sheetView showGridLines="0" zoomScaleNormal="100" workbookViewId="0"/>
  </sheetViews>
  <sheetFormatPr defaultColWidth="9.109375" defaultRowHeight="15.6" x14ac:dyDescent="0.3"/>
  <cols>
    <col min="1" max="1" width="2.88671875" style="2" customWidth="1"/>
    <col min="2" max="2" width="9.5546875" style="2" customWidth="1"/>
    <col min="3" max="3" width="20.109375" style="2" customWidth="1"/>
    <col min="4" max="4" width="10.6640625" style="5" customWidth="1"/>
    <col min="5" max="5" width="19" style="2" customWidth="1"/>
    <col min="6" max="6" width="10.6640625" style="5" customWidth="1"/>
    <col min="7" max="7" width="16" style="2" customWidth="1"/>
    <col min="8" max="8" width="10.88671875" style="2" customWidth="1"/>
    <col min="9" max="9" width="14.5546875" style="2" customWidth="1"/>
    <col min="10" max="10" width="13.109375" style="2" customWidth="1"/>
    <col min="11" max="11" width="16.33203125" style="2" hidden="1" customWidth="1"/>
    <col min="12" max="12" width="10.88671875" style="2" hidden="1" customWidth="1"/>
    <col min="13" max="13" width="16.5546875" style="2" customWidth="1"/>
    <col min="14" max="14" width="10.88671875" style="2" customWidth="1"/>
    <col min="15" max="15" width="11.6640625" style="2" customWidth="1"/>
    <col min="16" max="16" width="10.88671875" style="2" customWidth="1"/>
    <col min="17" max="17" width="10.5546875" style="2" customWidth="1"/>
    <col min="18" max="18" width="10.88671875" style="2" hidden="1" customWidth="1"/>
    <col min="19" max="19" width="10.44140625" style="2" hidden="1" customWidth="1"/>
    <col min="20" max="20" width="10.6640625" style="2" hidden="1" customWidth="1"/>
    <col min="21" max="21" width="12" style="2" hidden="1" customWidth="1"/>
    <col min="22" max="22" width="10.88671875" style="2" hidden="1" customWidth="1"/>
    <col min="23" max="34" width="9.109375" style="2" hidden="1" customWidth="1"/>
    <col min="35" max="35" width="10.88671875" style="2" hidden="1" customWidth="1"/>
    <col min="36" max="36" width="14.109375" style="2" hidden="1" customWidth="1"/>
    <col min="37" max="37" width="9.5546875" style="2" hidden="1" customWidth="1"/>
    <col min="38" max="38" width="3.88671875" style="2" hidden="1" customWidth="1"/>
    <col min="39" max="39" width="13.109375" style="2" hidden="1" customWidth="1"/>
    <col min="40" max="40" width="24.88671875" style="2" hidden="1" customWidth="1"/>
    <col min="41" max="41" width="9.109375" style="2" hidden="1" customWidth="1"/>
    <col min="42" max="16384" width="9.109375" style="2"/>
  </cols>
  <sheetData>
    <row r="1" spans="2:34" ht="21" x14ac:dyDescent="0.4">
      <c r="B1" s="140" t="str">
        <f>'Read Me'!B1</f>
        <v>California Air Resources Board</v>
      </c>
      <c r="C1" s="36"/>
      <c r="D1" s="39"/>
      <c r="E1" s="36"/>
      <c r="F1" s="39"/>
      <c r="G1" s="36"/>
      <c r="H1" s="36"/>
      <c r="I1" s="36"/>
    </row>
    <row r="2" spans="2:34" ht="21" x14ac:dyDescent="0.4">
      <c r="B2" s="140"/>
      <c r="C2" s="36"/>
      <c r="D2" s="39"/>
      <c r="E2" s="36"/>
      <c r="F2" s="39"/>
      <c r="G2" s="36"/>
      <c r="H2" s="36"/>
      <c r="I2" s="36"/>
    </row>
    <row r="3" spans="2:34" ht="21" x14ac:dyDescent="0.4">
      <c r="B3" s="140" t="str">
        <f>'Read Me'!B3</f>
        <v>Revised Draft Benefits Calculator Tool</v>
      </c>
      <c r="C3" s="36"/>
      <c r="D3" s="39"/>
      <c r="E3" s="36"/>
      <c r="F3" s="39"/>
      <c r="G3" s="36"/>
      <c r="H3" s="36"/>
      <c r="I3" s="36"/>
    </row>
    <row r="4" spans="2:34" ht="21" x14ac:dyDescent="0.4">
      <c r="B4" s="544" t="str">
        <f>GW</f>
        <v>Grassland</v>
      </c>
      <c r="C4" s="545"/>
      <c r="D4" s="546"/>
      <c r="E4" s="545"/>
      <c r="F4" s="546"/>
      <c r="G4" s="545"/>
      <c r="H4" s="545"/>
      <c r="I4" s="545"/>
    </row>
    <row r="5" spans="2:34" ht="21" x14ac:dyDescent="0.4">
      <c r="B5" s="140"/>
      <c r="C5" s="36"/>
      <c r="D5" s="39"/>
      <c r="E5" s="36"/>
      <c r="F5" s="39"/>
      <c r="G5" s="36"/>
      <c r="H5" s="36"/>
      <c r="I5" s="36"/>
    </row>
    <row r="6" spans="2:34" ht="21" x14ac:dyDescent="0.4">
      <c r="B6" s="140" t="str">
        <f>'Read Me'!B6</f>
        <v xml:space="preserve">California Climate Investments </v>
      </c>
      <c r="C6" s="36"/>
      <c r="D6" s="39"/>
      <c r="E6" s="36"/>
      <c r="F6" s="39"/>
      <c r="G6" s="36"/>
      <c r="H6" s="36"/>
      <c r="I6" s="36"/>
    </row>
    <row r="8" spans="2:34" ht="16.2" thickBot="1" x14ac:dyDescent="0.35">
      <c r="B8" s="1" t="s">
        <v>8</v>
      </c>
      <c r="F8" s="7"/>
      <c r="G8" s="3"/>
      <c r="H8" s="3"/>
      <c r="I8" s="3"/>
      <c r="J8" s="3"/>
    </row>
    <row r="9" spans="2:34" ht="15" customHeight="1" x14ac:dyDescent="0.3">
      <c r="B9" s="580" t="s">
        <v>114</v>
      </c>
      <c r="C9" s="581"/>
      <c r="D9" s="582"/>
      <c r="E9" s="581"/>
      <c r="F9" s="582"/>
      <c r="G9" s="581"/>
      <c r="H9" s="581"/>
      <c r="I9" s="583"/>
      <c r="M9" s="146" t="s">
        <v>27</v>
      </c>
      <c r="N9" s="147"/>
      <c r="O9" s="147"/>
      <c r="P9" s="147"/>
      <c r="Q9" s="148"/>
    </row>
    <row r="10" spans="2:34" ht="15" customHeight="1" x14ac:dyDescent="0.3">
      <c r="B10" s="613" t="s">
        <v>539</v>
      </c>
      <c r="C10" s="584"/>
      <c r="D10" s="585"/>
      <c r="E10" s="584"/>
      <c r="F10" s="585"/>
      <c r="G10" s="584"/>
      <c r="H10" s="584"/>
      <c r="I10" s="586"/>
      <c r="M10" s="136" t="s">
        <v>18</v>
      </c>
      <c r="N10" s="63" t="s">
        <v>22</v>
      </c>
      <c r="O10" s="63"/>
      <c r="P10" s="63"/>
      <c r="Q10" s="64"/>
    </row>
    <row r="11" spans="2:34" ht="15" customHeight="1" x14ac:dyDescent="0.3">
      <c r="B11" s="587" t="s">
        <v>535</v>
      </c>
      <c r="C11" s="584"/>
      <c r="D11" s="585"/>
      <c r="E11" s="584"/>
      <c r="F11" s="585"/>
      <c r="G11" s="584"/>
      <c r="H11" s="584"/>
      <c r="I11" s="586"/>
      <c r="M11" s="137" t="s">
        <v>19</v>
      </c>
      <c r="N11" s="63" t="s">
        <v>23</v>
      </c>
      <c r="O11" s="63"/>
      <c r="P11" s="63"/>
      <c r="Q11" s="64"/>
    </row>
    <row r="12" spans="2:34" ht="15" customHeight="1" x14ac:dyDescent="0.3">
      <c r="B12" s="588" t="s">
        <v>106</v>
      </c>
      <c r="C12" s="589"/>
      <c r="D12" s="590"/>
      <c r="E12" s="589"/>
      <c r="F12" s="590"/>
      <c r="G12" s="589"/>
      <c r="H12" s="589"/>
      <c r="I12" s="591"/>
      <c r="M12" s="138" t="s">
        <v>20</v>
      </c>
      <c r="N12" s="63" t="s">
        <v>26</v>
      </c>
      <c r="O12" s="63"/>
      <c r="P12" s="63"/>
      <c r="Q12" s="64"/>
    </row>
    <row r="13" spans="2:34" ht="15" customHeight="1" thickBot="1" x14ac:dyDescent="0.35">
      <c r="B13" s="47"/>
      <c r="C13" s="47"/>
      <c r="D13" s="47"/>
      <c r="E13" s="47"/>
      <c r="F13" s="47"/>
      <c r="G13" s="47"/>
      <c r="H13" s="47"/>
      <c r="I13" s="47"/>
      <c r="M13" s="139" t="s">
        <v>21</v>
      </c>
      <c r="N13" s="67" t="s">
        <v>25</v>
      </c>
      <c r="O13" s="67"/>
      <c r="P13" s="67"/>
      <c r="Q13" s="68"/>
    </row>
    <row r="14" spans="2:34" ht="15" customHeight="1" x14ac:dyDescent="0.3">
      <c r="B14" s="592" t="str">
        <f>"This worksheet is for calculating the GHG benefit for "&amp;B4&amp;"."</f>
        <v>This worksheet is for calculating the GHG benefit for Grassland.</v>
      </c>
      <c r="C14" s="593"/>
      <c r="D14" s="593"/>
      <c r="E14" s="593"/>
      <c r="F14" s="593"/>
      <c r="G14" s="593"/>
      <c r="H14" s="593"/>
      <c r="I14" s="594"/>
      <c r="M14" s="70" t="s">
        <v>24</v>
      </c>
      <c r="N14" s="72"/>
      <c r="O14" s="72"/>
      <c r="P14" s="72"/>
      <c r="Q14" s="72"/>
    </row>
    <row r="15" spans="2:34" ht="15" customHeight="1" x14ac:dyDescent="0.3">
      <c r="B15" s="595" t="str">
        <f>IF('Project Info'!C26=B4,"","DO NOT USE THIS WORKSHEET FOR THE SELECTED TYPE IN THE PROJECT INFO WORKSHEET.")</f>
        <v>DO NOT USE THIS WORKSHEET FOR THE SELECTED TYPE IN THE PROJECT INFO WORKSHEET.</v>
      </c>
      <c r="C15" s="596"/>
      <c r="D15" s="596"/>
      <c r="E15" s="596"/>
      <c r="F15" s="596"/>
      <c r="G15" s="596"/>
      <c r="H15" s="596"/>
      <c r="I15" s="597"/>
      <c r="R15" s="334"/>
      <c r="S15" s="334"/>
      <c r="T15" s="334"/>
      <c r="U15" s="334"/>
      <c r="V15" s="334"/>
      <c r="W15" s="334"/>
      <c r="X15" s="335"/>
      <c r="Y15" s="335"/>
      <c r="Z15" s="335"/>
      <c r="AA15" s="335"/>
      <c r="AB15" s="335"/>
      <c r="AC15" s="335"/>
      <c r="AD15" s="335"/>
      <c r="AE15" s="335"/>
      <c r="AF15" s="335"/>
      <c r="AG15" s="335"/>
      <c r="AH15" s="335"/>
    </row>
    <row r="16" spans="2:34" ht="15" customHeight="1" x14ac:dyDescent="0.3">
      <c r="D16" s="2"/>
      <c r="F16" s="2"/>
      <c r="R16" s="336" t="s">
        <v>363</v>
      </c>
      <c r="S16" s="337"/>
      <c r="T16" s="336"/>
      <c r="U16" s="336"/>
      <c r="V16" s="336"/>
      <c r="W16" s="336"/>
      <c r="X16" s="335"/>
      <c r="Y16" s="335"/>
      <c r="Z16" s="335"/>
      <c r="AA16" s="335"/>
      <c r="AB16" s="335"/>
      <c r="AC16" s="335"/>
      <c r="AD16" s="335"/>
      <c r="AE16" s="335"/>
      <c r="AF16" s="335"/>
      <c r="AG16" s="335"/>
      <c r="AH16" s="335"/>
    </row>
    <row r="17" spans="2:38" ht="15" customHeight="1" x14ac:dyDescent="0.3">
      <c r="B17" s="51" t="s">
        <v>50</v>
      </c>
      <c r="C17" s="4"/>
      <c r="D17" s="6"/>
      <c r="E17" s="4"/>
      <c r="F17" s="6"/>
      <c r="G17" s="4"/>
      <c r="H17" s="4"/>
      <c r="I17" s="4"/>
      <c r="J17" s="4"/>
      <c r="K17" s="3"/>
      <c r="R17" s="336"/>
      <c r="S17" s="336"/>
      <c r="T17" s="336"/>
      <c r="U17" s="336"/>
      <c r="V17" s="336"/>
      <c r="W17" s="336"/>
      <c r="X17" s="335"/>
      <c r="Y17" s="335"/>
      <c r="Z17" s="335"/>
      <c r="AA17" s="335"/>
      <c r="AB17" s="335"/>
      <c r="AC17" s="335"/>
      <c r="AD17" s="335"/>
      <c r="AE17" s="335"/>
      <c r="AF17" s="335"/>
      <c r="AG17" s="335"/>
      <c r="AH17" s="335"/>
    </row>
    <row r="18" spans="2:38" ht="16.2" x14ac:dyDescent="0.35">
      <c r="R18" s="393" t="s">
        <v>76</v>
      </c>
      <c r="S18" s="373" t="s">
        <v>367</v>
      </c>
      <c r="T18" s="373" t="s">
        <v>368</v>
      </c>
      <c r="U18" s="273" t="s">
        <v>271</v>
      </c>
      <c r="V18" s="374" t="s">
        <v>275</v>
      </c>
      <c r="W18" s="374" t="s">
        <v>237</v>
      </c>
      <c r="X18" s="273" t="s">
        <v>276</v>
      </c>
      <c r="Y18" s="335"/>
      <c r="Z18" s="335"/>
      <c r="AA18" s="335"/>
      <c r="AB18" s="335"/>
      <c r="AC18" s="335"/>
      <c r="AD18" s="335"/>
      <c r="AE18" s="335"/>
      <c r="AF18" s="335"/>
      <c r="AG18" s="335"/>
      <c r="AH18" s="335"/>
    </row>
    <row r="19" spans="2:38" ht="82.5" customHeight="1" thickBot="1" x14ac:dyDescent="0.35">
      <c r="B19" s="558" t="s">
        <v>77</v>
      </c>
      <c r="C19" s="565" t="s">
        <v>103</v>
      </c>
      <c r="D19" s="9" t="s">
        <v>82</v>
      </c>
      <c r="E19" s="551" t="s">
        <v>104</v>
      </c>
      <c r="F19" s="9" t="s">
        <v>84</v>
      </c>
      <c r="G19" s="551" t="s">
        <v>98</v>
      </c>
      <c r="H19" s="9" t="s">
        <v>85</v>
      </c>
      <c r="I19" s="118" t="s">
        <v>127</v>
      </c>
      <c r="J19" s="570" t="s">
        <v>132</v>
      </c>
      <c r="K19" s="565" t="s">
        <v>101</v>
      </c>
      <c r="L19" s="9" t="s">
        <v>87</v>
      </c>
      <c r="M19" s="551" t="s">
        <v>100</v>
      </c>
      <c r="N19" s="9" t="s">
        <v>89</v>
      </c>
      <c r="O19" s="118" t="s">
        <v>102</v>
      </c>
      <c r="P19" s="119" t="s">
        <v>90</v>
      </c>
      <c r="Q19" s="154"/>
      <c r="R19" s="540"/>
      <c r="S19" s="197" t="s">
        <v>196</v>
      </c>
      <c r="T19" s="197" t="s">
        <v>196</v>
      </c>
      <c r="U19" s="197" t="s">
        <v>215</v>
      </c>
      <c r="V19" s="197" t="s">
        <v>364</v>
      </c>
      <c r="W19" s="338" t="s">
        <v>330</v>
      </c>
      <c r="X19" s="197" t="s">
        <v>196</v>
      </c>
      <c r="Y19" s="335"/>
      <c r="Z19" s="185"/>
      <c r="AA19" s="335"/>
      <c r="AB19" s="335"/>
      <c r="AC19" s="335"/>
      <c r="AD19" s="335"/>
      <c r="AE19" s="335"/>
      <c r="AF19" s="335"/>
      <c r="AG19" s="335"/>
      <c r="AH19" s="335"/>
      <c r="AI19" s="183" t="s">
        <v>55</v>
      </c>
      <c r="AJ19" s="183" t="s">
        <v>153</v>
      </c>
      <c r="AK19" s="183" t="s">
        <v>57</v>
      </c>
      <c r="AL19" s="184" t="s">
        <v>154</v>
      </c>
    </row>
    <row r="20" spans="2:38" ht="16.8" thickTop="1" x14ac:dyDescent="0.35">
      <c r="B20" s="559">
        <v>1</v>
      </c>
      <c r="C20" s="566"/>
      <c r="D20" s="120" t="str">
        <f t="shared" ref="D20:D29" si="0">IF(ISBLANK(C20),IF(SUM(C20,E20,G20,K20,M20)&gt;0,"Required","Optional"),"acres")</f>
        <v>Optional</v>
      </c>
      <c r="E20" s="552"/>
      <c r="F20" s="120" t="str">
        <f t="shared" ref="F20:F29" si="1">IF(ISBLANK(E20),IF(SUM(C20,E20,G20,K20,M20)&gt;0,"Required","Optional"),"acres")</f>
        <v>Optional</v>
      </c>
      <c r="G20" s="552"/>
      <c r="H20" s="120" t="str">
        <f t="shared" ref="H20:H29" si="2">IF(ISBLANK(G20),IF(SUM(C20,E20,G20,K20,M20)&gt;0,"Required","Optional"),"acres")</f>
        <v>Optional</v>
      </c>
      <c r="I20" s="177"/>
      <c r="J20" s="562" t="str">
        <f t="shared" ref="J20:J29" si="3">IF(ISBLANK(I20),IF(G20&gt;0,"Optional","N/A"),"lb-N/acre-yr")</f>
        <v>N/A</v>
      </c>
      <c r="K20" s="566"/>
      <c r="L20" s="120" t="str">
        <f t="shared" ref="L20:L29" si="4">IF(ISBLANK(K20),IF(SUM(C20,E20,G20,K20,M20)&gt;0,"Required","Optional"),"acres")</f>
        <v>Optional</v>
      </c>
      <c r="M20" s="552"/>
      <c r="N20" s="120" t="str">
        <f t="shared" ref="N20:N29" si="5">IF(ISBLANK(M20),IF(SUM(C20,E20,G20,K20,M20)&gt;0,"Required","Optional"),"acres")</f>
        <v>Optional</v>
      </c>
      <c r="O20" s="159"/>
      <c r="P20" s="124" t="str">
        <f t="shared" ref="P20:P29" si="6">IF(ISBLANK(O20),IF(SUM(C20,E20,G20,K20,M20)&gt;0,"Required","N/A"),"")</f>
        <v>N/A</v>
      </c>
      <c r="R20" s="339">
        <v>1</v>
      </c>
      <c r="S20" s="340">
        <f>IFERROR(T20+(U20*V20)*W20,0)</f>
        <v>0</v>
      </c>
      <c r="T20" s="340">
        <f t="shared" ref="T20:T29" si="7">S40</f>
        <v>0</v>
      </c>
      <c r="U20" s="341">
        <f t="shared" ref="U20:U29" si="8">S56</f>
        <v>0</v>
      </c>
      <c r="V20" s="342">
        <f t="shared" ref="V20:V29" si="9">$AK$23</f>
        <v>298</v>
      </c>
      <c r="W20" s="344">
        <f t="shared" ref="W20:W29" si="10">$AK$24</f>
        <v>50</v>
      </c>
      <c r="X20" s="200"/>
      <c r="Y20" s="335"/>
      <c r="Z20" s="335"/>
      <c r="AA20" s="335"/>
      <c r="AB20" s="335"/>
      <c r="AC20" s="335"/>
      <c r="AD20" s="335"/>
      <c r="AE20" s="335"/>
      <c r="AF20" s="335"/>
      <c r="AG20" s="335"/>
      <c r="AH20" s="335"/>
      <c r="AI20" s="373" t="s">
        <v>367</v>
      </c>
      <c r="AJ20" s="183" t="s">
        <v>155</v>
      </c>
      <c r="AK20" s="462"/>
      <c r="AL20" s="184" t="s">
        <v>156</v>
      </c>
    </row>
    <row r="21" spans="2:38" ht="16.2" x14ac:dyDescent="0.35">
      <c r="B21" s="560">
        <v>2</v>
      </c>
      <c r="C21" s="566"/>
      <c r="D21" s="121" t="str">
        <f t="shared" si="0"/>
        <v>Optional</v>
      </c>
      <c r="E21" s="571"/>
      <c r="F21" s="121" t="str">
        <f t="shared" si="1"/>
        <v>Optional</v>
      </c>
      <c r="G21" s="552"/>
      <c r="H21" s="120" t="str">
        <f t="shared" si="2"/>
        <v>Optional</v>
      </c>
      <c r="I21" s="177"/>
      <c r="J21" s="562" t="str">
        <f t="shared" si="3"/>
        <v>N/A</v>
      </c>
      <c r="K21" s="566"/>
      <c r="L21" s="120" t="str">
        <f t="shared" si="4"/>
        <v>Optional</v>
      </c>
      <c r="M21" s="552"/>
      <c r="N21" s="120" t="str">
        <f t="shared" si="5"/>
        <v>Optional</v>
      </c>
      <c r="O21" s="159"/>
      <c r="P21" s="125" t="str">
        <f t="shared" si="6"/>
        <v>N/A</v>
      </c>
      <c r="R21" s="339">
        <v>2</v>
      </c>
      <c r="S21" s="340">
        <f t="shared" ref="S21:S29" si="11">IFERROR(T21+(U21*V21)*W21,0)</f>
        <v>0</v>
      </c>
      <c r="T21" s="340">
        <f t="shared" si="7"/>
        <v>0</v>
      </c>
      <c r="U21" s="341">
        <f t="shared" si="8"/>
        <v>0</v>
      </c>
      <c r="V21" s="342">
        <f t="shared" si="9"/>
        <v>298</v>
      </c>
      <c r="W21" s="344">
        <f t="shared" si="10"/>
        <v>50</v>
      </c>
      <c r="X21" s="201"/>
      <c r="Y21" s="335"/>
      <c r="Z21" s="185"/>
      <c r="AA21" s="335"/>
      <c r="AB21" s="335"/>
      <c r="AC21" s="335"/>
      <c r="AD21" s="335"/>
      <c r="AE21" s="335"/>
      <c r="AF21" s="335"/>
      <c r="AG21" s="335"/>
      <c r="AH21" s="335"/>
      <c r="AI21" s="373" t="s">
        <v>368</v>
      </c>
      <c r="AJ21" s="183" t="s">
        <v>155</v>
      </c>
      <c r="AK21" s="462"/>
      <c r="AL21" s="184" t="s">
        <v>157</v>
      </c>
    </row>
    <row r="22" spans="2:38" ht="16.2" x14ac:dyDescent="0.35">
      <c r="B22" s="560">
        <v>3</v>
      </c>
      <c r="C22" s="566"/>
      <c r="D22" s="121" t="str">
        <f t="shared" si="0"/>
        <v>Optional</v>
      </c>
      <c r="E22" s="571"/>
      <c r="F22" s="121" t="str">
        <f t="shared" si="1"/>
        <v>Optional</v>
      </c>
      <c r="G22" s="552"/>
      <c r="H22" s="120" t="str">
        <f t="shared" si="2"/>
        <v>Optional</v>
      </c>
      <c r="I22" s="177"/>
      <c r="J22" s="562" t="str">
        <f t="shared" si="3"/>
        <v>N/A</v>
      </c>
      <c r="K22" s="566"/>
      <c r="L22" s="120" t="str">
        <f t="shared" si="4"/>
        <v>Optional</v>
      </c>
      <c r="M22" s="552"/>
      <c r="N22" s="120" t="str">
        <f t="shared" si="5"/>
        <v>Optional</v>
      </c>
      <c r="O22" s="159"/>
      <c r="P22" s="125" t="str">
        <f t="shared" si="6"/>
        <v>N/A</v>
      </c>
      <c r="R22" s="345">
        <v>3</v>
      </c>
      <c r="S22" s="340">
        <f t="shared" si="11"/>
        <v>0</v>
      </c>
      <c r="T22" s="340">
        <f t="shared" si="7"/>
        <v>0</v>
      </c>
      <c r="U22" s="341">
        <f t="shared" si="8"/>
        <v>0</v>
      </c>
      <c r="V22" s="342">
        <f t="shared" si="9"/>
        <v>298</v>
      </c>
      <c r="W22" s="344">
        <f t="shared" si="10"/>
        <v>50</v>
      </c>
      <c r="X22" s="201"/>
      <c r="Y22" s="335"/>
      <c r="Z22" s="335"/>
      <c r="AA22" s="335"/>
      <c r="AB22" s="185"/>
      <c r="AC22" s="185"/>
      <c r="AD22" s="335"/>
      <c r="AE22" s="335"/>
      <c r="AF22" s="335"/>
      <c r="AG22" s="335"/>
      <c r="AH22" s="335"/>
      <c r="AI22" s="273" t="s">
        <v>316</v>
      </c>
      <c r="AJ22" s="183" t="s">
        <v>155</v>
      </c>
      <c r="AK22" s="462"/>
      <c r="AL22" s="184" t="s">
        <v>158</v>
      </c>
    </row>
    <row r="23" spans="2:38" x14ac:dyDescent="0.3">
      <c r="B23" s="560">
        <v>4</v>
      </c>
      <c r="C23" s="566"/>
      <c r="D23" s="121" t="str">
        <f t="shared" si="0"/>
        <v>Optional</v>
      </c>
      <c r="E23" s="571"/>
      <c r="F23" s="121" t="str">
        <f t="shared" si="1"/>
        <v>Optional</v>
      </c>
      <c r="G23" s="552"/>
      <c r="H23" s="120" t="str">
        <f t="shared" si="2"/>
        <v>Optional</v>
      </c>
      <c r="I23" s="177"/>
      <c r="J23" s="562" t="str">
        <f t="shared" si="3"/>
        <v>N/A</v>
      </c>
      <c r="K23" s="566"/>
      <c r="L23" s="120" t="str">
        <f t="shared" si="4"/>
        <v>Optional</v>
      </c>
      <c r="M23" s="552"/>
      <c r="N23" s="120" t="str">
        <f t="shared" si="5"/>
        <v>Optional</v>
      </c>
      <c r="O23" s="159"/>
      <c r="P23" s="125" t="str">
        <f t="shared" si="6"/>
        <v>N/A</v>
      </c>
      <c r="R23" s="345">
        <v>4</v>
      </c>
      <c r="S23" s="340">
        <f t="shared" si="11"/>
        <v>0</v>
      </c>
      <c r="T23" s="340">
        <f t="shared" si="7"/>
        <v>0</v>
      </c>
      <c r="U23" s="341">
        <f t="shared" si="8"/>
        <v>0</v>
      </c>
      <c r="V23" s="342">
        <f t="shared" si="9"/>
        <v>298</v>
      </c>
      <c r="W23" s="344">
        <f t="shared" si="10"/>
        <v>50</v>
      </c>
      <c r="X23" s="201"/>
      <c r="Y23" s="335"/>
      <c r="Z23" s="185"/>
      <c r="AA23" s="185"/>
      <c r="AB23" s="335"/>
      <c r="AC23" s="335"/>
      <c r="AD23" s="335"/>
      <c r="AE23" s="335"/>
      <c r="AF23" s="335"/>
      <c r="AG23" s="335"/>
      <c r="AH23" s="335"/>
      <c r="AI23" s="374" t="s">
        <v>275</v>
      </c>
      <c r="AJ23" s="183" t="s">
        <v>159</v>
      </c>
      <c r="AK23" s="462">
        <v>298</v>
      </c>
      <c r="AL23" s="184" t="s">
        <v>160</v>
      </c>
    </row>
    <row r="24" spans="2:38" x14ac:dyDescent="0.3">
      <c r="B24" s="560">
        <v>5</v>
      </c>
      <c r="C24" s="566"/>
      <c r="D24" s="121" t="str">
        <f t="shared" si="0"/>
        <v>Optional</v>
      </c>
      <c r="E24" s="571"/>
      <c r="F24" s="121" t="str">
        <f t="shared" si="1"/>
        <v>Optional</v>
      </c>
      <c r="G24" s="552"/>
      <c r="H24" s="120" t="str">
        <f t="shared" si="2"/>
        <v>Optional</v>
      </c>
      <c r="I24" s="177"/>
      <c r="J24" s="562" t="str">
        <f t="shared" si="3"/>
        <v>N/A</v>
      </c>
      <c r="K24" s="566"/>
      <c r="L24" s="120" t="str">
        <f t="shared" si="4"/>
        <v>Optional</v>
      </c>
      <c r="M24" s="552"/>
      <c r="N24" s="120" t="str">
        <f t="shared" si="5"/>
        <v>Optional</v>
      </c>
      <c r="O24" s="159"/>
      <c r="P24" s="125" t="str">
        <f t="shared" si="6"/>
        <v>N/A</v>
      </c>
      <c r="R24" s="339">
        <v>5</v>
      </c>
      <c r="S24" s="340">
        <f t="shared" si="11"/>
        <v>0</v>
      </c>
      <c r="T24" s="340">
        <f t="shared" si="7"/>
        <v>0</v>
      </c>
      <c r="U24" s="341">
        <f t="shared" si="8"/>
        <v>0</v>
      </c>
      <c r="V24" s="342">
        <f t="shared" si="9"/>
        <v>298</v>
      </c>
      <c r="W24" s="344">
        <f t="shared" si="10"/>
        <v>50</v>
      </c>
      <c r="X24" s="201"/>
      <c r="Y24" s="335"/>
      <c r="Z24" s="185"/>
      <c r="AA24" s="185"/>
      <c r="AB24" s="335"/>
      <c r="AC24" s="335"/>
      <c r="AD24" s="335"/>
      <c r="AE24" s="335"/>
      <c r="AF24" s="335"/>
      <c r="AG24" s="335"/>
      <c r="AH24" s="335"/>
      <c r="AI24" s="183">
        <v>50</v>
      </c>
      <c r="AJ24" s="183" t="s">
        <v>159</v>
      </c>
      <c r="AK24" s="462">
        <v>50</v>
      </c>
      <c r="AL24" s="184" t="s">
        <v>366</v>
      </c>
    </row>
    <row r="25" spans="2:38" ht="16.2" x14ac:dyDescent="0.35">
      <c r="B25" s="560">
        <v>6</v>
      </c>
      <c r="C25" s="566"/>
      <c r="D25" s="121" t="str">
        <f t="shared" si="0"/>
        <v>Optional</v>
      </c>
      <c r="E25" s="571"/>
      <c r="F25" s="121" t="str">
        <f t="shared" si="1"/>
        <v>Optional</v>
      </c>
      <c r="G25" s="552"/>
      <c r="H25" s="120" t="str">
        <f t="shared" si="2"/>
        <v>Optional</v>
      </c>
      <c r="I25" s="177"/>
      <c r="J25" s="562" t="str">
        <f t="shared" si="3"/>
        <v>N/A</v>
      </c>
      <c r="K25" s="566"/>
      <c r="L25" s="120" t="str">
        <f t="shared" si="4"/>
        <v>Optional</v>
      </c>
      <c r="M25" s="552"/>
      <c r="N25" s="120" t="str">
        <f t="shared" si="5"/>
        <v>Optional</v>
      </c>
      <c r="O25" s="159"/>
      <c r="P25" s="125" t="str">
        <f t="shared" si="6"/>
        <v>N/A</v>
      </c>
      <c r="R25" s="345">
        <v>6</v>
      </c>
      <c r="S25" s="340">
        <f t="shared" si="11"/>
        <v>0</v>
      </c>
      <c r="T25" s="340">
        <f t="shared" si="7"/>
        <v>0</v>
      </c>
      <c r="U25" s="341">
        <f t="shared" si="8"/>
        <v>0</v>
      </c>
      <c r="V25" s="342">
        <f t="shared" si="9"/>
        <v>298</v>
      </c>
      <c r="W25" s="344">
        <f t="shared" si="10"/>
        <v>50</v>
      </c>
      <c r="X25" s="201"/>
      <c r="Y25" s="335"/>
      <c r="Z25" s="185"/>
      <c r="AA25" s="185"/>
      <c r="AB25" s="335"/>
      <c r="AC25" s="335"/>
      <c r="AD25" s="335"/>
      <c r="AE25" s="335"/>
      <c r="AF25" s="335"/>
      <c r="AG25" s="335"/>
      <c r="AH25" s="335"/>
      <c r="AI25" s="273" t="s">
        <v>276</v>
      </c>
      <c r="AJ25" s="196" t="s">
        <v>278</v>
      </c>
      <c r="AK25" s="463"/>
      <c r="AL25" s="286" t="s">
        <v>299</v>
      </c>
    </row>
    <row r="26" spans="2:38" ht="16.2" x14ac:dyDescent="0.3">
      <c r="B26" s="560">
        <v>7</v>
      </c>
      <c r="C26" s="566"/>
      <c r="D26" s="121" t="str">
        <f t="shared" si="0"/>
        <v>Optional</v>
      </c>
      <c r="E26" s="571"/>
      <c r="F26" s="121" t="str">
        <f t="shared" si="1"/>
        <v>Optional</v>
      </c>
      <c r="G26" s="552"/>
      <c r="H26" s="120" t="str">
        <f t="shared" si="2"/>
        <v>Optional</v>
      </c>
      <c r="I26" s="177"/>
      <c r="J26" s="562" t="str">
        <f t="shared" si="3"/>
        <v>N/A</v>
      </c>
      <c r="K26" s="566"/>
      <c r="L26" s="120" t="str">
        <f t="shared" si="4"/>
        <v>Optional</v>
      </c>
      <c r="M26" s="552"/>
      <c r="N26" s="120" t="str">
        <f t="shared" si="5"/>
        <v>Optional</v>
      </c>
      <c r="O26" s="159"/>
      <c r="P26" s="125" t="str">
        <f t="shared" si="6"/>
        <v>N/A</v>
      </c>
      <c r="R26" s="345">
        <v>7</v>
      </c>
      <c r="S26" s="340">
        <f t="shared" si="11"/>
        <v>0</v>
      </c>
      <c r="T26" s="340">
        <f t="shared" si="7"/>
        <v>0</v>
      </c>
      <c r="U26" s="341">
        <f t="shared" si="8"/>
        <v>0</v>
      </c>
      <c r="V26" s="342">
        <f t="shared" si="9"/>
        <v>298</v>
      </c>
      <c r="W26" s="344">
        <f t="shared" si="10"/>
        <v>50</v>
      </c>
      <c r="X26" s="201"/>
      <c r="Y26" s="335"/>
      <c r="Z26" s="185"/>
      <c r="AA26" s="185"/>
      <c r="AB26" s="335"/>
      <c r="AC26" s="335"/>
      <c r="AD26" s="335"/>
      <c r="AE26" s="335"/>
      <c r="AF26" s="335"/>
      <c r="AG26" s="335"/>
      <c r="AH26" s="335"/>
      <c r="AI26" s="186" t="s">
        <v>368</v>
      </c>
      <c r="AJ26" s="196" t="s">
        <v>278</v>
      </c>
      <c r="AK26" s="462"/>
      <c r="AL26" s="382" t="s">
        <v>374</v>
      </c>
    </row>
    <row r="27" spans="2:38" x14ac:dyDescent="0.3">
      <c r="B27" s="560">
        <v>8</v>
      </c>
      <c r="C27" s="566"/>
      <c r="D27" s="121" t="str">
        <f t="shared" si="0"/>
        <v>Optional</v>
      </c>
      <c r="E27" s="571"/>
      <c r="F27" s="121" t="str">
        <f t="shared" si="1"/>
        <v>Optional</v>
      </c>
      <c r="G27" s="552"/>
      <c r="H27" s="120" t="str">
        <f t="shared" si="2"/>
        <v>Optional</v>
      </c>
      <c r="I27" s="177"/>
      <c r="J27" s="562" t="str">
        <f t="shared" si="3"/>
        <v>N/A</v>
      </c>
      <c r="K27" s="566"/>
      <c r="L27" s="120" t="str">
        <f t="shared" si="4"/>
        <v>Optional</v>
      </c>
      <c r="M27" s="552"/>
      <c r="N27" s="120" t="str">
        <f t="shared" si="5"/>
        <v>Optional</v>
      </c>
      <c r="O27" s="159"/>
      <c r="P27" s="125" t="str">
        <f t="shared" si="6"/>
        <v>N/A</v>
      </c>
      <c r="R27" s="339">
        <v>8</v>
      </c>
      <c r="S27" s="340">
        <f t="shared" si="11"/>
        <v>0</v>
      </c>
      <c r="T27" s="340">
        <f t="shared" si="7"/>
        <v>0</v>
      </c>
      <c r="U27" s="341">
        <f t="shared" si="8"/>
        <v>0</v>
      </c>
      <c r="V27" s="342">
        <f t="shared" si="9"/>
        <v>298</v>
      </c>
      <c r="W27" s="344">
        <f t="shared" si="10"/>
        <v>50</v>
      </c>
      <c r="X27" s="201"/>
      <c r="Y27" s="335"/>
      <c r="Z27" s="185"/>
      <c r="AA27" s="185"/>
      <c r="AB27" s="335"/>
      <c r="AC27" s="335"/>
      <c r="AD27" s="335"/>
      <c r="AE27" s="335"/>
      <c r="AF27" s="335"/>
      <c r="AG27" s="335"/>
      <c r="AH27" s="335"/>
      <c r="AI27" s="186" t="s">
        <v>351</v>
      </c>
      <c r="AJ27" s="369" t="s">
        <v>159</v>
      </c>
      <c r="AK27" s="462" t="s">
        <v>302</v>
      </c>
      <c r="AL27" s="184" t="s">
        <v>322</v>
      </c>
    </row>
    <row r="28" spans="2:38" ht="16.2" x14ac:dyDescent="0.3">
      <c r="B28" s="560">
        <v>9</v>
      </c>
      <c r="C28" s="566"/>
      <c r="D28" s="121" t="str">
        <f t="shared" si="0"/>
        <v>Optional</v>
      </c>
      <c r="E28" s="571"/>
      <c r="F28" s="121" t="str">
        <f t="shared" si="1"/>
        <v>Optional</v>
      </c>
      <c r="G28" s="552"/>
      <c r="H28" s="120" t="str">
        <f t="shared" si="2"/>
        <v>Optional</v>
      </c>
      <c r="I28" s="177"/>
      <c r="J28" s="562" t="str">
        <f t="shared" si="3"/>
        <v>N/A</v>
      </c>
      <c r="K28" s="566"/>
      <c r="L28" s="120" t="str">
        <f t="shared" si="4"/>
        <v>Optional</v>
      </c>
      <c r="M28" s="552"/>
      <c r="N28" s="120" t="str">
        <f t="shared" si="5"/>
        <v>Optional</v>
      </c>
      <c r="O28" s="159"/>
      <c r="P28" s="125" t="str">
        <f t="shared" si="6"/>
        <v>N/A</v>
      </c>
      <c r="R28" s="345">
        <v>9</v>
      </c>
      <c r="S28" s="340">
        <f t="shared" si="11"/>
        <v>0</v>
      </c>
      <c r="T28" s="340">
        <f t="shared" si="7"/>
        <v>0</v>
      </c>
      <c r="U28" s="341">
        <f t="shared" si="8"/>
        <v>0</v>
      </c>
      <c r="V28" s="342">
        <f t="shared" si="9"/>
        <v>298</v>
      </c>
      <c r="W28" s="344">
        <f t="shared" si="10"/>
        <v>50</v>
      </c>
      <c r="X28" s="201"/>
      <c r="Y28" s="335"/>
      <c r="Z28" s="185"/>
      <c r="AA28" s="185"/>
      <c r="AB28" s="335"/>
      <c r="AC28" s="335"/>
      <c r="AD28" s="335"/>
      <c r="AE28" s="335"/>
      <c r="AF28" s="335"/>
      <c r="AG28" s="335"/>
      <c r="AH28" s="335"/>
      <c r="AI28" s="186" t="s">
        <v>369</v>
      </c>
      <c r="AJ28" s="183" t="s">
        <v>159</v>
      </c>
      <c r="AK28" s="190">
        <v>1.37</v>
      </c>
      <c r="AL28" s="184" t="s">
        <v>375</v>
      </c>
    </row>
    <row r="29" spans="2:38" ht="15.75" customHeight="1" x14ac:dyDescent="0.3">
      <c r="B29" s="561">
        <v>10</v>
      </c>
      <c r="C29" s="569"/>
      <c r="D29" s="122" t="str">
        <f t="shared" si="0"/>
        <v>Optional</v>
      </c>
      <c r="E29" s="572"/>
      <c r="F29" s="122" t="str">
        <f t="shared" si="1"/>
        <v>Optional</v>
      </c>
      <c r="G29" s="553"/>
      <c r="H29" s="123" t="str">
        <f t="shared" si="2"/>
        <v>Optional</v>
      </c>
      <c r="I29" s="178"/>
      <c r="J29" s="563" t="str">
        <f t="shared" si="3"/>
        <v>N/A</v>
      </c>
      <c r="K29" s="569"/>
      <c r="L29" s="123" t="str">
        <f t="shared" si="4"/>
        <v>Optional</v>
      </c>
      <c r="M29" s="553"/>
      <c r="N29" s="123" t="str">
        <f t="shared" si="5"/>
        <v>Optional</v>
      </c>
      <c r="O29" s="160"/>
      <c r="P29" s="126" t="str">
        <f t="shared" si="6"/>
        <v>N/A</v>
      </c>
      <c r="R29" s="345">
        <v>10</v>
      </c>
      <c r="S29" s="340">
        <f t="shared" si="11"/>
        <v>0</v>
      </c>
      <c r="T29" s="340">
        <f t="shared" si="7"/>
        <v>0</v>
      </c>
      <c r="U29" s="341">
        <f t="shared" si="8"/>
        <v>0</v>
      </c>
      <c r="V29" s="342">
        <f t="shared" si="9"/>
        <v>298</v>
      </c>
      <c r="W29" s="344">
        <f t="shared" si="10"/>
        <v>50</v>
      </c>
      <c r="X29" s="202"/>
      <c r="Y29" s="335"/>
      <c r="Z29" s="185"/>
      <c r="AA29" s="185"/>
      <c r="AB29" s="335"/>
      <c r="AC29" s="335"/>
      <c r="AD29" s="335"/>
      <c r="AE29" s="335"/>
      <c r="AF29" s="335"/>
      <c r="AG29" s="335"/>
      <c r="AH29" s="335"/>
      <c r="AI29" s="186" t="s">
        <v>370</v>
      </c>
      <c r="AJ29" s="183" t="s">
        <v>44</v>
      </c>
      <c r="AK29" s="462"/>
      <c r="AL29" s="382" t="s">
        <v>377</v>
      </c>
    </row>
    <row r="30" spans="2:38" ht="16.2" x14ac:dyDescent="0.3">
      <c r="R30" s="345" t="s">
        <v>202</v>
      </c>
      <c r="S30" s="340">
        <f>SUM(S20:S29)</f>
        <v>0</v>
      </c>
      <c r="T30" s="340">
        <f t="shared" ref="T30:U30" si="12">SUM(T20:T29)</f>
        <v>0</v>
      </c>
      <c r="U30" s="340">
        <f t="shared" si="12"/>
        <v>0</v>
      </c>
      <c r="V30" s="398"/>
      <c r="W30" s="349"/>
      <c r="X30" s="401">
        <f>Trees!$E$41</f>
        <v>0</v>
      </c>
      <c r="Y30" s="335"/>
      <c r="Z30" s="335"/>
      <c r="AA30" s="335"/>
      <c r="AB30" s="185"/>
      <c r="AC30" s="335"/>
      <c r="AD30" s="335"/>
      <c r="AE30" s="335"/>
      <c r="AF30" s="335"/>
      <c r="AG30" s="335"/>
      <c r="AH30" s="335"/>
      <c r="AI30" s="186" t="s">
        <v>371</v>
      </c>
      <c r="AJ30" s="183" t="s">
        <v>44</v>
      </c>
      <c r="AK30" s="462"/>
      <c r="AL30" s="184" t="s">
        <v>378</v>
      </c>
    </row>
    <row r="31" spans="2:38" ht="16.2" x14ac:dyDescent="0.3">
      <c r="B31" s="51" t="s">
        <v>192</v>
      </c>
      <c r="R31" s="345" t="s">
        <v>203</v>
      </c>
      <c r="S31" s="206">
        <f>S30+X30</f>
        <v>0</v>
      </c>
      <c r="T31" s="351"/>
      <c r="U31" s="352"/>
      <c r="V31" s="353"/>
      <c r="W31" s="209"/>
      <c r="X31" s="210"/>
      <c r="Y31" s="335"/>
      <c r="Z31" s="335"/>
      <c r="AA31" s="335"/>
      <c r="AB31" s="185"/>
      <c r="AC31" s="335"/>
      <c r="AD31" s="335"/>
      <c r="AE31" s="335"/>
      <c r="AF31" s="335"/>
      <c r="AG31" s="335"/>
      <c r="AH31" s="335"/>
      <c r="AI31" s="186" t="s">
        <v>372</v>
      </c>
      <c r="AJ31" s="183" t="s">
        <v>159</v>
      </c>
      <c r="AK31" s="190">
        <v>1.26</v>
      </c>
      <c r="AL31" s="184" t="s">
        <v>376</v>
      </c>
    </row>
    <row r="32" spans="2:38" ht="16.8" thickBot="1" x14ac:dyDescent="0.35">
      <c r="R32" s="354"/>
      <c r="S32" s="354"/>
      <c r="T32" s="354"/>
      <c r="U32" s="354"/>
      <c r="V32" s="354"/>
      <c r="W32" s="354"/>
      <c r="X32" s="354"/>
      <c r="Y32" s="354"/>
      <c r="Z32" s="354"/>
      <c r="AA32" s="185"/>
      <c r="AB32" s="185"/>
      <c r="AC32" s="354"/>
      <c r="AD32" s="354"/>
      <c r="AE32" s="354"/>
      <c r="AF32" s="354"/>
      <c r="AG32" s="354"/>
      <c r="AH32" s="354"/>
      <c r="AI32" s="186" t="s">
        <v>373</v>
      </c>
      <c r="AJ32" s="183" t="s">
        <v>44</v>
      </c>
      <c r="AK32" s="462"/>
      <c r="AL32" s="184" t="s">
        <v>379</v>
      </c>
    </row>
    <row r="33" spans="2:41" ht="18" x14ac:dyDescent="0.3">
      <c r="B33" s="407" t="str">
        <f>"Greenhouse Gas Benefit from "&amp;B4&amp;" Restoration"</f>
        <v>Greenhouse Gas Benefit from Grassland Restoration</v>
      </c>
      <c r="C33" s="402"/>
      <c r="D33" s="402"/>
      <c r="E33" s="402"/>
      <c r="F33" s="402"/>
      <c r="G33" s="402"/>
      <c r="H33" s="402"/>
      <c r="I33" s="403">
        <f>($B$4=ProjectType)*S31</f>
        <v>0</v>
      </c>
      <c r="J33" s="105" t="s">
        <v>184</v>
      </c>
      <c r="R33" s="49" t="s">
        <v>365</v>
      </c>
      <c r="S33" s="337"/>
      <c r="T33" s="354"/>
      <c r="U33" s="354"/>
      <c r="V33" s="354"/>
      <c r="W33" s="354"/>
      <c r="X33" s="354"/>
      <c r="Y33" s="354"/>
      <c r="Z33" s="185"/>
      <c r="AA33" s="185"/>
      <c r="AB33" s="185"/>
      <c r="AC33" s="185"/>
      <c r="AD33" s="354"/>
      <c r="AE33" s="354"/>
      <c r="AF33" s="354"/>
      <c r="AG33" s="354"/>
      <c r="AH33" s="354"/>
      <c r="AI33" s="186" t="s">
        <v>353</v>
      </c>
      <c r="AJ33" s="183" t="s">
        <v>159</v>
      </c>
      <c r="AK33" s="189">
        <v>0.95</v>
      </c>
      <c r="AL33" s="184" t="s">
        <v>170</v>
      </c>
    </row>
    <row r="34" spans="2:41" ht="16.2" x14ac:dyDescent="0.3">
      <c r="B34" s="408" t="str">
        <f>"Land Restoration Co-Benefit from "&amp;B4&amp;" Restoration"</f>
        <v>Land Restoration Co-Benefit from Grassland Restoration</v>
      </c>
      <c r="C34" s="404"/>
      <c r="D34" s="404"/>
      <c r="E34" s="404"/>
      <c r="F34" s="404"/>
      <c r="G34" s="404"/>
      <c r="H34" s="404"/>
      <c r="I34" s="405">
        <f>($B$4=ProjectType)*S41</f>
        <v>0</v>
      </c>
      <c r="J34" s="409" t="s">
        <v>185</v>
      </c>
      <c r="R34" s="354"/>
      <c r="AI34" s="186" t="s">
        <v>355</v>
      </c>
      <c r="AJ34" s="183" t="s">
        <v>44</v>
      </c>
      <c r="AK34" s="462"/>
      <c r="AL34" s="184" t="s">
        <v>171</v>
      </c>
    </row>
    <row r="35" spans="2:41" ht="16.2" x14ac:dyDescent="0.3">
      <c r="B35" s="408" t="s">
        <v>186</v>
      </c>
      <c r="C35" s="406"/>
      <c r="D35" s="406"/>
      <c r="E35" s="406"/>
      <c r="F35" s="406"/>
      <c r="G35" s="406"/>
      <c r="H35" s="406"/>
      <c r="I35" s="405">
        <f>($B$4=ProjectType)*Trees!$C$41</f>
        <v>0</v>
      </c>
      <c r="J35" s="410" t="s">
        <v>187</v>
      </c>
      <c r="R35" s="354"/>
      <c r="AH35" s="335"/>
      <c r="AI35" s="186" t="s">
        <v>354</v>
      </c>
      <c r="AJ35" s="183" t="s">
        <v>159</v>
      </c>
      <c r="AK35" s="462">
        <v>0.7</v>
      </c>
      <c r="AL35" s="184" t="s">
        <v>172</v>
      </c>
    </row>
    <row r="36" spans="2:41" ht="18" x14ac:dyDescent="0.3">
      <c r="B36" s="408" t="s">
        <v>190</v>
      </c>
      <c r="C36" s="406"/>
      <c r="D36" s="406"/>
      <c r="E36" s="406"/>
      <c r="F36" s="406"/>
      <c r="G36" s="406"/>
      <c r="H36" s="406"/>
      <c r="I36" s="405">
        <f>($B$4=ProjectType)*Trees!$G$41</f>
        <v>0</v>
      </c>
      <c r="J36" s="410" t="s">
        <v>188</v>
      </c>
      <c r="R36" s="354"/>
      <c r="AH36" s="335"/>
      <c r="AI36" s="186" t="s">
        <v>362</v>
      </c>
      <c r="AJ36" s="183" t="s">
        <v>44</v>
      </c>
      <c r="AK36" s="462"/>
      <c r="AL36" s="184" t="s">
        <v>173</v>
      </c>
    </row>
    <row r="37" spans="2:41" ht="18.600000000000001" thickBot="1" x14ac:dyDescent="0.35">
      <c r="B37" s="411" t="s">
        <v>191</v>
      </c>
      <c r="C37" s="412"/>
      <c r="D37" s="412"/>
      <c r="E37" s="412"/>
      <c r="F37" s="412"/>
      <c r="G37" s="412"/>
      <c r="H37" s="412"/>
      <c r="I37" s="413">
        <f>($B$4=ProjectType)*Trees!$I$41</f>
        <v>0</v>
      </c>
      <c r="J37" s="414" t="s">
        <v>189</v>
      </c>
      <c r="R37" s="354"/>
      <c r="AH37" s="335"/>
      <c r="AI37" s="186" t="s">
        <v>356</v>
      </c>
      <c r="AJ37" s="183" t="s">
        <v>159</v>
      </c>
      <c r="AK37" s="462">
        <v>1</v>
      </c>
      <c r="AL37" s="184" t="s">
        <v>174</v>
      </c>
    </row>
    <row r="38" spans="2:41" ht="16.2" x14ac:dyDescent="0.3">
      <c r="R38" s="393" t="s">
        <v>76</v>
      </c>
      <c r="S38" s="186" t="s">
        <v>368</v>
      </c>
      <c r="T38" s="186" t="s">
        <v>351</v>
      </c>
      <c r="U38" s="186" t="s">
        <v>369</v>
      </c>
      <c r="V38" s="186" t="s">
        <v>370</v>
      </c>
      <c r="W38" s="186" t="s">
        <v>371</v>
      </c>
      <c r="X38" s="186" t="s">
        <v>372</v>
      </c>
      <c r="Y38" s="186" t="s">
        <v>373</v>
      </c>
      <c r="Z38" s="186" t="s">
        <v>353</v>
      </c>
      <c r="AA38" s="186" t="s">
        <v>355</v>
      </c>
      <c r="AB38" s="186" t="s">
        <v>354</v>
      </c>
      <c r="AC38" s="186" t="s">
        <v>362</v>
      </c>
      <c r="AD38" s="186" t="s">
        <v>356</v>
      </c>
      <c r="AE38" s="186" t="s">
        <v>357</v>
      </c>
      <c r="AF38" s="392" t="s">
        <v>249</v>
      </c>
      <c r="AG38" s="392" t="s">
        <v>236</v>
      </c>
      <c r="AH38" s="335"/>
      <c r="AI38" s="186" t="s">
        <v>357</v>
      </c>
      <c r="AJ38" s="183" t="s">
        <v>44</v>
      </c>
      <c r="AK38" s="462"/>
      <c r="AL38" s="184" t="s">
        <v>175</v>
      </c>
    </row>
    <row r="39" spans="2:41" x14ac:dyDescent="0.3">
      <c r="R39" s="540"/>
      <c r="S39" s="197" t="s">
        <v>196</v>
      </c>
      <c r="T39" s="197" t="s">
        <v>228</v>
      </c>
      <c r="U39" s="197" t="s">
        <v>205</v>
      </c>
      <c r="V39" s="338" t="s">
        <v>185</v>
      </c>
      <c r="W39" s="338" t="s">
        <v>185</v>
      </c>
      <c r="X39" s="338" t="s">
        <v>205</v>
      </c>
      <c r="Y39" s="338" t="s">
        <v>185</v>
      </c>
      <c r="Z39" s="338" t="s">
        <v>205</v>
      </c>
      <c r="AA39" s="338" t="s">
        <v>185</v>
      </c>
      <c r="AB39" s="197" t="s">
        <v>205</v>
      </c>
      <c r="AC39" s="338" t="s">
        <v>185</v>
      </c>
      <c r="AD39" s="197" t="s">
        <v>205</v>
      </c>
      <c r="AE39" s="371" t="s">
        <v>185</v>
      </c>
      <c r="AF39" s="375" t="s">
        <v>212</v>
      </c>
      <c r="AG39" s="393" t="s">
        <v>208</v>
      </c>
      <c r="AH39" s="335"/>
      <c r="AI39" s="392" t="s">
        <v>249</v>
      </c>
      <c r="AJ39" s="183" t="s">
        <v>176</v>
      </c>
      <c r="AK39" s="191">
        <v>0.4047</v>
      </c>
      <c r="AL39" s="184" t="s">
        <v>177</v>
      </c>
    </row>
    <row r="40" spans="2:41" x14ac:dyDescent="0.3">
      <c r="R40" s="339">
        <v>1</v>
      </c>
      <c r="S40" s="458">
        <f>(T40*U40*(V40+W40)-T40*X40*Y40-T40*U40*Z40*AA40-T40*U40*AB40*AC40-T40*AD40*AE40)*AF40*AG40</f>
        <v>0</v>
      </c>
      <c r="T40" s="343" t="b">
        <f t="shared" ref="T40:T49" si="13">AK49</f>
        <v>0</v>
      </c>
      <c r="U40" s="459">
        <f t="shared" ref="U40:U49" si="14">$AK$28</f>
        <v>1.37</v>
      </c>
      <c r="V40" s="342">
        <f t="shared" ref="V40:V49" si="15">M20</f>
        <v>0</v>
      </c>
      <c r="W40" s="342">
        <f t="shared" ref="W40:W49" si="16">K20</f>
        <v>0</v>
      </c>
      <c r="X40" s="357">
        <f t="shared" ref="X40:X49" si="17">$AK$31</f>
        <v>1.26</v>
      </c>
      <c r="Y40" s="341">
        <f>(V40+W40)-(AA40+AC40+AE40)</f>
        <v>0</v>
      </c>
      <c r="Z40" s="364">
        <f t="shared" ref="Z40:Z49" si="18">$AK$33</f>
        <v>0.95</v>
      </c>
      <c r="AA40" s="206">
        <f t="shared" ref="AA40:AA49" si="19">C20</f>
        <v>0</v>
      </c>
      <c r="AB40" s="344">
        <f t="shared" ref="AB40:AB49" si="20">$AK$35</f>
        <v>0.7</v>
      </c>
      <c r="AC40" s="341">
        <f t="shared" ref="AC40:AC49" si="21">E20</f>
        <v>0</v>
      </c>
      <c r="AD40" s="344">
        <f t="shared" ref="AD40:AD49" si="22">$AK$37</f>
        <v>1</v>
      </c>
      <c r="AE40" s="341">
        <f t="shared" ref="AE40:AE49" si="23">G20</f>
        <v>0</v>
      </c>
      <c r="AF40" s="460">
        <f t="shared" ref="AF40:AF49" si="24">$AK$39</f>
        <v>0.4047</v>
      </c>
      <c r="AG40" s="461">
        <f t="shared" ref="AG40:AG49" si="25">$AK$40</f>
        <v>3.6666666666666665</v>
      </c>
      <c r="AH40" s="335"/>
      <c r="AI40" s="392" t="s">
        <v>236</v>
      </c>
      <c r="AJ40" s="183" t="s">
        <v>176</v>
      </c>
      <c r="AK40" s="192">
        <f>44/12</f>
        <v>3.6666666666666665</v>
      </c>
      <c r="AL40" s="184" t="s">
        <v>178</v>
      </c>
    </row>
    <row r="41" spans="2:41" x14ac:dyDescent="0.3">
      <c r="R41" s="339">
        <v>2</v>
      </c>
      <c r="S41" s="458">
        <f t="shared" ref="S41:S49" si="26">(T41*U41*(V41+W41)-T41*X41*Y41-T41*U41*Z41*AA41-T41*U41*AB41*AC41-T41*AD41*AE41)*AF41*AG41</f>
        <v>0</v>
      </c>
      <c r="T41" s="343" t="b">
        <f t="shared" si="13"/>
        <v>0</v>
      </c>
      <c r="U41" s="459">
        <f t="shared" si="14"/>
        <v>1.37</v>
      </c>
      <c r="V41" s="342">
        <f t="shared" si="15"/>
        <v>0</v>
      </c>
      <c r="W41" s="342">
        <f t="shared" si="16"/>
        <v>0</v>
      </c>
      <c r="X41" s="357">
        <f t="shared" si="17"/>
        <v>1.26</v>
      </c>
      <c r="Y41" s="341">
        <f t="shared" ref="Y41:Y49" si="27">(V41+W41)-(AA41+AC41+AE41)</f>
        <v>0</v>
      </c>
      <c r="Z41" s="364">
        <f t="shared" si="18"/>
        <v>0.95</v>
      </c>
      <c r="AA41" s="206">
        <f t="shared" si="19"/>
        <v>0</v>
      </c>
      <c r="AB41" s="344">
        <f t="shared" si="20"/>
        <v>0.7</v>
      </c>
      <c r="AC41" s="341">
        <f t="shared" si="21"/>
        <v>0</v>
      </c>
      <c r="AD41" s="344">
        <f t="shared" si="22"/>
        <v>1</v>
      </c>
      <c r="AE41" s="341">
        <f t="shared" si="23"/>
        <v>0</v>
      </c>
      <c r="AF41" s="460">
        <f t="shared" si="24"/>
        <v>0.4047</v>
      </c>
      <c r="AG41" s="461">
        <f t="shared" si="25"/>
        <v>3.6666666666666665</v>
      </c>
      <c r="AH41" s="335"/>
      <c r="AI41" s="275" t="s">
        <v>265</v>
      </c>
      <c r="AJ41" s="183" t="s">
        <v>159</v>
      </c>
      <c r="AK41" s="462">
        <v>0.01</v>
      </c>
      <c r="AL41" s="184" t="s">
        <v>321</v>
      </c>
    </row>
    <row r="42" spans="2:41" ht="16.2" x14ac:dyDescent="0.35">
      <c r="R42" s="345">
        <v>3</v>
      </c>
      <c r="S42" s="458">
        <f t="shared" si="26"/>
        <v>0</v>
      </c>
      <c r="T42" s="343" t="b">
        <f t="shared" si="13"/>
        <v>0</v>
      </c>
      <c r="U42" s="459">
        <f t="shared" si="14"/>
        <v>1.37</v>
      </c>
      <c r="V42" s="342">
        <f t="shared" si="15"/>
        <v>0</v>
      </c>
      <c r="W42" s="342">
        <f t="shared" si="16"/>
        <v>0</v>
      </c>
      <c r="X42" s="357">
        <f t="shared" si="17"/>
        <v>1.26</v>
      </c>
      <c r="Y42" s="341">
        <f t="shared" si="27"/>
        <v>0</v>
      </c>
      <c r="Z42" s="364">
        <f t="shared" si="18"/>
        <v>0.95</v>
      </c>
      <c r="AA42" s="206">
        <f t="shared" si="19"/>
        <v>0</v>
      </c>
      <c r="AB42" s="344">
        <f t="shared" si="20"/>
        <v>0.7</v>
      </c>
      <c r="AC42" s="341">
        <f t="shared" si="21"/>
        <v>0</v>
      </c>
      <c r="AD42" s="344">
        <f t="shared" si="22"/>
        <v>1</v>
      </c>
      <c r="AE42" s="341">
        <f t="shared" si="23"/>
        <v>0</v>
      </c>
      <c r="AF42" s="460">
        <f t="shared" si="24"/>
        <v>0.4047</v>
      </c>
      <c r="AG42" s="461">
        <f t="shared" si="25"/>
        <v>3.6666666666666665</v>
      </c>
      <c r="AH42" s="335"/>
      <c r="AI42" s="273" t="s">
        <v>268</v>
      </c>
      <c r="AJ42" s="183" t="s">
        <v>44</v>
      </c>
      <c r="AK42" s="462"/>
      <c r="AL42" s="184" t="s">
        <v>179</v>
      </c>
    </row>
    <row r="43" spans="2:41" ht="16.2" x14ac:dyDescent="0.35">
      <c r="R43" s="345">
        <v>4</v>
      </c>
      <c r="S43" s="458">
        <f t="shared" si="26"/>
        <v>0</v>
      </c>
      <c r="T43" s="343" t="b">
        <f t="shared" si="13"/>
        <v>0</v>
      </c>
      <c r="U43" s="459">
        <f t="shared" si="14"/>
        <v>1.37</v>
      </c>
      <c r="V43" s="342">
        <f t="shared" si="15"/>
        <v>0</v>
      </c>
      <c r="W43" s="342">
        <f t="shared" si="16"/>
        <v>0</v>
      </c>
      <c r="X43" s="357">
        <f t="shared" si="17"/>
        <v>1.26</v>
      </c>
      <c r="Y43" s="341">
        <f t="shared" si="27"/>
        <v>0</v>
      </c>
      <c r="Z43" s="364">
        <f t="shared" si="18"/>
        <v>0.95</v>
      </c>
      <c r="AA43" s="206">
        <f t="shared" si="19"/>
        <v>0</v>
      </c>
      <c r="AB43" s="344">
        <f t="shared" si="20"/>
        <v>0.7</v>
      </c>
      <c r="AC43" s="341">
        <f t="shared" si="21"/>
        <v>0</v>
      </c>
      <c r="AD43" s="344">
        <f t="shared" si="22"/>
        <v>1</v>
      </c>
      <c r="AE43" s="341">
        <f t="shared" si="23"/>
        <v>0</v>
      </c>
      <c r="AF43" s="460">
        <f t="shared" si="24"/>
        <v>0.4047</v>
      </c>
      <c r="AG43" s="461">
        <f t="shared" si="25"/>
        <v>3.6666666666666665</v>
      </c>
      <c r="AH43" s="335"/>
      <c r="AI43" s="273" t="s">
        <v>267</v>
      </c>
      <c r="AJ43" s="183" t="s">
        <v>44</v>
      </c>
      <c r="AK43" s="462"/>
      <c r="AL43" s="184" t="s">
        <v>180</v>
      </c>
    </row>
    <row r="44" spans="2:41" x14ac:dyDescent="0.3">
      <c r="R44" s="339">
        <v>5</v>
      </c>
      <c r="S44" s="458">
        <f t="shared" si="26"/>
        <v>0</v>
      </c>
      <c r="T44" s="343" t="b">
        <f t="shared" si="13"/>
        <v>0</v>
      </c>
      <c r="U44" s="459">
        <f t="shared" si="14"/>
        <v>1.37</v>
      </c>
      <c r="V44" s="342">
        <f t="shared" si="15"/>
        <v>0</v>
      </c>
      <c r="W44" s="342">
        <f t="shared" si="16"/>
        <v>0</v>
      </c>
      <c r="X44" s="357">
        <f t="shared" si="17"/>
        <v>1.26</v>
      </c>
      <c r="Y44" s="341">
        <f t="shared" si="27"/>
        <v>0</v>
      </c>
      <c r="Z44" s="364">
        <f t="shared" si="18"/>
        <v>0.95</v>
      </c>
      <c r="AA44" s="206">
        <f t="shared" si="19"/>
        <v>0</v>
      </c>
      <c r="AB44" s="344">
        <f t="shared" si="20"/>
        <v>0.7</v>
      </c>
      <c r="AC44" s="341">
        <f t="shared" si="21"/>
        <v>0</v>
      </c>
      <c r="AD44" s="344">
        <f t="shared" si="22"/>
        <v>1</v>
      </c>
      <c r="AE44" s="341">
        <f t="shared" si="23"/>
        <v>0</v>
      </c>
      <c r="AF44" s="460">
        <f t="shared" si="24"/>
        <v>0.4047</v>
      </c>
      <c r="AG44" s="461">
        <f t="shared" si="25"/>
        <v>3.6666666666666665</v>
      </c>
      <c r="AH44" s="335"/>
      <c r="AI44" s="275" t="s">
        <v>266</v>
      </c>
      <c r="AJ44" s="183" t="s">
        <v>176</v>
      </c>
      <c r="AK44" s="462">
        <v>2204.62</v>
      </c>
      <c r="AL44" s="184" t="s">
        <v>181</v>
      </c>
    </row>
    <row r="45" spans="2:41" x14ac:dyDescent="0.3">
      <c r="R45" s="345">
        <v>6</v>
      </c>
      <c r="S45" s="458">
        <f t="shared" si="26"/>
        <v>0</v>
      </c>
      <c r="T45" s="343" t="b">
        <f t="shared" si="13"/>
        <v>0</v>
      </c>
      <c r="U45" s="459">
        <f t="shared" si="14"/>
        <v>1.37</v>
      </c>
      <c r="V45" s="342">
        <f t="shared" si="15"/>
        <v>0</v>
      </c>
      <c r="W45" s="342">
        <f t="shared" si="16"/>
        <v>0</v>
      </c>
      <c r="X45" s="357">
        <f t="shared" si="17"/>
        <v>1.26</v>
      </c>
      <c r="Y45" s="341">
        <f t="shared" si="27"/>
        <v>0</v>
      </c>
      <c r="Z45" s="364">
        <f t="shared" si="18"/>
        <v>0.95</v>
      </c>
      <c r="AA45" s="206">
        <f t="shared" si="19"/>
        <v>0</v>
      </c>
      <c r="AB45" s="344">
        <f t="shared" si="20"/>
        <v>0.7</v>
      </c>
      <c r="AC45" s="341">
        <f t="shared" si="21"/>
        <v>0</v>
      </c>
      <c r="AD45" s="344">
        <f t="shared" si="22"/>
        <v>1</v>
      </c>
      <c r="AE45" s="341">
        <f t="shared" si="23"/>
        <v>0</v>
      </c>
      <c r="AF45" s="460">
        <f t="shared" si="24"/>
        <v>0.4047</v>
      </c>
      <c r="AG45" s="461">
        <f t="shared" si="25"/>
        <v>3.6666666666666665</v>
      </c>
      <c r="AH45" s="335"/>
      <c r="AI45" s="275" t="s">
        <v>243</v>
      </c>
      <c r="AJ45" s="183" t="s">
        <v>176</v>
      </c>
      <c r="AK45" s="193">
        <f>44/28</f>
        <v>1.5714285714285714</v>
      </c>
      <c r="AL45" s="184" t="s">
        <v>182</v>
      </c>
    </row>
    <row r="46" spans="2:41" x14ac:dyDescent="0.3">
      <c r="R46" s="345">
        <v>7</v>
      </c>
      <c r="S46" s="458">
        <f t="shared" si="26"/>
        <v>0</v>
      </c>
      <c r="T46" s="343" t="b">
        <f t="shared" si="13"/>
        <v>0</v>
      </c>
      <c r="U46" s="459">
        <f t="shared" si="14"/>
        <v>1.37</v>
      </c>
      <c r="V46" s="342">
        <f t="shared" si="15"/>
        <v>0</v>
      </c>
      <c r="W46" s="342">
        <f t="shared" si="16"/>
        <v>0</v>
      </c>
      <c r="X46" s="357">
        <f t="shared" si="17"/>
        <v>1.26</v>
      </c>
      <c r="Y46" s="341">
        <f t="shared" si="27"/>
        <v>0</v>
      </c>
      <c r="Z46" s="364">
        <f t="shared" si="18"/>
        <v>0.95</v>
      </c>
      <c r="AA46" s="206">
        <f t="shared" si="19"/>
        <v>0</v>
      </c>
      <c r="AB46" s="344">
        <f t="shared" si="20"/>
        <v>0.7</v>
      </c>
      <c r="AC46" s="341">
        <f t="shared" si="21"/>
        <v>0</v>
      </c>
      <c r="AD46" s="344">
        <f t="shared" si="22"/>
        <v>1</v>
      </c>
      <c r="AE46" s="341">
        <f t="shared" si="23"/>
        <v>0</v>
      </c>
      <c r="AF46" s="460">
        <f t="shared" si="24"/>
        <v>0.4047</v>
      </c>
      <c r="AG46" s="461">
        <f t="shared" si="25"/>
        <v>3.6666666666666665</v>
      </c>
      <c r="AH46" s="335"/>
    </row>
    <row r="47" spans="2:41" x14ac:dyDescent="0.3">
      <c r="R47" s="339">
        <v>8</v>
      </c>
      <c r="S47" s="458">
        <f t="shared" si="26"/>
        <v>0</v>
      </c>
      <c r="T47" s="343" t="b">
        <f t="shared" si="13"/>
        <v>0</v>
      </c>
      <c r="U47" s="459">
        <f t="shared" si="14"/>
        <v>1.37</v>
      </c>
      <c r="V47" s="342">
        <f t="shared" si="15"/>
        <v>0</v>
      </c>
      <c r="W47" s="342">
        <f t="shared" si="16"/>
        <v>0</v>
      </c>
      <c r="X47" s="357">
        <f t="shared" si="17"/>
        <v>1.26</v>
      </c>
      <c r="Y47" s="341">
        <f t="shared" si="27"/>
        <v>0</v>
      </c>
      <c r="Z47" s="364">
        <f t="shared" si="18"/>
        <v>0.95</v>
      </c>
      <c r="AA47" s="206">
        <f t="shared" si="19"/>
        <v>0</v>
      </c>
      <c r="AB47" s="344">
        <f t="shared" si="20"/>
        <v>0.7</v>
      </c>
      <c r="AC47" s="341">
        <f t="shared" si="21"/>
        <v>0</v>
      </c>
      <c r="AD47" s="344">
        <f t="shared" si="22"/>
        <v>1</v>
      </c>
      <c r="AE47" s="341">
        <f t="shared" si="23"/>
        <v>0</v>
      </c>
      <c r="AF47" s="460">
        <f t="shared" si="24"/>
        <v>0.4047</v>
      </c>
      <c r="AG47" s="461">
        <f t="shared" si="25"/>
        <v>3.6666666666666665</v>
      </c>
      <c r="AH47" s="335"/>
    </row>
    <row r="48" spans="2:41" ht="16.2" x14ac:dyDescent="0.3">
      <c r="R48" s="345">
        <v>9</v>
      </c>
      <c r="S48" s="458">
        <f t="shared" si="26"/>
        <v>0</v>
      </c>
      <c r="T48" s="343" t="b">
        <f t="shared" si="13"/>
        <v>0</v>
      </c>
      <c r="U48" s="459">
        <f t="shared" si="14"/>
        <v>1.37</v>
      </c>
      <c r="V48" s="342">
        <f t="shared" si="15"/>
        <v>0</v>
      </c>
      <c r="W48" s="342">
        <f t="shared" si="16"/>
        <v>0</v>
      </c>
      <c r="X48" s="357">
        <f t="shared" si="17"/>
        <v>1.26</v>
      </c>
      <c r="Y48" s="341">
        <f t="shared" si="27"/>
        <v>0</v>
      </c>
      <c r="Z48" s="364">
        <f t="shared" si="18"/>
        <v>0.95</v>
      </c>
      <c r="AA48" s="206">
        <f t="shared" si="19"/>
        <v>0</v>
      </c>
      <c r="AB48" s="344">
        <f t="shared" si="20"/>
        <v>0.7</v>
      </c>
      <c r="AC48" s="341">
        <f t="shared" si="21"/>
        <v>0</v>
      </c>
      <c r="AD48" s="344">
        <f t="shared" si="22"/>
        <v>1</v>
      </c>
      <c r="AE48" s="341">
        <f t="shared" si="23"/>
        <v>0</v>
      </c>
      <c r="AF48" s="460">
        <f t="shared" si="24"/>
        <v>0.4047</v>
      </c>
      <c r="AG48" s="461">
        <f t="shared" si="25"/>
        <v>3.6666666666666665</v>
      </c>
      <c r="AH48" s="354"/>
      <c r="AI48" s="387" t="s">
        <v>76</v>
      </c>
      <c r="AJ48" s="388" t="s">
        <v>133</v>
      </c>
      <c r="AK48" s="285" t="s">
        <v>256</v>
      </c>
      <c r="AM48" s="184" t="s">
        <v>133</v>
      </c>
      <c r="AN48" s="184" t="s">
        <v>134</v>
      </c>
      <c r="AO48" s="285" t="s">
        <v>256</v>
      </c>
    </row>
    <row r="49" spans="18:41" x14ac:dyDescent="0.3">
      <c r="R49" s="345">
        <v>10</v>
      </c>
      <c r="S49" s="458">
        <f t="shared" si="26"/>
        <v>0</v>
      </c>
      <c r="T49" s="343" t="b">
        <f t="shared" si="13"/>
        <v>0</v>
      </c>
      <c r="U49" s="459">
        <f t="shared" si="14"/>
        <v>1.37</v>
      </c>
      <c r="V49" s="342">
        <f t="shared" si="15"/>
        <v>0</v>
      </c>
      <c r="W49" s="342">
        <f t="shared" si="16"/>
        <v>0</v>
      </c>
      <c r="X49" s="357">
        <f t="shared" si="17"/>
        <v>1.26</v>
      </c>
      <c r="Y49" s="341">
        <f t="shared" si="27"/>
        <v>0</v>
      </c>
      <c r="Z49" s="364">
        <f t="shared" si="18"/>
        <v>0.95</v>
      </c>
      <c r="AA49" s="206">
        <f t="shared" si="19"/>
        <v>0</v>
      </c>
      <c r="AB49" s="344">
        <f t="shared" si="20"/>
        <v>0.7</v>
      </c>
      <c r="AC49" s="341">
        <f t="shared" si="21"/>
        <v>0</v>
      </c>
      <c r="AD49" s="344">
        <f t="shared" si="22"/>
        <v>1</v>
      </c>
      <c r="AE49" s="341">
        <f t="shared" si="23"/>
        <v>0</v>
      </c>
      <c r="AF49" s="460">
        <f t="shared" si="24"/>
        <v>0.4047</v>
      </c>
      <c r="AG49" s="461">
        <f t="shared" si="25"/>
        <v>3.6666666666666665</v>
      </c>
      <c r="AH49" s="354"/>
      <c r="AI49" s="339">
        <v>1</v>
      </c>
      <c r="AJ49" s="389">
        <f t="shared" ref="AJ49:AJ58" si="28">O20</f>
        <v>0</v>
      </c>
      <c r="AK49" s="390" t="b">
        <f t="shared" ref="AK49:AK58" si="29">IFERROR(VLOOKUP(AJ49,$AM$49:$AO$60,3,FALSE),FALSE)</f>
        <v>0</v>
      </c>
      <c r="AM49" s="181" t="s">
        <v>135</v>
      </c>
      <c r="AN49" s="182" t="s">
        <v>136</v>
      </c>
      <c r="AO49" s="183">
        <v>37</v>
      </c>
    </row>
    <row r="50" spans="18:41" x14ac:dyDescent="0.3">
      <c r="R50" s="345" t="s">
        <v>202</v>
      </c>
      <c r="S50" s="346">
        <f>SUM(S40:S49)</f>
        <v>0</v>
      </c>
      <c r="T50" s="396"/>
      <c r="U50" s="397"/>
      <c r="V50" s="346">
        <f>SUM(V40:V49)</f>
        <v>0</v>
      </c>
      <c r="W50" s="346">
        <f>SUM(W40:W49)</f>
        <v>0</v>
      </c>
      <c r="X50" s="358"/>
      <c r="Y50" s="346">
        <f>SUM(Y40:Y49)</f>
        <v>0</v>
      </c>
      <c r="Z50" s="359"/>
      <c r="AA50" s="346">
        <f>SUM(AA40:AA49)</f>
        <v>0</v>
      </c>
      <c r="AB50" s="360"/>
      <c r="AC50" s="346">
        <f>SUM(AC40:AC49)</f>
        <v>0</v>
      </c>
      <c r="AD50" s="360"/>
      <c r="AE50" s="346">
        <f>SUM(AE40:AE49)</f>
        <v>0</v>
      </c>
      <c r="AF50" s="396"/>
      <c r="AG50" s="397"/>
      <c r="AH50" s="354"/>
      <c r="AI50" s="339">
        <v>2</v>
      </c>
      <c r="AJ50" s="389">
        <f t="shared" si="28"/>
        <v>0</v>
      </c>
      <c r="AK50" s="390" t="b">
        <f t="shared" si="29"/>
        <v>0</v>
      </c>
      <c r="AM50" s="181" t="s">
        <v>137</v>
      </c>
      <c r="AN50" s="182" t="s">
        <v>138</v>
      </c>
      <c r="AO50" s="183">
        <v>124</v>
      </c>
    </row>
    <row r="51" spans="18:41" x14ac:dyDescent="0.3">
      <c r="R51" s="354"/>
      <c r="S51" s="354"/>
      <c r="T51" s="354"/>
      <c r="U51" s="354"/>
      <c r="V51" s="354"/>
      <c r="W51" s="354"/>
      <c r="X51" s="354"/>
      <c r="Y51" s="354"/>
      <c r="Z51" s="354"/>
      <c r="AA51" s="354"/>
      <c r="AB51" s="354"/>
      <c r="AC51" s="354"/>
      <c r="AD51" s="354"/>
      <c r="AE51" s="354"/>
      <c r="AF51" s="354"/>
      <c r="AG51" s="354"/>
      <c r="AH51" s="354"/>
      <c r="AI51" s="345">
        <v>3</v>
      </c>
      <c r="AJ51" s="389">
        <f t="shared" si="28"/>
        <v>0</v>
      </c>
      <c r="AK51" s="390" t="b">
        <f t="shared" si="29"/>
        <v>0</v>
      </c>
      <c r="AM51" s="182" t="s">
        <v>139</v>
      </c>
      <c r="AN51" s="182" t="s">
        <v>136</v>
      </c>
      <c r="AO51" s="183">
        <v>37</v>
      </c>
    </row>
    <row r="52" spans="18:41" ht="15.75" customHeight="1" x14ac:dyDescent="0.3">
      <c r="R52" s="49" t="s">
        <v>218</v>
      </c>
      <c r="S52" s="337"/>
      <c r="T52" s="354"/>
      <c r="U52" s="354"/>
      <c r="V52" s="354"/>
      <c r="W52" s="354"/>
      <c r="X52" s="354"/>
      <c r="Y52" s="354"/>
      <c r="Z52" s="354"/>
      <c r="AA52" s="354"/>
      <c r="AB52" s="354"/>
      <c r="AC52" s="354"/>
      <c r="AD52" s="354"/>
      <c r="AE52" s="354"/>
      <c r="AF52" s="354"/>
      <c r="AG52" s="354"/>
      <c r="AH52" s="354"/>
      <c r="AI52" s="345">
        <v>4</v>
      </c>
      <c r="AJ52" s="389">
        <f t="shared" si="28"/>
        <v>0</v>
      </c>
      <c r="AK52" s="390" t="b">
        <f t="shared" si="29"/>
        <v>0</v>
      </c>
      <c r="AM52" s="182" t="s">
        <v>140</v>
      </c>
      <c r="AN52" s="182" t="s">
        <v>141</v>
      </c>
      <c r="AO52" s="183">
        <v>25</v>
      </c>
    </row>
    <row r="53" spans="18:41" x14ac:dyDescent="0.3">
      <c r="R53" s="354"/>
      <c r="S53" s="354"/>
      <c r="T53" s="354"/>
      <c r="U53" s="354"/>
      <c r="V53" s="354"/>
      <c r="W53" s="354"/>
      <c r="X53" s="354"/>
      <c r="Y53" s="354"/>
      <c r="Z53" s="354"/>
      <c r="AA53" s="354"/>
      <c r="AB53" s="354"/>
      <c r="AC53" s="354"/>
      <c r="AD53" s="354"/>
      <c r="AE53" s="354"/>
      <c r="AF53" s="354"/>
      <c r="AG53" s="354"/>
      <c r="AH53" s="354"/>
      <c r="AI53" s="339">
        <v>5</v>
      </c>
      <c r="AJ53" s="389">
        <f t="shared" si="28"/>
        <v>0</v>
      </c>
      <c r="AK53" s="390" t="b">
        <f t="shared" si="29"/>
        <v>0</v>
      </c>
      <c r="AM53" s="182" t="s">
        <v>142</v>
      </c>
      <c r="AN53" s="182" t="s">
        <v>141</v>
      </c>
      <c r="AO53" s="183">
        <v>25</v>
      </c>
    </row>
    <row r="54" spans="18:41" ht="18" x14ac:dyDescent="0.4">
      <c r="R54" s="393" t="s">
        <v>76</v>
      </c>
      <c r="S54" s="273" t="s">
        <v>271</v>
      </c>
      <c r="T54" s="275" t="s">
        <v>265</v>
      </c>
      <c r="U54" s="279" t="s">
        <v>269</v>
      </c>
      <c r="V54" s="279" t="s">
        <v>270</v>
      </c>
      <c r="W54" s="275" t="s">
        <v>266</v>
      </c>
      <c r="X54" s="275" t="s">
        <v>243</v>
      </c>
      <c r="Y54" s="335"/>
      <c r="Z54" s="335"/>
      <c r="AA54" s="335"/>
      <c r="AB54" s="335"/>
      <c r="AC54" s="335"/>
      <c r="AD54" s="335"/>
      <c r="AE54" s="335"/>
      <c r="AF54" s="335"/>
      <c r="AG54" s="335"/>
      <c r="AH54" s="354"/>
      <c r="AI54" s="339">
        <v>6</v>
      </c>
      <c r="AJ54" s="389">
        <f t="shared" si="28"/>
        <v>0</v>
      </c>
      <c r="AK54" s="390" t="b">
        <f t="shared" si="29"/>
        <v>0</v>
      </c>
      <c r="AM54" s="182" t="s">
        <v>143</v>
      </c>
      <c r="AN54" s="182" t="s">
        <v>136</v>
      </c>
      <c r="AO54" s="183">
        <v>37</v>
      </c>
    </row>
    <row r="55" spans="18:41" ht="26.4" x14ac:dyDescent="0.3">
      <c r="R55" s="540"/>
      <c r="S55" s="197" t="s">
        <v>215</v>
      </c>
      <c r="T55" s="197" t="s">
        <v>219</v>
      </c>
      <c r="U55" s="197" t="s">
        <v>220</v>
      </c>
      <c r="V55" s="338" t="s">
        <v>185</v>
      </c>
      <c r="W55" s="338" t="s">
        <v>221</v>
      </c>
      <c r="X55" s="197" t="s">
        <v>217</v>
      </c>
      <c r="Y55" s="335"/>
      <c r="Z55" s="335"/>
      <c r="AA55" s="335"/>
      <c r="AB55" s="335"/>
      <c r="AC55" s="335"/>
      <c r="AD55" s="335"/>
      <c r="AE55" s="335"/>
      <c r="AF55" s="335"/>
      <c r="AG55" s="335"/>
      <c r="AH55" s="354"/>
      <c r="AI55" s="345">
        <v>7</v>
      </c>
      <c r="AJ55" s="389">
        <f t="shared" si="28"/>
        <v>0</v>
      </c>
      <c r="AK55" s="390" t="b">
        <f t="shared" si="29"/>
        <v>0</v>
      </c>
      <c r="AM55" s="182" t="s">
        <v>144</v>
      </c>
      <c r="AN55" s="182" t="s">
        <v>136</v>
      </c>
      <c r="AO55" s="183">
        <v>37</v>
      </c>
    </row>
    <row r="56" spans="18:41" x14ac:dyDescent="0.3">
      <c r="R56" s="345">
        <v>1</v>
      </c>
      <c r="S56" s="346">
        <f>T56*U56*V56/W56*X56</f>
        <v>0</v>
      </c>
      <c r="T56" s="356">
        <f t="shared" ref="T56:T65" si="30">$AK$41</f>
        <v>0.01</v>
      </c>
      <c r="U56" s="363">
        <f t="shared" ref="U56:U65" si="31">I20</f>
        <v>0</v>
      </c>
      <c r="V56" s="363">
        <f t="shared" ref="V56:V65" si="32">G20</f>
        <v>0</v>
      </c>
      <c r="W56" s="364" t="str">
        <f t="shared" ref="W56:W65" si="33">$AI$44</f>
        <v>2204.62</v>
      </c>
      <c r="X56" s="364">
        <f t="shared" ref="X56:X65" si="34">$AK$45</f>
        <v>1.5714285714285714</v>
      </c>
      <c r="Y56" s="354"/>
      <c r="Z56" s="354"/>
      <c r="AA56" s="354"/>
      <c r="AB56" s="354"/>
      <c r="AC56" s="354"/>
      <c r="AD56" s="354"/>
      <c r="AE56" s="354"/>
      <c r="AF56" s="354"/>
      <c r="AG56" s="354"/>
      <c r="AH56" s="354"/>
      <c r="AI56" s="345">
        <v>8</v>
      </c>
      <c r="AJ56" s="389">
        <f t="shared" si="28"/>
        <v>0</v>
      </c>
      <c r="AK56" s="390" t="b">
        <f t="shared" si="29"/>
        <v>0</v>
      </c>
      <c r="AM56" s="182" t="s">
        <v>145</v>
      </c>
      <c r="AN56" s="182" t="s">
        <v>141</v>
      </c>
      <c r="AO56" s="183">
        <v>25</v>
      </c>
    </row>
    <row r="57" spans="18:41" x14ac:dyDescent="0.3">
      <c r="R57" s="345">
        <v>2</v>
      </c>
      <c r="S57" s="346">
        <f>T57*U57*V57/W57*X57</f>
        <v>0</v>
      </c>
      <c r="T57" s="356">
        <f t="shared" si="30"/>
        <v>0.01</v>
      </c>
      <c r="U57" s="363">
        <f t="shared" si="31"/>
        <v>0</v>
      </c>
      <c r="V57" s="363">
        <f t="shared" si="32"/>
        <v>0</v>
      </c>
      <c r="W57" s="364" t="str">
        <f t="shared" si="33"/>
        <v>2204.62</v>
      </c>
      <c r="X57" s="364">
        <f t="shared" si="34"/>
        <v>1.5714285714285714</v>
      </c>
      <c r="Y57" s="354"/>
      <c r="Z57" s="354"/>
      <c r="AA57" s="354"/>
      <c r="AB57" s="354"/>
      <c r="AC57" s="354"/>
      <c r="AD57" s="354"/>
      <c r="AE57" s="354"/>
      <c r="AF57" s="354"/>
      <c r="AG57" s="354"/>
      <c r="AH57" s="354"/>
      <c r="AI57" s="339">
        <v>9</v>
      </c>
      <c r="AJ57" s="389">
        <f t="shared" si="28"/>
        <v>0</v>
      </c>
      <c r="AK57" s="390" t="b">
        <f t="shared" si="29"/>
        <v>0</v>
      </c>
      <c r="AM57" s="182" t="s">
        <v>146</v>
      </c>
      <c r="AN57" s="182" t="s">
        <v>147</v>
      </c>
      <c r="AO57" s="183">
        <v>16</v>
      </c>
    </row>
    <row r="58" spans="18:41" x14ac:dyDescent="0.3">
      <c r="R58" s="345">
        <v>3</v>
      </c>
      <c r="S58" s="346">
        <f t="shared" ref="S58:S65" si="35">T58*U58*V58/W58*X58</f>
        <v>0</v>
      </c>
      <c r="T58" s="356">
        <f t="shared" si="30"/>
        <v>0.01</v>
      </c>
      <c r="U58" s="363">
        <f t="shared" si="31"/>
        <v>0</v>
      </c>
      <c r="V58" s="363">
        <f t="shared" si="32"/>
        <v>0</v>
      </c>
      <c r="W58" s="364" t="str">
        <f t="shared" si="33"/>
        <v>2204.62</v>
      </c>
      <c r="X58" s="364">
        <f t="shared" si="34"/>
        <v>1.5714285714285714</v>
      </c>
      <c r="Y58" s="354"/>
      <c r="Z58" s="354"/>
      <c r="AA58" s="354"/>
      <c r="AB58" s="354"/>
      <c r="AC58" s="354"/>
      <c r="AD58" s="354"/>
      <c r="AE58" s="354"/>
      <c r="AF58" s="354"/>
      <c r="AG58" s="354"/>
      <c r="AH58" s="354"/>
      <c r="AI58" s="339">
        <v>10</v>
      </c>
      <c r="AJ58" s="389">
        <f t="shared" si="28"/>
        <v>0</v>
      </c>
      <c r="AK58" s="390" t="b">
        <f t="shared" si="29"/>
        <v>0</v>
      </c>
      <c r="AM58" s="182" t="s">
        <v>148</v>
      </c>
      <c r="AN58" s="182" t="s">
        <v>149</v>
      </c>
      <c r="AO58" s="183">
        <v>86</v>
      </c>
    </row>
    <row r="59" spans="18:41" x14ac:dyDescent="0.3">
      <c r="R59" s="345">
        <v>4</v>
      </c>
      <c r="S59" s="346">
        <f t="shared" si="35"/>
        <v>0</v>
      </c>
      <c r="T59" s="356">
        <f t="shared" si="30"/>
        <v>0.01</v>
      </c>
      <c r="U59" s="363">
        <f t="shared" si="31"/>
        <v>0</v>
      </c>
      <c r="V59" s="363">
        <f t="shared" si="32"/>
        <v>0</v>
      </c>
      <c r="W59" s="364" t="str">
        <f t="shared" si="33"/>
        <v>2204.62</v>
      </c>
      <c r="X59" s="364">
        <f t="shared" si="34"/>
        <v>1.5714285714285714</v>
      </c>
      <c r="Y59" s="354"/>
      <c r="Z59" s="354"/>
      <c r="AA59" s="354"/>
      <c r="AB59" s="354"/>
      <c r="AC59" s="354"/>
      <c r="AD59" s="354"/>
      <c r="AE59" s="354"/>
      <c r="AF59" s="354"/>
      <c r="AG59" s="354"/>
      <c r="AH59" s="354"/>
      <c r="AM59" s="182" t="s">
        <v>150</v>
      </c>
      <c r="AN59" s="182" t="s">
        <v>141</v>
      </c>
      <c r="AO59" s="183">
        <v>25</v>
      </c>
    </row>
    <row r="60" spans="18:41" x14ac:dyDescent="0.3">
      <c r="R60" s="345">
        <v>5</v>
      </c>
      <c r="S60" s="346">
        <f t="shared" si="35"/>
        <v>0</v>
      </c>
      <c r="T60" s="356">
        <f t="shared" si="30"/>
        <v>0.01</v>
      </c>
      <c r="U60" s="363">
        <f t="shared" si="31"/>
        <v>0</v>
      </c>
      <c r="V60" s="363">
        <f t="shared" si="32"/>
        <v>0</v>
      </c>
      <c r="W60" s="364" t="str">
        <f t="shared" si="33"/>
        <v>2204.62</v>
      </c>
      <c r="X60" s="364">
        <f t="shared" si="34"/>
        <v>1.5714285714285714</v>
      </c>
      <c r="Y60" s="354"/>
      <c r="Z60" s="354"/>
      <c r="AA60" s="354"/>
      <c r="AB60" s="354"/>
      <c r="AC60" s="354"/>
      <c r="AD60" s="354"/>
      <c r="AE60" s="354"/>
      <c r="AF60" s="354"/>
      <c r="AG60" s="354"/>
      <c r="AH60" s="354"/>
      <c r="AM60" s="182" t="s">
        <v>151</v>
      </c>
      <c r="AN60" s="182" t="s">
        <v>136</v>
      </c>
      <c r="AO60" s="183">
        <v>37</v>
      </c>
    </row>
    <row r="61" spans="18:41" x14ac:dyDescent="0.3">
      <c r="R61" s="345">
        <v>6</v>
      </c>
      <c r="S61" s="346">
        <f t="shared" si="35"/>
        <v>0</v>
      </c>
      <c r="T61" s="356">
        <f t="shared" si="30"/>
        <v>0.01</v>
      </c>
      <c r="U61" s="363">
        <f t="shared" si="31"/>
        <v>0</v>
      </c>
      <c r="V61" s="363">
        <f t="shared" si="32"/>
        <v>0</v>
      </c>
      <c r="W61" s="364" t="str">
        <f t="shared" si="33"/>
        <v>2204.62</v>
      </c>
      <c r="X61" s="364">
        <f t="shared" si="34"/>
        <v>1.5714285714285714</v>
      </c>
      <c r="Y61" s="354"/>
      <c r="Z61" s="354"/>
      <c r="AA61" s="354"/>
      <c r="AB61" s="354"/>
      <c r="AC61" s="354"/>
      <c r="AD61" s="354"/>
      <c r="AE61" s="354"/>
      <c r="AF61" s="354"/>
      <c r="AG61" s="354"/>
      <c r="AH61" s="354"/>
    </row>
    <row r="62" spans="18:41" x14ac:dyDescent="0.3">
      <c r="R62" s="345">
        <v>7</v>
      </c>
      <c r="S62" s="346">
        <f t="shared" si="35"/>
        <v>0</v>
      </c>
      <c r="T62" s="356">
        <f t="shared" si="30"/>
        <v>0.01</v>
      </c>
      <c r="U62" s="363">
        <f t="shared" si="31"/>
        <v>0</v>
      </c>
      <c r="V62" s="363">
        <f t="shared" si="32"/>
        <v>0</v>
      </c>
      <c r="W62" s="364" t="str">
        <f t="shared" si="33"/>
        <v>2204.62</v>
      </c>
      <c r="X62" s="364">
        <f t="shared" si="34"/>
        <v>1.5714285714285714</v>
      </c>
      <c r="Y62" s="354"/>
      <c r="Z62" s="354"/>
      <c r="AA62" s="354"/>
      <c r="AB62" s="354"/>
      <c r="AC62" s="354"/>
      <c r="AD62" s="354"/>
      <c r="AE62" s="354"/>
      <c r="AF62" s="354"/>
      <c r="AG62" s="354"/>
      <c r="AH62" s="354"/>
    </row>
    <row r="63" spans="18:41" x14ac:dyDescent="0.3">
      <c r="R63" s="345">
        <v>8</v>
      </c>
      <c r="S63" s="346">
        <f t="shared" si="35"/>
        <v>0</v>
      </c>
      <c r="T63" s="356">
        <f t="shared" si="30"/>
        <v>0.01</v>
      </c>
      <c r="U63" s="363">
        <f t="shared" si="31"/>
        <v>0</v>
      </c>
      <c r="V63" s="363">
        <f t="shared" si="32"/>
        <v>0</v>
      </c>
      <c r="W63" s="364" t="str">
        <f t="shared" si="33"/>
        <v>2204.62</v>
      </c>
      <c r="X63" s="364">
        <f t="shared" si="34"/>
        <v>1.5714285714285714</v>
      </c>
      <c r="Y63" s="354"/>
      <c r="Z63" s="354"/>
      <c r="AA63" s="354"/>
      <c r="AB63" s="354"/>
      <c r="AC63" s="354"/>
      <c r="AD63" s="354"/>
      <c r="AE63" s="354"/>
      <c r="AF63" s="354"/>
      <c r="AG63" s="354"/>
      <c r="AH63" s="354"/>
    </row>
    <row r="64" spans="18:41" x14ac:dyDescent="0.3">
      <c r="R64" s="345">
        <v>9</v>
      </c>
      <c r="S64" s="346">
        <f t="shared" si="35"/>
        <v>0</v>
      </c>
      <c r="T64" s="356">
        <f t="shared" si="30"/>
        <v>0.01</v>
      </c>
      <c r="U64" s="363">
        <f t="shared" si="31"/>
        <v>0</v>
      </c>
      <c r="V64" s="363">
        <f t="shared" si="32"/>
        <v>0</v>
      </c>
      <c r="W64" s="364" t="str">
        <f t="shared" si="33"/>
        <v>2204.62</v>
      </c>
      <c r="X64" s="364">
        <f t="shared" si="34"/>
        <v>1.5714285714285714</v>
      </c>
      <c r="Y64" s="354"/>
      <c r="Z64" s="354"/>
      <c r="AA64" s="354"/>
      <c r="AB64" s="354"/>
      <c r="AC64" s="354"/>
      <c r="AD64" s="354"/>
      <c r="AE64" s="354"/>
      <c r="AF64" s="354"/>
      <c r="AG64" s="354"/>
      <c r="AH64" s="354"/>
    </row>
    <row r="65" spans="18:34" x14ac:dyDescent="0.3">
      <c r="R65" s="345">
        <v>10</v>
      </c>
      <c r="S65" s="346">
        <f t="shared" si="35"/>
        <v>0</v>
      </c>
      <c r="T65" s="356">
        <f t="shared" si="30"/>
        <v>0.01</v>
      </c>
      <c r="U65" s="363">
        <f t="shared" si="31"/>
        <v>0</v>
      </c>
      <c r="V65" s="363">
        <f t="shared" si="32"/>
        <v>0</v>
      </c>
      <c r="W65" s="364" t="str">
        <f t="shared" si="33"/>
        <v>2204.62</v>
      </c>
      <c r="X65" s="364">
        <f t="shared" si="34"/>
        <v>1.5714285714285714</v>
      </c>
      <c r="Y65" s="354"/>
      <c r="Z65" s="354"/>
      <c r="AA65" s="354"/>
      <c r="AB65" s="354"/>
      <c r="AC65" s="354"/>
      <c r="AD65" s="354"/>
      <c r="AE65" s="354"/>
      <c r="AF65" s="354"/>
      <c r="AG65" s="354"/>
      <c r="AH65" s="354"/>
    </row>
    <row r="66" spans="18:34" ht="16.5" customHeight="1" x14ac:dyDescent="0.3">
      <c r="R66" s="345" t="s">
        <v>202</v>
      </c>
      <c r="S66" s="346">
        <f>SUM(S56:S65)</f>
        <v>0</v>
      </c>
      <c r="T66" s="365"/>
      <c r="U66" s="366"/>
      <c r="V66" s="346">
        <f>SUM(V56:V65)</f>
        <v>0</v>
      </c>
      <c r="W66" s="365"/>
      <c r="X66" s="366"/>
      <c r="Y66" s="354"/>
      <c r="Z66" s="354"/>
      <c r="AA66" s="354"/>
      <c r="AB66" s="354"/>
      <c r="AC66" s="354"/>
      <c r="AD66" s="354"/>
      <c r="AE66" s="354"/>
      <c r="AF66" s="354"/>
      <c r="AG66" s="354"/>
      <c r="AH66" s="354"/>
    </row>
    <row r="67" spans="18:34" ht="16.5" customHeight="1" x14ac:dyDescent="0.3">
      <c r="R67" s="354"/>
      <c r="S67" s="354"/>
      <c r="T67" s="354"/>
      <c r="U67" s="354"/>
      <c r="V67" s="354"/>
      <c r="W67" s="354"/>
      <c r="X67" s="354"/>
      <c r="Y67" s="354"/>
      <c r="Z67" s="354"/>
      <c r="AA67" s="354"/>
      <c r="AB67" s="354"/>
      <c r="AC67" s="354"/>
      <c r="AD67" s="354"/>
      <c r="AE67" s="354"/>
      <c r="AF67" s="354"/>
      <c r="AG67" s="354"/>
      <c r="AH67" s="354"/>
    </row>
    <row r="68" spans="18:34" ht="15.75" customHeight="1" x14ac:dyDescent="0.3">
      <c r="V68" s="394"/>
      <c r="W68" s="394"/>
      <c r="X68" s="394"/>
      <c r="Y68" s="394"/>
      <c r="Z68" s="394"/>
      <c r="AA68" s="394"/>
      <c r="AB68" s="394"/>
      <c r="AC68" s="394"/>
      <c r="AD68" s="394"/>
      <c r="AE68" s="394"/>
      <c r="AF68" s="394"/>
      <c r="AG68" s="335"/>
      <c r="AH68" s="354"/>
    </row>
    <row r="69" spans="18:34" ht="15.75" customHeight="1" x14ac:dyDescent="0.3">
      <c r="V69" s="395"/>
      <c r="W69" s="395"/>
      <c r="X69" s="395"/>
      <c r="Y69" s="395"/>
      <c r="Z69" s="395"/>
      <c r="AA69" s="395"/>
      <c r="AB69" s="395"/>
      <c r="AC69" s="395"/>
      <c r="AD69" s="395"/>
      <c r="AE69" s="395"/>
      <c r="AF69" s="395"/>
      <c r="AG69" s="354"/>
      <c r="AH69" s="354"/>
    </row>
    <row r="70" spans="18:34" ht="15.75" customHeight="1" x14ac:dyDescent="0.3">
      <c r="V70" s="395"/>
      <c r="W70" s="395"/>
      <c r="X70" s="395"/>
      <c r="Y70" s="395"/>
      <c r="Z70" s="395"/>
      <c r="AA70" s="395"/>
      <c r="AB70" s="395"/>
      <c r="AC70" s="395"/>
      <c r="AD70" s="395"/>
      <c r="AE70" s="395"/>
      <c r="AF70" s="395"/>
      <c r="AG70" s="354"/>
      <c r="AH70" s="354"/>
    </row>
    <row r="71" spans="18:34" ht="16.5" customHeight="1" x14ac:dyDescent="0.3">
      <c r="V71" s="395"/>
      <c r="W71" s="395"/>
      <c r="X71" s="395"/>
      <c r="Y71" s="395"/>
      <c r="Z71" s="395"/>
      <c r="AA71" s="395"/>
      <c r="AB71" s="395"/>
      <c r="AC71" s="395"/>
      <c r="AD71" s="395"/>
      <c r="AE71" s="395"/>
      <c r="AF71" s="395"/>
      <c r="AG71" s="354"/>
      <c r="AH71" s="354"/>
    </row>
    <row r="72" spans="18:34" x14ac:dyDescent="0.3">
      <c r="V72" s="395"/>
      <c r="W72" s="395"/>
      <c r="X72" s="395"/>
      <c r="Y72" s="395"/>
      <c r="Z72" s="395"/>
      <c r="AA72" s="395"/>
      <c r="AB72" s="395"/>
      <c r="AC72" s="395"/>
      <c r="AD72" s="395"/>
      <c r="AE72" s="395"/>
      <c r="AF72" s="395"/>
      <c r="AG72" s="354"/>
      <c r="AH72" s="354"/>
    </row>
    <row r="73" spans="18:34" ht="15.75" customHeight="1" x14ac:dyDescent="0.3">
      <c r="V73" s="395"/>
      <c r="W73" s="395"/>
      <c r="X73" s="395"/>
      <c r="Y73" s="395"/>
      <c r="Z73" s="395"/>
      <c r="AA73" s="395"/>
      <c r="AB73" s="395"/>
      <c r="AC73" s="395"/>
      <c r="AD73" s="395"/>
      <c r="AE73" s="395"/>
      <c r="AF73" s="395"/>
      <c r="AG73" s="354"/>
      <c r="AH73" s="335"/>
    </row>
    <row r="74" spans="18:34" ht="15.75" customHeight="1" x14ac:dyDescent="0.3">
      <c r="V74" s="395"/>
      <c r="W74" s="395"/>
      <c r="X74" s="395"/>
      <c r="Y74" s="395"/>
      <c r="Z74" s="395"/>
      <c r="AA74" s="395"/>
      <c r="AB74" s="395"/>
      <c r="AC74" s="395"/>
      <c r="AD74" s="395"/>
      <c r="AE74" s="395"/>
      <c r="AF74" s="395"/>
      <c r="AG74" s="354"/>
      <c r="AH74" s="335"/>
    </row>
    <row r="75" spans="18:34" x14ac:dyDescent="0.3">
      <c r="V75" s="379"/>
      <c r="W75" s="379"/>
      <c r="X75" s="379"/>
      <c r="Y75" s="379"/>
      <c r="Z75" s="379"/>
      <c r="AA75" s="379"/>
      <c r="AB75" s="379"/>
      <c r="AC75" s="379"/>
      <c r="AD75" s="379"/>
      <c r="AE75" s="379"/>
      <c r="AF75" s="379"/>
      <c r="AG75" s="354"/>
      <c r="AH75" s="354"/>
    </row>
    <row r="76" spans="18:34" ht="15.75" customHeight="1" x14ac:dyDescent="0.3">
      <c r="V76" s="395"/>
      <c r="W76" s="395"/>
      <c r="X76" s="395"/>
      <c r="Y76" s="395"/>
      <c r="Z76" s="395"/>
      <c r="AA76" s="395"/>
      <c r="AB76" s="395"/>
      <c r="AC76" s="395"/>
      <c r="AD76" s="395"/>
      <c r="AE76" s="395"/>
      <c r="AF76" s="395"/>
      <c r="AG76" s="354"/>
      <c r="AH76" s="354"/>
    </row>
    <row r="77" spans="18:34" ht="15.75" customHeight="1" x14ac:dyDescent="0.3">
      <c r="V77" s="395"/>
      <c r="W77" s="395"/>
      <c r="X77" s="395"/>
      <c r="Y77" s="395"/>
      <c r="Z77" s="395"/>
      <c r="AA77" s="395"/>
      <c r="AB77" s="395"/>
      <c r="AC77" s="395"/>
      <c r="AD77" s="395"/>
      <c r="AE77" s="395"/>
      <c r="AF77" s="395"/>
      <c r="AG77" s="354"/>
      <c r="AH77" s="354"/>
    </row>
    <row r="78" spans="18:34" ht="15.75" customHeight="1" x14ac:dyDescent="0.3">
      <c r="V78" s="379"/>
      <c r="W78" s="379"/>
      <c r="X78" s="379"/>
      <c r="Y78" s="379"/>
      <c r="Z78" s="379"/>
      <c r="AA78" s="379"/>
      <c r="AB78" s="379"/>
      <c r="AC78" s="379"/>
      <c r="AD78" s="379"/>
      <c r="AE78" s="379"/>
      <c r="AF78" s="379"/>
      <c r="AG78" s="354"/>
      <c r="AH78" s="354"/>
    </row>
    <row r="79" spans="18:34" x14ac:dyDescent="0.3">
      <c r="V79" s="395"/>
      <c r="W79" s="395"/>
      <c r="X79" s="395"/>
      <c r="Y79" s="395"/>
      <c r="Z79" s="395"/>
      <c r="AA79" s="395"/>
      <c r="AB79" s="395"/>
      <c r="AC79" s="395"/>
      <c r="AD79" s="395"/>
      <c r="AE79" s="395"/>
      <c r="AF79" s="395"/>
      <c r="AG79" s="354"/>
      <c r="AH79" s="354"/>
    </row>
    <row r="80" spans="18:34" ht="15.75" customHeight="1" x14ac:dyDescent="0.3">
      <c r="V80" s="395"/>
      <c r="W80" s="395"/>
      <c r="X80" s="395"/>
      <c r="Y80" s="395"/>
      <c r="Z80" s="395"/>
      <c r="AA80" s="395"/>
      <c r="AB80" s="395"/>
      <c r="AC80" s="395"/>
      <c r="AD80" s="395"/>
      <c r="AE80" s="395"/>
      <c r="AF80" s="395"/>
      <c r="AG80" s="354"/>
      <c r="AH80" s="354"/>
    </row>
    <row r="81" spans="22:34" ht="15.75" customHeight="1" x14ac:dyDescent="0.3">
      <c r="V81" s="395"/>
      <c r="W81" s="395"/>
      <c r="X81" s="395"/>
      <c r="Y81" s="395"/>
      <c r="Z81" s="395"/>
      <c r="AA81" s="395"/>
      <c r="AB81" s="395"/>
      <c r="AC81" s="395"/>
      <c r="AD81" s="395"/>
      <c r="AE81" s="395"/>
      <c r="AF81" s="395"/>
      <c r="AG81" s="354"/>
      <c r="AH81" s="335"/>
    </row>
    <row r="82" spans="22:34" ht="15.75" customHeight="1" x14ac:dyDescent="0.3">
      <c r="V82" s="394"/>
      <c r="W82" s="394"/>
      <c r="X82" s="394"/>
      <c r="Y82" s="394"/>
      <c r="Z82" s="394"/>
      <c r="AA82" s="394"/>
      <c r="AB82" s="394"/>
      <c r="AC82" s="394"/>
      <c r="AD82" s="394"/>
      <c r="AE82" s="394"/>
      <c r="AF82" s="394"/>
      <c r="AG82" s="354"/>
      <c r="AH82" s="354"/>
    </row>
    <row r="83" spans="22:34" ht="15.75" customHeight="1" x14ac:dyDescent="0.3">
      <c r="V83" s="395"/>
      <c r="W83" s="395"/>
      <c r="X83" s="395"/>
      <c r="Y83" s="395"/>
      <c r="Z83" s="395"/>
      <c r="AA83" s="395"/>
      <c r="AB83" s="395"/>
      <c r="AC83" s="395"/>
      <c r="AD83" s="395"/>
      <c r="AE83" s="395"/>
      <c r="AF83" s="395"/>
      <c r="AG83" s="354"/>
      <c r="AH83" s="354"/>
    </row>
    <row r="84" spans="22:34" ht="15.75" customHeight="1" x14ac:dyDescent="0.3">
      <c r="V84" s="395"/>
      <c r="W84" s="395"/>
      <c r="X84" s="395"/>
      <c r="Y84" s="395"/>
      <c r="Z84" s="395"/>
      <c r="AA84" s="395"/>
      <c r="AB84" s="395"/>
      <c r="AC84" s="395"/>
      <c r="AD84" s="395"/>
      <c r="AE84" s="395"/>
      <c r="AF84" s="395"/>
      <c r="AG84" s="354"/>
      <c r="AH84" s="354"/>
    </row>
    <row r="85" spans="22:34" x14ac:dyDescent="0.3">
      <c r="V85" s="395"/>
      <c r="W85" s="395"/>
      <c r="X85" s="395"/>
      <c r="Y85" s="395"/>
      <c r="Z85" s="395"/>
      <c r="AA85" s="395"/>
      <c r="AB85" s="395"/>
      <c r="AC85" s="395"/>
      <c r="AD85" s="395"/>
      <c r="AE85" s="395"/>
      <c r="AF85" s="395"/>
      <c r="AG85" s="354"/>
      <c r="AH85" s="354"/>
    </row>
    <row r="86" spans="22:34" x14ac:dyDescent="0.3">
      <c r="V86" s="395"/>
      <c r="W86" s="395"/>
      <c r="X86" s="395"/>
      <c r="Y86" s="395"/>
      <c r="Z86" s="395"/>
      <c r="AA86" s="395"/>
      <c r="AB86" s="395"/>
      <c r="AC86" s="395"/>
      <c r="AD86" s="395"/>
      <c r="AE86" s="395"/>
      <c r="AF86" s="395"/>
      <c r="AG86" s="354"/>
      <c r="AH86" s="354"/>
    </row>
    <row r="87" spans="22:34" x14ac:dyDescent="0.3">
      <c r="V87" s="395"/>
      <c r="W87" s="395"/>
      <c r="X87" s="395"/>
      <c r="Y87" s="395"/>
      <c r="Z87" s="395"/>
      <c r="AA87" s="395"/>
      <c r="AB87" s="395"/>
      <c r="AC87" s="395"/>
      <c r="AD87" s="395"/>
      <c r="AE87" s="395"/>
      <c r="AF87" s="395"/>
      <c r="AG87" s="354"/>
      <c r="AH87" s="354"/>
    </row>
    <row r="88" spans="22:34" ht="15.75" customHeight="1" x14ac:dyDescent="0.3">
      <c r="V88" s="394"/>
      <c r="W88" s="394"/>
      <c r="X88" s="394"/>
      <c r="Y88" s="394"/>
      <c r="Z88" s="394"/>
      <c r="AA88" s="394"/>
      <c r="AB88" s="394"/>
      <c r="AC88" s="394"/>
      <c r="AD88" s="394"/>
      <c r="AE88" s="394"/>
      <c r="AF88" s="394"/>
      <c r="AG88" s="354"/>
      <c r="AH88" s="354"/>
    </row>
    <row r="89" spans="22:34" x14ac:dyDescent="0.3">
      <c r="V89" s="394"/>
      <c r="W89" s="394"/>
      <c r="X89" s="394"/>
      <c r="Y89" s="394"/>
      <c r="Z89" s="394"/>
      <c r="AA89" s="394"/>
      <c r="AB89" s="394"/>
      <c r="AC89" s="394"/>
      <c r="AD89" s="394"/>
      <c r="AE89" s="394"/>
      <c r="AF89" s="394"/>
      <c r="AG89" s="354"/>
      <c r="AH89" s="354"/>
    </row>
    <row r="90" spans="22:34" ht="15.75" customHeight="1" x14ac:dyDescent="0.3">
      <c r="V90" s="394"/>
      <c r="W90" s="394"/>
      <c r="X90" s="394"/>
      <c r="Y90" s="394"/>
      <c r="Z90" s="394"/>
      <c r="AA90" s="394"/>
      <c r="AB90" s="394"/>
      <c r="AC90" s="394"/>
      <c r="AD90" s="394"/>
      <c r="AE90" s="394"/>
      <c r="AF90" s="394"/>
      <c r="AG90" s="354"/>
      <c r="AH90" s="354"/>
    </row>
    <row r="91" spans="22:34" ht="15.75" customHeight="1" x14ac:dyDescent="0.3">
      <c r="V91" s="395"/>
      <c r="W91" s="395"/>
      <c r="X91" s="395"/>
      <c r="Y91" s="395"/>
      <c r="Z91" s="395"/>
      <c r="AA91" s="395"/>
      <c r="AB91" s="395"/>
      <c r="AC91" s="395"/>
      <c r="AD91" s="395"/>
      <c r="AE91" s="395"/>
      <c r="AF91" s="395"/>
      <c r="AG91" s="354"/>
      <c r="AH91" s="354"/>
    </row>
    <row r="92" spans="22:34" x14ac:dyDescent="0.3">
      <c r="V92" s="394"/>
      <c r="W92" s="394"/>
      <c r="X92" s="394"/>
      <c r="Y92" s="394"/>
      <c r="Z92" s="394"/>
      <c r="AA92" s="394"/>
      <c r="AB92" s="394"/>
      <c r="AC92" s="394"/>
      <c r="AD92" s="394"/>
      <c r="AE92" s="394"/>
      <c r="AF92" s="394"/>
      <c r="AG92" s="354"/>
      <c r="AH92" s="354"/>
    </row>
    <row r="93" spans="22:34" ht="15.75" customHeight="1" x14ac:dyDescent="0.3">
      <c r="V93" s="395"/>
      <c r="W93" s="395"/>
      <c r="X93" s="395"/>
      <c r="Y93" s="395"/>
      <c r="Z93" s="395"/>
      <c r="AA93" s="395"/>
      <c r="AB93" s="395"/>
      <c r="AC93" s="395"/>
      <c r="AD93" s="395"/>
      <c r="AE93" s="395"/>
      <c r="AF93" s="395"/>
      <c r="AG93" s="354"/>
      <c r="AH93" s="354"/>
    </row>
    <row r="94" spans="22:34" x14ac:dyDescent="0.3">
      <c r="V94" s="395"/>
      <c r="W94" s="395"/>
      <c r="X94" s="395"/>
      <c r="Y94" s="395"/>
      <c r="Z94" s="395"/>
      <c r="AA94" s="395"/>
      <c r="AB94" s="395"/>
      <c r="AC94" s="395"/>
      <c r="AD94" s="395"/>
      <c r="AE94" s="395"/>
      <c r="AF94" s="395"/>
      <c r="AG94" s="354"/>
      <c r="AH94" s="354"/>
    </row>
    <row r="95" spans="22:34" x14ac:dyDescent="0.3">
      <c r="V95" s="394"/>
      <c r="W95" s="394"/>
      <c r="X95" s="394"/>
      <c r="Y95" s="394"/>
      <c r="Z95" s="394"/>
      <c r="AA95" s="394"/>
      <c r="AB95" s="394"/>
      <c r="AC95" s="394"/>
      <c r="AD95" s="394"/>
      <c r="AE95" s="394"/>
      <c r="AF95" s="394"/>
      <c r="AG95" s="354"/>
      <c r="AH95" s="354"/>
    </row>
    <row r="96" spans="22:34" x14ac:dyDescent="0.3">
      <c r="V96" s="395"/>
      <c r="W96" s="395"/>
      <c r="X96" s="395"/>
      <c r="Y96" s="395"/>
      <c r="Z96" s="395"/>
      <c r="AA96" s="395"/>
      <c r="AB96" s="395"/>
      <c r="AC96" s="395"/>
      <c r="AD96" s="395"/>
      <c r="AE96" s="395"/>
      <c r="AF96" s="395"/>
      <c r="AG96" s="354"/>
      <c r="AH96" s="354"/>
    </row>
    <row r="97" spans="22:34" x14ac:dyDescent="0.3">
      <c r="V97" s="154"/>
      <c r="W97" s="154"/>
      <c r="X97" s="154"/>
      <c r="Y97" s="154"/>
      <c r="Z97" s="154"/>
      <c r="AA97" s="154"/>
      <c r="AB97" s="154"/>
      <c r="AC97" s="154"/>
      <c r="AD97" s="154"/>
      <c r="AE97" s="154"/>
      <c r="AF97" s="154"/>
      <c r="AH97" s="354"/>
    </row>
    <row r="98" spans="22:34" x14ac:dyDescent="0.3">
      <c r="AH98" s="354"/>
    </row>
    <row r="99" spans="22:34" x14ac:dyDescent="0.3">
      <c r="AH99" s="354"/>
    </row>
    <row r="100" spans="22:34" x14ac:dyDescent="0.3">
      <c r="AH100" s="354"/>
    </row>
    <row r="101" spans="22:34" x14ac:dyDescent="0.3">
      <c r="AH101" s="354"/>
    </row>
    <row r="102" spans="22:34" x14ac:dyDescent="0.3">
      <c r="AH102" s="354"/>
    </row>
    <row r="103" spans="22:34" x14ac:dyDescent="0.3">
      <c r="AH103" s="354"/>
    </row>
    <row r="104" spans="22:34" x14ac:dyDescent="0.3">
      <c r="AH104" s="354"/>
    </row>
    <row r="105" spans="22:34" x14ac:dyDescent="0.3">
      <c r="AH105" s="354"/>
    </row>
    <row r="106" spans="22:34" x14ac:dyDescent="0.3">
      <c r="AH106" s="354"/>
    </row>
    <row r="107" spans="22:34" x14ac:dyDescent="0.3">
      <c r="AH107" s="354"/>
    </row>
    <row r="108" spans="22:34" x14ac:dyDescent="0.3">
      <c r="AH108" s="354"/>
    </row>
    <row r="109" spans="22:34" x14ac:dyDescent="0.3">
      <c r="AH109" s="354"/>
    </row>
  </sheetData>
  <sheetProtection algorithmName="SHA-512" hashValue="GF6Q7uhR+zw23/mV2TJ+tnO6KUxmhNamOexFSk1I9cpls8ifCALNt4jLpZaZvJgbnY05U9fL7NPSMcHM1jBNjg==" saltValue="xL63poZS2B0QmkdVBtAUGQ==" spinCount="100000" sheet="1" objects="1" scenarios="1"/>
  <conditionalFormatting sqref="O20:O29">
    <cfRule type="expression" dxfId="130" priority="17">
      <formula>P20="N/A"</formula>
    </cfRule>
  </conditionalFormatting>
  <conditionalFormatting sqref="P20:P29 J20:J29">
    <cfRule type="expression" dxfId="129" priority="16">
      <formula>J20="N/A"</formula>
    </cfRule>
  </conditionalFormatting>
  <conditionalFormatting sqref="I20:I29">
    <cfRule type="expression" dxfId="128" priority="14">
      <formula>J20="N/A"</formula>
    </cfRule>
  </conditionalFormatting>
  <conditionalFormatting sqref="C20:C29">
    <cfRule type="expression" dxfId="127" priority="13">
      <formula>D20="Optional"</formula>
    </cfRule>
  </conditionalFormatting>
  <conditionalFormatting sqref="D20:D29 F20:F29 H20:H29 L20:L29 N20:N29">
    <cfRule type="expression" dxfId="126" priority="12">
      <formula>D20="Optional"</formula>
    </cfRule>
  </conditionalFormatting>
  <conditionalFormatting sqref="E20:E29">
    <cfRule type="expression" dxfId="125" priority="11">
      <formula>F20="Optional"</formula>
    </cfRule>
  </conditionalFormatting>
  <conditionalFormatting sqref="G20:G29">
    <cfRule type="expression" dxfId="124" priority="9">
      <formula>H20="Optional"</formula>
    </cfRule>
  </conditionalFormatting>
  <conditionalFormatting sqref="K20:K29">
    <cfRule type="expression" dxfId="123" priority="7">
      <formula>L20="Optional"</formula>
    </cfRule>
  </conditionalFormatting>
  <conditionalFormatting sqref="M20:M29">
    <cfRule type="expression" dxfId="122" priority="5">
      <formula>N20="Optional"</formula>
    </cfRule>
  </conditionalFormatting>
  <conditionalFormatting sqref="B19:P29">
    <cfRule type="expression" dxfId="121" priority="3">
      <formula>NOT($B$15="")</formula>
    </cfRule>
  </conditionalFormatting>
  <conditionalFormatting sqref="B33:J34 B35:H37 J35:J37">
    <cfRule type="expression" dxfId="120" priority="2">
      <formula>NOT($B$15="")</formula>
    </cfRule>
  </conditionalFormatting>
  <conditionalFormatting sqref="I35:I37">
    <cfRule type="expression" dxfId="119" priority="1">
      <formula>NOT($B$15="")</formula>
    </cfRule>
  </conditionalFormatting>
  <dataValidations count="2">
    <dataValidation type="decimal" operator="greaterThanOrEqual" allowBlank="1" showInputMessage="1" showErrorMessage="1" sqref="C20:C29 E20:E29 G20:G29 I20:I29 K20:K29 M20:M29" xr:uid="{00000000-0002-0000-0400-000000000000}">
      <formula1>0</formula1>
    </dataValidation>
    <dataValidation type="list" allowBlank="1" showInputMessage="1" showErrorMessage="1" sqref="O20:O29" xr:uid="{00000000-0002-0000-0400-000001000000}">
      <formula1>$AM$49:$AM$60</formula1>
    </dataValidation>
  </dataValidations>
  <hyperlinks>
    <hyperlink ref="B12" r:id="rId1" tooltip="Link to SoilWeb Tool" xr:uid="{00000000-0004-0000-0400-000000000000}"/>
    <hyperlink ref="B10" r:id="rId2" tooltip="Link to Land Restoration Benefits Tool User Guide" xr:uid="{00000000-0004-0000-0400-000001000000}"/>
  </hyperlinks>
  <pageMargins left="0.7" right="0.7" top="0.75" bottom="0.75" header="0.3" footer="0.3"/>
  <pageSetup orientation="portrait" r:id="rId3"/>
  <ignoredErrors>
    <ignoredError sqref="AI23:AI44" numberStoredAsText="1"/>
  </ignoredErrors>
  <drawing r:id="rId4"/>
  <legacyDrawing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B1:W40"/>
  <sheetViews>
    <sheetView showGridLines="0" zoomScaleNormal="100" workbookViewId="0"/>
  </sheetViews>
  <sheetFormatPr defaultColWidth="9.109375" defaultRowHeight="15.6" x14ac:dyDescent="0.3"/>
  <cols>
    <col min="1" max="1" width="2.88671875" style="2" customWidth="1"/>
    <col min="2" max="2" width="9.6640625" style="2" customWidth="1"/>
    <col min="3" max="3" width="16.33203125" style="2" customWidth="1"/>
    <col min="4" max="4" width="10.6640625" style="5" customWidth="1"/>
    <col min="5" max="5" width="13.33203125" style="2" customWidth="1"/>
    <col min="6" max="6" width="10.6640625" style="5" customWidth="1"/>
    <col min="7" max="7" width="16.33203125" style="2" customWidth="1"/>
    <col min="8" max="8" width="14.109375" style="2" customWidth="1"/>
    <col min="9" max="9" width="9.88671875" style="2" customWidth="1"/>
    <col min="10" max="10" width="11" style="2" customWidth="1"/>
    <col min="11" max="11" width="10.109375" style="2" customWidth="1"/>
    <col min="12" max="12" width="10.6640625" style="2" hidden="1" customWidth="1"/>
    <col min="13" max="13" width="10.109375" style="2" hidden="1" customWidth="1"/>
    <col min="14" max="14" width="11.88671875" style="2" hidden="1" customWidth="1"/>
    <col min="15" max="15" width="10.88671875" style="2" hidden="1" customWidth="1"/>
    <col min="16" max="16" width="9" style="2" hidden="1" customWidth="1"/>
    <col min="17" max="17" width="10.109375" style="2" hidden="1" customWidth="1"/>
    <col min="18" max="18" width="8.44140625" style="2" hidden="1" customWidth="1"/>
    <col min="19" max="19" width="5.6640625" style="2" hidden="1" customWidth="1"/>
    <col min="20" max="20" width="7.6640625" style="2" hidden="1" customWidth="1"/>
    <col min="21" max="21" width="10.6640625" style="2" hidden="1" customWidth="1"/>
    <col min="22" max="22" width="12" style="2" hidden="1" customWidth="1"/>
    <col min="23" max="23" width="10.88671875" style="2" customWidth="1"/>
    <col min="24" max="16384" width="9.109375" style="2"/>
  </cols>
  <sheetData>
    <row r="1" spans="2:23" ht="21" x14ac:dyDescent="0.4">
      <c r="B1" s="140" t="str">
        <f>'Read Me'!B1</f>
        <v>California Air Resources Board</v>
      </c>
      <c r="C1" s="36"/>
      <c r="D1" s="39"/>
      <c r="E1" s="36"/>
      <c r="F1" s="39"/>
      <c r="G1" s="36"/>
      <c r="H1" s="36"/>
      <c r="I1" s="36"/>
      <c r="J1" s="36"/>
      <c r="L1" s="2" t="s">
        <v>435</v>
      </c>
      <c r="M1" s="2" t="s">
        <v>435</v>
      </c>
      <c r="N1" s="2" t="s">
        <v>435</v>
      </c>
      <c r="O1" s="2" t="s">
        <v>435</v>
      </c>
      <c r="P1" s="2" t="s">
        <v>435</v>
      </c>
      <c r="Q1" s="2" t="s">
        <v>435</v>
      </c>
      <c r="R1" s="2" t="s">
        <v>435</v>
      </c>
      <c r="S1" s="2" t="s">
        <v>435</v>
      </c>
      <c r="T1" s="2" t="s">
        <v>435</v>
      </c>
      <c r="U1" s="2" t="s">
        <v>435</v>
      </c>
      <c r="V1" s="2" t="s">
        <v>435</v>
      </c>
    </row>
    <row r="2" spans="2:23" ht="21" x14ac:dyDescent="0.4">
      <c r="B2" s="140"/>
      <c r="C2" s="36"/>
      <c r="D2" s="39"/>
      <c r="E2" s="36"/>
      <c r="F2" s="39"/>
      <c r="G2" s="36"/>
      <c r="H2" s="36"/>
      <c r="I2" s="36"/>
      <c r="J2" s="36"/>
    </row>
    <row r="3" spans="2:23" ht="21" x14ac:dyDescent="0.4">
      <c r="B3" s="140" t="str">
        <f>'Read Me'!B3</f>
        <v>Revised Draft Benefits Calculator Tool</v>
      </c>
      <c r="C3" s="36"/>
      <c r="D3" s="39"/>
      <c r="E3" s="36"/>
      <c r="F3" s="39"/>
      <c r="G3" s="36"/>
      <c r="H3" s="36"/>
      <c r="I3" s="36"/>
      <c r="J3" s="36"/>
    </row>
    <row r="4" spans="2:23" ht="21" x14ac:dyDescent="0.4">
      <c r="B4" s="140" t="str">
        <f>MM</f>
        <v>Mountain Meadow</v>
      </c>
      <c r="C4" s="36"/>
      <c r="D4" s="39"/>
      <c r="E4" s="36"/>
      <c r="F4" s="39"/>
      <c r="G4" s="36"/>
      <c r="H4" s="36"/>
      <c r="I4" s="36"/>
      <c r="J4" s="36"/>
    </row>
    <row r="5" spans="2:23" ht="21" x14ac:dyDescent="0.4">
      <c r="B5" s="140"/>
      <c r="C5" s="36"/>
      <c r="D5" s="39"/>
      <c r="E5" s="36"/>
      <c r="F5" s="39"/>
      <c r="G5" s="36"/>
      <c r="H5" s="36"/>
      <c r="I5" s="36"/>
      <c r="J5" s="36"/>
    </row>
    <row r="6" spans="2:23" ht="21" x14ac:dyDescent="0.4">
      <c r="B6" s="140" t="str">
        <f>'Read Me'!B6</f>
        <v xml:space="preserve">California Climate Investments </v>
      </c>
      <c r="C6" s="36"/>
      <c r="D6" s="39"/>
      <c r="E6" s="36"/>
      <c r="F6" s="39"/>
      <c r="G6" s="36"/>
      <c r="H6" s="36"/>
      <c r="I6" s="36"/>
      <c r="J6" s="36"/>
    </row>
    <row r="8" spans="2:23" x14ac:dyDescent="0.3">
      <c r="B8" s="1" t="s">
        <v>8</v>
      </c>
      <c r="F8" s="7"/>
      <c r="G8" s="3"/>
      <c r="H8" s="3"/>
      <c r="I8" s="3"/>
      <c r="J8" s="3"/>
      <c r="K8" s="3"/>
    </row>
    <row r="9" spans="2:23" ht="15" customHeight="1" x14ac:dyDescent="0.3">
      <c r="B9" s="580" t="s">
        <v>114</v>
      </c>
      <c r="C9" s="581"/>
      <c r="D9" s="582"/>
      <c r="E9" s="581"/>
      <c r="F9" s="582"/>
      <c r="G9" s="581"/>
      <c r="H9" s="581"/>
      <c r="I9" s="581"/>
      <c r="J9" s="583"/>
    </row>
    <row r="10" spans="2:23" ht="15" customHeight="1" x14ac:dyDescent="0.3">
      <c r="B10" s="614" t="s">
        <v>539</v>
      </c>
      <c r="C10" s="589"/>
      <c r="D10" s="590"/>
      <c r="E10" s="589"/>
      <c r="F10" s="590"/>
      <c r="G10" s="589"/>
      <c r="H10" s="589"/>
      <c r="I10" s="589"/>
      <c r="J10" s="591"/>
    </row>
    <row r="11" spans="2:23" ht="15" customHeight="1" x14ac:dyDescent="0.3">
      <c r="B11" s="47"/>
      <c r="C11" s="47"/>
      <c r="D11" s="47"/>
      <c r="E11" s="47"/>
      <c r="F11" s="47"/>
      <c r="G11" s="47"/>
      <c r="H11" s="47"/>
      <c r="I11" s="47"/>
      <c r="J11" s="47"/>
    </row>
    <row r="12" spans="2:23" ht="15" customHeight="1" x14ac:dyDescent="0.3">
      <c r="B12" s="592" t="str">
        <f>"This worksheet is for calculating the GHG benefit for "&amp;B4&amp;"."</f>
        <v>This worksheet is for calculating the GHG benefit for Mountain Meadow.</v>
      </c>
      <c r="C12" s="593"/>
      <c r="D12" s="593"/>
      <c r="E12" s="593"/>
      <c r="F12" s="593"/>
      <c r="G12" s="593"/>
      <c r="H12" s="593"/>
      <c r="I12" s="593"/>
      <c r="J12" s="594"/>
    </row>
    <row r="13" spans="2:23" ht="15" customHeight="1" x14ac:dyDescent="0.3">
      <c r="B13" s="595" t="str">
        <f>IF(ProjectType=B4,"","DO NOT USE THIS WORKSHEET FOR THE SELECTED TYPE IN THE PROJECT INFO WORKSHEET.")</f>
        <v>DO NOT USE THIS WORKSHEET FOR THE SELECTED TYPE IN THE PROJECT INFO WORKSHEET.</v>
      </c>
      <c r="C13" s="596"/>
      <c r="D13" s="596"/>
      <c r="E13" s="596"/>
      <c r="F13" s="596"/>
      <c r="G13" s="596"/>
      <c r="H13" s="596"/>
      <c r="I13" s="596"/>
      <c r="J13" s="597"/>
      <c r="L13" s="16"/>
      <c r="M13" s="16"/>
      <c r="N13" s="16"/>
      <c r="O13" s="16"/>
      <c r="P13" s="115"/>
      <c r="Q13" s="115"/>
      <c r="R13" s="115"/>
      <c r="S13" s="115"/>
      <c r="T13" s="115"/>
      <c r="U13" s="115"/>
      <c r="V13" s="115"/>
      <c r="W13" s="115"/>
    </row>
    <row r="14" spans="2:23" ht="15" customHeight="1" x14ac:dyDescent="0.3">
      <c r="D14" s="2"/>
      <c r="F14" s="2"/>
      <c r="L14" s="16" t="s">
        <v>326</v>
      </c>
      <c r="M14" s="185"/>
      <c r="N14" s="16"/>
      <c r="O14" s="16"/>
      <c r="P14" s="115"/>
      <c r="Q14" s="115"/>
      <c r="R14" s="115"/>
      <c r="S14" s="115"/>
      <c r="T14" s="115"/>
      <c r="U14" s="115"/>
      <c r="V14" s="115"/>
      <c r="W14" s="115"/>
    </row>
    <row r="15" spans="2:23" ht="15" customHeight="1" x14ac:dyDescent="0.3">
      <c r="B15" s="51" t="s">
        <v>50</v>
      </c>
      <c r="C15" s="4"/>
      <c r="D15" s="6"/>
      <c r="E15" s="4"/>
      <c r="F15" s="6"/>
      <c r="G15" s="4"/>
      <c r="H15" s="4"/>
      <c r="I15" s="4"/>
      <c r="J15" s="4"/>
      <c r="K15" s="4"/>
      <c r="L15" s="16"/>
      <c r="M15" s="16"/>
      <c r="N15" s="16"/>
      <c r="O15" s="115"/>
      <c r="P15" s="115"/>
      <c r="Q15" s="115"/>
      <c r="R15" s="115"/>
      <c r="S15" s="115"/>
      <c r="T15" s="115"/>
      <c r="U15" s="115"/>
      <c r="V15" s="115"/>
      <c r="W15" s="115"/>
    </row>
    <row r="16" spans="2:23" ht="16.2" x14ac:dyDescent="0.35">
      <c r="L16" s="530" t="s">
        <v>76</v>
      </c>
      <c r="M16" s="273" t="s">
        <v>335</v>
      </c>
      <c r="N16" s="275" t="s">
        <v>336</v>
      </c>
      <c r="O16" s="273" t="s">
        <v>337</v>
      </c>
      <c r="P16" s="275" t="s">
        <v>338</v>
      </c>
      <c r="Q16" s="275" t="s">
        <v>251</v>
      </c>
      <c r="R16" s="275" t="s">
        <v>236</v>
      </c>
      <c r="S16" s="275" t="s">
        <v>237</v>
      </c>
      <c r="T16" s="273" t="s">
        <v>276</v>
      </c>
      <c r="U16" s="115"/>
      <c r="V16" s="115"/>
      <c r="W16" s="115"/>
    </row>
    <row r="17" spans="2:23" ht="78.75" customHeight="1" thickBot="1" x14ac:dyDescent="0.35">
      <c r="B17" s="152" t="s">
        <v>77</v>
      </c>
      <c r="C17" s="118" t="s">
        <v>97</v>
      </c>
      <c r="D17" s="8" t="s">
        <v>82</v>
      </c>
      <c r="E17" s="150"/>
      <c r="L17" s="532"/>
      <c r="M17" s="195" t="s">
        <v>196</v>
      </c>
      <c r="N17" s="211" t="s">
        <v>327</v>
      </c>
      <c r="O17" s="211" t="s">
        <v>79</v>
      </c>
      <c r="P17" s="211" t="s">
        <v>328</v>
      </c>
      <c r="Q17" s="211" t="s">
        <v>207</v>
      </c>
      <c r="R17" s="195" t="s">
        <v>329</v>
      </c>
      <c r="S17" s="211" t="s">
        <v>330</v>
      </c>
      <c r="T17" s="197" t="s">
        <v>196</v>
      </c>
      <c r="U17" s="115"/>
      <c r="V17" s="115"/>
      <c r="W17" s="115"/>
    </row>
    <row r="18" spans="2:23" ht="16.2" thickTop="1" x14ac:dyDescent="0.3">
      <c r="B18" s="153">
        <v>1</v>
      </c>
      <c r="C18" s="155"/>
      <c r="D18" s="124" t="str">
        <f t="shared" ref="D18:D27" si="0">IF(ISBLANK(C18),"Optional","acres")</f>
        <v>Optional</v>
      </c>
      <c r="F18" s="146" t="s">
        <v>27</v>
      </c>
      <c r="G18" s="147"/>
      <c r="H18" s="147"/>
      <c r="I18" s="147"/>
      <c r="J18" s="148"/>
      <c r="L18" s="309">
        <v>1</v>
      </c>
      <c r="M18" s="324">
        <f>N18*O18*P18/Q18*R18*S18</f>
        <v>0</v>
      </c>
      <c r="N18" s="315">
        <f>$M$33</f>
        <v>95.4</v>
      </c>
      <c r="O18" s="224">
        <f>MM_Input[[#This Row],[Acres restored to Mountain Meadow]]</f>
        <v>0</v>
      </c>
      <c r="P18" s="246">
        <f>$M$35</f>
        <v>4046.86</v>
      </c>
      <c r="Q18" s="224">
        <f>$M$36</f>
        <v>1000000</v>
      </c>
      <c r="R18" s="325">
        <f>$M$37</f>
        <v>3.6666666666666665</v>
      </c>
      <c r="S18" s="235">
        <f>$M$38</f>
        <v>50</v>
      </c>
      <c r="T18" s="200"/>
      <c r="U18" s="115"/>
      <c r="V18" s="115"/>
      <c r="W18" s="115"/>
    </row>
    <row r="19" spans="2:23" x14ac:dyDescent="0.3">
      <c r="B19" s="99">
        <v>2</v>
      </c>
      <c r="C19" s="155"/>
      <c r="D19" s="124" t="str">
        <f t="shared" si="0"/>
        <v>Optional</v>
      </c>
      <c r="F19" s="136" t="s">
        <v>18</v>
      </c>
      <c r="G19" s="63" t="s">
        <v>22</v>
      </c>
      <c r="H19" s="63"/>
      <c r="I19" s="63"/>
      <c r="J19" s="64"/>
      <c r="L19" s="309">
        <v>2</v>
      </c>
      <c r="M19" s="324">
        <f>N19*O19*P19/Q19*R19*S19</f>
        <v>0</v>
      </c>
      <c r="N19" s="315">
        <f t="shared" ref="N19:N27" si="1">$M$33</f>
        <v>95.4</v>
      </c>
      <c r="O19" s="224">
        <f>MM_Input[[#This Row],[Acres restored to Mountain Meadow]]</f>
        <v>0</v>
      </c>
      <c r="P19" s="246">
        <f t="shared" ref="P19:P27" si="2">$M$35</f>
        <v>4046.86</v>
      </c>
      <c r="Q19" s="224">
        <f t="shared" ref="Q19:Q27" si="3">$M$36</f>
        <v>1000000</v>
      </c>
      <c r="R19" s="325">
        <f t="shared" ref="R19:R27" si="4">$M$37</f>
        <v>3.6666666666666665</v>
      </c>
      <c r="S19" s="235">
        <f t="shared" ref="S19:S27" si="5">$M$38</f>
        <v>50</v>
      </c>
      <c r="T19" s="201"/>
      <c r="U19" s="115"/>
      <c r="V19" s="115"/>
      <c r="W19" s="115"/>
    </row>
    <row r="20" spans="2:23" x14ac:dyDescent="0.3">
      <c r="B20" s="99">
        <v>3</v>
      </c>
      <c r="C20" s="155"/>
      <c r="D20" s="124" t="str">
        <f t="shared" si="0"/>
        <v>Optional</v>
      </c>
      <c r="F20" s="137" t="s">
        <v>19</v>
      </c>
      <c r="G20" s="63" t="s">
        <v>23</v>
      </c>
      <c r="H20" s="63"/>
      <c r="I20" s="63"/>
      <c r="J20" s="64"/>
      <c r="L20" s="199">
        <v>3</v>
      </c>
      <c r="M20" s="324">
        <f>N20*O20*P20/Q20*R20*S20</f>
        <v>0</v>
      </c>
      <c r="N20" s="315">
        <f t="shared" si="1"/>
        <v>95.4</v>
      </c>
      <c r="O20" s="224">
        <f>MM_Input[[#This Row],[Acres restored to Mountain Meadow]]</f>
        <v>0</v>
      </c>
      <c r="P20" s="246">
        <f t="shared" si="2"/>
        <v>4046.86</v>
      </c>
      <c r="Q20" s="224">
        <f t="shared" si="3"/>
        <v>1000000</v>
      </c>
      <c r="R20" s="325">
        <f t="shared" si="4"/>
        <v>3.6666666666666665</v>
      </c>
      <c r="S20" s="235">
        <f t="shared" si="5"/>
        <v>50</v>
      </c>
      <c r="T20" s="201"/>
      <c r="U20" s="115"/>
      <c r="V20" s="115"/>
      <c r="W20" s="115"/>
    </row>
    <row r="21" spans="2:23" x14ac:dyDescent="0.3">
      <c r="B21" s="99">
        <v>4</v>
      </c>
      <c r="C21" s="155"/>
      <c r="D21" s="124" t="str">
        <f t="shared" si="0"/>
        <v>Optional</v>
      </c>
      <c r="F21" s="138" t="s">
        <v>20</v>
      </c>
      <c r="G21" s="63" t="s">
        <v>26</v>
      </c>
      <c r="H21" s="63"/>
      <c r="I21" s="63"/>
      <c r="J21" s="64"/>
      <c r="L21" s="199">
        <v>4</v>
      </c>
      <c r="M21" s="324">
        <f>N21*O21*P21/Q21*R21*S21</f>
        <v>0</v>
      </c>
      <c r="N21" s="315">
        <f t="shared" si="1"/>
        <v>95.4</v>
      </c>
      <c r="O21" s="224">
        <f>MM_Input[[#This Row],[Acres restored to Mountain Meadow]]</f>
        <v>0</v>
      </c>
      <c r="P21" s="246">
        <f t="shared" si="2"/>
        <v>4046.86</v>
      </c>
      <c r="Q21" s="224">
        <f t="shared" si="3"/>
        <v>1000000</v>
      </c>
      <c r="R21" s="325">
        <f t="shared" si="4"/>
        <v>3.6666666666666665</v>
      </c>
      <c r="S21" s="235">
        <f t="shared" si="5"/>
        <v>50</v>
      </c>
      <c r="T21" s="201"/>
      <c r="U21" s="115"/>
      <c r="V21" s="115"/>
      <c r="W21" s="115"/>
    </row>
    <row r="22" spans="2:23" ht="16.2" thickBot="1" x14ac:dyDescent="0.35">
      <c r="B22" s="99">
        <v>5</v>
      </c>
      <c r="C22" s="155"/>
      <c r="D22" s="124" t="str">
        <f t="shared" si="0"/>
        <v>Optional</v>
      </c>
      <c r="F22" s="139" t="s">
        <v>21</v>
      </c>
      <c r="G22" s="67" t="s">
        <v>25</v>
      </c>
      <c r="H22" s="67"/>
      <c r="I22" s="67"/>
      <c r="J22" s="68"/>
      <c r="L22" s="309">
        <v>5</v>
      </c>
      <c r="M22" s="324">
        <f t="shared" ref="M22:M27" si="6">N22*O22*P22/Q22*R22*S22</f>
        <v>0</v>
      </c>
      <c r="N22" s="315">
        <f t="shared" si="1"/>
        <v>95.4</v>
      </c>
      <c r="O22" s="224">
        <f>MM_Input[[#This Row],[Acres restored to Mountain Meadow]]</f>
        <v>0</v>
      </c>
      <c r="P22" s="246">
        <f t="shared" si="2"/>
        <v>4046.86</v>
      </c>
      <c r="Q22" s="224">
        <f t="shared" si="3"/>
        <v>1000000</v>
      </c>
      <c r="R22" s="325">
        <f t="shared" si="4"/>
        <v>3.6666666666666665</v>
      </c>
      <c r="S22" s="235">
        <f t="shared" si="5"/>
        <v>50</v>
      </c>
      <c r="T22" s="201"/>
      <c r="U22" s="115"/>
      <c r="V22" s="115"/>
      <c r="W22" s="115"/>
    </row>
    <row r="23" spans="2:23" x14ac:dyDescent="0.3">
      <c r="B23" s="99">
        <v>6</v>
      </c>
      <c r="C23" s="155"/>
      <c r="D23" s="124" t="str">
        <f t="shared" si="0"/>
        <v>Optional</v>
      </c>
      <c r="F23" s="70" t="s">
        <v>24</v>
      </c>
      <c r="G23" s="72"/>
      <c r="H23" s="72"/>
      <c r="I23" s="72"/>
      <c r="J23" s="72"/>
      <c r="L23" s="309">
        <v>6</v>
      </c>
      <c r="M23" s="324">
        <f t="shared" si="6"/>
        <v>0</v>
      </c>
      <c r="N23" s="315">
        <f t="shared" si="1"/>
        <v>95.4</v>
      </c>
      <c r="O23" s="224">
        <f>MM_Input[[#This Row],[Acres restored to Mountain Meadow]]</f>
        <v>0</v>
      </c>
      <c r="P23" s="246">
        <f t="shared" si="2"/>
        <v>4046.86</v>
      </c>
      <c r="Q23" s="224">
        <f t="shared" si="3"/>
        <v>1000000</v>
      </c>
      <c r="R23" s="325">
        <f t="shared" si="4"/>
        <v>3.6666666666666665</v>
      </c>
      <c r="S23" s="235">
        <f t="shared" si="5"/>
        <v>50</v>
      </c>
      <c r="T23" s="201"/>
      <c r="U23" s="115"/>
      <c r="V23" s="115"/>
      <c r="W23" s="115"/>
    </row>
    <row r="24" spans="2:23" x14ac:dyDescent="0.3">
      <c r="B24" s="99">
        <v>7</v>
      </c>
      <c r="C24" s="155"/>
      <c r="D24" s="124" t="str">
        <f t="shared" si="0"/>
        <v>Optional</v>
      </c>
      <c r="L24" s="199">
        <v>7</v>
      </c>
      <c r="M24" s="324">
        <f t="shared" si="6"/>
        <v>0</v>
      </c>
      <c r="N24" s="315">
        <f t="shared" si="1"/>
        <v>95.4</v>
      </c>
      <c r="O24" s="224">
        <f>MM_Input[[#This Row],[Acres restored to Mountain Meadow]]</f>
        <v>0</v>
      </c>
      <c r="P24" s="246">
        <f t="shared" si="2"/>
        <v>4046.86</v>
      </c>
      <c r="Q24" s="224">
        <f t="shared" si="3"/>
        <v>1000000</v>
      </c>
      <c r="R24" s="325">
        <f t="shared" si="4"/>
        <v>3.6666666666666665</v>
      </c>
      <c r="S24" s="235">
        <f t="shared" si="5"/>
        <v>50</v>
      </c>
      <c r="T24" s="201"/>
      <c r="U24" s="115"/>
      <c r="V24" s="115"/>
      <c r="W24" s="115"/>
    </row>
    <row r="25" spans="2:23" x14ac:dyDescent="0.3">
      <c r="B25" s="99">
        <v>8</v>
      </c>
      <c r="C25" s="155"/>
      <c r="D25" s="124" t="str">
        <f t="shared" si="0"/>
        <v>Optional</v>
      </c>
      <c r="L25" s="199">
        <v>8</v>
      </c>
      <c r="M25" s="324">
        <f t="shared" si="6"/>
        <v>0</v>
      </c>
      <c r="N25" s="315">
        <f t="shared" si="1"/>
        <v>95.4</v>
      </c>
      <c r="O25" s="224">
        <f>MM_Input[[#This Row],[Acres restored to Mountain Meadow]]</f>
        <v>0</v>
      </c>
      <c r="P25" s="246">
        <f t="shared" si="2"/>
        <v>4046.86</v>
      </c>
      <c r="Q25" s="224">
        <f t="shared" si="3"/>
        <v>1000000</v>
      </c>
      <c r="R25" s="325">
        <f t="shared" si="4"/>
        <v>3.6666666666666665</v>
      </c>
      <c r="S25" s="235">
        <f t="shared" si="5"/>
        <v>50</v>
      </c>
      <c r="T25" s="201"/>
      <c r="U25" s="115"/>
      <c r="V25" s="115"/>
      <c r="W25" s="115"/>
    </row>
    <row r="26" spans="2:23" x14ac:dyDescent="0.3">
      <c r="B26" s="99">
        <v>9</v>
      </c>
      <c r="C26" s="155"/>
      <c r="D26" s="124" t="str">
        <f t="shared" si="0"/>
        <v>Optional</v>
      </c>
      <c r="L26" s="309">
        <v>9</v>
      </c>
      <c r="M26" s="324">
        <f t="shared" si="6"/>
        <v>0</v>
      </c>
      <c r="N26" s="315">
        <f t="shared" si="1"/>
        <v>95.4</v>
      </c>
      <c r="O26" s="224">
        <f>MM_Input[[#This Row],[Acres restored to Mountain Meadow]]</f>
        <v>0</v>
      </c>
      <c r="P26" s="246">
        <f t="shared" si="2"/>
        <v>4046.86</v>
      </c>
      <c r="Q26" s="224">
        <f t="shared" si="3"/>
        <v>1000000</v>
      </c>
      <c r="R26" s="325">
        <f t="shared" si="4"/>
        <v>3.6666666666666665</v>
      </c>
      <c r="S26" s="235">
        <f t="shared" si="5"/>
        <v>50</v>
      </c>
      <c r="T26" s="201"/>
      <c r="U26" s="115"/>
      <c r="V26" s="115"/>
      <c r="W26" s="115"/>
    </row>
    <row r="27" spans="2:23" ht="15.75" customHeight="1" x14ac:dyDescent="0.3">
      <c r="B27" s="102">
        <v>10</v>
      </c>
      <c r="C27" s="156"/>
      <c r="D27" s="127" t="str">
        <f t="shared" si="0"/>
        <v>Optional</v>
      </c>
      <c r="L27" s="309">
        <v>10</v>
      </c>
      <c r="M27" s="324">
        <f t="shared" si="6"/>
        <v>0</v>
      </c>
      <c r="N27" s="315">
        <f t="shared" si="1"/>
        <v>95.4</v>
      </c>
      <c r="O27" s="224">
        <f>MM_Input[[#This Row],[Acres restored to Mountain Meadow]]</f>
        <v>0</v>
      </c>
      <c r="P27" s="246">
        <f t="shared" si="2"/>
        <v>4046.86</v>
      </c>
      <c r="Q27" s="224">
        <f t="shared" si="3"/>
        <v>1000000</v>
      </c>
      <c r="R27" s="325">
        <f t="shared" si="4"/>
        <v>3.6666666666666665</v>
      </c>
      <c r="S27" s="235">
        <f t="shared" si="5"/>
        <v>50</v>
      </c>
      <c r="T27" s="202"/>
      <c r="U27" s="115"/>
      <c r="V27" s="115"/>
      <c r="W27" s="115"/>
    </row>
    <row r="28" spans="2:23" x14ac:dyDescent="0.3">
      <c r="L28" s="199" t="s">
        <v>202</v>
      </c>
      <c r="M28" s="324">
        <f>SUM(M18:M27)</f>
        <v>0</v>
      </c>
      <c r="N28" s="326"/>
      <c r="O28" s="224">
        <f>SUM(O18:O27)</f>
        <v>0</v>
      </c>
      <c r="P28" s="327"/>
      <c r="Q28" s="310"/>
      <c r="R28" s="310"/>
      <c r="S28" s="311"/>
      <c r="T28" s="401">
        <f>Trees!$E$41</f>
        <v>0</v>
      </c>
      <c r="U28" s="115"/>
      <c r="V28" s="115"/>
      <c r="W28" s="115"/>
    </row>
    <row r="29" spans="2:23" ht="15.75" customHeight="1" x14ac:dyDescent="0.3">
      <c r="B29" s="51" t="s">
        <v>192</v>
      </c>
      <c r="L29" s="199" t="s">
        <v>203</v>
      </c>
      <c r="M29" s="324">
        <f>M28+T28</f>
        <v>0</v>
      </c>
      <c r="N29" s="328"/>
      <c r="O29" s="313"/>
      <c r="P29" s="312"/>
      <c r="Q29" s="312"/>
      <c r="R29" s="312"/>
      <c r="S29" s="312"/>
      <c r="T29" s="314"/>
      <c r="U29" s="115"/>
      <c r="V29" s="115"/>
      <c r="W29" s="115"/>
    </row>
    <row r="30" spans="2:23" ht="16.5" customHeight="1" thickBot="1" x14ac:dyDescent="0.35">
      <c r="L30" s="3"/>
      <c r="M30" s="3"/>
      <c r="N30" s="3"/>
      <c r="O30" s="3"/>
      <c r="P30" s="115"/>
      <c r="Q30" s="115"/>
      <c r="R30" s="115"/>
      <c r="S30" s="115"/>
      <c r="T30" s="115"/>
      <c r="U30" s="115"/>
      <c r="V30" s="115"/>
      <c r="W30" s="115"/>
    </row>
    <row r="31" spans="2:23" ht="18.75" customHeight="1" x14ac:dyDescent="0.3">
      <c r="B31" s="407" t="str">
        <f>"Greenhouse Gas Benefit from "&amp;B4&amp;" Restoration"</f>
        <v>Greenhouse Gas Benefit from Mountain Meadow Restoration</v>
      </c>
      <c r="C31" s="402"/>
      <c r="D31" s="402"/>
      <c r="E31" s="402"/>
      <c r="F31" s="402"/>
      <c r="G31" s="402"/>
      <c r="H31" s="402"/>
      <c r="I31" s="403">
        <f>($B$4=ProjectType)*M29</f>
        <v>0</v>
      </c>
      <c r="J31" s="105" t="s">
        <v>184</v>
      </c>
      <c r="L31" s="213" t="s">
        <v>55</v>
      </c>
      <c r="M31" s="281" t="s">
        <v>57</v>
      </c>
      <c r="N31" s="281" t="s">
        <v>153</v>
      </c>
      <c r="O31" s="316" t="s">
        <v>154</v>
      </c>
      <c r="P31" s="317"/>
      <c r="Q31" s="317"/>
      <c r="R31" s="317"/>
      <c r="S31" s="317"/>
      <c r="T31" s="317"/>
      <c r="U31" s="317"/>
      <c r="V31" s="317"/>
      <c r="W31" s="317"/>
    </row>
    <row r="32" spans="2:23" ht="15.75" customHeight="1" x14ac:dyDescent="0.35">
      <c r="B32" s="408" t="str">
        <f>"Land Restoration Co-Benefit from "&amp;B4&amp;" Restoration"</f>
        <v>Land Restoration Co-Benefit from Mountain Meadow Restoration</v>
      </c>
      <c r="C32" s="404"/>
      <c r="D32" s="404"/>
      <c r="E32" s="404"/>
      <c r="F32" s="404"/>
      <c r="G32" s="404"/>
      <c r="H32" s="404"/>
      <c r="I32" s="405">
        <f>($B$4=ProjectType)*O28</f>
        <v>0</v>
      </c>
      <c r="J32" s="409" t="s">
        <v>185</v>
      </c>
      <c r="L32" s="273" t="s">
        <v>335</v>
      </c>
      <c r="M32" s="285"/>
      <c r="N32" s="285" t="s">
        <v>155</v>
      </c>
      <c r="O32" s="286" t="s">
        <v>331</v>
      </c>
      <c r="P32" s="291"/>
      <c r="Q32" s="291"/>
      <c r="R32" s="291"/>
      <c r="S32" s="291"/>
      <c r="T32" s="291"/>
      <c r="U32" s="291"/>
      <c r="V32" s="291"/>
      <c r="W32" s="291"/>
    </row>
    <row r="33" spans="2:23" ht="15.75" customHeight="1" x14ac:dyDescent="0.3">
      <c r="B33" s="408" t="str">
        <f>IF(I33=0,"NO TREES PLANTED", "Trees Planted")</f>
        <v>NO TREES PLANTED</v>
      </c>
      <c r="C33" s="406"/>
      <c r="D33" s="406"/>
      <c r="E33" s="406"/>
      <c r="F33" s="406"/>
      <c r="G33" s="406"/>
      <c r="H33" s="406"/>
      <c r="I33" s="405">
        <f>($B$4=ProjectType)*Trees!$C$41</f>
        <v>0</v>
      </c>
      <c r="J33" s="410" t="s">
        <v>187</v>
      </c>
      <c r="L33" s="318">
        <v>95.4</v>
      </c>
      <c r="M33" s="285">
        <v>95.4</v>
      </c>
      <c r="N33" s="285" t="s">
        <v>159</v>
      </c>
      <c r="O33" s="286" t="s">
        <v>339</v>
      </c>
      <c r="P33" s="291"/>
      <c r="Q33" s="291"/>
      <c r="R33" s="291"/>
      <c r="S33" s="291"/>
      <c r="T33" s="291"/>
      <c r="U33" s="291"/>
      <c r="V33" s="291"/>
      <c r="W33" s="291"/>
    </row>
    <row r="34" spans="2:23" ht="18.75" customHeight="1" x14ac:dyDescent="0.35">
      <c r="B34" s="408" t="s">
        <v>190</v>
      </c>
      <c r="C34" s="406"/>
      <c r="D34" s="406"/>
      <c r="E34" s="406"/>
      <c r="F34" s="406"/>
      <c r="G34" s="406"/>
      <c r="H34" s="406"/>
      <c r="I34" s="405">
        <f>($B$4=ProjectType)*Trees!$G$41</f>
        <v>0</v>
      </c>
      <c r="J34" s="410" t="s">
        <v>188</v>
      </c>
      <c r="L34" s="273" t="s">
        <v>337</v>
      </c>
      <c r="M34" s="285"/>
      <c r="N34" s="285" t="s">
        <v>44</v>
      </c>
      <c r="O34" s="286" t="s">
        <v>332</v>
      </c>
      <c r="P34" s="291"/>
      <c r="Q34" s="291"/>
      <c r="R34" s="291"/>
      <c r="S34" s="291"/>
      <c r="T34" s="291"/>
      <c r="U34" s="291"/>
      <c r="V34" s="291"/>
      <c r="W34" s="291"/>
    </row>
    <row r="35" spans="2:23" ht="18.600000000000001" thickBot="1" x14ac:dyDescent="0.35">
      <c r="B35" s="411" t="s">
        <v>191</v>
      </c>
      <c r="C35" s="412"/>
      <c r="D35" s="412"/>
      <c r="E35" s="412"/>
      <c r="F35" s="412"/>
      <c r="G35" s="412"/>
      <c r="H35" s="412"/>
      <c r="I35" s="413">
        <f>($B$4=ProjectType)*Trees!$I$41</f>
        <v>0</v>
      </c>
      <c r="J35" s="414" t="s">
        <v>189</v>
      </c>
      <c r="L35" s="275" t="s">
        <v>338</v>
      </c>
      <c r="M35" s="285">
        <v>4046.86</v>
      </c>
      <c r="N35" s="285" t="s">
        <v>176</v>
      </c>
      <c r="O35" s="286" t="s">
        <v>294</v>
      </c>
      <c r="P35" s="291"/>
      <c r="Q35" s="291"/>
      <c r="R35" s="291"/>
      <c r="S35" s="291"/>
      <c r="T35" s="291"/>
      <c r="U35" s="291"/>
      <c r="V35" s="291"/>
      <c r="W35" s="291"/>
    </row>
    <row r="36" spans="2:23" x14ac:dyDescent="0.3">
      <c r="L36" s="275" t="s">
        <v>251</v>
      </c>
      <c r="M36" s="285">
        <v>1000000</v>
      </c>
      <c r="N36" s="285" t="s">
        <v>176</v>
      </c>
      <c r="O36" s="286" t="s">
        <v>333</v>
      </c>
      <c r="P36" s="291"/>
      <c r="Q36" s="291"/>
      <c r="R36" s="291"/>
      <c r="S36" s="291"/>
      <c r="T36" s="291"/>
      <c r="U36" s="291"/>
      <c r="V36" s="291"/>
      <c r="W36" s="291"/>
    </row>
    <row r="37" spans="2:23" x14ac:dyDescent="0.3">
      <c r="L37" s="275" t="s">
        <v>236</v>
      </c>
      <c r="M37" s="331">
        <f>44/12</f>
        <v>3.6666666666666665</v>
      </c>
      <c r="N37" s="285" t="s">
        <v>176</v>
      </c>
      <c r="O37" s="286" t="s">
        <v>334</v>
      </c>
      <c r="P37" s="291"/>
      <c r="Q37" s="291"/>
      <c r="R37" s="291"/>
      <c r="S37" s="291"/>
      <c r="T37" s="291"/>
      <c r="U37" s="291"/>
      <c r="V37" s="291"/>
      <c r="W37" s="291"/>
    </row>
    <row r="38" spans="2:23" x14ac:dyDescent="0.3">
      <c r="L38" s="275" t="s">
        <v>237</v>
      </c>
      <c r="M38" s="285">
        <v>50</v>
      </c>
      <c r="N38" s="285" t="s">
        <v>159</v>
      </c>
      <c r="O38" s="332" t="s">
        <v>163</v>
      </c>
      <c r="P38" s="333"/>
      <c r="Q38" s="333"/>
      <c r="R38" s="333"/>
      <c r="S38" s="333"/>
      <c r="T38" s="333"/>
      <c r="U38" s="333"/>
      <c r="V38" s="333"/>
      <c r="W38" s="333"/>
    </row>
    <row r="39" spans="2:23" ht="16.2" x14ac:dyDescent="0.35">
      <c r="L39" s="273" t="s">
        <v>276</v>
      </c>
      <c r="M39" s="287"/>
      <c r="N39" s="286" t="s">
        <v>278</v>
      </c>
      <c r="O39" s="286" t="s">
        <v>299</v>
      </c>
      <c r="P39" s="330"/>
      <c r="Q39" s="330"/>
      <c r="R39" s="330"/>
      <c r="S39" s="330"/>
      <c r="T39" s="330"/>
      <c r="U39" s="330"/>
      <c r="V39" s="330"/>
      <c r="W39" s="330"/>
    </row>
    <row r="40" spans="2:23" x14ac:dyDescent="0.3">
      <c r="P40" s="154"/>
      <c r="Q40" s="154"/>
      <c r="R40" s="154"/>
      <c r="S40" s="154"/>
      <c r="T40" s="154"/>
      <c r="U40" s="154"/>
      <c r="V40" s="154"/>
      <c r="W40" s="154"/>
    </row>
  </sheetData>
  <sheetProtection algorithmName="SHA-512" hashValue="yzWXInKYRD+SVwwOZkdImlv2jg/J1Pe+tXulcMCYWAKqk3lIkGOxi2RkhYojTPQf572BAYU7fgENDW3HhALn5Q==" saltValue="j4jynmge0kmTW3dVCfLAHA==" spinCount="100000" sheet="1" objects="1" scenarios="1"/>
  <conditionalFormatting sqref="C18:C27">
    <cfRule type="expression" dxfId="98" priority="8">
      <formula>D18="Optional"</formula>
    </cfRule>
  </conditionalFormatting>
  <conditionalFormatting sqref="D18:D27">
    <cfRule type="expression" dxfId="97" priority="7">
      <formula>D18="Optional"</formula>
    </cfRule>
  </conditionalFormatting>
  <conditionalFormatting sqref="B17:D27">
    <cfRule type="expression" dxfId="96" priority="6">
      <formula>NOT($B$13="")</formula>
    </cfRule>
  </conditionalFormatting>
  <conditionalFormatting sqref="B31:J32 B33:H35 J33:J35">
    <cfRule type="expression" dxfId="95" priority="3">
      <formula>NOT($B$13="")</formula>
    </cfRule>
  </conditionalFormatting>
  <conditionalFormatting sqref="I33:I35">
    <cfRule type="expression" dxfId="94" priority="1">
      <formula>NOT($B$13="")</formula>
    </cfRule>
  </conditionalFormatting>
  <dataValidations count="1">
    <dataValidation type="decimal" operator="greaterThan" allowBlank="1" showInputMessage="1" showErrorMessage="1" sqref="C18:C27" xr:uid="{00000000-0002-0000-0500-000000000000}">
      <formula1>0</formula1>
    </dataValidation>
  </dataValidations>
  <hyperlinks>
    <hyperlink ref="B10" r:id="rId1" tooltip="Link to Land Restoration Benefits Tool User Guide" xr:uid="{00000000-0004-0000-0500-000000000000}"/>
  </hyperlinks>
  <pageMargins left="0.7" right="0.7" top="0.75" bottom="0.75" header="0.3" footer="0.3"/>
  <pageSetup orientation="portrait" r:id="rId2"/>
  <ignoredErrors>
    <ignoredError sqref="L35:L38" numberStoredAsText="1"/>
  </ignoredErrors>
  <drawing r:id="rId3"/>
  <legacyDrawing r:id="rId4"/>
  <tableParts count="1">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B1:AP115"/>
  <sheetViews>
    <sheetView showGridLines="0" zoomScaleNormal="100" workbookViewId="0"/>
  </sheetViews>
  <sheetFormatPr defaultColWidth="9.109375" defaultRowHeight="15.6" x14ac:dyDescent="0.3"/>
  <cols>
    <col min="1" max="1" width="2.88671875" style="2" customWidth="1"/>
    <col min="2" max="2" width="9.33203125" style="2" customWidth="1"/>
    <col min="3" max="3" width="19.88671875" style="2" customWidth="1"/>
    <col min="4" max="4" width="11.44140625" style="5" customWidth="1"/>
    <col min="5" max="5" width="19" style="2" customWidth="1"/>
    <col min="6" max="6" width="11.44140625" style="5" customWidth="1"/>
    <col min="7" max="7" width="16" style="2" customWidth="1"/>
    <col min="8" max="8" width="11.44140625" style="2" customWidth="1"/>
    <col min="9" max="9" width="14.5546875" style="2" customWidth="1"/>
    <col min="10" max="10" width="13.109375" style="2" customWidth="1"/>
    <col min="11" max="11" width="16.33203125" style="2" customWidth="1"/>
    <col min="12" max="12" width="11.44140625" style="2" customWidth="1"/>
    <col min="13" max="13" width="16.44140625" style="2" customWidth="1"/>
    <col min="14" max="14" width="11.44140625" style="2" customWidth="1"/>
    <col min="15" max="15" width="12.109375" style="2" customWidth="1"/>
    <col min="16" max="16" width="10.88671875" style="2" customWidth="1"/>
    <col min="17" max="17" width="20.109375" style="2" customWidth="1"/>
    <col min="18" max="18" width="10.6640625" style="2" hidden="1" customWidth="1"/>
    <col min="19" max="19" width="11.33203125" style="2" hidden="1" customWidth="1"/>
    <col min="20" max="20" width="10.6640625" style="2" hidden="1" customWidth="1"/>
    <col min="21" max="21" width="12" style="2" hidden="1" customWidth="1"/>
    <col min="22" max="22" width="10.88671875" style="2" hidden="1" customWidth="1"/>
    <col min="23" max="33" width="0" style="2" hidden="1" customWidth="1"/>
    <col min="34" max="34" width="12.6640625" style="2" hidden="1" customWidth="1"/>
    <col min="35" max="39" width="0" style="2" hidden="1" customWidth="1"/>
    <col min="40" max="40" width="13.109375" style="2" hidden="1" customWidth="1"/>
    <col min="41" max="41" width="24.88671875" style="2" hidden="1" customWidth="1"/>
    <col min="42" max="42" width="0" style="2" hidden="1" customWidth="1"/>
    <col min="43" max="16384" width="9.109375" style="2"/>
  </cols>
  <sheetData>
    <row r="1" spans="2:32" ht="21" x14ac:dyDescent="0.4">
      <c r="B1" s="140" t="str">
        <f>'Read Me'!B1</f>
        <v>California Air Resources Board</v>
      </c>
      <c r="C1" s="36"/>
      <c r="D1" s="39"/>
      <c r="E1" s="36"/>
      <c r="F1" s="39"/>
      <c r="G1" s="36"/>
      <c r="H1" s="36"/>
      <c r="I1" s="36"/>
    </row>
    <row r="2" spans="2:32" ht="21" x14ac:dyDescent="0.4">
      <c r="B2" s="140"/>
      <c r="C2" s="36"/>
      <c r="D2" s="39"/>
      <c r="E2" s="36"/>
      <c r="F2" s="39"/>
      <c r="G2" s="36"/>
      <c r="H2" s="36"/>
      <c r="I2" s="36"/>
    </row>
    <row r="3" spans="2:32" ht="21" x14ac:dyDescent="0.4">
      <c r="B3" s="140" t="str">
        <f>'Read Me'!B3</f>
        <v>Revised Draft Benefits Calculator Tool</v>
      </c>
      <c r="C3" s="36"/>
      <c r="D3" s="39"/>
      <c r="E3" s="36"/>
      <c r="F3" s="39"/>
      <c r="G3" s="36"/>
      <c r="H3" s="36"/>
      <c r="I3" s="36"/>
    </row>
    <row r="4" spans="2:32" ht="21" x14ac:dyDescent="0.4">
      <c r="B4" s="140" t="str">
        <f>SIW</f>
        <v>Seasonal Inland Wetland</v>
      </c>
      <c r="C4" s="36"/>
      <c r="D4" s="39"/>
      <c r="E4" s="36"/>
      <c r="F4" s="39"/>
      <c r="G4" s="36"/>
      <c r="H4" s="36"/>
      <c r="I4" s="36"/>
    </row>
    <row r="5" spans="2:32" ht="21" x14ac:dyDescent="0.4">
      <c r="B5" s="140"/>
      <c r="C5" s="36"/>
      <c r="D5" s="39"/>
      <c r="E5" s="36"/>
      <c r="F5" s="39"/>
      <c r="G5" s="36"/>
      <c r="H5" s="36"/>
      <c r="I5" s="36"/>
    </row>
    <row r="6" spans="2:32" ht="21" x14ac:dyDescent="0.4">
      <c r="B6" s="140" t="str">
        <f>'Read Me'!B6</f>
        <v xml:space="preserve">California Climate Investments </v>
      </c>
      <c r="C6" s="36"/>
      <c r="D6" s="39"/>
      <c r="E6" s="36"/>
      <c r="F6" s="39"/>
      <c r="G6" s="36"/>
      <c r="H6" s="36"/>
      <c r="I6" s="36"/>
    </row>
    <row r="8" spans="2:32" ht="16.2" thickBot="1" x14ac:dyDescent="0.35">
      <c r="B8" s="1" t="s">
        <v>8</v>
      </c>
      <c r="F8" s="7"/>
      <c r="G8" s="3"/>
      <c r="H8" s="3"/>
      <c r="I8" s="3"/>
      <c r="J8" s="3"/>
    </row>
    <row r="9" spans="2:32" ht="15" customHeight="1" x14ac:dyDescent="0.3">
      <c r="B9" s="580" t="s">
        <v>114</v>
      </c>
      <c r="C9" s="581"/>
      <c r="D9" s="582"/>
      <c r="E9" s="581"/>
      <c r="F9" s="582"/>
      <c r="G9" s="581"/>
      <c r="H9" s="581"/>
      <c r="I9" s="583"/>
      <c r="L9" s="146" t="s">
        <v>27</v>
      </c>
      <c r="M9" s="147"/>
      <c r="N9" s="147"/>
      <c r="O9" s="147"/>
      <c r="P9" s="148"/>
    </row>
    <row r="10" spans="2:32" ht="15" customHeight="1" x14ac:dyDescent="0.3">
      <c r="B10" s="613" t="s">
        <v>539</v>
      </c>
      <c r="C10" s="584"/>
      <c r="D10" s="585"/>
      <c r="E10" s="584"/>
      <c r="F10" s="585"/>
      <c r="G10" s="584"/>
      <c r="H10" s="584"/>
      <c r="I10" s="586"/>
      <c r="L10" s="136" t="s">
        <v>18</v>
      </c>
      <c r="M10" s="63" t="s">
        <v>22</v>
      </c>
      <c r="N10" s="63"/>
      <c r="O10" s="63"/>
      <c r="P10" s="64"/>
    </row>
    <row r="11" spans="2:32" ht="15" customHeight="1" x14ac:dyDescent="0.3">
      <c r="B11" s="587" t="s">
        <v>535</v>
      </c>
      <c r="C11" s="584"/>
      <c r="D11" s="585"/>
      <c r="E11" s="584"/>
      <c r="F11" s="585"/>
      <c r="G11" s="584"/>
      <c r="H11" s="584"/>
      <c r="I11" s="586"/>
      <c r="L11" s="137" t="s">
        <v>19</v>
      </c>
      <c r="M11" s="63" t="s">
        <v>23</v>
      </c>
      <c r="N11" s="63"/>
      <c r="O11" s="63"/>
      <c r="P11" s="64"/>
    </row>
    <row r="12" spans="2:32" ht="15" customHeight="1" x14ac:dyDescent="0.3">
      <c r="B12" s="588" t="s">
        <v>106</v>
      </c>
      <c r="C12" s="589"/>
      <c r="D12" s="590"/>
      <c r="E12" s="589"/>
      <c r="F12" s="590"/>
      <c r="G12" s="589"/>
      <c r="H12" s="589"/>
      <c r="I12" s="591"/>
      <c r="L12" s="138" t="s">
        <v>20</v>
      </c>
      <c r="M12" s="63" t="s">
        <v>26</v>
      </c>
      <c r="N12" s="63"/>
      <c r="O12" s="63"/>
      <c r="P12" s="64"/>
    </row>
    <row r="13" spans="2:32" ht="15" customHeight="1" thickBot="1" x14ac:dyDescent="0.35">
      <c r="B13" s="47"/>
      <c r="C13" s="47"/>
      <c r="D13" s="47"/>
      <c r="E13" s="47"/>
      <c r="F13" s="47"/>
      <c r="G13" s="47"/>
      <c r="H13" s="47"/>
      <c r="I13" s="47"/>
      <c r="L13" s="139" t="s">
        <v>21</v>
      </c>
      <c r="M13" s="67" t="s">
        <v>25</v>
      </c>
      <c r="N13" s="67"/>
      <c r="O13" s="67"/>
      <c r="P13" s="68"/>
    </row>
    <row r="14" spans="2:32" ht="15" customHeight="1" x14ac:dyDescent="0.3">
      <c r="B14" s="592" t="str">
        <f>"This worksheet is for calculating the GHG benefit for "&amp;B4&amp;"."</f>
        <v>This worksheet is for calculating the GHG benefit for Seasonal Inland Wetland.</v>
      </c>
      <c r="C14" s="593"/>
      <c r="D14" s="593"/>
      <c r="E14" s="593"/>
      <c r="F14" s="593"/>
      <c r="G14" s="593"/>
      <c r="H14" s="593"/>
      <c r="I14" s="594"/>
      <c r="L14" s="70" t="s">
        <v>24</v>
      </c>
      <c r="M14" s="72"/>
      <c r="N14" s="72"/>
      <c r="O14" s="72"/>
      <c r="P14" s="72"/>
    </row>
    <row r="15" spans="2:32" ht="15" customHeight="1" x14ac:dyDescent="0.3">
      <c r="B15" s="595" t="str">
        <f>IF(ProjectType=B4,"","DO NOT USE THIS WORKSHEET FOR THE SELECTED TYPE IN THE PROJECT INFO WORKSHEET.")</f>
        <v>DO NOT USE THIS WORKSHEET FOR THE SELECTED TYPE IN THE PROJECT INFO WORKSHEET.</v>
      </c>
      <c r="C15" s="596"/>
      <c r="D15" s="596"/>
      <c r="E15" s="596"/>
      <c r="F15" s="596"/>
      <c r="G15" s="596"/>
      <c r="H15" s="596"/>
      <c r="I15" s="597"/>
      <c r="R15" s="334"/>
      <c r="S15" s="334"/>
      <c r="T15" s="334"/>
      <c r="U15" s="334"/>
      <c r="V15" s="334"/>
      <c r="W15" s="334"/>
      <c r="X15" s="335"/>
      <c r="Y15" s="335"/>
      <c r="Z15" s="335"/>
      <c r="AA15" s="335"/>
      <c r="AB15" s="335"/>
      <c r="AC15" s="335"/>
      <c r="AD15" s="335"/>
      <c r="AE15" s="335"/>
      <c r="AF15" s="335"/>
    </row>
    <row r="16" spans="2:32" ht="15" customHeight="1" x14ac:dyDescent="0.3">
      <c r="D16" s="2"/>
      <c r="F16" s="2"/>
      <c r="R16" s="336" t="s">
        <v>340</v>
      </c>
      <c r="S16" s="337"/>
      <c r="T16" s="336"/>
      <c r="U16" s="336"/>
      <c r="V16" s="336"/>
      <c r="W16" s="336"/>
      <c r="X16" s="335"/>
      <c r="Y16" s="335"/>
      <c r="Z16" s="335"/>
      <c r="AA16" s="335"/>
      <c r="AB16" s="335"/>
      <c r="AC16" s="335"/>
      <c r="AD16" s="335"/>
      <c r="AE16" s="335"/>
      <c r="AF16" s="335"/>
    </row>
    <row r="17" spans="2:32" ht="15" customHeight="1" x14ac:dyDescent="0.3">
      <c r="B17" s="51" t="s">
        <v>50</v>
      </c>
      <c r="C17" s="4"/>
      <c r="D17" s="6"/>
      <c r="E17" s="4"/>
      <c r="F17" s="6"/>
      <c r="G17" s="4"/>
      <c r="H17" s="4"/>
      <c r="I17" s="4"/>
      <c r="J17" s="4"/>
      <c r="K17" s="3"/>
      <c r="R17" s="336"/>
      <c r="S17" s="336"/>
      <c r="T17" s="336"/>
      <c r="U17" s="336"/>
      <c r="V17" s="336"/>
      <c r="W17" s="336"/>
      <c r="X17" s="335"/>
      <c r="Y17" s="335"/>
      <c r="Z17" s="335"/>
      <c r="AA17" s="335"/>
      <c r="AB17" s="335"/>
      <c r="AC17" s="335"/>
      <c r="AD17" s="335"/>
      <c r="AE17" s="335"/>
      <c r="AF17" s="335"/>
    </row>
    <row r="18" spans="2:32" ht="16.2" x14ac:dyDescent="0.35">
      <c r="R18" s="393" t="s">
        <v>76</v>
      </c>
      <c r="S18" s="373" t="s">
        <v>343</v>
      </c>
      <c r="T18" s="373" t="s">
        <v>344</v>
      </c>
      <c r="U18" s="273" t="s">
        <v>271</v>
      </c>
      <c r="V18" s="374" t="s">
        <v>275</v>
      </c>
      <c r="W18" s="273" t="s">
        <v>345</v>
      </c>
      <c r="X18" s="374" t="s">
        <v>272</v>
      </c>
      <c r="Y18" s="374" t="s">
        <v>237</v>
      </c>
      <c r="Z18" s="273" t="s">
        <v>276</v>
      </c>
      <c r="AA18" s="335"/>
      <c r="AB18" s="335"/>
      <c r="AC18" s="335"/>
      <c r="AD18" s="335"/>
      <c r="AE18" s="335"/>
      <c r="AF18" s="335"/>
    </row>
    <row r="19" spans="2:32" ht="82.5" customHeight="1" thickBot="1" x14ac:dyDescent="0.35">
      <c r="B19" s="558" t="s">
        <v>77</v>
      </c>
      <c r="C19" s="118" t="s">
        <v>116</v>
      </c>
      <c r="D19" s="9" t="s">
        <v>82</v>
      </c>
      <c r="E19" s="118" t="s">
        <v>115</v>
      </c>
      <c r="F19" s="9" t="s">
        <v>84</v>
      </c>
      <c r="G19" s="118" t="s">
        <v>98</v>
      </c>
      <c r="H19" s="9" t="s">
        <v>85</v>
      </c>
      <c r="I19" s="118" t="s">
        <v>127</v>
      </c>
      <c r="J19" s="570" t="s">
        <v>132</v>
      </c>
      <c r="K19" s="118" t="s">
        <v>99</v>
      </c>
      <c r="L19" s="9" t="s">
        <v>87</v>
      </c>
      <c r="M19" s="118" t="s">
        <v>100</v>
      </c>
      <c r="N19" s="9" t="s">
        <v>89</v>
      </c>
      <c r="O19" s="118" t="s">
        <v>73</v>
      </c>
      <c r="P19" s="8" t="s">
        <v>90</v>
      </c>
      <c r="Q19" s="150"/>
      <c r="R19" s="578"/>
      <c r="S19" s="197" t="s">
        <v>196</v>
      </c>
      <c r="T19" s="197" t="s">
        <v>196</v>
      </c>
      <c r="U19" s="197" t="s">
        <v>215</v>
      </c>
      <c r="V19" s="197" t="s">
        <v>306</v>
      </c>
      <c r="W19" s="197" t="s">
        <v>198</v>
      </c>
      <c r="X19" s="197" t="s">
        <v>199</v>
      </c>
      <c r="Y19" s="338" t="s">
        <v>330</v>
      </c>
      <c r="Z19" s="197" t="s">
        <v>196</v>
      </c>
      <c r="AA19" s="335"/>
      <c r="AB19" s="335"/>
      <c r="AC19" s="335"/>
      <c r="AD19" s="335"/>
      <c r="AE19" s="335"/>
      <c r="AF19" s="335"/>
    </row>
    <row r="20" spans="2:32" ht="16.2" thickTop="1" x14ac:dyDescent="0.3">
      <c r="B20" s="559">
        <v>1</v>
      </c>
      <c r="C20" s="155"/>
      <c r="D20" s="120" t="str">
        <f t="shared" ref="D20:D29" si="0">IF(ISBLANK(C20),IF(SUM(C20,E20,G20,K20,M20)&gt;0,"Required","Optional"),"acres")</f>
        <v>Optional</v>
      </c>
      <c r="E20" s="155"/>
      <c r="F20" s="120" t="str">
        <f t="shared" ref="F20:F29" si="1">IF(ISBLANK(E20),IF(SUM(C20,E20,G20,K20,M20)&gt;0,"Required","Optional"),"acres")</f>
        <v>Optional</v>
      </c>
      <c r="G20" s="155"/>
      <c r="H20" s="120" t="str">
        <f t="shared" ref="H20:H29" si="2">IF(ISBLANK(G20),IF(SUM(C20,E20,G20,K20,M20)&gt;0,"Required","Optional"),"acres")</f>
        <v>Optional</v>
      </c>
      <c r="I20" s="177"/>
      <c r="J20" s="562" t="str">
        <f t="shared" ref="J20:J29" si="3">IF(ISBLANK(I20),IF(G20&gt;0,"Optional","N/A"),"lb-N/acre-yr")</f>
        <v>N/A</v>
      </c>
      <c r="K20" s="155"/>
      <c r="L20" s="120" t="str">
        <f t="shared" ref="L20:L29" si="4">IF(ISBLANK(K20),IF(SUM(C20,E20,G20,K20,M20)&gt;0,"Required","Optional"),"acres")</f>
        <v>Optional</v>
      </c>
      <c r="M20" s="155"/>
      <c r="N20" s="120" t="str">
        <f t="shared" ref="N20:N29" si="5">IF(ISBLANK(M20),IF(SUM(C20,E20,G20,K20,M20)&gt;0,"Required","Optional"),"acres")</f>
        <v>Optional</v>
      </c>
      <c r="O20" s="159"/>
      <c r="P20" s="124" t="str">
        <f t="shared" ref="P20:P29" si="6">IF(ISBLANK(O20),IF(SUM(C20,E20,G20,K20,M20)&gt;0,"Required","N/A"),"")</f>
        <v>N/A</v>
      </c>
      <c r="R20" s="339">
        <v>1</v>
      </c>
      <c r="S20" s="340">
        <f>IFERROR(T20+(U20*V20-W20*X20)*Y20,0)</f>
        <v>0</v>
      </c>
      <c r="T20" s="340">
        <f t="shared" ref="T20:T29" si="7">S40</f>
        <v>0</v>
      </c>
      <c r="U20" s="341">
        <f t="shared" ref="U20:U29" si="8">S56</f>
        <v>0</v>
      </c>
      <c r="V20" s="342">
        <f t="shared" ref="V20:V29" si="9">$T$88</f>
        <v>298</v>
      </c>
      <c r="W20" s="341">
        <f t="shared" ref="W20:W29" si="10">S72</f>
        <v>0</v>
      </c>
      <c r="X20" s="343">
        <f t="shared" ref="X20:X29" si="11">$T$90</f>
        <v>25</v>
      </c>
      <c r="Y20" s="344">
        <f t="shared" ref="Y20:Y29" si="12">$T$91</f>
        <v>50</v>
      </c>
      <c r="Z20" s="200"/>
      <c r="AA20" s="335"/>
      <c r="AB20" s="335"/>
      <c r="AC20" s="335"/>
      <c r="AD20" s="335"/>
      <c r="AE20" s="335"/>
      <c r="AF20" s="335"/>
    </row>
    <row r="21" spans="2:32" x14ac:dyDescent="0.3">
      <c r="B21" s="560">
        <v>2</v>
      </c>
      <c r="C21" s="155"/>
      <c r="D21" s="121" t="str">
        <f t="shared" si="0"/>
        <v>Optional</v>
      </c>
      <c r="E21" s="157"/>
      <c r="F21" s="121" t="str">
        <f t="shared" si="1"/>
        <v>Optional</v>
      </c>
      <c r="G21" s="155"/>
      <c r="H21" s="120" t="str">
        <f t="shared" si="2"/>
        <v>Optional</v>
      </c>
      <c r="I21" s="177"/>
      <c r="J21" s="562" t="str">
        <f t="shared" si="3"/>
        <v>N/A</v>
      </c>
      <c r="K21" s="155"/>
      <c r="L21" s="120" t="str">
        <f t="shared" si="4"/>
        <v>Optional</v>
      </c>
      <c r="M21" s="155"/>
      <c r="N21" s="120" t="str">
        <f t="shared" si="5"/>
        <v>Optional</v>
      </c>
      <c r="O21" s="159"/>
      <c r="P21" s="125" t="str">
        <f t="shared" si="6"/>
        <v>N/A</v>
      </c>
      <c r="R21" s="339">
        <v>2</v>
      </c>
      <c r="S21" s="340">
        <f t="shared" ref="S21:S29" si="13">IFERROR(T21+(U21*V21-W21*X21)*Y21,0)</f>
        <v>0</v>
      </c>
      <c r="T21" s="340">
        <f t="shared" si="7"/>
        <v>0</v>
      </c>
      <c r="U21" s="341">
        <f t="shared" si="8"/>
        <v>0</v>
      </c>
      <c r="V21" s="342">
        <f t="shared" si="9"/>
        <v>298</v>
      </c>
      <c r="W21" s="341">
        <f t="shared" si="10"/>
        <v>0</v>
      </c>
      <c r="X21" s="343">
        <f t="shared" si="11"/>
        <v>25</v>
      </c>
      <c r="Y21" s="344">
        <f t="shared" si="12"/>
        <v>50</v>
      </c>
      <c r="Z21" s="201"/>
      <c r="AA21" s="335"/>
      <c r="AB21" s="335"/>
      <c r="AC21" s="335"/>
      <c r="AD21" s="335"/>
      <c r="AE21" s="335"/>
      <c r="AF21" s="335"/>
    </row>
    <row r="22" spans="2:32" x14ac:dyDescent="0.3">
      <c r="B22" s="560">
        <v>3</v>
      </c>
      <c r="C22" s="155"/>
      <c r="D22" s="121" t="str">
        <f t="shared" si="0"/>
        <v>Optional</v>
      </c>
      <c r="E22" s="157"/>
      <c r="F22" s="121" t="str">
        <f t="shared" si="1"/>
        <v>Optional</v>
      </c>
      <c r="G22" s="155"/>
      <c r="H22" s="120" t="str">
        <f t="shared" si="2"/>
        <v>Optional</v>
      </c>
      <c r="I22" s="177"/>
      <c r="J22" s="562" t="str">
        <f t="shared" si="3"/>
        <v>N/A</v>
      </c>
      <c r="K22" s="155"/>
      <c r="L22" s="120" t="str">
        <f t="shared" si="4"/>
        <v>Optional</v>
      </c>
      <c r="M22" s="155"/>
      <c r="N22" s="120" t="str">
        <f t="shared" si="5"/>
        <v>Optional</v>
      </c>
      <c r="O22" s="159"/>
      <c r="P22" s="125" t="str">
        <f t="shared" si="6"/>
        <v>N/A</v>
      </c>
      <c r="R22" s="345">
        <v>3</v>
      </c>
      <c r="S22" s="340">
        <f t="shared" si="13"/>
        <v>0</v>
      </c>
      <c r="T22" s="340">
        <f t="shared" si="7"/>
        <v>0</v>
      </c>
      <c r="U22" s="341">
        <f t="shared" si="8"/>
        <v>0</v>
      </c>
      <c r="V22" s="342">
        <f t="shared" si="9"/>
        <v>298</v>
      </c>
      <c r="W22" s="341">
        <f t="shared" si="10"/>
        <v>0</v>
      </c>
      <c r="X22" s="343">
        <f t="shared" si="11"/>
        <v>25</v>
      </c>
      <c r="Y22" s="344">
        <f t="shared" si="12"/>
        <v>50</v>
      </c>
      <c r="Z22" s="201"/>
      <c r="AA22" s="335"/>
      <c r="AB22" s="335"/>
      <c r="AC22" s="335"/>
      <c r="AD22" s="335"/>
      <c r="AE22" s="335"/>
      <c r="AF22" s="335"/>
    </row>
    <row r="23" spans="2:32" x14ac:dyDescent="0.3">
      <c r="B23" s="560">
        <v>4</v>
      </c>
      <c r="C23" s="155"/>
      <c r="D23" s="121" t="str">
        <f t="shared" si="0"/>
        <v>Optional</v>
      </c>
      <c r="E23" s="157"/>
      <c r="F23" s="121" t="str">
        <f t="shared" si="1"/>
        <v>Optional</v>
      </c>
      <c r="G23" s="155"/>
      <c r="H23" s="120" t="str">
        <f t="shared" si="2"/>
        <v>Optional</v>
      </c>
      <c r="I23" s="177"/>
      <c r="J23" s="562" t="str">
        <f t="shared" si="3"/>
        <v>N/A</v>
      </c>
      <c r="K23" s="155"/>
      <c r="L23" s="120" t="str">
        <f t="shared" si="4"/>
        <v>Optional</v>
      </c>
      <c r="M23" s="155"/>
      <c r="N23" s="120" t="str">
        <f t="shared" si="5"/>
        <v>Optional</v>
      </c>
      <c r="O23" s="159"/>
      <c r="P23" s="125" t="str">
        <f t="shared" si="6"/>
        <v>N/A</v>
      </c>
      <c r="R23" s="339">
        <v>4</v>
      </c>
      <c r="S23" s="340">
        <f t="shared" si="13"/>
        <v>0</v>
      </c>
      <c r="T23" s="340">
        <f t="shared" si="7"/>
        <v>0</v>
      </c>
      <c r="U23" s="341">
        <f t="shared" si="8"/>
        <v>0</v>
      </c>
      <c r="V23" s="342">
        <f t="shared" si="9"/>
        <v>298</v>
      </c>
      <c r="W23" s="341">
        <f t="shared" si="10"/>
        <v>0</v>
      </c>
      <c r="X23" s="343">
        <f t="shared" si="11"/>
        <v>25</v>
      </c>
      <c r="Y23" s="344">
        <f t="shared" si="12"/>
        <v>50</v>
      </c>
      <c r="Z23" s="201"/>
      <c r="AA23" s="335"/>
      <c r="AB23" s="335"/>
      <c r="AC23" s="335"/>
      <c r="AD23" s="335"/>
      <c r="AE23" s="335"/>
      <c r="AF23" s="335"/>
    </row>
    <row r="24" spans="2:32" x14ac:dyDescent="0.3">
      <c r="B24" s="560">
        <v>5</v>
      </c>
      <c r="C24" s="155"/>
      <c r="D24" s="121" t="str">
        <f t="shared" si="0"/>
        <v>Optional</v>
      </c>
      <c r="E24" s="157"/>
      <c r="F24" s="121" t="str">
        <f t="shared" si="1"/>
        <v>Optional</v>
      </c>
      <c r="G24" s="155"/>
      <c r="H24" s="120" t="str">
        <f t="shared" si="2"/>
        <v>Optional</v>
      </c>
      <c r="I24" s="177"/>
      <c r="J24" s="562" t="str">
        <f t="shared" si="3"/>
        <v>N/A</v>
      </c>
      <c r="K24" s="155"/>
      <c r="L24" s="120" t="str">
        <f t="shared" si="4"/>
        <v>Optional</v>
      </c>
      <c r="M24" s="155"/>
      <c r="N24" s="120" t="str">
        <f t="shared" si="5"/>
        <v>Optional</v>
      </c>
      <c r="O24" s="159"/>
      <c r="P24" s="125" t="str">
        <f t="shared" si="6"/>
        <v>N/A</v>
      </c>
      <c r="R24" s="339">
        <v>5</v>
      </c>
      <c r="S24" s="340">
        <f t="shared" si="13"/>
        <v>0</v>
      </c>
      <c r="T24" s="340">
        <f t="shared" si="7"/>
        <v>0</v>
      </c>
      <c r="U24" s="341">
        <f t="shared" si="8"/>
        <v>0</v>
      </c>
      <c r="V24" s="342">
        <f t="shared" si="9"/>
        <v>298</v>
      </c>
      <c r="W24" s="341">
        <f t="shared" si="10"/>
        <v>0</v>
      </c>
      <c r="X24" s="343">
        <f t="shared" si="11"/>
        <v>25</v>
      </c>
      <c r="Y24" s="344">
        <f t="shared" si="12"/>
        <v>50</v>
      </c>
      <c r="Z24" s="201"/>
      <c r="AA24" s="335"/>
      <c r="AB24" s="335"/>
      <c r="AC24" s="335"/>
      <c r="AD24" s="335"/>
      <c r="AE24" s="335"/>
      <c r="AF24" s="335"/>
    </row>
    <row r="25" spans="2:32" x14ac:dyDescent="0.3">
      <c r="B25" s="560">
        <v>6</v>
      </c>
      <c r="C25" s="155"/>
      <c r="D25" s="121" t="str">
        <f t="shared" si="0"/>
        <v>Optional</v>
      </c>
      <c r="E25" s="157"/>
      <c r="F25" s="121" t="str">
        <f t="shared" si="1"/>
        <v>Optional</v>
      </c>
      <c r="G25" s="155"/>
      <c r="H25" s="120" t="str">
        <f t="shared" si="2"/>
        <v>Optional</v>
      </c>
      <c r="I25" s="177"/>
      <c r="J25" s="562" t="str">
        <f t="shared" si="3"/>
        <v>N/A</v>
      </c>
      <c r="K25" s="155"/>
      <c r="L25" s="120" t="str">
        <f t="shared" si="4"/>
        <v>Optional</v>
      </c>
      <c r="M25" s="155"/>
      <c r="N25" s="120" t="str">
        <f t="shared" si="5"/>
        <v>Optional</v>
      </c>
      <c r="O25" s="159"/>
      <c r="P25" s="125" t="str">
        <f t="shared" si="6"/>
        <v>N/A</v>
      </c>
      <c r="R25" s="345">
        <v>6</v>
      </c>
      <c r="S25" s="340">
        <f t="shared" si="13"/>
        <v>0</v>
      </c>
      <c r="T25" s="340">
        <f t="shared" si="7"/>
        <v>0</v>
      </c>
      <c r="U25" s="341">
        <f t="shared" si="8"/>
        <v>0</v>
      </c>
      <c r="V25" s="342">
        <f t="shared" si="9"/>
        <v>298</v>
      </c>
      <c r="W25" s="341">
        <f t="shared" si="10"/>
        <v>0</v>
      </c>
      <c r="X25" s="343">
        <f t="shared" si="11"/>
        <v>25</v>
      </c>
      <c r="Y25" s="344">
        <f t="shared" si="12"/>
        <v>50</v>
      </c>
      <c r="Z25" s="201"/>
      <c r="AA25" s="335"/>
      <c r="AB25" s="335"/>
      <c r="AC25" s="335"/>
      <c r="AD25" s="335"/>
      <c r="AE25" s="335"/>
      <c r="AF25" s="335"/>
    </row>
    <row r="26" spans="2:32" x14ac:dyDescent="0.3">
      <c r="B26" s="560">
        <v>7</v>
      </c>
      <c r="C26" s="155"/>
      <c r="D26" s="121" t="str">
        <f t="shared" si="0"/>
        <v>Optional</v>
      </c>
      <c r="E26" s="157"/>
      <c r="F26" s="121" t="str">
        <f t="shared" si="1"/>
        <v>Optional</v>
      </c>
      <c r="G26" s="155"/>
      <c r="H26" s="120" t="str">
        <f t="shared" si="2"/>
        <v>Optional</v>
      </c>
      <c r="I26" s="177"/>
      <c r="J26" s="562" t="str">
        <f t="shared" si="3"/>
        <v>N/A</v>
      </c>
      <c r="K26" s="155"/>
      <c r="L26" s="120" t="str">
        <f t="shared" si="4"/>
        <v>Optional</v>
      </c>
      <c r="M26" s="155"/>
      <c r="N26" s="120" t="str">
        <f t="shared" si="5"/>
        <v>Optional</v>
      </c>
      <c r="O26" s="159"/>
      <c r="P26" s="125" t="str">
        <f t="shared" si="6"/>
        <v>N/A</v>
      </c>
      <c r="R26" s="339">
        <v>7</v>
      </c>
      <c r="S26" s="340">
        <f t="shared" si="13"/>
        <v>0</v>
      </c>
      <c r="T26" s="340">
        <f t="shared" si="7"/>
        <v>0</v>
      </c>
      <c r="U26" s="341">
        <f t="shared" si="8"/>
        <v>0</v>
      </c>
      <c r="V26" s="342">
        <f t="shared" si="9"/>
        <v>298</v>
      </c>
      <c r="W26" s="341">
        <f t="shared" si="10"/>
        <v>0</v>
      </c>
      <c r="X26" s="343">
        <f t="shared" si="11"/>
        <v>25</v>
      </c>
      <c r="Y26" s="344">
        <f t="shared" si="12"/>
        <v>50</v>
      </c>
      <c r="Z26" s="201"/>
      <c r="AA26" s="335"/>
      <c r="AB26" s="335"/>
      <c r="AC26" s="335"/>
      <c r="AD26" s="335"/>
      <c r="AE26" s="335"/>
      <c r="AF26" s="354"/>
    </row>
    <row r="27" spans="2:32" x14ac:dyDescent="0.3">
      <c r="B27" s="560">
        <v>8</v>
      </c>
      <c r="C27" s="155"/>
      <c r="D27" s="121" t="str">
        <f t="shared" si="0"/>
        <v>Optional</v>
      </c>
      <c r="E27" s="157"/>
      <c r="F27" s="121" t="str">
        <f t="shared" si="1"/>
        <v>Optional</v>
      </c>
      <c r="G27" s="155"/>
      <c r="H27" s="120" t="str">
        <f t="shared" si="2"/>
        <v>Optional</v>
      </c>
      <c r="I27" s="177"/>
      <c r="J27" s="562" t="str">
        <f t="shared" si="3"/>
        <v>N/A</v>
      </c>
      <c r="K27" s="155"/>
      <c r="L27" s="120" t="str">
        <f t="shared" si="4"/>
        <v>Optional</v>
      </c>
      <c r="M27" s="155"/>
      <c r="N27" s="120" t="str">
        <f t="shared" si="5"/>
        <v>Optional</v>
      </c>
      <c r="O27" s="159"/>
      <c r="P27" s="125" t="str">
        <f t="shared" si="6"/>
        <v>N/A</v>
      </c>
      <c r="R27" s="339">
        <v>8</v>
      </c>
      <c r="S27" s="340">
        <f t="shared" si="13"/>
        <v>0</v>
      </c>
      <c r="T27" s="340">
        <f t="shared" si="7"/>
        <v>0</v>
      </c>
      <c r="U27" s="341">
        <f t="shared" si="8"/>
        <v>0</v>
      </c>
      <c r="V27" s="342">
        <f t="shared" si="9"/>
        <v>298</v>
      </c>
      <c r="W27" s="341">
        <f t="shared" si="10"/>
        <v>0</v>
      </c>
      <c r="X27" s="343">
        <f t="shared" si="11"/>
        <v>25</v>
      </c>
      <c r="Y27" s="344">
        <f t="shared" si="12"/>
        <v>50</v>
      </c>
      <c r="Z27" s="201"/>
      <c r="AA27" s="335"/>
      <c r="AB27" s="335"/>
      <c r="AC27" s="335"/>
      <c r="AD27" s="335"/>
      <c r="AE27" s="335"/>
      <c r="AF27" s="354"/>
    </row>
    <row r="28" spans="2:32" x14ac:dyDescent="0.3">
      <c r="B28" s="560">
        <v>9</v>
      </c>
      <c r="C28" s="155"/>
      <c r="D28" s="121" t="str">
        <f t="shared" si="0"/>
        <v>Optional</v>
      </c>
      <c r="E28" s="157"/>
      <c r="F28" s="121" t="str">
        <f t="shared" si="1"/>
        <v>Optional</v>
      </c>
      <c r="G28" s="155"/>
      <c r="H28" s="120" t="str">
        <f t="shared" si="2"/>
        <v>Optional</v>
      </c>
      <c r="I28" s="177"/>
      <c r="J28" s="562" t="str">
        <f t="shared" si="3"/>
        <v>N/A</v>
      </c>
      <c r="K28" s="155"/>
      <c r="L28" s="120" t="str">
        <f t="shared" si="4"/>
        <v>Optional</v>
      </c>
      <c r="M28" s="155"/>
      <c r="N28" s="120" t="str">
        <f t="shared" si="5"/>
        <v>Optional</v>
      </c>
      <c r="O28" s="159"/>
      <c r="P28" s="125" t="str">
        <f t="shared" si="6"/>
        <v>N/A</v>
      </c>
      <c r="R28" s="345">
        <v>9</v>
      </c>
      <c r="S28" s="340">
        <f t="shared" si="13"/>
        <v>0</v>
      </c>
      <c r="T28" s="340">
        <f t="shared" si="7"/>
        <v>0</v>
      </c>
      <c r="U28" s="341">
        <f t="shared" si="8"/>
        <v>0</v>
      </c>
      <c r="V28" s="342">
        <f t="shared" si="9"/>
        <v>298</v>
      </c>
      <c r="W28" s="341">
        <f t="shared" si="10"/>
        <v>0</v>
      </c>
      <c r="X28" s="343">
        <f t="shared" si="11"/>
        <v>25</v>
      </c>
      <c r="Y28" s="344">
        <f t="shared" si="12"/>
        <v>50</v>
      </c>
      <c r="Z28" s="201"/>
      <c r="AA28" s="335"/>
      <c r="AB28" s="335"/>
      <c r="AC28" s="335"/>
      <c r="AD28" s="335"/>
      <c r="AE28" s="335"/>
      <c r="AF28" s="354"/>
    </row>
    <row r="29" spans="2:32" x14ac:dyDescent="0.3">
      <c r="B29" s="561">
        <v>10</v>
      </c>
      <c r="C29" s="156"/>
      <c r="D29" s="122" t="str">
        <f t="shared" si="0"/>
        <v>Optional</v>
      </c>
      <c r="E29" s="158"/>
      <c r="F29" s="122" t="str">
        <f t="shared" si="1"/>
        <v>Optional</v>
      </c>
      <c r="G29" s="156"/>
      <c r="H29" s="123" t="str">
        <f t="shared" si="2"/>
        <v>Optional</v>
      </c>
      <c r="I29" s="178"/>
      <c r="J29" s="563" t="str">
        <f t="shared" si="3"/>
        <v>N/A</v>
      </c>
      <c r="K29" s="156"/>
      <c r="L29" s="123" t="str">
        <f t="shared" si="4"/>
        <v>Optional</v>
      </c>
      <c r="M29" s="156"/>
      <c r="N29" s="123" t="str">
        <f t="shared" si="5"/>
        <v>Optional</v>
      </c>
      <c r="O29" s="160"/>
      <c r="P29" s="126" t="str">
        <f t="shared" si="6"/>
        <v>N/A</v>
      </c>
      <c r="R29" s="339">
        <v>10</v>
      </c>
      <c r="S29" s="340">
        <f t="shared" si="13"/>
        <v>0</v>
      </c>
      <c r="T29" s="340">
        <f t="shared" si="7"/>
        <v>0</v>
      </c>
      <c r="U29" s="341">
        <f t="shared" si="8"/>
        <v>0</v>
      </c>
      <c r="V29" s="342">
        <f t="shared" si="9"/>
        <v>298</v>
      </c>
      <c r="W29" s="341">
        <f t="shared" si="10"/>
        <v>0</v>
      </c>
      <c r="X29" s="343">
        <f t="shared" si="11"/>
        <v>25</v>
      </c>
      <c r="Y29" s="344">
        <f t="shared" si="12"/>
        <v>50</v>
      </c>
      <c r="Z29" s="201"/>
      <c r="AA29" s="335"/>
      <c r="AB29" s="335"/>
      <c r="AC29" s="335"/>
      <c r="AD29" s="335"/>
      <c r="AE29" s="335"/>
      <c r="AF29" s="335"/>
    </row>
    <row r="30" spans="2:32" x14ac:dyDescent="0.3">
      <c r="R30" s="345" t="s">
        <v>202</v>
      </c>
      <c r="S30" s="346">
        <f>SUM(S20:S29)</f>
        <v>0</v>
      </c>
      <c r="T30" s="346">
        <f>SUM(T20:T29)</f>
        <v>0</v>
      </c>
      <c r="U30" s="346">
        <f>SUM(U20:U29)</f>
        <v>0</v>
      </c>
      <c r="V30" s="347"/>
      <c r="W30" s="346">
        <f>SUM(W20:W29)</f>
        <v>0</v>
      </c>
      <c r="X30" s="348"/>
      <c r="Y30" s="349"/>
      <c r="Z30" s="401">
        <f>Trees!$E$41</f>
        <v>0</v>
      </c>
      <c r="AA30" s="335"/>
      <c r="AB30" s="335"/>
      <c r="AC30" s="335"/>
      <c r="AD30" s="335"/>
      <c r="AE30" s="335"/>
      <c r="AF30" s="335"/>
    </row>
    <row r="31" spans="2:32" x14ac:dyDescent="0.3">
      <c r="B31" s="51" t="s">
        <v>192</v>
      </c>
      <c r="R31" s="350" t="s">
        <v>203</v>
      </c>
      <c r="S31" s="346">
        <f>S30+Z30</f>
        <v>0</v>
      </c>
      <c r="T31" s="351"/>
      <c r="U31" s="352"/>
      <c r="V31" s="353"/>
      <c r="W31" s="352"/>
      <c r="X31" s="353"/>
      <c r="Y31" s="353"/>
      <c r="Z31" s="314"/>
      <c r="AA31" s="335"/>
      <c r="AB31" s="335"/>
      <c r="AC31" s="335"/>
      <c r="AD31" s="335"/>
      <c r="AE31" s="335"/>
      <c r="AF31" s="335"/>
    </row>
    <row r="32" spans="2:32" ht="16.2" thickBot="1" x14ac:dyDescent="0.35">
      <c r="R32" s="354"/>
      <c r="S32" s="354"/>
      <c r="T32" s="354"/>
      <c r="U32" s="354"/>
      <c r="V32" s="354"/>
      <c r="W32" s="354"/>
      <c r="X32" s="354"/>
      <c r="Y32" s="354"/>
      <c r="Z32" s="354"/>
      <c r="AA32" s="354"/>
      <c r="AB32" s="354"/>
      <c r="AC32" s="354"/>
      <c r="AD32" s="354"/>
      <c r="AE32" s="354"/>
      <c r="AF32" s="335"/>
    </row>
    <row r="33" spans="2:42" ht="18.75" customHeight="1" x14ac:dyDescent="0.3">
      <c r="B33" s="407" t="str">
        <f>"Greenhouse Gas Benefit from "&amp;B4&amp;" Restoration"</f>
        <v>Greenhouse Gas Benefit from Seasonal Inland Wetland Restoration</v>
      </c>
      <c r="C33" s="402"/>
      <c r="D33" s="402"/>
      <c r="E33" s="402"/>
      <c r="F33" s="402"/>
      <c r="G33" s="402"/>
      <c r="H33" s="402"/>
      <c r="I33" s="403">
        <f>($B$4=ProjectType)*S31</f>
        <v>0</v>
      </c>
      <c r="J33" s="105" t="s">
        <v>184</v>
      </c>
      <c r="R33" s="49" t="s">
        <v>341</v>
      </c>
      <c r="S33" s="337"/>
      <c r="T33" s="354"/>
      <c r="U33" s="354"/>
      <c r="V33" s="354"/>
      <c r="W33" s="354"/>
      <c r="X33" s="354"/>
      <c r="Y33" s="354"/>
      <c r="Z33" s="354"/>
      <c r="AA33" s="354"/>
      <c r="AB33" s="354"/>
      <c r="AC33" s="354"/>
      <c r="AD33" s="354"/>
      <c r="AE33" s="354"/>
      <c r="AF33" s="335"/>
    </row>
    <row r="34" spans="2:42" ht="18.75" customHeight="1" x14ac:dyDescent="0.3">
      <c r="B34" s="408" t="str">
        <f>"Land Restoration Co-Benefit from "&amp;B4&amp;" Restoration"</f>
        <v>Land Restoration Co-Benefit from Seasonal Inland Wetland Restoration</v>
      </c>
      <c r="C34" s="404"/>
      <c r="D34" s="404"/>
      <c r="E34" s="404"/>
      <c r="F34" s="404"/>
      <c r="G34" s="404"/>
      <c r="H34" s="404"/>
      <c r="I34" s="405">
        <f>($B$4=ProjectType)*SUM(SIW_Input[Acres restored to seasonal or intermittent wetlands],SIW_Input[Acres
restored to improved 
grassland])</f>
        <v>0</v>
      </c>
      <c r="J34" s="409" t="s">
        <v>185</v>
      </c>
      <c r="R34" s="354"/>
      <c r="S34" s="354"/>
      <c r="T34" s="354"/>
      <c r="U34" s="354"/>
      <c r="V34" s="354"/>
      <c r="W34" s="354"/>
      <c r="X34" s="354"/>
      <c r="Y34" s="354"/>
      <c r="Z34" s="354"/>
      <c r="AA34" s="354"/>
      <c r="AB34" s="354"/>
      <c r="AC34" s="354"/>
      <c r="AD34" s="354"/>
      <c r="AE34" s="354"/>
      <c r="AF34" s="335"/>
    </row>
    <row r="35" spans="2:42" ht="18.75" customHeight="1" x14ac:dyDescent="0.3">
      <c r="B35" s="408" t="s">
        <v>186</v>
      </c>
      <c r="C35" s="406"/>
      <c r="D35" s="406"/>
      <c r="E35" s="406"/>
      <c r="F35" s="406"/>
      <c r="G35" s="406"/>
      <c r="H35" s="406"/>
      <c r="I35" s="405">
        <f>($B$4=ProjectType)*Trees!$C$41</f>
        <v>0</v>
      </c>
      <c r="J35" s="410" t="s">
        <v>187</v>
      </c>
      <c r="R35" s="354"/>
      <c r="S35" s="354"/>
      <c r="T35" s="354"/>
      <c r="U35" s="354"/>
      <c r="V35" s="354"/>
      <c r="W35" s="354"/>
      <c r="X35" s="354"/>
      <c r="Y35" s="354"/>
      <c r="Z35" s="354"/>
      <c r="AA35" s="354"/>
      <c r="AB35" s="354"/>
      <c r="AC35" s="354"/>
      <c r="AD35" s="354"/>
      <c r="AE35" s="354"/>
      <c r="AF35" s="335"/>
    </row>
    <row r="36" spans="2:42" ht="18.75" customHeight="1" x14ac:dyDescent="0.3">
      <c r="B36" s="408" t="s">
        <v>190</v>
      </c>
      <c r="C36" s="406"/>
      <c r="D36" s="406"/>
      <c r="E36" s="406"/>
      <c r="F36" s="406"/>
      <c r="G36" s="406"/>
      <c r="H36" s="406"/>
      <c r="I36" s="405">
        <f>($B$4=ProjectType)*Trees!$G$41</f>
        <v>0</v>
      </c>
      <c r="J36" s="410" t="s">
        <v>188</v>
      </c>
      <c r="R36" s="354"/>
      <c r="S36" s="354"/>
      <c r="T36" s="354"/>
      <c r="U36" s="354"/>
      <c r="V36" s="354"/>
      <c r="W36" s="354"/>
      <c r="X36" s="354"/>
      <c r="Y36" s="354"/>
      <c r="Z36" s="354"/>
      <c r="AA36" s="354"/>
      <c r="AB36" s="354"/>
      <c r="AC36" s="354"/>
      <c r="AD36" s="354"/>
      <c r="AE36" s="354"/>
      <c r="AF36" s="335"/>
      <c r="AJ36" s="387" t="s">
        <v>76</v>
      </c>
      <c r="AK36" s="388" t="s">
        <v>133</v>
      </c>
      <c r="AL36" s="285" t="s">
        <v>256</v>
      </c>
      <c r="AN36" s="184" t="s">
        <v>133</v>
      </c>
      <c r="AO36" s="184" t="s">
        <v>134</v>
      </c>
      <c r="AP36" s="285" t="s">
        <v>256</v>
      </c>
    </row>
    <row r="37" spans="2:42" ht="18.75" customHeight="1" thickBot="1" x14ac:dyDescent="0.35">
      <c r="B37" s="411" t="s">
        <v>191</v>
      </c>
      <c r="C37" s="412"/>
      <c r="D37" s="412"/>
      <c r="E37" s="412"/>
      <c r="F37" s="412"/>
      <c r="G37" s="412"/>
      <c r="H37" s="412"/>
      <c r="I37" s="413">
        <f>($B$4=ProjectType)*Trees!$I$41</f>
        <v>0</v>
      </c>
      <c r="J37" s="414" t="s">
        <v>189</v>
      </c>
      <c r="R37" s="354"/>
      <c r="S37" s="354"/>
      <c r="T37" s="354"/>
      <c r="U37" s="354"/>
      <c r="V37" s="354"/>
      <c r="W37" s="354"/>
      <c r="X37" s="354"/>
      <c r="Y37" s="354"/>
      <c r="Z37" s="354"/>
      <c r="AA37" s="354"/>
      <c r="AB37" s="354"/>
      <c r="AC37" s="354"/>
      <c r="AD37" s="354"/>
      <c r="AE37" s="354"/>
      <c r="AF37" s="335"/>
      <c r="AJ37" s="339">
        <v>1</v>
      </c>
      <c r="AK37" s="389">
        <f>O20</f>
        <v>0</v>
      </c>
      <c r="AL37" s="390" t="b">
        <f>IFERROR(VLOOKUP(AK37,$AN$37:$AP$48,3,FALSE),FALSE)</f>
        <v>0</v>
      </c>
      <c r="AN37" s="181" t="s">
        <v>135</v>
      </c>
      <c r="AO37" s="182" t="s">
        <v>136</v>
      </c>
      <c r="AP37" s="183">
        <v>37</v>
      </c>
    </row>
    <row r="38" spans="2:42" ht="15.75" customHeight="1" x14ac:dyDescent="0.3">
      <c r="R38" s="393" t="s">
        <v>76</v>
      </c>
      <c r="S38" s="186" t="s">
        <v>344</v>
      </c>
      <c r="T38" s="186" t="s">
        <v>346</v>
      </c>
      <c r="U38" s="186" t="s">
        <v>347</v>
      </c>
      <c r="V38" s="186" t="s">
        <v>348</v>
      </c>
      <c r="W38" s="186" t="s">
        <v>349</v>
      </c>
      <c r="X38" s="186" t="s">
        <v>350</v>
      </c>
      <c r="Y38" s="186" t="s">
        <v>256</v>
      </c>
      <c r="Z38" s="186" t="s">
        <v>352</v>
      </c>
      <c r="AA38" s="186" t="s">
        <v>353</v>
      </c>
      <c r="AB38" s="186" t="s">
        <v>355</v>
      </c>
      <c r="AC38" s="186" t="s">
        <v>354</v>
      </c>
      <c r="AD38" s="186" t="s">
        <v>362</v>
      </c>
      <c r="AE38" s="186" t="s">
        <v>356</v>
      </c>
      <c r="AF38" s="186" t="s">
        <v>357</v>
      </c>
      <c r="AG38" s="392" t="s">
        <v>249</v>
      </c>
      <c r="AH38" s="392" t="s">
        <v>236</v>
      </c>
      <c r="AJ38" s="339">
        <v>2</v>
      </c>
      <c r="AK38" s="389">
        <f t="shared" ref="AK38:AK46" si="14">O21</f>
        <v>0</v>
      </c>
      <c r="AL38" s="390" t="b">
        <f t="shared" ref="AL38:AL46" si="15">IFERROR(VLOOKUP(AK38,$AN$37:$AP$48,3,FALSE),FALSE)</f>
        <v>0</v>
      </c>
      <c r="AN38" s="181" t="s">
        <v>137</v>
      </c>
      <c r="AO38" s="182" t="s">
        <v>138</v>
      </c>
      <c r="AP38" s="183">
        <v>124</v>
      </c>
    </row>
    <row r="39" spans="2:42" x14ac:dyDescent="0.3">
      <c r="R39" s="540"/>
      <c r="S39" s="197" t="s">
        <v>196</v>
      </c>
      <c r="T39" s="197" t="s">
        <v>228</v>
      </c>
      <c r="U39" s="197" t="s">
        <v>205</v>
      </c>
      <c r="V39" s="338" t="s">
        <v>205</v>
      </c>
      <c r="W39" s="338" t="s">
        <v>205</v>
      </c>
      <c r="X39" s="338" t="s">
        <v>185</v>
      </c>
      <c r="Y39" s="197" t="s">
        <v>228</v>
      </c>
      <c r="Z39" s="338" t="s">
        <v>185</v>
      </c>
      <c r="AA39" s="197" t="s">
        <v>205</v>
      </c>
      <c r="AB39" s="338" t="s">
        <v>185</v>
      </c>
      <c r="AC39" s="197" t="s">
        <v>205</v>
      </c>
      <c r="AD39" s="338" t="s">
        <v>185</v>
      </c>
      <c r="AE39" s="197" t="s">
        <v>205</v>
      </c>
      <c r="AF39" s="375" t="s">
        <v>185</v>
      </c>
      <c r="AG39" s="375" t="s">
        <v>212</v>
      </c>
      <c r="AH39" s="268" t="s">
        <v>208</v>
      </c>
      <c r="AJ39" s="345">
        <v>3</v>
      </c>
      <c r="AK39" s="389">
        <f t="shared" si="14"/>
        <v>0</v>
      </c>
      <c r="AL39" s="390" t="b">
        <f t="shared" si="15"/>
        <v>0</v>
      </c>
      <c r="AN39" s="182" t="s">
        <v>139</v>
      </c>
      <c r="AO39" s="182" t="s">
        <v>136</v>
      </c>
      <c r="AP39" s="183">
        <v>37</v>
      </c>
    </row>
    <row r="40" spans="2:42" x14ac:dyDescent="0.3">
      <c r="R40" s="339">
        <v>1</v>
      </c>
      <c r="S40" s="340">
        <f>(T40*U40*V40*W40*X40+Y40*U40*V40*Z40-Y40*U40*AA40*AB40-Y40*U40*AC40*AD40-Y40*AE40*AF40)*AG40*AH40</f>
        <v>0</v>
      </c>
      <c r="T40" s="355" t="b">
        <f t="shared" ref="T40:T49" si="16">IF(Y40=FALSE,FALSE,$T$93)</f>
        <v>0</v>
      </c>
      <c r="U40" s="356">
        <f t="shared" ref="U40:U49" si="17">$T$94</f>
        <v>1.37</v>
      </c>
      <c r="V40" s="342">
        <f t="shared" ref="V40:V49" si="18">$T$95</f>
        <v>1.1399999999999999</v>
      </c>
      <c r="W40" s="357">
        <f t="shared" ref="W40:W49" si="19">$T$96</f>
        <v>1.1100000000000001</v>
      </c>
      <c r="X40" s="341">
        <f t="shared" ref="X40:X49" si="20">K20</f>
        <v>0</v>
      </c>
      <c r="Y40" s="343" t="b">
        <f>AL37</f>
        <v>0</v>
      </c>
      <c r="Z40" s="206">
        <f t="shared" ref="Z40:Z49" si="21">M20</f>
        <v>0</v>
      </c>
      <c r="AA40" s="344">
        <f t="shared" ref="AA40:AA49" si="22">$T$100</f>
        <v>0.95</v>
      </c>
      <c r="AB40" s="341">
        <f t="shared" ref="AB40:AB49" si="23">C20</f>
        <v>0</v>
      </c>
      <c r="AC40" s="344">
        <f t="shared" ref="AC40:AC49" si="24">$T$102</f>
        <v>0.7</v>
      </c>
      <c r="AD40" s="341">
        <f t="shared" ref="AD40:AD49" si="25">E20</f>
        <v>0</v>
      </c>
      <c r="AE40" s="344">
        <f t="shared" ref="AE40:AE49" si="26">$T$104</f>
        <v>1</v>
      </c>
      <c r="AF40" s="341">
        <f t="shared" ref="AF40:AF49" si="27">G20</f>
        <v>0</v>
      </c>
      <c r="AG40" s="361">
        <f t="shared" ref="AG40:AG49" si="28">$T$106</f>
        <v>0.4047</v>
      </c>
      <c r="AH40" s="362">
        <f t="shared" ref="AH40:AH49" si="29">$T$107</f>
        <v>3.6666666666666665</v>
      </c>
      <c r="AJ40" s="345">
        <v>4</v>
      </c>
      <c r="AK40" s="389">
        <f t="shared" si="14"/>
        <v>0</v>
      </c>
      <c r="AL40" s="390" t="b">
        <f t="shared" si="15"/>
        <v>0</v>
      </c>
      <c r="AN40" s="182" t="s">
        <v>140</v>
      </c>
      <c r="AO40" s="182" t="s">
        <v>141</v>
      </c>
      <c r="AP40" s="183">
        <v>25</v>
      </c>
    </row>
    <row r="41" spans="2:42" x14ac:dyDescent="0.3">
      <c r="R41" s="339">
        <v>2</v>
      </c>
      <c r="S41" s="340">
        <f>(T41*U41*V41*W41*X41+Y41*U41*V41*Z41-Y41*U41*AA41*AB41-Y41*U41*AC41*AD41-Y41*AE41*AF41)*AG41*AH41</f>
        <v>0</v>
      </c>
      <c r="T41" s="355" t="b">
        <f t="shared" si="16"/>
        <v>0</v>
      </c>
      <c r="U41" s="356">
        <f t="shared" si="17"/>
        <v>1.37</v>
      </c>
      <c r="V41" s="342">
        <f t="shared" si="18"/>
        <v>1.1399999999999999</v>
      </c>
      <c r="W41" s="357">
        <f t="shared" si="19"/>
        <v>1.1100000000000001</v>
      </c>
      <c r="X41" s="341">
        <f t="shared" si="20"/>
        <v>0</v>
      </c>
      <c r="Y41" s="343" t="b">
        <f t="shared" ref="Y41:Y49" si="30">AL38</f>
        <v>0</v>
      </c>
      <c r="Z41" s="206">
        <f t="shared" si="21"/>
        <v>0</v>
      </c>
      <c r="AA41" s="344">
        <f t="shared" si="22"/>
        <v>0.95</v>
      </c>
      <c r="AB41" s="341">
        <f t="shared" si="23"/>
        <v>0</v>
      </c>
      <c r="AC41" s="344">
        <f t="shared" si="24"/>
        <v>0.7</v>
      </c>
      <c r="AD41" s="341">
        <f t="shared" si="25"/>
        <v>0</v>
      </c>
      <c r="AE41" s="344">
        <f t="shared" si="26"/>
        <v>1</v>
      </c>
      <c r="AF41" s="341">
        <f t="shared" si="27"/>
        <v>0</v>
      </c>
      <c r="AG41" s="361">
        <f t="shared" si="28"/>
        <v>0.4047</v>
      </c>
      <c r="AH41" s="362">
        <f t="shared" si="29"/>
        <v>3.6666666666666665</v>
      </c>
      <c r="AJ41" s="339">
        <v>5</v>
      </c>
      <c r="AK41" s="389">
        <f t="shared" si="14"/>
        <v>0</v>
      </c>
      <c r="AL41" s="390" t="b">
        <f t="shared" si="15"/>
        <v>0</v>
      </c>
      <c r="AN41" s="182" t="s">
        <v>142</v>
      </c>
      <c r="AO41" s="182" t="s">
        <v>141</v>
      </c>
      <c r="AP41" s="183">
        <v>25</v>
      </c>
    </row>
    <row r="42" spans="2:42" x14ac:dyDescent="0.3">
      <c r="R42" s="345">
        <v>3</v>
      </c>
      <c r="S42" s="340">
        <f>(T42*U42*V42*W42*X42+Y42*U42*V42*Z42-Y42*U42*AA42*AB42-Y42*U42*AC42*AD42-Y42*AE42*AF42)*AG42*AH42</f>
        <v>0</v>
      </c>
      <c r="T42" s="355" t="b">
        <f t="shared" si="16"/>
        <v>0</v>
      </c>
      <c r="U42" s="356">
        <f t="shared" si="17"/>
        <v>1.37</v>
      </c>
      <c r="V42" s="342">
        <f t="shared" si="18"/>
        <v>1.1399999999999999</v>
      </c>
      <c r="W42" s="357">
        <f t="shared" si="19"/>
        <v>1.1100000000000001</v>
      </c>
      <c r="X42" s="341">
        <f t="shared" si="20"/>
        <v>0</v>
      </c>
      <c r="Y42" s="343" t="b">
        <f t="shared" si="30"/>
        <v>0</v>
      </c>
      <c r="Z42" s="206">
        <f t="shared" si="21"/>
        <v>0</v>
      </c>
      <c r="AA42" s="344">
        <f t="shared" si="22"/>
        <v>0.95</v>
      </c>
      <c r="AB42" s="341">
        <f t="shared" si="23"/>
        <v>0</v>
      </c>
      <c r="AC42" s="344">
        <f t="shared" si="24"/>
        <v>0.7</v>
      </c>
      <c r="AD42" s="341">
        <f t="shared" si="25"/>
        <v>0</v>
      </c>
      <c r="AE42" s="344">
        <f t="shared" si="26"/>
        <v>1</v>
      </c>
      <c r="AF42" s="341">
        <f t="shared" si="27"/>
        <v>0</v>
      </c>
      <c r="AG42" s="361">
        <f t="shared" si="28"/>
        <v>0.4047</v>
      </c>
      <c r="AH42" s="362">
        <f t="shared" si="29"/>
        <v>3.6666666666666665</v>
      </c>
      <c r="AJ42" s="339">
        <v>6</v>
      </c>
      <c r="AK42" s="389">
        <f t="shared" si="14"/>
        <v>0</v>
      </c>
      <c r="AL42" s="390" t="b">
        <f t="shared" si="15"/>
        <v>0</v>
      </c>
      <c r="AN42" s="182" t="s">
        <v>143</v>
      </c>
      <c r="AO42" s="182" t="s">
        <v>136</v>
      </c>
      <c r="AP42" s="183">
        <v>37</v>
      </c>
    </row>
    <row r="43" spans="2:42" x14ac:dyDescent="0.3">
      <c r="R43" s="339">
        <v>4</v>
      </c>
      <c r="S43" s="340">
        <f t="shared" ref="S43:S49" si="31">(T43*U43*V43*W43*X43+Y43*U43*V43*Z43-Y43*U43*AA43*AB43-Y43*U43*AC43*AD43-Y43*AE43*AF43)*AG43*AH43</f>
        <v>0</v>
      </c>
      <c r="T43" s="355" t="b">
        <f t="shared" si="16"/>
        <v>0</v>
      </c>
      <c r="U43" s="356">
        <f t="shared" si="17"/>
        <v>1.37</v>
      </c>
      <c r="V43" s="342">
        <f t="shared" si="18"/>
        <v>1.1399999999999999</v>
      </c>
      <c r="W43" s="357">
        <f t="shared" si="19"/>
        <v>1.1100000000000001</v>
      </c>
      <c r="X43" s="341">
        <f t="shared" si="20"/>
        <v>0</v>
      </c>
      <c r="Y43" s="343" t="b">
        <f t="shared" si="30"/>
        <v>0</v>
      </c>
      <c r="Z43" s="206">
        <f t="shared" si="21"/>
        <v>0</v>
      </c>
      <c r="AA43" s="344">
        <f t="shared" si="22"/>
        <v>0.95</v>
      </c>
      <c r="AB43" s="341">
        <f t="shared" si="23"/>
        <v>0</v>
      </c>
      <c r="AC43" s="344">
        <f t="shared" si="24"/>
        <v>0.7</v>
      </c>
      <c r="AD43" s="341">
        <f t="shared" si="25"/>
        <v>0</v>
      </c>
      <c r="AE43" s="344">
        <f t="shared" si="26"/>
        <v>1</v>
      </c>
      <c r="AF43" s="341">
        <f t="shared" si="27"/>
        <v>0</v>
      </c>
      <c r="AG43" s="361">
        <f t="shared" si="28"/>
        <v>0.4047</v>
      </c>
      <c r="AH43" s="362">
        <f t="shared" si="29"/>
        <v>3.6666666666666665</v>
      </c>
      <c r="AJ43" s="345">
        <v>7</v>
      </c>
      <c r="AK43" s="389">
        <f t="shared" si="14"/>
        <v>0</v>
      </c>
      <c r="AL43" s="390" t="b">
        <f t="shared" si="15"/>
        <v>0</v>
      </c>
      <c r="AN43" s="182" t="s">
        <v>144</v>
      </c>
      <c r="AO43" s="182" t="s">
        <v>136</v>
      </c>
      <c r="AP43" s="183">
        <v>37</v>
      </c>
    </row>
    <row r="44" spans="2:42" x14ac:dyDescent="0.3">
      <c r="R44" s="339">
        <v>5</v>
      </c>
      <c r="S44" s="340">
        <f t="shared" si="31"/>
        <v>0</v>
      </c>
      <c r="T44" s="355" t="b">
        <f t="shared" si="16"/>
        <v>0</v>
      </c>
      <c r="U44" s="356">
        <f t="shared" si="17"/>
        <v>1.37</v>
      </c>
      <c r="V44" s="342">
        <f t="shared" si="18"/>
        <v>1.1399999999999999</v>
      </c>
      <c r="W44" s="357">
        <f t="shared" si="19"/>
        <v>1.1100000000000001</v>
      </c>
      <c r="X44" s="341">
        <f t="shared" si="20"/>
        <v>0</v>
      </c>
      <c r="Y44" s="343" t="b">
        <f t="shared" si="30"/>
        <v>0</v>
      </c>
      <c r="Z44" s="206">
        <f t="shared" si="21"/>
        <v>0</v>
      </c>
      <c r="AA44" s="344">
        <f t="shared" si="22"/>
        <v>0.95</v>
      </c>
      <c r="AB44" s="341">
        <f t="shared" si="23"/>
        <v>0</v>
      </c>
      <c r="AC44" s="344">
        <f t="shared" si="24"/>
        <v>0.7</v>
      </c>
      <c r="AD44" s="341">
        <f t="shared" si="25"/>
        <v>0</v>
      </c>
      <c r="AE44" s="344">
        <f t="shared" si="26"/>
        <v>1</v>
      </c>
      <c r="AF44" s="341">
        <f t="shared" si="27"/>
        <v>0</v>
      </c>
      <c r="AG44" s="361">
        <f t="shared" si="28"/>
        <v>0.4047</v>
      </c>
      <c r="AH44" s="362">
        <f t="shared" si="29"/>
        <v>3.6666666666666665</v>
      </c>
      <c r="AJ44" s="345">
        <v>8</v>
      </c>
      <c r="AK44" s="389">
        <f t="shared" si="14"/>
        <v>0</v>
      </c>
      <c r="AL44" s="390" t="b">
        <f t="shared" si="15"/>
        <v>0</v>
      </c>
      <c r="AN44" s="182" t="s">
        <v>145</v>
      </c>
      <c r="AO44" s="182" t="s">
        <v>141</v>
      </c>
      <c r="AP44" s="183">
        <v>25</v>
      </c>
    </row>
    <row r="45" spans="2:42" x14ac:dyDescent="0.3">
      <c r="R45" s="345">
        <v>6</v>
      </c>
      <c r="S45" s="340">
        <f t="shared" si="31"/>
        <v>0</v>
      </c>
      <c r="T45" s="355" t="b">
        <f t="shared" si="16"/>
        <v>0</v>
      </c>
      <c r="U45" s="356">
        <f t="shared" si="17"/>
        <v>1.37</v>
      </c>
      <c r="V45" s="342">
        <f t="shared" si="18"/>
        <v>1.1399999999999999</v>
      </c>
      <c r="W45" s="357">
        <f t="shared" si="19"/>
        <v>1.1100000000000001</v>
      </c>
      <c r="X45" s="341">
        <f t="shared" si="20"/>
        <v>0</v>
      </c>
      <c r="Y45" s="343" t="b">
        <f t="shared" si="30"/>
        <v>0</v>
      </c>
      <c r="Z45" s="206">
        <f t="shared" si="21"/>
        <v>0</v>
      </c>
      <c r="AA45" s="344">
        <f t="shared" si="22"/>
        <v>0.95</v>
      </c>
      <c r="AB45" s="341">
        <f t="shared" si="23"/>
        <v>0</v>
      </c>
      <c r="AC45" s="344">
        <f t="shared" si="24"/>
        <v>0.7</v>
      </c>
      <c r="AD45" s="341">
        <f t="shared" si="25"/>
        <v>0</v>
      </c>
      <c r="AE45" s="344">
        <f t="shared" si="26"/>
        <v>1</v>
      </c>
      <c r="AF45" s="341">
        <f t="shared" si="27"/>
        <v>0</v>
      </c>
      <c r="AG45" s="361">
        <f t="shared" si="28"/>
        <v>0.4047</v>
      </c>
      <c r="AH45" s="362">
        <f t="shared" si="29"/>
        <v>3.6666666666666665</v>
      </c>
      <c r="AJ45" s="345">
        <v>9</v>
      </c>
      <c r="AK45" s="389">
        <f t="shared" si="14"/>
        <v>0</v>
      </c>
      <c r="AL45" s="390" t="b">
        <f t="shared" si="15"/>
        <v>0</v>
      </c>
      <c r="AN45" s="182" t="s">
        <v>146</v>
      </c>
      <c r="AO45" s="182" t="s">
        <v>147</v>
      </c>
      <c r="AP45" s="183">
        <v>16</v>
      </c>
    </row>
    <row r="46" spans="2:42" x14ac:dyDescent="0.3">
      <c r="R46" s="339">
        <v>7</v>
      </c>
      <c r="S46" s="340">
        <f t="shared" si="31"/>
        <v>0</v>
      </c>
      <c r="T46" s="355" t="b">
        <f t="shared" si="16"/>
        <v>0</v>
      </c>
      <c r="U46" s="356">
        <f t="shared" si="17"/>
        <v>1.37</v>
      </c>
      <c r="V46" s="342">
        <f t="shared" si="18"/>
        <v>1.1399999999999999</v>
      </c>
      <c r="W46" s="357">
        <f t="shared" si="19"/>
        <v>1.1100000000000001</v>
      </c>
      <c r="X46" s="341">
        <f t="shared" si="20"/>
        <v>0</v>
      </c>
      <c r="Y46" s="343" t="b">
        <f t="shared" si="30"/>
        <v>0</v>
      </c>
      <c r="Z46" s="206">
        <f t="shared" si="21"/>
        <v>0</v>
      </c>
      <c r="AA46" s="344">
        <f t="shared" si="22"/>
        <v>0.95</v>
      </c>
      <c r="AB46" s="341">
        <f t="shared" si="23"/>
        <v>0</v>
      </c>
      <c r="AC46" s="344">
        <f t="shared" si="24"/>
        <v>0.7</v>
      </c>
      <c r="AD46" s="341">
        <f t="shared" si="25"/>
        <v>0</v>
      </c>
      <c r="AE46" s="344">
        <f t="shared" si="26"/>
        <v>1</v>
      </c>
      <c r="AF46" s="341">
        <f t="shared" si="27"/>
        <v>0</v>
      </c>
      <c r="AG46" s="361">
        <f t="shared" si="28"/>
        <v>0.4047</v>
      </c>
      <c r="AH46" s="362">
        <f t="shared" si="29"/>
        <v>3.6666666666666665</v>
      </c>
      <c r="AJ46" s="345">
        <v>10</v>
      </c>
      <c r="AK46" s="389">
        <f t="shared" si="14"/>
        <v>0</v>
      </c>
      <c r="AL46" s="390" t="b">
        <f t="shared" si="15"/>
        <v>0</v>
      </c>
      <c r="AN46" s="182" t="s">
        <v>148</v>
      </c>
      <c r="AO46" s="182" t="s">
        <v>149</v>
      </c>
      <c r="AP46" s="183">
        <v>86</v>
      </c>
    </row>
    <row r="47" spans="2:42" x14ac:dyDescent="0.3">
      <c r="R47" s="339">
        <v>8</v>
      </c>
      <c r="S47" s="340">
        <f t="shared" si="31"/>
        <v>0</v>
      </c>
      <c r="T47" s="355" t="b">
        <f t="shared" si="16"/>
        <v>0</v>
      </c>
      <c r="U47" s="356">
        <f t="shared" si="17"/>
        <v>1.37</v>
      </c>
      <c r="V47" s="342">
        <f t="shared" si="18"/>
        <v>1.1399999999999999</v>
      </c>
      <c r="W47" s="357">
        <f t="shared" si="19"/>
        <v>1.1100000000000001</v>
      </c>
      <c r="X47" s="341">
        <f t="shared" si="20"/>
        <v>0</v>
      </c>
      <c r="Y47" s="343" t="b">
        <f t="shared" si="30"/>
        <v>0</v>
      </c>
      <c r="Z47" s="206">
        <f t="shared" si="21"/>
        <v>0</v>
      </c>
      <c r="AA47" s="344">
        <f t="shared" si="22"/>
        <v>0.95</v>
      </c>
      <c r="AB47" s="341">
        <f t="shared" si="23"/>
        <v>0</v>
      </c>
      <c r="AC47" s="344">
        <f t="shared" si="24"/>
        <v>0.7</v>
      </c>
      <c r="AD47" s="341">
        <f t="shared" si="25"/>
        <v>0</v>
      </c>
      <c r="AE47" s="344">
        <f t="shared" si="26"/>
        <v>1</v>
      </c>
      <c r="AF47" s="341">
        <f t="shared" si="27"/>
        <v>0</v>
      </c>
      <c r="AG47" s="361">
        <f t="shared" si="28"/>
        <v>0.4047</v>
      </c>
      <c r="AH47" s="362">
        <f t="shared" si="29"/>
        <v>3.6666666666666665</v>
      </c>
      <c r="AN47" s="182" t="s">
        <v>150</v>
      </c>
      <c r="AO47" s="182" t="s">
        <v>141</v>
      </c>
      <c r="AP47" s="183">
        <v>25</v>
      </c>
    </row>
    <row r="48" spans="2:42" x14ac:dyDescent="0.3">
      <c r="R48" s="345">
        <v>9</v>
      </c>
      <c r="S48" s="340">
        <f t="shared" si="31"/>
        <v>0</v>
      </c>
      <c r="T48" s="355" t="b">
        <f t="shared" si="16"/>
        <v>0</v>
      </c>
      <c r="U48" s="356">
        <f t="shared" si="17"/>
        <v>1.37</v>
      </c>
      <c r="V48" s="342">
        <f t="shared" si="18"/>
        <v>1.1399999999999999</v>
      </c>
      <c r="W48" s="357">
        <f t="shared" si="19"/>
        <v>1.1100000000000001</v>
      </c>
      <c r="X48" s="341">
        <f t="shared" si="20"/>
        <v>0</v>
      </c>
      <c r="Y48" s="343" t="b">
        <f t="shared" si="30"/>
        <v>0</v>
      </c>
      <c r="Z48" s="206">
        <f t="shared" si="21"/>
        <v>0</v>
      </c>
      <c r="AA48" s="344">
        <f t="shared" si="22"/>
        <v>0.95</v>
      </c>
      <c r="AB48" s="341">
        <f t="shared" si="23"/>
        <v>0</v>
      </c>
      <c r="AC48" s="344">
        <f t="shared" si="24"/>
        <v>0.7</v>
      </c>
      <c r="AD48" s="341">
        <f t="shared" si="25"/>
        <v>0</v>
      </c>
      <c r="AE48" s="344">
        <f t="shared" si="26"/>
        <v>1</v>
      </c>
      <c r="AF48" s="341">
        <f t="shared" si="27"/>
        <v>0</v>
      </c>
      <c r="AG48" s="361">
        <f t="shared" si="28"/>
        <v>0.4047</v>
      </c>
      <c r="AH48" s="362">
        <f t="shared" si="29"/>
        <v>3.6666666666666665</v>
      </c>
      <c r="AN48" s="182" t="s">
        <v>151</v>
      </c>
      <c r="AO48" s="182" t="s">
        <v>136</v>
      </c>
      <c r="AP48" s="183">
        <v>37</v>
      </c>
    </row>
    <row r="49" spans="18:34" x14ac:dyDescent="0.3">
      <c r="R49" s="339">
        <v>10</v>
      </c>
      <c r="S49" s="340">
        <f t="shared" si="31"/>
        <v>0</v>
      </c>
      <c r="T49" s="355" t="b">
        <f t="shared" si="16"/>
        <v>0</v>
      </c>
      <c r="U49" s="356">
        <f t="shared" si="17"/>
        <v>1.37</v>
      </c>
      <c r="V49" s="342">
        <f t="shared" si="18"/>
        <v>1.1399999999999999</v>
      </c>
      <c r="W49" s="357">
        <f t="shared" si="19"/>
        <v>1.1100000000000001</v>
      </c>
      <c r="X49" s="341">
        <f t="shared" si="20"/>
        <v>0</v>
      </c>
      <c r="Y49" s="343" t="b">
        <f t="shared" si="30"/>
        <v>0</v>
      </c>
      <c r="Z49" s="206">
        <f t="shared" si="21"/>
        <v>0</v>
      </c>
      <c r="AA49" s="344">
        <f t="shared" si="22"/>
        <v>0.95</v>
      </c>
      <c r="AB49" s="341">
        <f t="shared" si="23"/>
        <v>0</v>
      </c>
      <c r="AC49" s="344">
        <f t="shared" si="24"/>
        <v>0.7</v>
      </c>
      <c r="AD49" s="341">
        <f t="shared" si="25"/>
        <v>0</v>
      </c>
      <c r="AE49" s="344">
        <f t="shared" si="26"/>
        <v>1</v>
      </c>
      <c r="AF49" s="341">
        <f t="shared" si="27"/>
        <v>0</v>
      </c>
      <c r="AG49" s="361">
        <f t="shared" si="28"/>
        <v>0.4047</v>
      </c>
      <c r="AH49" s="362">
        <f t="shared" si="29"/>
        <v>3.6666666666666665</v>
      </c>
    </row>
    <row r="50" spans="18:34" x14ac:dyDescent="0.3">
      <c r="R50" s="345" t="s">
        <v>202</v>
      </c>
      <c r="S50" s="346">
        <f>SUM(S40:S43)</f>
        <v>0</v>
      </c>
      <c r="T50" s="351"/>
      <c r="U50" s="352"/>
      <c r="V50" s="352"/>
      <c r="W50" s="543"/>
      <c r="X50" s="346">
        <f>SUM(X40:X49)</f>
        <v>0</v>
      </c>
      <c r="Y50" s="359"/>
      <c r="Z50" s="206">
        <f>AC2</f>
        <v>0</v>
      </c>
      <c r="AA50" s="360"/>
      <c r="AB50" s="341">
        <f>S2</f>
        <v>0</v>
      </c>
      <c r="AC50" s="360"/>
      <c r="AD50" s="341">
        <f>U2</f>
        <v>0</v>
      </c>
      <c r="AE50" s="360"/>
      <c r="AF50" s="341">
        <f>W2</f>
        <v>0</v>
      </c>
      <c r="AG50" s="391"/>
      <c r="AH50" s="210"/>
    </row>
    <row r="51" spans="18:34" x14ac:dyDescent="0.3">
      <c r="R51" s="376"/>
      <c r="S51" s="378"/>
      <c r="T51" s="378"/>
      <c r="U51" s="378"/>
      <c r="V51" s="378"/>
      <c r="W51" s="378"/>
      <c r="X51" s="378"/>
      <c r="Y51" s="378"/>
      <c r="Z51" s="378"/>
      <c r="AA51" s="378"/>
      <c r="AB51" s="378"/>
      <c r="AC51" s="378"/>
      <c r="AD51" s="378"/>
      <c r="AE51" s="378"/>
      <c r="AF51" s="378"/>
      <c r="AG51" s="378"/>
      <c r="AH51" s="378"/>
    </row>
    <row r="52" spans="18:34" x14ac:dyDescent="0.3">
      <c r="R52" s="49" t="s">
        <v>218</v>
      </c>
      <c r="S52" s="337"/>
      <c r="T52" s="354"/>
      <c r="U52" s="354"/>
      <c r="V52" s="354"/>
      <c r="W52" s="354"/>
      <c r="X52" s="354"/>
      <c r="Y52" s="354"/>
      <c r="Z52" s="354"/>
      <c r="AA52" s="354"/>
      <c r="AB52" s="354"/>
      <c r="AC52" s="354"/>
      <c r="AD52" s="354"/>
      <c r="AE52" s="354"/>
      <c r="AF52" s="354"/>
    </row>
    <row r="53" spans="18:34" x14ac:dyDescent="0.3">
      <c r="R53" s="354"/>
      <c r="S53" s="354"/>
      <c r="T53" s="354"/>
      <c r="U53" s="354"/>
      <c r="V53" s="354"/>
      <c r="W53" s="354"/>
      <c r="X53" s="354"/>
      <c r="Y53" s="354"/>
      <c r="Z53" s="354"/>
      <c r="AA53" s="354"/>
      <c r="AB53" s="354"/>
      <c r="AC53" s="354"/>
      <c r="AD53" s="354"/>
      <c r="AE53" s="354"/>
      <c r="AF53" s="354"/>
    </row>
    <row r="54" spans="18:34" ht="18" x14ac:dyDescent="0.4">
      <c r="R54" s="393" t="s">
        <v>76</v>
      </c>
      <c r="S54" s="273" t="s">
        <v>271</v>
      </c>
      <c r="T54" s="274" t="s">
        <v>265</v>
      </c>
      <c r="U54" s="280" t="s">
        <v>269</v>
      </c>
      <c r="V54" s="280" t="s">
        <v>270</v>
      </c>
      <c r="W54" s="274" t="s">
        <v>266</v>
      </c>
      <c r="X54" s="274" t="s">
        <v>243</v>
      </c>
      <c r="Y54" s="335"/>
      <c r="Z54" s="335"/>
      <c r="AA54" s="335"/>
      <c r="AB54" s="335"/>
      <c r="AC54" s="335"/>
      <c r="AD54" s="335"/>
      <c r="AE54" s="335"/>
      <c r="AF54" s="354"/>
    </row>
    <row r="55" spans="18:34" ht="26.4" x14ac:dyDescent="0.3">
      <c r="R55" s="540"/>
      <c r="S55" s="197" t="s">
        <v>215</v>
      </c>
      <c r="T55" s="197" t="s">
        <v>219</v>
      </c>
      <c r="U55" s="197" t="s">
        <v>220</v>
      </c>
      <c r="V55" s="338" t="s">
        <v>185</v>
      </c>
      <c r="W55" s="338" t="s">
        <v>221</v>
      </c>
      <c r="X55" s="197" t="s">
        <v>217</v>
      </c>
      <c r="Y55" s="335"/>
      <c r="Z55" s="335"/>
      <c r="AA55" s="335"/>
      <c r="AB55" s="335"/>
      <c r="AC55" s="335"/>
      <c r="AD55" s="335"/>
      <c r="AE55" s="335"/>
      <c r="AF55" s="354"/>
    </row>
    <row r="56" spans="18:34" x14ac:dyDescent="0.3">
      <c r="R56" s="345">
        <v>1</v>
      </c>
      <c r="S56" s="346">
        <f>T56*U56*V56/W56*X56</f>
        <v>0</v>
      </c>
      <c r="T56" s="356">
        <f>$T$108</f>
        <v>0.01</v>
      </c>
      <c r="U56" s="363">
        <f t="shared" ref="U56:U65" si="32">I20</f>
        <v>0</v>
      </c>
      <c r="V56" s="363">
        <f t="shared" ref="V56:V65" si="33">G20</f>
        <v>0</v>
      </c>
      <c r="W56" s="364">
        <f>$T$111</f>
        <v>2204.62</v>
      </c>
      <c r="X56" s="364">
        <f>$T$112</f>
        <v>1.5714285714285714</v>
      </c>
      <c r="Y56" s="354"/>
      <c r="Z56" s="354"/>
      <c r="AA56" s="354"/>
      <c r="AB56" s="354"/>
      <c r="AC56" s="354"/>
      <c r="AD56" s="354"/>
      <c r="AE56" s="354"/>
      <c r="AF56" s="354"/>
    </row>
    <row r="57" spans="18:34" x14ac:dyDescent="0.3">
      <c r="R57" s="345">
        <v>2</v>
      </c>
      <c r="S57" s="346">
        <f>T57*U57*V57/W57*X57</f>
        <v>0</v>
      </c>
      <c r="T57" s="356">
        <f>$T$108</f>
        <v>0.01</v>
      </c>
      <c r="U57" s="363">
        <f t="shared" si="32"/>
        <v>0</v>
      </c>
      <c r="V57" s="363">
        <f t="shared" si="33"/>
        <v>0</v>
      </c>
      <c r="W57" s="364">
        <f>$T$111</f>
        <v>2204.62</v>
      </c>
      <c r="X57" s="364">
        <f>$T$112</f>
        <v>1.5714285714285714</v>
      </c>
      <c r="Y57" s="354"/>
      <c r="Z57" s="354"/>
      <c r="AA57" s="354"/>
      <c r="AB57" s="354"/>
      <c r="AC57" s="354"/>
      <c r="AD57" s="354"/>
      <c r="AE57" s="354"/>
      <c r="AF57" s="354"/>
    </row>
    <row r="58" spans="18:34" ht="15.75" customHeight="1" x14ac:dyDescent="0.3">
      <c r="R58" s="345">
        <v>3</v>
      </c>
      <c r="S58" s="346">
        <f t="shared" ref="S58:S65" si="34">T58*U58*V58/W58*X58</f>
        <v>0</v>
      </c>
      <c r="T58" s="356">
        <f t="shared" ref="T58:T65" si="35">$T$108</f>
        <v>0.01</v>
      </c>
      <c r="U58" s="363">
        <f t="shared" si="32"/>
        <v>0</v>
      </c>
      <c r="V58" s="363">
        <f t="shared" si="33"/>
        <v>0</v>
      </c>
      <c r="W58" s="364">
        <f t="shared" ref="W58:W65" si="36">$T$111</f>
        <v>2204.62</v>
      </c>
      <c r="X58" s="364">
        <f t="shared" ref="X58:X65" si="37">$T$112</f>
        <v>1.5714285714285714</v>
      </c>
      <c r="Y58" s="354"/>
      <c r="Z58" s="354"/>
      <c r="AA58" s="354"/>
      <c r="AB58" s="354"/>
      <c r="AC58" s="354"/>
      <c r="AD58" s="354"/>
      <c r="AE58" s="354"/>
      <c r="AF58" s="335"/>
    </row>
    <row r="59" spans="18:34" ht="15.75" customHeight="1" x14ac:dyDescent="0.3">
      <c r="R59" s="345">
        <v>4</v>
      </c>
      <c r="S59" s="346">
        <f t="shared" si="34"/>
        <v>0</v>
      </c>
      <c r="T59" s="356">
        <f t="shared" si="35"/>
        <v>0.01</v>
      </c>
      <c r="U59" s="363">
        <f t="shared" si="32"/>
        <v>0</v>
      </c>
      <c r="V59" s="363">
        <f t="shared" si="33"/>
        <v>0</v>
      </c>
      <c r="W59" s="364">
        <f t="shared" si="36"/>
        <v>2204.62</v>
      </c>
      <c r="X59" s="364">
        <f t="shared" si="37"/>
        <v>1.5714285714285714</v>
      </c>
      <c r="Y59" s="354"/>
      <c r="Z59" s="354"/>
      <c r="AA59" s="354"/>
      <c r="AB59" s="354"/>
      <c r="AC59" s="354"/>
      <c r="AD59" s="354"/>
      <c r="AE59" s="354"/>
      <c r="AF59" s="335"/>
    </row>
    <row r="60" spans="18:34" ht="15.75" customHeight="1" x14ac:dyDescent="0.3">
      <c r="R60" s="345">
        <v>5</v>
      </c>
      <c r="S60" s="346">
        <f t="shared" si="34"/>
        <v>0</v>
      </c>
      <c r="T60" s="356">
        <f t="shared" si="35"/>
        <v>0.01</v>
      </c>
      <c r="U60" s="363">
        <f t="shared" si="32"/>
        <v>0</v>
      </c>
      <c r="V60" s="363">
        <f t="shared" si="33"/>
        <v>0</v>
      </c>
      <c r="W60" s="364">
        <f t="shared" si="36"/>
        <v>2204.62</v>
      </c>
      <c r="X60" s="364">
        <f t="shared" si="37"/>
        <v>1.5714285714285714</v>
      </c>
      <c r="Y60" s="354"/>
      <c r="Z60" s="354"/>
      <c r="AA60" s="354"/>
      <c r="AB60" s="354"/>
      <c r="AC60" s="354"/>
      <c r="AD60" s="354"/>
      <c r="AE60" s="354"/>
      <c r="AF60" s="335"/>
    </row>
    <row r="61" spans="18:34" ht="15.75" customHeight="1" x14ac:dyDescent="0.3">
      <c r="R61" s="345">
        <v>6</v>
      </c>
      <c r="S61" s="346">
        <f t="shared" si="34"/>
        <v>0</v>
      </c>
      <c r="T61" s="356">
        <f t="shared" si="35"/>
        <v>0.01</v>
      </c>
      <c r="U61" s="363">
        <f t="shared" si="32"/>
        <v>0</v>
      </c>
      <c r="V61" s="363">
        <f t="shared" si="33"/>
        <v>0</v>
      </c>
      <c r="W61" s="364">
        <f t="shared" si="36"/>
        <v>2204.62</v>
      </c>
      <c r="X61" s="364">
        <f t="shared" si="37"/>
        <v>1.5714285714285714</v>
      </c>
      <c r="Y61" s="354"/>
      <c r="Z61" s="354"/>
      <c r="AA61" s="354"/>
      <c r="AB61" s="354"/>
      <c r="AC61" s="354"/>
      <c r="AD61" s="354"/>
      <c r="AE61" s="354"/>
      <c r="AF61" s="335"/>
    </row>
    <row r="62" spans="18:34" ht="15.75" customHeight="1" x14ac:dyDescent="0.3">
      <c r="R62" s="345">
        <v>7</v>
      </c>
      <c r="S62" s="346">
        <f t="shared" si="34"/>
        <v>0</v>
      </c>
      <c r="T62" s="356">
        <f t="shared" si="35"/>
        <v>0.01</v>
      </c>
      <c r="U62" s="363">
        <f t="shared" si="32"/>
        <v>0</v>
      </c>
      <c r="V62" s="363">
        <f t="shared" si="33"/>
        <v>0</v>
      </c>
      <c r="W62" s="364">
        <f t="shared" si="36"/>
        <v>2204.62</v>
      </c>
      <c r="X62" s="364">
        <f t="shared" si="37"/>
        <v>1.5714285714285714</v>
      </c>
      <c r="Y62" s="354"/>
      <c r="Z62" s="354"/>
      <c r="AA62" s="354"/>
      <c r="AB62" s="354"/>
      <c r="AC62" s="354"/>
      <c r="AD62" s="354"/>
      <c r="AE62" s="354"/>
      <c r="AF62" s="335"/>
    </row>
    <row r="63" spans="18:34" ht="15.75" customHeight="1" x14ac:dyDescent="0.3">
      <c r="R63" s="345">
        <v>8</v>
      </c>
      <c r="S63" s="346">
        <f t="shared" si="34"/>
        <v>0</v>
      </c>
      <c r="T63" s="356">
        <f t="shared" si="35"/>
        <v>0.01</v>
      </c>
      <c r="U63" s="363">
        <f t="shared" si="32"/>
        <v>0</v>
      </c>
      <c r="V63" s="363">
        <f t="shared" si="33"/>
        <v>0</v>
      </c>
      <c r="W63" s="364">
        <f t="shared" si="36"/>
        <v>2204.62</v>
      </c>
      <c r="X63" s="364">
        <f t="shared" si="37"/>
        <v>1.5714285714285714</v>
      </c>
      <c r="Y63" s="354"/>
      <c r="Z63" s="354"/>
      <c r="AA63" s="354"/>
      <c r="AB63" s="354"/>
      <c r="AC63" s="354"/>
      <c r="AD63" s="354"/>
      <c r="AE63" s="354"/>
      <c r="AF63" s="335"/>
    </row>
    <row r="64" spans="18:34" ht="15.75" customHeight="1" x14ac:dyDescent="0.3">
      <c r="R64" s="345">
        <v>9</v>
      </c>
      <c r="S64" s="346">
        <f t="shared" si="34"/>
        <v>0</v>
      </c>
      <c r="T64" s="356">
        <f t="shared" si="35"/>
        <v>0.01</v>
      </c>
      <c r="U64" s="363">
        <f t="shared" si="32"/>
        <v>0</v>
      </c>
      <c r="V64" s="363">
        <f t="shared" si="33"/>
        <v>0</v>
      </c>
      <c r="W64" s="364">
        <f t="shared" si="36"/>
        <v>2204.62</v>
      </c>
      <c r="X64" s="364">
        <f t="shared" si="37"/>
        <v>1.5714285714285714</v>
      </c>
      <c r="Y64" s="354"/>
      <c r="Z64" s="354"/>
      <c r="AA64" s="354"/>
      <c r="AB64" s="354"/>
      <c r="AC64" s="354"/>
      <c r="AD64" s="354"/>
      <c r="AE64" s="354"/>
      <c r="AF64" s="335"/>
    </row>
    <row r="65" spans="18:33" ht="15.75" customHeight="1" x14ac:dyDescent="0.3">
      <c r="R65" s="345">
        <v>10</v>
      </c>
      <c r="S65" s="346">
        <f t="shared" si="34"/>
        <v>0</v>
      </c>
      <c r="T65" s="356">
        <f t="shared" si="35"/>
        <v>0.01</v>
      </c>
      <c r="U65" s="363">
        <f t="shared" si="32"/>
        <v>0</v>
      </c>
      <c r="V65" s="363">
        <f t="shared" si="33"/>
        <v>0</v>
      </c>
      <c r="W65" s="364">
        <f t="shared" si="36"/>
        <v>2204.62</v>
      </c>
      <c r="X65" s="364">
        <f t="shared" si="37"/>
        <v>1.5714285714285714</v>
      </c>
      <c r="Y65" s="354"/>
      <c r="Z65" s="354"/>
      <c r="AA65" s="354"/>
      <c r="AB65" s="354"/>
      <c r="AC65" s="354"/>
      <c r="AD65" s="354"/>
      <c r="AE65" s="354"/>
      <c r="AF65" s="335"/>
    </row>
    <row r="66" spans="18:33" ht="15.75" customHeight="1" x14ac:dyDescent="0.3">
      <c r="R66" s="345" t="s">
        <v>202</v>
      </c>
      <c r="S66" s="346">
        <f>SUM(S56:S65)</f>
        <v>0</v>
      </c>
      <c r="T66" s="365"/>
      <c r="U66" s="366"/>
      <c r="V66" s="346">
        <f>SUM(V56:V65)</f>
        <v>0</v>
      </c>
      <c r="W66" s="365"/>
      <c r="X66" s="366"/>
      <c r="Y66" s="354"/>
      <c r="Z66" s="354"/>
      <c r="AA66" s="354"/>
      <c r="AB66" s="354"/>
      <c r="AC66" s="354"/>
      <c r="AD66" s="354"/>
      <c r="AE66" s="354"/>
      <c r="AF66" s="354"/>
    </row>
    <row r="67" spans="18:33" ht="15.75" customHeight="1" x14ac:dyDescent="0.3">
      <c r="R67" s="354"/>
      <c r="S67" s="354"/>
      <c r="T67" s="354"/>
      <c r="U67" s="354"/>
      <c r="V67" s="354"/>
      <c r="W67" s="354"/>
      <c r="X67" s="354"/>
      <c r="Y67" s="354"/>
      <c r="Z67" s="354"/>
      <c r="AA67" s="354"/>
      <c r="AB67" s="354"/>
      <c r="AC67" s="354"/>
      <c r="AD67" s="354"/>
      <c r="AE67" s="354"/>
      <c r="AF67" s="354"/>
    </row>
    <row r="68" spans="18:33" ht="15.75" customHeight="1" x14ac:dyDescent="0.3">
      <c r="R68" s="49" t="s">
        <v>342</v>
      </c>
      <c r="S68" s="337"/>
      <c r="T68" s="354"/>
      <c r="U68" s="354"/>
      <c r="V68" s="354"/>
      <c r="W68" s="354"/>
      <c r="X68" s="354"/>
      <c r="Y68" s="354"/>
      <c r="Z68" s="354"/>
      <c r="AA68" s="354"/>
      <c r="AB68" s="354"/>
      <c r="AC68" s="354"/>
      <c r="AD68" s="354"/>
      <c r="AE68" s="354"/>
      <c r="AF68" s="354"/>
    </row>
    <row r="69" spans="18:33" ht="15.75" customHeight="1" x14ac:dyDescent="0.3">
      <c r="R69" s="354"/>
      <c r="S69" s="354"/>
      <c r="T69" s="354"/>
      <c r="U69" s="354"/>
      <c r="V69" s="354"/>
      <c r="W69" s="354"/>
      <c r="X69" s="354"/>
      <c r="Y69" s="354"/>
      <c r="Z69" s="354"/>
      <c r="AA69" s="354"/>
      <c r="AB69" s="354"/>
      <c r="AC69" s="354"/>
      <c r="AD69" s="354"/>
      <c r="AE69" s="354"/>
      <c r="AF69" s="354"/>
    </row>
    <row r="70" spans="18:33" ht="15.75" customHeight="1" x14ac:dyDescent="0.35">
      <c r="R70" s="393" t="s">
        <v>76</v>
      </c>
      <c r="S70" s="273" t="s">
        <v>345</v>
      </c>
      <c r="T70" s="372" t="s">
        <v>358</v>
      </c>
      <c r="U70" s="372" t="s">
        <v>249</v>
      </c>
      <c r="V70" s="372" t="s">
        <v>250</v>
      </c>
      <c r="W70" s="373" t="s">
        <v>350</v>
      </c>
      <c r="X70" s="335"/>
      <c r="Y70" s="337"/>
      <c r="Z70" s="335"/>
      <c r="AA70" s="335"/>
      <c r="AB70" s="335"/>
      <c r="AC70" s="335"/>
      <c r="AD70" s="335"/>
      <c r="AE70" s="335"/>
      <c r="AF70" s="354"/>
      <c r="AG70" s="154"/>
    </row>
    <row r="71" spans="18:33" ht="15.75" customHeight="1" x14ac:dyDescent="0.3">
      <c r="R71" s="540"/>
      <c r="S71" s="197" t="s">
        <v>198</v>
      </c>
      <c r="T71" s="338" t="s">
        <v>210</v>
      </c>
      <c r="U71" s="197" t="s">
        <v>212</v>
      </c>
      <c r="V71" s="197" t="s">
        <v>213</v>
      </c>
      <c r="W71" s="338" t="s">
        <v>185</v>
      </c>
      <c r="X71" s="335"/>
      <c r="Y71" s="335"/>
      <c r="Z71" s="335"/>
      <c r="AA71" s="335"/>
      <c r="AB71" s="335"/>
      <c r="AC71" s="335"/>
      <c r="AD71" s="335"/>
      <c r="AE71" s="335"/>
      <c r="AF71" s="354"/>
      <c r="AG71" s="154"/>
    </row>
    <row r="72" spans="18:33" ht="15.75" customHeight="1" x14ac:dyDescent="0.3">
      <c r="R72" s="345">
        <v>1</v>
      </c>
      <c r="S72" s="206">
        <f>T72*U72/V72*W72</f>
        <v>0</v>
      </c>
      <c r="T72" s="345">
        <f>$T$113</f>
        <v>126</v>
      </c>
      <c r="U72" s="367">
        <f>$T$106</f>
        <v>0.4047</v>
      </c>
      <c r="V72" s="368" t="str">
        <f>$R$114</f>
        <v>1,000</v>
      </c>
      <c r="W72" s="341">
        <f t="shared" ref="W72:W81" si="38">K20</f>
        <v>0</v>
      </c>
      <c r="X72" s="354"/>
      <c r="Y72" s="354"/>
      <c r="Z72" s="354"/>
      <c r="AA72" s="354"/>
      <c r="AB72" s="354"/>
      <c r="AC72" s="354"/>
      <c r="AD72" s="354"/>
      <c r="AE72" s="354"/>
      <c r="AF72" s="377"/>
      <c r="AG72" s="154"/>
    </row>
    <row r="73" spans="18:33" ht="15.75" customHeight="1" x14ac:dyDescent="0.3">
      <c r="R73" s="345">
        <v>2</v>
      </c>
      <c r="S73" s="206">
        <f>T73*U73/V73*W73</f>
        <v>0</v>
      </c>
      <c r="T73" s="345">
        <f t="shared" ref="T73:T81" si="39">$T$113</f>
        <v>126</v>
      </c>
      <c r="U73" s="367">
        <f t="shared" ref="U73:U81" si="40">$T$106</f>
        <v>0.4047</v>
      </c>
      <c r="V73" s="368" t="str">
        <f t="shared" ref="V73:V81" si="41">$R$114</f>
        <v>1,000</v>
      </c>
      <c r="W73" s="341">
        <f t="shared" si="38"/>
        <v>0</v>
      </c>
      <c r="X73" s="354"/>
      <c r="Y73" s="354"/>
      <c r="Z73" s="354"/>
      <c r="AA73" s="354"/>
      <c r="AB73" s="354"/>
      <c r="AC73" s="354"/>
      <c r="AD73" s="354"/>
      <c r="AE73" s="354"/>
      <c r="AF73" s="379"/>
      <c r="AG73" s="154"/>
    </row>
    <row r="74" spans="18:33" ht="15.75" customHeight="1" x14ac:dyDescent="0.3">
      <c r="R74" s="345">
        <v>3</v>
      </c>
      <c r="S74" s="206">
        <f>T74*U74/V74*W74</f>
        <v>0</v>
      </c>
      <c r="T74" s="345">
        <f t="shared" si="39"/>
        <v>126</v>
      </c>
      <c r="U74" s="367">
        <f t="shared" si="40"/>
        <v>0.4047</v>
      </c>
      <c r="V74" s="368" t="str">
        <f t="shared" si="41"/>
        <v>1,000</v>
      </c>
      <c r="W74" s="341">
        <f t="shared" si="38"/>
        <v>0</v>
      </c>
      <c r="X74" s="354"/>
      <c r="Y74" s="354"/>
      <c r="Z74" s="354"/>
      <c r="AA74" s="354"/>
      <c r="AB74" s="354"/>
      <c r="AC74" s="354"/>
      <c r="AD74" s="354"/>
      <c r="AE74" s="354"/>
      <c r="AF74" s="379"/>
      <c r="AG74" s="154"/>
    </row>
    <row r="75" spans="18:33" ht="15.75" customHeight="1" x14ac:dyDescent="0.3">
      <c r="R75" s="345">
        <v>4</v>
      </c>
      <c r="S75" s="206">
        <f>T75*U75/V75*W75</f>
        <v>0</v>
      </c>
      <c r="T75" s="345">
        <f t="shared" si="39"/>
        <v>126</v>
      </c>
      <c r="U75" s="367">
        <f t="shared" si="40"/>
        <v>0.4047</v>
      </c>
      <c r="V75" s="368" t="str">
        <f t="shared" si="41"/>
        <v>1,000</v>
      </c>
      <c r="W75" s="341">
        <f t="shared" si="38"/>
        <v>0</v>
      </c>
      <c r="X75" s="354"/>
      <c r="Y75" s="354"/>
      <c r="Z75" s="354"/>
      <c r="AA75" s="354"/>
      <c r="AB75" s="354"/>
      <c r="AC75" s="354"/>
      <c r="AD75" s="354"/>
      <c r="AE75" s="354"/>
      <c r="AF75" s="379"/>
      <c r="AG75" s="154"/>
    </row>
    <row r="76" spans="18:33" ht="15.75" customHeight="1" x14ac:dyDescent="0.3">
      <c r="R76" s="345">
        <v>5</v>
      </c>
      <c r="S76" s="206">
        <f t="shared" ref="S76:S81" si="42">T76*U76/V76*W76</f>
        <v>0</v>
      </c>
      <c r="T76" s="345">
        <f t="shared" si="39"/>
        <v>126</v>
      </c>
      <c r="U76" s="367">
        <f t="shared" si="40"/>
        <v>0.4047</v>
      </c>
      <c r="V76" s="368" t="str">
        <f t="shared" si="41"/>
        <v>1,000</v>
      </c>
      <c r="W76" s="341">
        <f t="shared" si="38"/>
        <v>0</v>
      </c>
      <c r="X76" s="354"/>
      <c r="Y76" s="354"/>
      <c r="Z76" s="354"/>
      <c r="AA76" s="354"/>
      <c r="AB76" s="354"/>
      <c r="AC76" s="354"/>
      <c r="AD76" s="354"/>
      <c r="AE76" s="354"/>
      <c r="AF76" s="379"/>
      <c r="AG76" s="154"/>
    </row>
    <row r="77" spans="18:33" ht="15.75" customHeight="1" x14ac:dyDescent="0.3">
      <c r="R77" s="345">
        <v>6</v>
      </c>
      <c r="S77" s="206">
        <f t="shared" si="42"/>
        <v>0</v>
      </c>
      <c r="T77" s="345">
        <f t="shared" si="39"/>
        <v>126</v>
      </c>
      <c r="U77" s="367">
        <f t="shared" si="40"/>
        <v>0.4047</v>
      </c>
      <c r="V77" s="368" t="str">
        <f t="shared" si="41"/>
        <v>1,000</v>
      </c>
      <c r="W77" s="341">
        <f t="shared" si="38"/>
        <v>0</v>
      </c>
      <c r="X77" s="354"/>
      <c r="Y77" s="354"/>
      <c r="Z77" s="354"/>
      <c r="AA77" s="354"/>
      <c r="AB77" s="354"/>
      <c r="AC77" s="354"/>
      <c r="AD77" s="354"/>
      <c r="AE77" s="354"/>
      <c r="AF77" s="379"/>
      <c r="AG77" s="154"/>
    </row>
    <row r="78" spans="18:33" ht="15.75" customHeight="1" x14ac:dyDescent="0.3">
      <c r="R78" s="345">
        <v>7</v>
      </c>
      <c r="S78" s="206">
        <f t="shared" si="42"/>
        <v>0</v>
      </c>
      <c r="T78" s="345">
        <f t="shared" si="39"/>
        <v>126</v>
      </c>
      <c r="U78" s="367">
        <f t="shared" si="40"/>
        <v>0.4047</v>
      </c>
      <c r="V78" s="368" t="str">
        <f t="shared" si="41"/>
        <v>1,000</v>
      </c>
      <c r="W78" s="341">
        <f t="shared" si="38"/>
        <v>0</v>
      </c>
      <c r="X78" s="354"/>
      <c r="Y78" s="354"/>
      <c r="Z78" s="354"/>
      <c r="AA78" s="354"/>
      <c r="AB78" s="354"/>
      <c r="AC78" s="354"/>
      <c r="AD78" s="354"/>
      <c r="AE78" s="354"/>
      <c r="AF78" s="379"/>
      <c r="AG78" s="154"/>
    </row>
    <row r="79" spans="18:33" ht="15.75" customHeight="1" x14ac:dyDescent="0.3">
      <c r="R79" s="345">
        <v>8</v>
      </c>
      <c r="S79" s="206">
        <f t="shared" si="42"/>
        <v>0</v>
      </c>
      <c r="T79" s="345">
        <f t="shared" si="39"/>
        <v>126</v>
      </c>
      <c r="U79" s="367">
        <f t="shared" si="40"/>
        <v>0.4047</v>
      </c>
      <c r="V79" s="368" t="str">
        <f t="shared" si="41"/>
        <v>1,000</v>
      </c>
      <c r="W79" s="341">
        <f t="shared" si="38"/>
        <v>0</v>
      </c>
      <c r="X79" s="354"/>
      <c r="Y79" s="354"/>
      <c r="Z79" s="354"/>
      <c r="AA79" s="354"/>
      <c r="AB79" s="354"/>
      <c r="AC79" s="354"/>
      <c r="AD79" s="354"/>
      <c r="AE79" s="354"/>
      <c r="AF79" s="379"/>
      <c r="AG79" s="154"/>
    </row>
    <row r="80" spans="18:33" ht="15.75" customHeight="1" x14ac:dyDescent="0.3">
      <c r="R80" s="345">
        <v>9</v>
      </c>
      <c r="S80" s="206">
        <f t="shared" si="42"/>
        <v>0</v>
      </c>
      <c r="T80" s="345">
        <f t="shared" si="39"/>
        <v>126</v>
      </c>
      <c r="U80" s="367">
        <f t="shared" si="40"/>
        <v>0.4047</v>
      </c>
      <c r="V80" s="368" t="str">
        <f t="shared" si="41"/>
        <v>1,000</v>
      </c>
      <c r="W80" s="341">
        <f t="shared" si="38"/>
        <v>0</v>
      </c>
      <c r="X80" s="354"/>
      <c r="Y80" s="354"/>
      <c r="Z80" s="354"/>
      <c r="AA80" s="354"/>
      <c r="AB80" s="354"/>
      <c r="AC80" s="354"/>
      <c r="AD80" s="354"/>
      <c r="AE80" s="354"/>
      <c r="AF80" s="379"/>
      <c r="AG80" s="154"/>
    </row>
    <row r="81" spans="18:33" ht="15.75" customHeight="1" x14ac:dyDescent="0.3">
      <c r="R81" s="345">
        <v>10</v>
      </c>
      <c r="S81" s="206">
        <f t="shared" si="42"/>
        <v>0</v>
      </c>
      <c r="T81" s="345">
        <f t="shared" si="39"/>
        <v>126</v>
      </c>
      <c r="U81" s="367">
        <f t="shared" si="40"/>
        <v>0.4047</v>
      </c>
      <c r="V81" s="368" t="str">
        <f t="shared" si="41"/>
        <v>1,000</v>
      </c>
      <c r="W81" s="341">
        <f t="shared" si="38"/>
        <v>0</v>
      </c>
      <c r="X81" s="354"/>
      <c r="Y81" s="354"/>
      <c r="Z81" s="354"/>
      <c r="AA81" s="354"/>
      <c r="AB81" s="354"/>
      <c r="AC81" s="354"/>
      <c r="AD81" s="354"/>
      <c r="AE81" s="354"/>
      <c r="AF81" s="379"/>
      <c r="AG81" s="154"/>
    </row>
    <row r="82" spans="18:33" x14ac:dyDescent="0.3">
      <c r="R82" s="345" t="s">
        <v>202</v>
      </c>
      <c r="S82" s="346">
        <f>SUM(S72:S81)</f>
        <v>0</v>
      </c>
      <c r="T82" s="365"/>
      <c r="U82" s="365"/>
      <c r="V82" s="366"/>
      <c r="W82" s="341">
        <f>SUM(W72:W81)</f>
        <v>0</v>
      </c>
      <c r="X82" s="354"/>
      <c r="Y82" s="354"/>
      <c r="Z82" s="354"/>
      <c r="AA82" s="354"/>
      <c r="AB82" s="354"/>
      <c r="AC82" s="354"/>
      <c r="AD82" s="354"/>
      <c r="AE82" s="354"/>
      <c r="AF82" s="379"/>
      <c r="AG82" s="154"/>
    </row>
    <row r="83" spans="18:33" x14ac:dyDescent="0.3">
      <c r="R83" s="354"/>
      <c r="S83" s="354"/>
      <c r="T83" s="354"/>
      <c r="U83" s="354"/>
      <c r="V83" s="354"/>
      <c r="W83" s="354"/>
      <c r="X83" s="354"/>
      <c r="Y83" s="354"/>
      <c r="Z83" s="354"/>
      <c r="AA83" s="354"/>
      <c r="AB83" s="354"/>
      <c r="AC83" s="354"/>
      <c r="AD83" s="354"/>
      <c r="AE83" s="354"/>
      <c r="AF83" s="379"/>
      <c r="AG83" s="154"/>
    </row>
    <row r="84" spans="18:33" x14ac:dyDescent="0.3">
      <c r="R84" s="183" t="s">
        <v>55</v>
      </c>
      <c r="S84" s="183" t="s">
        <v>153</v>
      </c>
      <c r="T84" s="183" t="s">
        <v>57</v>
      </c>
      <c r="U84" s="382" t="s">
        <v>154</v>
      </c>
      <c r="V84" s="377"/>
      <c r="W84" s="377"/>
      <c r="X84" s="377"/>
      <c r="Y84" s="377"/>
      <c r="Z84" s="377"/>
      <c r="AA84" s="377"/>
      <c r="AB84" s="377"/>
      <c r="AC84" s="377"/>
      <c r="AD84" s="377"/>
      <c r="AE84" s="377"/>
      <c r="AF84" s="379"/>
      <c r="AG84" s="154"/>
    </row>
    <row r="85" spans="18:33" ht="16.2" x14ac:dyDescent="0.35">
      <c r="R85" s="373" t="s">
        <v>343</v>
      </c>
      <c r="S85" s="183" t="s">
        <v>155</v>
      </c>
      <c r="T85" s="183"/>
      <c r="U85" s="382" t="s">
        <v>156</v>
      </c>
      <c r="V85" s="379"/>
      <c r="W85" s="379"/>
      <c r="X85" s="379"/>
      <c r="Y85" s="379"/>
      <c r="Z85" s="379"/>
      <c r="AA85" s="379"/>
      <c r="AB85" s="379"/>
      <c r="AC85" s="379"/>
      <c r="AD85" s="379"/>
      <c r="AE85" s="379"/>
      <c r="AF85" s="379"/>
      <c r="AG85" s="154"/>
    </row>
    <row r="86" spans="18:33" ht="15.75" customHeight="1" x14ac:dyDescent="0.35">
      <c r="R86" s="373" t="s">
        <v>344</v>
      </c>
      <c r="S86" s="183" t="s">
        <v>155</v>
      </c>
      <c r="T86" s="183"/>
      <c r="U86" s="382" t="s">
        <v>157</v>
      </c>
      <c r="V86" s="379"/>
      <c r="W86" s="379"/>
      <c r="X86" s="379"/>
      <c r="Y86" s="379"/>
      <c r="Z86" s="379"/>
      <c r="AA86" s="379"/>
      <c r="AB86" s="379"/>
      <c r="AC86" s="379"/>
      <c r="AD86" s="379"/>
      <c r="AE86" s="379"/>
      <c r="AF86" s="379"/>
      <c r="AG86" s="154"/>
    </row>
    <row r="87" spans="18:33" ht="15.75" customHeight="1" x14ac:dyDescent="0.35">
      <c r="R87" s="273" t="s">
        <v>316</v>
      </c>
      <c r="S87" s="183" t="s">
        <v>155</v>
      </c>
      <c r="T87" s="183"/>
      <c r="U87" s="382" t="s">
        <v>158</v>
      </c>
      <c r="V87" s="379"/>
      <c r="W87" s="379"/>
      <c r="X87" s="379"/>
      <c r="Y87" s="379"/>
      <c r="Z87" s="379"/>
      <c r="AA87" s="379"/>
      <c r="AB87" s="379"/>
      <c r="AC87" s="379"/>
      <c r="AD87" s="379"/>
      <c r="AE87" s="379"/>
      <c r="AF87" s="379"/>
      <c r="AG87" s="154"/>
    </row>
    <row r="88" spans="18:33" ht="15.75" customHeight="1" x14ac:dyDescent="0.3">
      <c r="R88" s="374" t="s">
        <v>275</v>
      </c>
      <c r="S88" s="183" t="s">
        <v>159</v>
      </c>
      <c r="T88" s="183">
        <v>298</v>
      </c>
      <c r="U88" s="382" t="s">
        <v>160</v>
      </c>
      <c r="V88" s="379"/>
      <c r="W88" s="379"/>
      <c r="X88" s="379"/>
      <c r="Y88" s="379"/>
      <c r="Z88" s="379"/>
      <c r="AA88" s="379"/>
      <c r="AB88" s="379"/>
      <c r="AC88" s="379"/>
      <c r="AD88" s="379"/>
      <c r="AE88" s="379"/>
      <c r="AF88" s="379"/>
      <c r="AG88" s="154"/>
    </row>
    <row r="89" spans="18:33" ht="15.75" customHeight="1" x14ac:dyDescent="0.35">
      <c r="R89" s="273" t="s">
        <v>359</v>
      </c>
      <c r="S89" s="183" t="s">
        <v>155</v>
      </c>
      <c r="T89" s="183"/>
      <c r="U89" s="382" t="s">
        <v>161</v>
      </c>
      <c r="V89" s="379"/>
      <c r="W89" s="379"/>
      <c r="X89" s="379"/>
      <c r="Y89" s="379"/>
      <c r="Z89" s="379"/>
      <c r="AA89" s="379"/>
      <c r="AB89" s="379"/>
      <c r="AC89" s="379"/>
      <c r="AD89" s="379"/>
      <c r="AE89" s="379"/>
      <c r="AF89" s="379"/>
      <c r="AG89" s="154"/>
    </row>
    <row r="90" spans="18:33" ht="15.75" customHeight="1" x14ac:dyDescent="0.3">
      <c r="R90" s="374" t="s">
        <v>272</v>
      </c>
      <c r="S90" s="183" t="s">
        <v>159</v>
      </c>
      <c r="T90" s="183">
        <v>25</v>
      </c>
      <c r="U90" s="382" t="s">
        <v>162</v>
      </c>
      <c r="V90" s="379"/>
      <c r="W90" s="379"/>
      <c r="X90" s="379"/>
      <c r="Y90" s="379"/>
      <c r="Z90" s="379"/>
      <c r="AA90" s="379"/>
      <c r="AB90" s="379"/>
      <c r="AC90" s="379"/>
      <c r="AD90" s="379"/>
      <c r="AE90" s="379"/>
      <c r="AF90" s="379"/>
      <c r="AG90" s="154"/>
    </row>
    <row r="91" spans="18:33" ht="15.75" customHeight="1" x14ac:dyDescent="0.3">
      <c r="R91" s="374" t="s">
        <v>237</v>
      </c>
      <c r="S91" s="183" t="s">
        <v>159</v>
      </c>
      <c r="T91" s="183">
        <v>50</v>
      </c>
      <c r="U91" s="382" t="s">
        <v>163</v>
      </c>
      <c r="V91" s="379"/>
      <c r="W91" s="379"/>
      <c r="X91" s="379"/>
      <c r="Y91" s="379"/>
      <c r="Z91" s="379"/>
      <c r="AA91" s="379"/>
      <c r="AB91" s="379"/>
      <c r="AC91" s="379"/>
      <c r="AD91" s="379"/>
      <c r="AE91" s="379"/>
      <c r="AF91" s="379"/>
      <c r="AG91" s="154"/>
    </row>
    <row r="92" spans="18:33" ht="15.75" customHeight="1" x14ac:dyDescent="0.35">
      <c r="R92" s="273" t="s">
        <v>276</v>
      </c>
      <c r="S92" s="196" t="s">
        <v>278</v>
      </c>
      <c r="T92" s="196"/>
      <c r="U92" s="286" t="s">
        <v>299</v>
      </c>
      <c r="V92" s="379"/>
      <c r="W92" s="379"/>
      <c r="X92" s="379"/>
      <c r="Y92" s="379"/>
      <c r="Z92" s="379"/>
      <c r="AA92" s="379"/>
      <c r="AB92" s="379"/>
      <c r="AC92" s="379"/>
      <c r="AD92" s="379"/>
      <c r="AE92" s="379"/>
      <c r="AF92" s="379"/>
      <c r="AG92" s="154"/>
    </row>
    <row r="93" spans="18:33" ht="15.75" customHeight="1" x14ac:dyDescent="0.3">
      <c r="R93" s="373" t="s">
        <v>346</v>
      </c>
      <c r="S93" s="183" t="s">
        <v>159</v>
      </c>
      <c r="T93" s="183">
        <v>48</v>
      </c>
      <c r="U93" s="382" t="s">
        <v>164</v>
      </c>
      <c r="V93" s="379"/>
      <c r="W93" s="379"/>
      <c r="X93" s="379"/>
      <c r="Y93" s="379"/>
      <c r="Z93" s="379"/>
      <c r="AA93" s="379"/>
      <c r="AB93" s="379"/>
      <c r="AC93" s="379"/>
      <c r="AD93" s="379"/>
      <c r="AE93" s="379"/>
      <c r="AF93" s="379"/>
      <c r="AG93" s="154"/>
    </row>
    <row r="94" spans="18:33" ht="16.2" x14ac:dyDescent="0.35">
      <c r="R94" s="373" t="s">
        <v>347</v>
      </c>
      <c r="S94" s="183" t="s">
        <v>159</v>
      </c>
      <c r="T94" s="183">
        <v>1.37</v>
      </c>
      <c r="U94" s="382" t="s">
        <v>165</v>
      </c>
      <c r="V94" s="379"/>
      <c r="W94" s="379"/>
      <c r="X94" s="379"/>
      <c r="Y94" s="379"/>
      <c r="Z94" s="379"/>
      <c r="AA94" s="379"/>
      <c r="AB94" s="379"/>
      <c r="AC94" s="379"/>
      <c r="AD94" s="379"/>
      <c r="AE94" s="379"/>
      <c r="AF94" s="379"/>
      <c r="AG94" s="154"/>
    </row>
    <row r="95" spans="18:33" ht="15.75" customHeight="1" x14ac:dyDescent="0.35">
      <c r="R95" s="373" t="s">
        <v>348</v>
      </c>
      <c r="S95" s="183" t="s">
        <v>159</v>
      </c>
      <c r="T95" s="186">
        <v>1.1399999999999999</v>
      </c>
      <c r="U95" s="382" t="s">
        <v>166</v>
      </c>
      <c r="V95" s="379"/>
      <c r="W95" s="379"/>
      <c r="X95" s="379"/>
      <c r="Y95" s="379"/>
      <c r="Z95" s="379"/>
      <c r="AA95" s="379"/>
      <c r="AB95" s="379"/>
      <c r="AC95" s="379"/>
      <c r="AD95" s="379"/>
      <c r="AE95" s="379"/>
      <c r="AF95" s="379"/>
      <c r="AG95" s="154"/>
    </row>
    <row r="96" spans="18:33" ht="15.75" customHeight="1" x14ac:dyDescent="0.35">
      <c r="R96" s="373" t="s">
        <v>349</v>
      </c>
      <c r="S96" s="183" t="s">
        <v>159</v>
      </c>
      <c r="T96" s="186">
        <v>1.1100000000000001</v>
      </c>
      <c r="U96" s="382" t="s">
        <v>167</v>
      </c>
      <c r="V96" s="379"/>
      <c r="W96" s="379"/>
      <c r="X96" s="379"/>
      <c r="Y96" s="379"/>
      <c r="Z96" s="379"/>
      <c r="AA96" s="379"/>
      <c r="AB96" s="379"/>
      <c r="AC96" s="379"/>
      <c r="AD96" s="379"/>
      <c r="AE96" s="379"/>
      <c r="AF96" s="379"/>
      <c r="AG96" s="154"/>
    </row>
    <row r="97" spans="18:33" ht="15.75" customHeight="1" x14ac:dyDescent="0.35">
      <c r="R97" s="373" t="s">
        <v>350</v>
      </c>
      <c r="S97" s="183" t="s">
        <v>44</v>
      </c>
      <c r="T97" s="183"/>
      <c r="U97" s="382" t="s">
        <v>168</v>
      </c>
      <c r="V97" s="379"/>
      <c r="W97" s="379"/>
      <c r="X97" s="379"/>
      <c r="Y97" s="379"/>
      <c r="Z97" s="379"/>
      <c r="AA97" s="379"/>
      <c r="AB97" s="379"/>
      <c r="AC97" s="379"/>
      <c r="AD97" s="379"/>
      <c r="AE97" s="379"/>
      <c r="AF97" s="379"/>
      <c r="AG97" s="154"/>
    </row>
    <row r="98" spans="18:33" ht="15.75" customHeight="1" x14ac:dyDescent="0.35">
      <c r="R98" s="373" t="s">
        <v>256</v>
      </c>
      <c r="S98" s="183" t="s">
        <v>159</v>
      </c>
      <c r="T98" s="370" t="s">
        <v>302</v>
      </c>
      <c r="U98" s="382" t="s">
        <v>323</v>
      </c>
      <c r="V98" s="379"/>
      <c r="W98" s="379"/>
      <c r="X98" s="379"/>
      <c r="Y98" s="379"/>
      <c r="Z98" s="379"/>
      <c r="AA98" s="379"/>
      <c r="AB98" s="379"/>
      <c r="AC98" s="379"/>
      <c r="AD98" s="379"/>
      <c r="AE98" s="379"/>
      <c r="AF98" s="381"/>
      <c r="AG98" s="154"/>
    </row>
    <row r="99" spans="18:33" ht="15.75" customHeight="1" x14ac:dyDescent="0.35">
      <c r="R99" s="373" t="s">
        <v>352</v>
      </c>
      <c r="S99" s="183" t="s">
        <v>44</v>
      </c>
      <c r="T99" s="183"/>
      <c r="U99" s="382" t="s">
        <v>169</v>
      </c>
      <c r="V99" s="379"/>
      <c r="W99" s="379"/>
      <c r="X99" s="379"/>
      <c r="Y99" s="379"/>
      <c r="Z99" s="379"/>
      <c r="AA99" s="379"/>
      <c r="AB99" s="379"/>
      <c r="AC99" s="379"/>
      <c r="AD99" s="379"/>
      <c r="AE99" s="379"/>
      <c r="AF99" s="381"/>
      <c r="AG99" s="154"/>
    </row>
    <row r="100" spans="18:33" ht="15.75" customHeight="1" x14ac:dyDescent="0.35">
      <c r="R100" s="373" t="s">
        <v>353</v>
      </c>
      <c r="S100" s="183" t="s">
        <v>159</v>
      </c>
      <c r="T100" s="186">
        <v>0.95</v>
      </c>
      <c r="U100" s="382" t="s">
        <v>170</v>
      </c>
      <c r="V100" s="379"/>
      <c r="W100" s="379"/>
      <c r="X100" s="379"/>
      <c r="Y100" s="379"/>
      <c r="Z100" s="379"/>
      <c r="AA100" s="379"/>
      <c r="AB100" s="379"/>
      <c r="AC100" s="379"/>
      <c r="AD100" s="379"/>
      <c r="AE100" s="379"/>
      <c r="AF100" s="381"/>
      <c r="AG100" s="154"/>
    </row>
    <row r="101" spans="18:33" ht="15.75" customHeight="1" x14ac:dyDescent="0.35">
      <c r="R101" s="373" t="s">
        <v>355</v>
      </c>
      <c r="S101" s="183" t="s">
        <v>44</v>
      </c>
      <c r="T101" s="183"/>
      <c r="U101" s="382" t="s">
        <v>171</v>
      </c>
      <c r="V101" s="379"/>
      <c r="W101" s="379"/>
      <c r="X101" s="379"/>
      <c r="Y101" s="379"/>
      <c r="Z101" s="379"/>
      <c r="AA101" s="379"/>
      <c r="AB101" s="379"/>
      <c r="AC101" s="379"/>
      <c r="AD101" s="379"/>
      <c r="AE101" s="379"/>
      <c r="AF101" s="379"/>
      <c r="AG101" s="154"/>
    </row>
    <row r="102" spans="18:33" ht="15.75" customHeight="1" x14ac:dyDescent="0.35">
      <c r="R102" s="373" t="s">
        <v>354</v>
      </c>
      <c r="S102" s="183" t="s">
        <v>159</v>
      </c>
      <c r="T102" s="183">
        <v>0.7</v>
      </c>
      <c r="U102" s="382" t="s">
        <v>172</v>
      </c>
      <c r="V102" s="379"/>
      <c r="W102" s="379"/>
      <c r="X102" s="379"/>
      <c r="Y102" s="379"/>
      <c r="Z102" s="379"/>
      <c r="AA102" s="379"/>
      <c r="AB102" s="379"/>
      <c r="AC102" s="379"/>
      <c r="AD102" s="379"/>
      <c r="AE102" s="379"/>
      <c r="AF102" s="381"/>
      <c r="AG102" s="154"/>
    </row>
    <row r="103" spans="18:33" ht="15.75" customHeight="1" x14ac:dyDescent="0.35">
      <c r="R103" s="373" t="s">
        <v>355</v>
      </c>
      <c r="S103" s="183" t="s">
        <v>44</v>
      </c>
      <c r="T103" s="183"/>
      <c r="U103" s="382" t="s">
        <v>173</v>
      </c>
      <c r="V103" s="379"/>
      <c r="W103" s="379"/>
      <c r="X103" s="379"/>
      <c r="Y103" s="379"/>
      <c r="Z103" s="379"/>
      <c r="AA103" s="379"/>
      <c r="AB103" s="379"/>
      <c r="AC103" s="379"/>
      <c r="AD103" s="379"/>
      <c r="AE103" s="379"/>
      <c r="AF103" s="379"/>
      <c r="AG103" s="154"/>
    </row>
    <row r="104" spans="18:33" ht="15.75" customHeight="1" x14ac:dyDescent="0.35">
      <c r="R104" s="373" t="s">
        <v>356</v>
      </c>
      <c r="S104" s="183" t="s">
        <v>159</v>
      </c>
      <c r="T104" s="183">
        <v>1</v>
      </c>
      <c r="U104" s="382" t="s">
        <v>174</v>
      </c>
      <c r="V104" s="381"/>
      <c r="W104" s="381"/>
      <c r="X104" s="381"/>
      <c r="Y104" s="381"/>
      <c r="Z104" s="381"/>
      <c r="AA104" s="381"/>
      <c r="AB104" s="381"/>
      <c r="AC104" s="381"/>
      <c r="AD104" s="381"/>
      <c r="AE104" s="381"/>
      <c r="AF104" s="379"/>
      <c r="AG104" s="154"/>
    </row>
    <row r="105" spans="18:33" ht="16.2" x14ac:dyDescent="0.35">
      <c r="R105" s="373" t="s">
        <v>357</v>
      </c>
      <c r="S105" s="183" t="s">
        <v>44</v>
      </c>
      <c r="T105" s="183"/>
      <c r="U105" s="382" t="s">
        <v>175</v>
      </c>
      <c r="V105" s="381"/>
      <c r="W105" s="381"/>
      <c r="X105" s="381"/>
      <c r="Y105" s="381"/>
      <c r="Z105" s="381"/>
      <c r="AA105" s="381"/>
      <c r="AB105" s="381"/>
      <c r="AC105" s="381"/>
      <c r="AD105" s="381"/>
      <c r="AE105" s="381"/>
      <c r="AF105" s="379"/>
      <c r="AG105" s="154"/>
    </row>
    <row r="106" spans="18:33" x14ac:dyDescent="0.3">
      <c r="R106" s="374" t="s">
        <v>249</v>
      </c>
      <c r="S106" s="183" t="s">
        <v>176</v>
      </c>
      <c r="T106" s="183">
        <v>0.4047</v>
      </c>
      <c r="U106" s="382" t="s">
        <v>177</v>
      </c>
      <c r="V106" s="381"/>
      <c r="W106" s="381"/>
      <c r="X106" s="381"/>
      <c r="Y106" s="381"/>
      <c r="Z106" s="381"/>
      <c r="AA106" s="381"/>
      <c r="AB106" s="381"/>
      <c r="AC106" s="381"/>
      <c r="AD106" s="381"/>
      <c r="AE106" s="381"/>
      <c r="AF106" s="379"/>
      <c r="AG106" s="154"/>
    </row>
    <row r="107" spans="18:33" x14ac:dyDescent="0.3">
      <c r="R107" s="374" t="s">
        <v>236</v>
      </c>
      <c r="S107" s="183" t="s">
        <v>176</v>
      </c>
      <c r="T107" s="383">
        <f>44/12</f>
        <v>3.6666666666666665</v>
      </c>
      <c r="U107" s="382" t="s">
        <v>178</v>
      </c>
      <c r="V107" s="379"/>
      <c r="W107" s="379"/>
      <c r="X107" s="379"/>
      <c r="Y107" s="379"/>
      <c r="Z107" s="379"/>
      <c r="AA107" s="379"/>
      <c r="AB107" s="379"/>
      <c r="AC107" s="379"/>
      <c r="AD107" s="379"/>
      <c r="AE107" s="379"/>
      <c r="AF107" s="379"/>
      <c r="AG107" s="154"/>
    </row>
    <row r="108" spans="18:33" ht="15.75" customHeight="1" x14ac:dyDescent="0.3">
      <c r="R108" s="275" t="s">
        <v>265</v>
      </c>
      <c r="S108" s="183" t="s">
        <v>159</v>
      </c>
      <c r="T108" s="183">
        <v>0.01</v>
      </c>
      <c r="U108" s="382" t="s">
        <v>320</v>
      </c>
      <c r="V108" s="381"/>
      <c r="W108" s="381"/>
      <c r="X108" s="381"/>
      <c r="Y108" s="381"/>
      <c r="Z108" s="381"/>
      <c r="AA108" s="381"/>
      <c r="AB108" s="381"/>
      <c r="AC108" s="381"/>
      <c r="AD108" s="381"/>
      <c r="AE108" s="381"/>
      <c r="AF108" s="379"/>
      <c r="AG108" s="154"/>
    </row>
    <row r="109" spans="18:33" ht="15.75" customHeight="1" x14ac:dyDescent="0.35">
      <c r="R109" s="273" t="s">
        <v>268</v>
      </c>
      <c r="S109" s="183" t="s">
        <v>44</v>
      </c>
      <c r="T109" s="183"/>
      <c r="U109" s="382" t="s">
        <v>179</v>
      </c>
      <c r="V109" s="379"/>
      <c r="W109" s="379"/>
      <c r="X109" s="379"/>
      <c r="Y109" s="379"/>
      <c r="Z109" s="379"/>
      <c r="AA109" s="379"/>
      <c r="AB109" s="379"/>
      <c r="AC109" s="379"/>
      <c r="AD109" s="379"/>
      <c r="AE109" s="379"/>
      <c r="AF109" s="154"/>
      <c r="AG109" s="154"/>
    </row>
    <row r="110" spans="18:33" ht="15.75" customHeight="1" x14ac:dyDescent="0.35">
      <c r="R110" s="273" t="s">
        <v>267</v>
      </c>
      <c r="S110" s="183" t="s">
        <v>44</v>
      </c>
      <c r="T110" s="183"/>
      <c r="U110" s="382" t="s">
        <v>180</v>
      </c>
      <c r="V110" s="379"/>
      <c r="W110" s="379"/>
      <c r="X110" s="379"/>
      <c r="Y110" s="379"/>
      <c r="Z110" s="379"/>
      <c r="AA110" s="379"/>
      <c r="AB110" s="379"/>
      <c r="AC110" s="379"/>
      <c r="AD110" s="379"/>
      <c r="AE110" s="379"/>
      <c r="AF110" s="154"/>
      <c r="AG110" s="154"/>
    </row>
    <row r="111" spans="18:33" ht="15.75" customHeight="1" x14ac:dyDescent="0.3">
      <c r="R111" s="275" t="s">
        <v>361</v>
      </c>
      <c r="S111" s="183" t="s">
        <v>176</v>
      </c>
      <c r="T111" s="183">
        <v>2204.62</v>
      </c>
      <c r="U111" s="382" t="s">
        <v>181</v>
      </c>
      <c r="V111" s="379"/>
      <c r="W111" s="379"/>
      <c r="X111" s="379"/>
      <c r="Y111" s="379"/>
      <c r="Z111" s="379"/>
      <c r="AA111" s="379"/>
      <c r="AB111" s="379"/>
      <c r="AC111" s="379"/>
      <c r="AD111" s="379"/>
      <c r="AE111" s="379"/>
      <c r="AF111" s="154"/>
      <c r="AG111" s="154"/>
    </row>
    <row r="112" spans="18:33" ht="15.75" customHeight="1" x14ac:dyDescent="0.3">
      <c r="R112" s="275" t="s">
        <v>243</v>
      </c>
      <c r="S112" s="183" t="s">
        <v>176</v>
      </c>
      <c r="T112" s="384">
        <f>44/28</f>
        <v>1.5714285714285714</v>
      </c>
      <c r="U112" s="382" t="s">
        <v>182</v>
      </c>
      <c r="V112" s="379"/>
      <c r="W112" s="379"/>
      <c r="X112" s="379"/>
      <c r="Y112" s="379"/>
      <c r="Z112" s="379"/>
      <c r="AA112" s="379"/>
      <c r="AB112" s="379"/>
      <c r="AC112" s="379"/>
      <c r="AD112" s="379"/>
      <c r="AE112" s="379"/>
      <c r="AF112" s="154"/>
      <c r="AG112" s="154"/>
    </row>
    <row r="113" spans="18:33" ht="15.75" customHeight="1" x14ac:dyDescent="0.3">
      <c r="R113" s="385" t="s">
        <v>358</v>
      </c>
      <c r="S113" s="183" t="s">
        <v>159</v>
      </c>
      <c r="T113" s="183">
        <v>126</v>
      </c>
      <c r="U113" s="382" t="s">
        <v>360</v>
      </c>
      <c r="V113" s="379"/>
      <c r="W113" s="379"/>
      <c r="X113" s="379"/>
      <c r="Y113" s="379"/>
      <c r="Z113" s="379"/>
      <c r="AA113" s="379"/>
      <c r="AB113" s="379"/>
      <c r="AC113" s="379"/>
      <c r="AD113" s="379"/>
      <c r="AE113" s="379"/>
      <c r="AF113" s="154"/>
      <c r="AG113" s="154"/>
    </row>
    <row r="114" spans="18:33" ht="15.75" customHeight="1" x14ac:dyDescent="0.3">
      <c r="R114" s="386" t="s">
        <v>250</v>
      </c>
      <c r="S114" s="183" t="s">
        <v>176</v>
      </c>
      <c r="T114" s="183">
        <v>1000</v>
      </c>
      <c r="U114" s="194" t="s">
        <v>183</v>
      </c>
      <c r="V114" s="380"/>
      <c r="W114" s="380"/>
      <c r="X114" s="380"/>
      <c r="Y114" s="380"/>
      <c r="Z114" s="380"/>
      <c r="AA114" s="380"/>
      <c r="AB114" s="380"/>
      <c r="AC114" s="380"/>
      <c r="AD114" s="380"/>
      <c r="AE114" s="380"/>
    </row>
    <row r="115" spans="18:33" ht="15.75" customHeight="1" x14ac:dyDescent="0.3"/>
  </sheetData>
  <sheetProtection algorithmName="SHA-512" hashValue="+jRYzHpWsk0oUeS397Jm5PJyhR5/9x7dO1YzkSsll3U4XvMba2vcrAhLB3HVyO5IXrWam1Sdtvvzcg1UVB8Xcw==" saltValue="ufKpLm+H5zRrGQ07ZqzlbA==" spinCount="100000" sheet="1" objects="1" scenarios="1"/>
  <conditionalFormatting sqref="O20:O29">
    <cfRule type="expression" dxfId="85" priority="28">
      <formula>P20="N/A"</formula>
    </cfRule>
  </conditionalFormatting>
  <conditionalFormatting sqref="P20:P29 J20:J29">
    <cfRule type="expression" dxfId="84" priority="27">
      <formula>J20="N/A"</formula>
    </cfRule>
  </conditionalFormatting>
  <conditionalFormatting sqref="I20:I29">
    <cfRule type="expression" dxfId="83" priority="23">
      <formula>J20="N/A"</formula>
    </cfRule>
  </conditionalFormatting>
  <conditionalFormatting sqref="C20:C29">
    <cfRule type="expression" dxfId="82" priority="20">
      <formula>D20="Optional"</formula>
    </cfRule>
  </conditionalFormatting>
  <conditionalFormatting sqref="D20:D29 F20:F29 H20:H29 L20:L29 N20:N29">
    <cfRule type="expression" dxfId="81" priority="19">
      <formula>D20="Optional"</formula>
    </cfRule>
  </conditionalFormatting>
  <conditionalFormatting sqref="E20:E29">
    <cfRule type="expression" dxfId="80" priority="18">
      <formula>F20="Optional"</formula>
    </cfRule>
  </conditionalFormatting>
  <conditionalFormatting sqref="G20:G29">
    <cfRule type="expression" dxfId="79" priority="16">
      <formula>H20="Optional"</formula>
    </cfRule>
  </conditionalFormatting>
  <conditionalFormatting sqref="K20:K29">
    <cfRule type="expression" dxfId="78" priority="14">
      <formula>L20="Optional"</formula>
    </cfRule>
  </conditionalFormatting>
  <conditionalFormatting sqref="M20:M29">
    <cfRule type="expression" dxfId="77" priority="10">
      <formula>N20="Optional"</formula>
    </cfRule>
  </conditionalFormatting>
  <conditionalFormatting sqref="B19:P29">
    <cfRule type="expression" dxfId="76" priority="8">
      <formula>NOT($B$15="")</formula>
    </cfRule>
  </conditionalFormatting>
  <conditionalFormatting sqref="B33:J34 B35:H37 J35:J37">
    <cfRule type="expression" dxfId="75" priority="3">
      <formula>NOT($B$15="")</formula>
    </cfRule>
  </conditionalFormatting>
  <conditionalFormatting sqref="I35:I37">
    <cfRule type="expression" dxfId="74" priority="1">
      <formula>NOT($B$15="")</formula>
    </cfRule>
  </conditionalFormatting>
  <dataValidations count="3">
    <dataValidation type="decimal" operator="greaterThanOrEqual" allowBlank="1" showInputMessage="1" showErrorMessage="1" sqref="C20:C29 M20:M29 I20:I29 G20:G29 E20:E29" xr:uid="{00000000-0002-0000-0600-000000000000}">
      <formula1>0</formula1>
    </dataValidation>
    <dataValidation type="decimal" operator="greaterThan" allowBlank="1" showInputMessage="1" showErrorMessage="1" sqref="K20:K29" xr:uid="{00000000-0002-0000-0600-000001000000}">
      <formula1>0</formula1>
    </dataValidation>
    <dataValidation type="list" operator="greaterThanOrEqual" allowBlank="1" showInputMessage="1" showErrorMessage="1" sqref="O20:O29" xr:uid="{00000000-0002-0000-0600-000002000000}">
      <formula1>$AN$37:$AN$48</formula1>
    </dataValidation>
  </dataValidations>
  <hyperlinks>
    <hyperlink ref="B12" r:id="rId1" tooltip="Link to SoilWeb Tool" xr:uid="{00000000-0004-0000-0600-000000000000}"/>
    <hyperlink ref="B10" r:id="rId2" tooltip="Link to Land Restoration Benefits Tool User Guide" xr:uid="{00000000-0004-0000-0600-000001000000}"/>
  </hyperlinks>
  <pageMargins left="0.7" right="0.7" top="0.75" bottom="0.75" header="0.3" footer="0.3"/>
  <pageSetup orientation="portrait" r:id="rId3"/>
  <ignoredErrors>
    <ignoredError sqref="R88:R110 R112:R114" numberStoredAsText="1"/>
  </ignoredErrors>
  <drawing r:id="rId4"/>
  <legacyDrawing r:id="rId5"/>
  <tableParts count="1">
    <tablePart r:id="rId6"/>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B1:Y41"/>
  <sheetViews>
    <sheetView showGridLines="0" zoomScaleNormal="100" workbookViewId="0"/>
  </sheetViews>
  <sheetFormatPr defaultColWidth="9.109375" defaultRowHeight="15.6" x14ac:dyDescent="0.3"/>
  <cols>
    <col min="1" max="1" width="2.88671875" style="2" customWidth="1"/>
    <col min="2" max="2" width="11.6640625" style="2" customWidth="1"/>
    <col min="3" max="3" width="15" style="2" customWidth="1"/>
    <col min="4" max="4" width="10.6640625" style="5" customWidth="1"/>
    <col min="5" max="5" width="14.44140625" style="2" customWidth="1"/>
    <col min="6" max="6" width="10.6640625" style="5" customWidth="1"/>
    <col min="7" max="7" width="14.5546875" style="5" customWidth="1"/>
    <col min="8" max="8" width="10.6640625" style="5" customWidth="1"/>
    <col min="9" max="9" width="15.109375" style="2" customWidth="1"/>
    <col min="10" max="10" width="10.88671875" style="2" customWidth="1"/>
    <col min="11" max="11" width="2.88671875" style="2" customWidth="1"/>
    <col min="12" max="12" width="19" style="2" customWidth="1"/>
    <col min="13" max="16" width="10.109375" style="2" customWidth="1"/>
    <col min="17" max="17" width="10.88671875" style="2" customWidth="1"/>
    <col min="18" max="18" width="14.5546875" style="2" customWidth="1"/>
    <col min="19" max="19" width="10.88671875" style="2" customWidth="1"/>
    <col min="20" max="20" width="20.109375" style="2" customWidth="1"/>
    <col min="21" max="21" width="10.88671875" style="2" customWidth="1"/>
    <col min="22" max="22" width="16.109375" style="2" customWidth="1"/>
    <col min="23" max="23" width="10.6640625" style="2" customWidth="1"/>
    <col min="24" max="24" width="12" style="2" customWidth="1"/>
    <col min="25" max="25" width="10.88671875" style="2" customWidth="1"/>
    <col min="26" max="16384" width="9.109375" style="2"/>
  </cols>
  <sheetData>
    <row r="1" spans="2:25" ht="21" x14ac:dyDescent="0.4">
      <c r="B1" s="140" t="str">
        <f>'Read Me'!B1</f>
        <v>California Air Resources Board</v>
      </c>
      <c r="C1" s="36"/>
      <c r="D1" s="39"/>
      <c r="E1" s="36"/>
      <c r="F1" s="39"/>
      <c r="G1" s="39"/>
      <c r="H1" s="39"/>
      <c r="I1" s="36"/>
      <c r="J1" s="36"/>
      <c r="K1" s="36"/>
      <c r="L1" s="36"/>
    </row>
    <row r="2" spans="2:25" ht="21" x14ac:dyDescent="0.4">
      <c r="B2" s="140"/>
      <c r="C2" s="36"/>
      <c r="D2" s="39"/>
      <c r="E2" s="36"/>
      <c r="F2" s="39"/>
      <c r="G2" s="39"/>
      <c r="H2" s="39"/>
      <c r="I2" s="36"/>
      <c r="J2" s="36"/>
      <c r="K2" s="36"/>
      <c r="L2" s="36"/>
    </row>
    <row r="3" spans="2:25" ht="21" x14ac:dyDescent="0.4">
      <c r="B3" s="140" t="str">
        <f>'Read Me'!B3</f>
        <v>Revised Draft Benefits Calculator Tool</v>
      </c>
      <c r="C3" s="36"/>
      <c r="D3" s="39"/>
      <c r="E3" s="36"/>
      <c r="F3" s="39"/>
      <c r="G3" s="39"/>
      <c r="H3" s="39"/>
      <c r="I3" s="36"/>
      <c r="J3" s="36"/>
      <c r="K3" s="36"/>
      <c r="L3" s="36"/>
    </row>
    <row r="4" spans="2:25" ht="21" x14ac:dyDescent="0.4">
      <c r="B4" s="140" t="s">
        <v>33</v>
      </c>
      <c r="C4" s="36"/>
      <c r="D4" s="39"/>
      <c r="E4" s="36"/>
      <c r="F4" s="39"/>
      <c r="G4" s="39"/>
      <c r="H4" s="39"/>
      <c r="I4" s="36"/>
      <c r="J4" s="36"/>
      <c r="K4" s="36"/>
      <c r="L4" s="36"/>
    </row>
    <row r="5" spans="2:25" ht="21" x14ac:dyDescent="0.4">
      <c r="B5" s="140"/>
      <c r="C5" s="36"/>
      <c r="D5" s="39"/>
      <c r="E5" s="36"/>
      <c r="F5" s="39"/>
      <c r="G5" s="39"/>
      <c r="H5" s="39"/>
      <c r="I5" s="36"/>
      <c r="J5" s="36"/>
      <c r="K5" s="36"/>
      <c r="L5" s="36"/>
    </row>
    <row r="6" spans="2:25" ht="21" x14ac:dyDescent="0.4">
      <c r="B6" s="140" t="str">
        <f>'Read Me'!B6</f>
        <v xml:space="preserve">California Climate Investments </v>
      </c>
      <c r="C6" s="36"/>
      <c r="D6" s="39"/>
      <c r="E6" s="36"/>
      <c r="F6" s="39"/>
      <c r="G6" s="39"/>
      <c r="H6" s="39"/>
      <c r="I6" s="36"/>
      <c r="J6" s="36"/>
      <c r="K6" s="36"/>
      <c r="L6" s="36"/>
    </row>
    <row r="7" spans="2:25" x14ac:dyDescent="0.3">
      <c r="B7" s="36"/>
      <c r="C7" s="36"/>
      <c r="D7" s="39"/>
      <c r="E7" s="36"/>
      <c r="F7" s="39"/>
      <c r="G7" s="39"/>
      <c r="H7" s="39"/>
      <c r="I7" s="36"/>
      <c r="J7" s="36"/>
    </row>
    <row r="8" spans="2:25" ht="16.2" thickBot="1" x14ac:dyDescent="0.35">
      <c r="B8" s="1" t="s">
        <v>8</v>
      </c>
      <c r="F8" s="7"/>
      <c r="G8" s="7"/>
      <c r="H8" s="7"/>
      <c r="I8" s="3"/>
      <c r="J8" s="3"/>
      <c r="M8" s="3"/>
    </row>
    <row r="9" spans="2:25" ht="15" customHeight="1" x14ac:dyDescent="0.3">
      <c r="B9" s="134" t="s">
        <v>114</v>
      </c>
      <c r="C9" s="128"/>
      <c r="D9" s="129"/>
      <c r="E9" s="128"/>
      <c r="F9" s="129"/>
      <c r="G9" s="129"/>
      <c r="H9" s="129"/>
      <c r="I9" s="128"/>
      <c r="J9" s="130"/>
      <c r="L9" s="146" t="s">
        <v>27</v>
      </c>
      <c r="M9" s="147"/>
      <c r="N9" s="147"/>
      <c r="O9" s="147"/>
      <c r="P9" s="148"/>
    </row>
    <row r="10" spans="2:25" ht="15" customHeight="1" x14ac:dyDescent="0.3">
      <c r="B10" s="614" t="s">
        <v>539</v>
      </c>
      <c r="C10" s="131"/>
      <c r="D10" s="132"/>
      <c r="E10" s="131"/>
      <c r="F10" s="132"/>
      <c r="G10" s="132"/>
      <c r="H10" s="132"/>
      <c r="I10" s="131"/>
      <c r="J10" s="133"/>
      <c r="L10" s="136" t="s">
        <v>18</v>
      </c>
      <c r="M10" s="63" t="s">
        <v>22</v>
      </c>
      <c r="N10" s="63"/>
      <c r="O10" s="63"/>
      <c r="P10" s="64"/>
    </row>
    <row r="11" spans="2:25" ht="15" customHeight="1" x14ac:dyDescent="0.3">
      <c r="D11" s="2"/>
      <c r="F11" s="2"/>
      <c r="G11" s="2"/>
      <c r="H11" s="2"/>
      <c r="L11" s="137" t="s">
        <v>19</v>
      </c>
      <c r="M11" s="63" t="s">
        <v>23</v>
      </c>
      <c r="N11" s="63"/>
      <c r="O11" s="63"/>
      <c r="P11" s="64"/>
    </row>
    <row r="12" spans="2:25" ht="15" customHeight="1" x14ac:dyDescent="0.3">
      <c r="B12" s="141" t="s">
        <v>128</v>
      </c>
      <c r="C12" s="142"/>
      <c r="D12" s="142"/>
      <c r="E12" s="142"/>
      <c r="F12" s="142"/>
      <c r="G12" s="142"/>
      <c r="H12" s="142"/>
      <c r="I12" s="142"/>
      <c r="J12" s="143"/>
      <c r="L12" s="138" t="s">
        <v>20</v>
      </c>
      <c r="M12" s="63" t="s">
        <v>26</v>
      </c>
      <c r="N12" s="63"/>
      <c r="O12" s="63"/>
      <c r="P12" s="64"/>
    </row>
    <row r="13" spans="2:25" ht="15" customHeight="1" thickBot="1" x14ac:dyDescent="0.35">
      <c r="B13" s="573" t="s">
        <v>117</v>
      </c>
      <c r="C13" s="548"/>
      <c r="D13" s="548"/>
      <c r="E13" s="548"/>
      <c r="F13" s="548"/>
      <c r="G13" s="548"/>
      <c r="H13" s="548"/>
      <c r="I13" s="548"/>
      <c r="J13" s="574"/>
      <c r="L13" s="139" t="s">
        <v>21</v>
      </c>
      <c r="M13" s="67" t="s">
        <v>25</v>
      </c>
      <c r="N13" s="67"/>
      <c r="O13" s="67"/>
      <c r="P13" s="68"/>
    </row>
    <row r="14" spans="2:25" ht="15" customHeight="1" x14ac:dyDescent="0.3">
      <c r="B14" s="549" t="s">
        <v>536</v>
      </c>
      <c r="C14" s="548"/>
      <c r="D14" s="548"/>
      <c r="E14" s="548"/>
      <c r="F14" s="548"/>
      <c r="G14" s="548"/>
      <c r="H14" s="548"/>
      <c r="I14" s="548"/>
      <c r="J14" s="574"/>
      <c r="L14" s="70" t="s">
        <v>24</v>
      </c>
      <c r="M14" s="72"/>
      <c r="N14" s="72"/>
      <c r="O14" s="72"/>
      <c r="P14" s="72"/>
    </row>
    <row r="15" spans="2:25" ht="15" customHeight="1" x14ac:dyDescent="0.3">
      <c r="B15" s="575" t="s">
        <v>107</v>
      </c>
      <c r="C15" s="144"/>
      <c r="D15" s="144"/>
      <c r="E15" s="144"/>
      <c r="F15" s="144"/>
      <c r="G15" s="144"/>
      <c r="H15" s="144"/>
      <c r="I15" s="144"/>
      <c r="J15" s="145"/>
      <c r="L15" s="4"/>
      <c r="M15" s="4"/>
      <c r="N15" s="3"/>
    </row>
    <row r="16" spans="2:25" ht="15" customHeight="1" x14ac:dyDescent="0.3">
      <c r="D16" s="2"/>
      <c r="F16" s="2"/>
      <c r="G16" s="2"/>
      <c r="H16" s="2"/>
      <c r="U16" s="70"/>
      <c r="V16" s="72"/>
      <c r="W16" s="72"/>
      <c r="X16" s="72"/>
      <c r="Y16" s="72"/>
    </row>
    <row r="17" spans="2:11" ht="15" customHeight="1" x14ac:dyDescent="0.3">
      <c r="B17" s="51" t="s">
        <v>50</v>
      </c>
      <c r="C17" s="4"/>
      <c r="D17" s="6"/>
      <c r="E17" s="4"/>
      <c r="F17" s="6"/>
      <c r="G17" s="6"/>
      <c r="H17" s="6"/>
      <c r="I17" s="4"/>
      <c r="J17" s="4"/>
      <c r="K17" s="4"/>
    </row>
    <row r="19" spans="2:11" ht="63" thickBot="1" x14ac:dyDescent="0.35">
      <c r="B19" s="152" t="s">
        <v>129</v>
      </c>
      <c r="C19" s="118" t="s">
        <v>118</v>
      </c>
      <c r="D19" s="9" t="s">
        <v>84</v>
      </c>
      <c r="E19" s="118" t="s">
        <v>119</v>
      </c>
      <c r="F19" s="9" t="s">
        <v>86</v>
      </c>
      <c r="G19" s="118" t="s">
        <v>130</v>
      </c>
      <c r="H19" s="9" t="s">
        <v>120</v>
      </c>
      <c r="I19" s="118" t="s">
        <v>121</v>
      </c>
      <c r="J19" s="8" t="s">
        <v>87</v>
      </c>
      <c r="K19" s="150"/>
    </row>
    <row r="20" spans="2:11" ht="16.2" thickTop="1" x14ac:dyDescent="0.3">
      <c r="B20" s="153">
        <v>1</v>
      </c>
      <c r="C20" s="155"/>
      <c r="D20" s="120" t="str">
        <f t="shared" ref="D20:D39" si="0">IF(ISBLANK(C20),IF(OR(NOT(ISBLANK(C20)),NOT(ISBLANK(E20)),NOT(ISBLANK(G20)),NOT(ISBLANK(I20))),"Required","Optional"),"trees")</f>
        <v>Optional</v>
      </c>
      <c r="E20" s="610"/>
      <c r="F20" s="120" t="str">
        <f t="shared" ref="F20:F39" si="1">IF(ISBLANK(E20),IF(OR(NOT(ISBLANK(C20)),NOT(ISBLANK(E20)),NOT(ISBLANK(G20)),NOT(ISBLANK(I20))),"Required","Optional"),"lbs")</f>
        <v>Optional</v>
      </c>
      <c r="G20" s="155"/>
      <c r="H20" s="120" t="str">
        <f t="shared" ref="H20:H39" si="2">IF(ISBLANK(G20),IF(OR(NOT(ISBLANK(C20)),NOT(ISBLANK(E20)),NOT(ISBLANK(G20)),NOT(ISBLANK(I20))),"Required","Optional"),"lbs")</f>
        <v>Optional</v>
      </c>
      <c r="I20" s="155"/>
      <c r="J20" s="124" t="str">
        <f t="shared" ref="J20:J39" si="3">IF(ISBLANK(I20),IF(OR(NOT(ISBLANK(C20)),NOT(ISBLANK(E20)),NOT(ISBLANK(G20)),NOT(ISBLANK(I20))),"Required","Optional"),"lbs")</f>
        <v>Optional</v>
      </c>
    </row>
    <row r="21" spans="2:11" x14ac:dyDescent="0.3">
      <c r="B21" s="99">
        <v>2</v>
      </c>
      <c r="C21" s="157"/>
      <c r="D21" s="121" t="str">
        <f t="shared" si="0"/>
        <v>Optional</v>
      </c>
      <c r="E21" s="609"/>
      <c r="F21" s="179" t="str">
        <f t="shared" si="1"/>
        <v>Optional</v>
      </c>
      <c r="G21" s="155"/>
      <c r="H21" s="120" t="str">
        <f t="shared" si="2"/>
        <v>Optional</v>
      </c>
      <c r="I21" s="155"/>
      <c r="J21" s="124" t="str">
        <f t="shared" si="3"/>
        <v>Optional</v>
      </c>
    </row>
    <row r="22" spans="2:11" x14ac:dyDescent="0.3">
      <c r="B22" s="99">
        <v>3</v>
      </c>
      <c r="C22" s="157"/>
      <c r="D22" s="121" t="str">
        <f t="shared" ref="D22:D26" si="4">IF(ISBLANK(C22),IF(OR(NOT(ISBLANK(C22)),NOT(ISBLANK(E22)),NOT(ISBLANK(G22)),NOT(ISBLANK(I22))),"Required","Optional"),"trees")</f>
        <v>Optional</v>
      </c>
      <c r="E22" s="155"/>
      <c r="F22" s="179" t="str">
        <f t="shared" si="1"/>
        <v>Optional</v>
      </c>
      <c r="G22" s="155"/>
      <c r="H22" s="121" t="str">
        <f t="shared" ref="H22:H26" si="5">IF(ISBLANK(G22),IF(OR(NOT(ISBLANK(C22)),NOT(ISBLANK(E22)),NOT(ISBLANK(G22)),NOT(ISBLANK(I22))),"Required","Optional"),"lbs")</f>
        <v>Optional</v>
      </c>
      <c r="I22" s="155"/>
      <c r="J22" s="125" t="str">
        <f t="shared" ref="J22:J26" si="6">IF(ISBLANK(I22),IF(OR(NOT(ISBLANK(C22)),NOT(ISBLANK(E22)),NOT(ISBLANK(G22)),NOT(ISBLANK(I22))),"Required","Optional"),"lbs")</f>
        <v>Optional</v>
      </c>
    </row>
    <row r="23" spans="2:11" x14ac:dyDescent="0.3">
      <c r="B23" s="99">
        <v>4</v>
      </c>
      <c r="C23" s="157"/>
      <c r="D23" s="121" t="str">
        <f t="shared" si="4"/>
        <v>Optional</v>
      </c>
      <c r="E23" s="155"/>
      <c r="F23" s="179" t="str">
        <f t="shared" si="1"/>
        <v>Optional</v>
      </c>
      <c r="G23" s="155"/>
      <c r="H23" s="121" t="str">
        <f t="shared" si="5"/>
        <v>Optional</v>
      </c>
      <c r="I23" s="155"/>
      <c r="J23" s="125" t="str">
        <f t="shared" si="6"/>
        <v>Optional</v>
      </c>
    </row>
    <row r="24" spans="2:11" x14ac:dyDescent="0.3">
      <c r="B24" s="99">
        <v>5</v>
      </c>
      <c r="C24" s="157"/>
      <c r="D24" s="121" t="str">
        <f t="shared" si="4"/>
        <v>Optional</v>
      </c>
      <c r="E24" s="155"/>
      <c r="F24" s="179" t="str">
        <f t="shared" si="1"/>
        <v>Optional</v>
      </c>
      <c r="G24" s="155"/>
      <c r="H24" s="121" t="str">
        <f t="shared" si="5"/>
        <v>Optional</v>
      </c>
      <c r="I24" s="155"/>
      <c r="J24" s="125" t="str">
        <f t="shared" si="6"/>
        <v>Optional</v>
      </c>
    </row>
    <row r="25" spans="2:11" x14ac:dyDescent="0.3">
      <c r="B25" s="99">
        <v>6</v>
      </c>
      <c r="C25" s="157"/>
      <c r="D25" s="121" t="str">
        <f t="shared" si="4"/>
        <v>Optional</v>
      </c>
      <c r="E25" s="155"/>
      <c r="F25" s="179" t="str">
        <f t="shared" si="1"/>
        <v>Optional</v>
      </c>
      <c r="G25" s="155"/>
      <c r="H25" s="121" t="str">
        <f t="shared" si="5"/>
        <v>Optional</v>
      </c>
      <c r="I25" s="155"/>
      <c r="J25" s="125" t="str">
        <f t="shared" si="6"/>
        <v>Optional</v>
      </c>
    </row>
    <row r="26" spans="2:11" x14ac:dyDescent="0.3">
      <c r="B26" s="99">
        <v>7</v>
      </c>
      <c r="C26" s="157"/>
      <c r="D26" s="121" t="str">
        <f t="shared" si="4"/>
        <v>Optional</v>
      </c>
      <c r="E26" s="155"/>
      <c r="F26" s="179" t="str">
        <f t="shared" si="1"/>
        <v>Optional</v>
      </c>
      <c r="G26" s="155"/>
      <c r="H26" s="121" t="str">
        <f t="shared" si="5"/>
        <v>Optional</v>
      </c>
      <c r="I26" s="155"/>
      <c r="J26" s="125" t="str">
        <f t="shared" si="6"/>
        <v>Optional</v>
      </c>
    </row>
    <row r="27" spans="2:11" x14ac:dyDescent="0.3">
      <c r="B27" s="99">
        <v>8</v>
      </c>
      <c r="C27" s="157"/>
      <c r="D27" s="121" t="str">
        <f t="shared" ref="D27:D31" si="7">IF(ISBLANK(C27),IF(OR(NOT(ISBLANK(C27)),NOT(ISBLANK(E27)),NOT(ISBLANK(G27)),NOT(ISBLANK(I27))),"Required","Optional"),"trees")</f>
        <v>Optional</v>
      </c>
      <c r="E27" s="155"/>
      <c r="F27" s="179" t="str">
        <f t="shared" si="1"/>
        <v>Optional</v>
      </c>
      <c r="G27" s="155"/>
      <c r="H27" s="121" t="str">
        <f t="shared" ref="H27:H31" si="8">IF(ISBLANK(G27),IF(OR(NOT(ISBLANK(C27)),NOT(ISBLANK(E27)),NOT(ISBLANK(G27)),NOT(ISBLANK(I27))),"Required","Optional"),"lbs")</f>
        <v>Optional</v>
      </c>
      <c r="I27" s="155"/>
      <c r="J27" s="125" t="str">
        <f t="shared" ref="J27:J31" si="9">IF(ISBLANK(I27),IF(OR(NOT(ISBLANK(C27)),NOT(ISBLANK(E27)),NOT(ISBLANK(G27)),NOT(ISBLANK(I27))),"Required","Optional"),"lbs")</f>
        <v>Optional</v>
      </c>
    </row>
    <row r="28" spans="2:11" x14ac:dyDescent="0.3">
      <c r="B28" s="99">
        <v>9</v>
      </c>
      <c r="C28" s="157"/>
      <c r="D28" s="121" t="str">
        <f t="shared" si="7"/>
        <v>Optional</v>
      </c>
      <c r="E28" s="155"/>
      <c r="F28" s="179" t="str">
        <f t="shared" si="1"/>
        <v>Optional</v>
      </c>
      <c r="G28" s="155"/>
      <c r="H28" s="121" t="str">
        <f t="shared" si="8"/>
        <v>Optional</v>
      </c>
      <c r="I28" s="155"/>
      <c r="J28" s="125" t="str">
        <f t="shared" si="9"/>
        <v>Optional</v>
      </c>
    </row>
    <row r="29" spans="2:11" x14ac:dyDescent="0.3">
      <c r="B29" s="99">
        <v>10</v>
      </c>
      <c r="C29" s="157"/>
      <c r="D29" s="121" t="str">
        <f t="shared" si="7"/>
        <v>Optional</v>
      </c>
      <c r="E29" s="155"/>
      <c r="F29" s="179" t="str">
        <f t="shared" si="1"/>
        <v>Optional</v>
      </c>
      <c r="G29" s="155"/>
      <c r="H29" s="121" t="str">
        <f t="shared" si="8"/>
        <v>Optional</v>
      </c>
      <c r="I29" s="155"/>
      <c r="J29" s="125" t="str">
        <f t="shared" si="9"/>
        <v>Optional</v>
      </c>
    </row>
    <row r="30" spans="2:11" x14ac:dyDescent="0.3">
      <c r="B30" s="99">
        <v>11</v>
      </c>
      <c r="C30" s="157"/>
      <c r="D30" s="121" t="str">
        <f t="shared" si="7"/>
        <v>Optional</v>
      </c>
      <c r="E30" s="155"/>
      <c r="F30" s="179" t="str">
        <f t="shared" si="1"/>
        <v>Optional</v>
      </c>
      <c r="G30" s="155"/>
      <c r="H30" s="121" t="str">
        <f t="shared" si="8"/>
        <v>Optional</v>
      </c>
      <c r="I30" s="155"/>
      <c r="J30" s="125" t="str">
        <f t="shared" si="9"/>
        <v>Optional</v>
      </c>
    </row>
    <row r="31" spans="2:11" x14ac:dyDescent="0.3">
      <c r="B31" s="99">
        <v>12</v>
      </c>
      <c r="C31" s="157"/>
      <c r="D31" s="121" t="str">
        <f t="shared" si="7"/>
        <v>Optional</v>
      </c>
      <c r="E31" s="155"/>
      <c r="F31" s="179" t="str">
        <f t="shared" si="1"/>
        <v>Optional</v>
      </c>
      <c r="G31" s="155"/>
      <c r="H31" s="121" t="str">
        <f t="shared" si="8"/>
        <v>Optional</v>
      </c>
      <c r="I31" s="155"/>
      <c r="J31" s="125" t="str">
        <f t="shared" si="9"/>
        <v>Optional</v>
      </c>
    </row>
    <row r="32" spans="2:11" x14ac:dyDescent="0.3">
      <c r="B32" s="99">
        <v>13</v>
      </c>
      <c r="C32" s="157"/>
      <c r="D32" s="121" t="str">
        <f t="shared" si="0"/>
        <v>Optional</v>
      </c>
      <c r="E32" s="155"/>
      <c r="F32" s="179" t="str">
        <f t="shared" si="1"/>
        <v>Optional</v>
      </c>
      <c r="G32" s="155"/>
      <c r="H32" s="120" t="str">
        <f t="shared" si="2"/>
        <v>Optional</v>
      </c>
      <c r="I32" s="155"/>
      <c r="J32" s="124" t="str">
        <f t="shared" si="3"/>
        <v>Optional</v>
      </c>
    </row>
    <row r="33" spans="2:10" x14ac:dyDescent="0.3">
      <c r="B33" s="99">
        <v>14</v>
      </c>
      <c r="C33" s="157"/>
      <c r="D33" s="121" t="str">
        <f t="shared" si="0"/>
        <v>Optional</v>
      </c>
      <c r="E33" s="155"/>
      <c r="F33" s="179" t="str">
        <f t="shared" si="1"/>
        <v>Optional</v>
      </c>
      <c r="G33" s="155"/>
      <c r="H33" s="120" t="str">
        <f t="shared" si="2"/>
        <v>Optional</v>
      </c>
      <c r="I33" s="155"/>
      <c r="J33" s="124" t="str">
        <f t="shared" si="3"/>
        <v>Optional</v>
      </c>
    </row>
    <row r="34" spans="2:10" x14ac:dyDescent="0.3">
      <c r="B34" s="99">
        <v>15</v>
      </c>
      <c r="C34" s="157"/>
      <c r="D34" s="121" t="str">
        <f t="shared" si="0"/>
        <v>Optional</v>
      </c>
      <c r="E34" s="155"/>
      <c r="F34" s="120" t="str">
        <f t="shared" si="1"/>
        <v>Optional</v>
      </c>
      <c r="G34" s="155"/>
      <c r="H34" s="120" t="str">
        <f t="shared" si="2"/>
        <v>Optional</v>
      </c>
      <c r="I34" s="155"/>
      <c r="J34" s="124" t="str">
        <f t="shared" si="3"/>
        <v>Optional</v>
      </c>
    </row>
    <row r="35" spans="2:10" x14ac:dyDescent="0.3">
      <c r="B35" s="99">
        <v>16</v>
      </c>
      <c r="C35" s="157"/>
      <c r="D35" s="121" t="str">
        <f t="shared" si="0"/>
        <v>Optional</v>
      </c>
      <c r="E35" s="155"/>
      <c r="F35" s="120" t="str">
        <f t="shared" si="1"/>
        <v>Optional</v>
      </c>
      <c r="G35" s="155"/>
      <c r="H35" s="120" t="str">
        <f t="shared" si="2"/>
        <v>Optional</v>
      </c>
      <c r="I35" s="155"/>
      <c r="J35" s="124" t="str">
        <f t="shared" si="3"/>
        <v>Optional</v>
      </c>
    </row>
    <row r="36" spans="2:10" x14ac:dyDescent="0.3">
      <c r="B36" s="99">
        <v>17</v>
      </c>
      <c r="C36" s="157"/>
      <c r="D36" s="121" t="str">
        <f t="shared" si="0"/>
        <v>Optional</v>
      </c>
      <c r="E36" s="155"/>
      <c r="F36" s="120" t="str">
        <f t="shared" si="1"/>
        <v>Optional</v>
      </c>
      <c r="G36" s="155"/>
      <c r="H36" s="120" t="str">
        <f t="shared" si="2"/>
        <v>Optional</v>
      </c>
      <c r="I36" s="155"/>
      <c r="J36" s="124" t="str">
        <f t="shared" si="3"/>
        <v>Optional</v>
      </c>
    </row>
    <row r="37" spans="2:10" x14ac:dyDescent="0.3">
      <c r="B37" s="99">
        <v>18</v>
      </c>
      <c r="C37" s="157"/>
      <c r="D37" s="121" t="str">
        <f t="shared" si="0"/>
        <v>Optional</v>
      </c>
      <c r="E37" s="155"/>
      <c r="F37" s="120" t="str">
        <f t="shared" si="1"/>
        <v>Optional</v>
      </c>
      <c r="G37" s="155"/>
      <c r="H37" s="120" t="str">
        <f t="shared" si="2"/>
        <v>Optional</v>
      </c>
      <c r="I37" s="155"/>
      <c r="J37" s="124" t="str">
        <f t="shared" si="3"/>
        <v>Optional</v>
      </c>
    </row>
    <row r="38" spans="2:10" x14ac:dyDescent="0.3">
      <c r="B38" s="99">
        <v>19</v>
      </c>
      <c r="C38" s="157"/>
      <c r="D38" s="121" t="str">
        <f t="shared" si="0"/>
        <v>Optional</v>
      </c>
      <c r="E38" s="155"/>
      <c r="F38" s="120" t="str">
        <f t="shared" si="1"/>
        <v>Optional</v>
      </c>
      <c r="G38" s="155"/>
      <c r="H38" s="120" t="str">
        <f t="shared" si="2"/>
        <v>Optional</v>
      </c>
      <c r="I38" s="155"/>
      <c r="J38" s="124" t="str">
        <f t="shared" si="3"/>
        <v>Optional</v>
      </c>
    </row>
    <row r="39" spans="2:10" x14ac:dyDescent="0.3">
      <c r="B39" s="99">
        <v>20</v>
      </c>
      <c r="C39" s="158"/>
      <c r="D39" s="122" t="str">
        <f t="shared" si="0"/>
        <v>Optional</v>
      </c>
      <c r="E39" s="156"/>
      <c r="F39" s="123" t="str">
        <f t="shared" si="1"/>
        <v>Optional</v>
      </c>
      <c r="G39" s="156"/>
      <c r="H39" s="123" t="str">
        <f t="shared" si="2"/>
        <v>Optional</v>
      </c>
      <c r="I39" s="156"/>
      <c r="J39" s="127" t="str">
        <f t="shared" si="3"/>
        <v>Optional</v>
      </c>
    </row>
    <row r="40" spans="2:10" ht="16.2" thickBot="1" x14ac:dyDescent="0.35"/>
    <row r="41" spans="2:10" ht="18.600000000000001" thickBot="1" x14ac:dyDescent="0.35">
      <c r="B41" s="465" t="s">
        <v>202</v>
      </c>
      <c r="C41" s="464">
        <f>SUM(Tree_Input[Number of trees planted])</f>
        <v>0</v>
      </c>
      <c r="D41" s="400" t="s">
        <v>187</v>
      </c>
      <c r="E41" s="468">
        <f>SUM(Tree_Input[Pounds of CO2 sequestered by trees])/2204.62</f>
        <v>0</v>
      </c>
      <c r="F41" s="466" t="s">
        <v>381</v>
      </c>
      <c r="G41" s="399">
        <f>SUM(Tree_Input[Pounds of NO2 removed by trees])</f>
        <v>0</v>
      </c>
      <c r="H41" s="466" t="s">
        <v>382</v>
      </c>
      <c r="I41" s="464">
        <f>SUM(Tree_Input[Pounds of PM2.5 removed by trees])</f>
        <v>0</v>
      </c>
      <c r="J41" s="467" t="s">
        <v>383</v>
      </c>
    </row>
  </sheetData>
  <sheetProtection algorithmName="SHA-512" hashValue="P7oryw6lVTdMtkHWQRaC4y0k+aAese/FPq52k4hVvmZYvX2guJVmRhqpEffR15n7ZWQjTHa0jWABpUITt7X2Hw==" saltValue="07Z7prLMkFlmAIjPKUSTYg==" spinCount="100000" sheet="1" objects="1" scenarios="1"/>
  <conditionalFormatting sqref="E20:E39">
    <cfRule type="expression" dxfId="53" priority="4">
      <formula>F20="Optional"</formula>
    </cfRule>
  </conditionalFormatting>
  <conditionalFormatting sqref="F20:F39 D20:D39 J20:J39 H20:H39">
    <cfRule type="expression" dxfId="52" priority="3">
      <formula>D20="Optional"</formula>
    </cfRule>
  </conditionalFormatting>
  <conditionalFormatting sqref="C20:C39">
    <cfRule type="expression" dxfId="51" priority="10">
      <formula>D20="Optional"</formula>
    </cfRule>
  </conditionalFormatting>
  <conditionalFormatting sqref="I20:I39">
    <cfRule type="expression" dxfId="50" priority="8">
      <formula>J20="Optional"</formula>
    </cfRule>
  </conditionalFormatting>
  <conditionalFormatting sqref="G20:G39">
    <cfRule type="expression" dxfId="49" priority="2">
      <formula>H20="Optional"</formula>
    </cfRule>
  </conditionalFormatting>
  <dataValidations count="1">
    <dataValidation type="decimal" operator="greaterThanOrEqual" allowBlank="1" showInputMessage="1" showErrorMessage="1" sqref="C20:C39 G20:G39 I20:I39 E20:E39" xr:uid="{00000000-0002-0000-0700-000000000000}">
      <formula1>0</formula1>
    </dataValidation>
  </dataValidations>
  <hyperlinks>
    <hyperlink ref="B15" r:id="rId1" tooltip="Link to i-Tree Planting Calculator" xr:uid="{00000000-0004-0000-0700-000000000000}"/>
    <hyperlink ref="B10" r:id="rId2" tooltip="Link to Land Restoration Benefits Tool User Guide" xr:uid="{00000000-0004-0000-0700-000001000000}"/>
  </hyperlinks>
  <pageMargins left="0.7" right="0.7" top="0.75" bottom="0.75" header="0.3" footer="0.3"/>
  <pageSetup orientation="portrait" r:id="rId3"/>
  <drawing r:id="rId4"/>
  <legacyDrawing r:id="rId5"/>
  <tableParts count="1">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B1:W51"/>
  <sheetViews>
    <sheetView showGridLines="0" zoomScaleNormal="100" workbookViewId="0"/>
  </sheetViews>
  <sheetFormatPr defaultColWidth="9.109375" defaultRowHeight="15.6" x14ac:dyDescent="0.3"/>
  <cols>
    <col min="1" max="1" width="2.88671875" style="2" customWidth="1"/>
    <col min="2" max="2" width="9.6640625" style="2" customWidth="1"/>
    <col min="3" max="3" width="21.5546875" style="2" customWidth="1"/>
    <col min="4" max="4" width="10.6640625" style="5" customWidth="1"/>
    <col min="5" max="5" width="14.44140625" style="2" customWidth="1"/>
    <col min="6" max="6" width="14.6640625" style="5" bestFit="1" customWidth="1"/>
    <col min="7" max="7" width="2.88671875" style="5" customWidth="1"/>
    <col min="8" max="8" width="10.6640625" style="5" customWidth="1"/>
    <col min="9" max="9" width="15.109375" style="2" customWidth="1"/>
    <col min="10" max="10" width="16.88671875" style="2" customWidth="1"/>
    <col min="11" max="12" width="10.109375" style="2" customWidth="1"/>
    <col min="13" max="13" width="24" style="185" hidden="1" customWidth="1"/>
    <col min="14" max="14" width="13" style="185" hidden="1" customWidth="1"/>
    <col min="15" max="15" width="12.5546875" style="185" hidden="1" customWidth="1"/>
    <col min="16" max="16" width="2.88671875" style="2" hidden="1" customWidth="1"/>
    <col min="17" max="17" width="65.33203125" style="2" hidden="1" customWidth="1"/>
    <col min="18" max="18" width="10.88671875" style="2" customWidth="1"/>
    <col min="19" max="19" width="16.109375" style="2" customWidth="1"/>
    <col min="20" max="20" width="10.6640625" style="2" customWidth="1"/>
    <col min="21" max="21" width="12" style="2" customWidth="1"/>
    <col min="22" max="22" width="10.88671875" style="2" customWidth="1"/>
    <col min="23" max="16384" width="9.109375" style="2"/>
  </cols>
  <sheetData>
    <row r="1" spans="2:22" ht="21" x14ac:dyDescent="0.4">
      <c r="B1" s="140" t="str">
        <f>'Read Me'!B1</f>
        <v>California Air Resources Board</v>
      </c>
      <c r="C1" s="36"/>
      <c r="D1" s="39"/>
      <c r="E1" s="36"/>
      <c r="F1" s="39"/>
      <c r="G1" s="39"/>
      <c r="H1" s="39"/>
      <c r="I1" s="36"/>
      <c r="J1" s="36"/>
      <c r="M1" s="185" t="s">
        <v>435</v>
      </c>
      <c r="N1" s="185" t="s">
        <v>435</v>
      </c>
      <c r="O1" s="185" t="s">
        <v>435</v>
      </c>
      <c r="P1" s="2" t="s">
        <v>435</v>
      </c>
      <c r="Q1" s="2" t="s">
        <v>435</v>
      </c>
    </row>
    <row r="2" spans="2:22" ht="21" x14ac:dyDescent="0.4">
      <c r="B2" s="140"/>
      <c r="C2" s="36"/>
      <c r="D2" s="39"/>
      <c r="E2" s="36"/>
      <c r="F2" s="39"/>
      <c r="G2" s="39"/>
      <c r="H2" s="39"/>
      <c r="I2" s="36"/>
      <c r="J2" s="36"/>
    </row>
    <row r="3" spans="2:22" ht="21" x14ac:dyDescent="0.4">
      <c r="B3" s="140" t="str">
        <f>'Read Me'!B3</f>
        <v>Revised Draft Benefits Calculator Tool</v>
      </c>
      <c r="C3" s="36"/>
      <c r="D3" s="39"/>
      <c r="E3" s="36"/>
      <c r="F3" s="39"/>
      <c r="G3" s="39"/>
      <c r="H3" s="39"/>
      <c r="I3" s="36"/>
      <c r="J3" s="36"/>
    </row>
    <row r="4" spans="2:22" ht="21" x14ac:dyDescent="0.4">
      <c r="B4" s="140" t="s">
        <v>530</v>
      </c>
      <c r="C4" s="36"/>
      <c r="D4" s="39"/>
      <c r="E4" s="36"/>
      <c r="F4" s="39"/>
      <c r="G4" s="39"/>
      <c r="H4" s="39"/>
      <c r="I4" s="36"/>
      <c r="J4" s="36"/>
    </row>
    <row r="5" spans="2:22" ht="21" x14ac:dyDescent="0.4">
      <c r="B5" s="140"/>
      <c r="C5" s="36"/>
      <c r="D5" s="39"/>
      <c r="E5" s="36"/>
      <c r="F5" s="39"/>
      <c r="G5" s="39"/>
      <c r="H5" s="39"/>
      <c r="I5" s="36"/>
      <c r="J5" s="36"/>
    </row>
    <row r="6" spans="2:22" ht="21" x14ac:dyDescent="0.4">
      <c r="B6" s="140" t="str">
        <f>'Read Me'!B6</f>
        <v xml:space="preserve">California Climate Investments </v>
      </c>
      <c r="C6" s="36"/>
      <c r="D6" s="39"/>
      <c r="E6" s="36"/>
      <c r="F6" s="39"/>
      <c r="G6" s="39"/>
      <c r="H6" s="39"/>
      <c r="I6" s="36"/>
      <c r="J6" s="36"/>
    </row>
    <row r="7" spans="2:22" x14ac:dyDescent="0.3">
      <c r="B7" s="36"/>
      <c r="C7" s="36"/>
      <c r="D7" s="39"/>
      <c r="E7" s="36"/>
      <c r="F7" s="39"/>
      <c r="G7" s="39"/>
      <c r="H7" s="39"/>
      <c r="I7" s="36"/>
    </row>
    <row r="8" spans="2:22" x14ac:dyDescent="0.3">
      <c r="B8" s="1" t="s">
        <v>8</v>
      </c>
      <c r="F8" s="7"/>
      <c r="G8" s="7"/>
      <c r="H8" s="7"/>
      <c r="I8" s="3"/>
      <c r="K8" s="3"/>
    </row>
    <row r="9" spans="2:22" ht="15" customHeight="1" x14ac:dyDescent="0.3">
      <c r="B9" s="134" t="s">
        <v>114</v>
      </c>
      <c r="C9" s="128"/>
      <c r="D9" s="129"/>
      <c r="E9" s="128"/>
      <c r="F9" s="129"/>
      <c r="G9" s="129"/>
      <c r="H9" s="129"/>
      <c r="I9" s="128"/>
      <c r="J9" s="143"/>
    </row>
    <row r="10" spans="2:22" ht="15" customHeight="1" x14ac:dyDescent="0.3">
      <c r="B10" s="614" t="s">
        <v>539</v>
      </c>
      <c r="C10" s="131"/>
      <c r="D10" s="132"/>
      <c r="E10" s="131"/>
      <c r="F10" s="132"/>
      <c r="G10" s="132"/>
      <c r="H10" s="132"/>
      <c r="I10" s="131"/>
      <c r="J10" s="145"/>
    </row>
    <row r="11" spans="2:22" ht="15" customHeight="1" x14ac:dyDescent="0.3">
      <c r="D11" s="2"/>
      <c r="F11" s="2"/>
      <c r="G11" s="2"/>
      <c r="H11" s="2"/>
    </row>
    <row r="12" spans="2:22" ht="15" customHeight="1" x14ac:dyDescent="0.3">
      <c r="B12" s="141" t="s">
        <v>125</v>
      </c>
      <c r="C12" s="142"/>
      <c r="D12" s="142"/>
      <c r="E12" s="142"/>
      <c r="F12" s="142"/>
      <c r="G12" s="142"/>
      <c r="H12" s="142"/>
      <c r="I12" s="142"/>
      <c r="J12" s="143"/>
    </row>
    <row r="13" spans="2:22" ht="15" customHeight="1" x14ac:dyDescent="0.3">
      <c r="B13" s="163" t="s">
        <v>126</v>
      </c>
      <c r="C13" s="144"/>
      <c r="D13" s="144"/>
      <c r="E13" s="144"/>
      <c r="F13" s="144"/>
      <c r="G13" s="144"/>
      <c r="H13" s="144"/>
      <c r="I13" s="144"/>
      <c r="J13" s="145"/>
    </row>
    <row r="14" spans="2:22" ht="15" customHeight="1" x14ac:dyDescent="0.3">
      <c r="D14" s="2"/>
      <c r="F14" s="2"/>
      <c r="G14" s="2"/>
      <c r="H14" s="2"/>
      <c r="R14" s="70"/>
      <c r="S14" s="72"/>
      <c r="T14" s="72"/>
      <c r="U14" s="72"/>
      <c r="V14" s="72"/>
    </row>
    <row r="15" spans="2:22" ht="15" customHeight="1" x14ac:dyDescent="0.3">
      <c r="B15" s="51" t="s">
        <v>50</v>
      </c>
      <c r="C15" s="4"/>
      <c r="D15" s="6"/>
      <c r="E15" s="4"/>
      <c r="F15" s="6"/>
      <c r="G15" s="6"/>
      <c r="H15" s="6"/>
      <c r="I15" s="4"/>
      <c r="J15" s="4"/>
      <c r="K15" s="4"/>
      <c r="L15" s="3"/>
    </row>
    <row r="16" spans="2:22" ht="16.2" thickBot="1" x14ac:dyDescent="0.35">
      <c r="M16" s="185" t="s">
        <v>435</v>
      </c>
      <c r="N16" s="185" t="s">
        <v>435</v>
      </c>
      <c r="O16" s="185" t="s">
        <v>435</v>
      </c>
      <c r="P16" s="185" t="s">
        <v>435</v>
      </c>
      <c r="Q16" s="185" t="s">
        <v>435</v>
      </c>
    </row>
    <row r="17" spans="2:23" ht="78" customHeight="1" thickBot="1" x14ac:dyDescent="0.35">
      <c r="B17" s="168" t="s">
        <v>77</v>
      </c>
      <c r="C17" s="169" t="s">
        <v>124</v>
      </c>
      <c r="D17" s="170" t="s">
        <v>84</v>
      </c>
      <c r="E17" s="169" t="s">
        <v>380</v>
      </c>
      <c r="F17" s="180" t="s">
        <v>132</v>
      </c>
      <c r="G17" s="150"/>
      <c r="H17" s="146" t="s">
        <v>27</v>
      </c>
      <c r="I17" s="147"/>
      <c r="J17" s="148"/>
      <c r="M17" s="470" t="s">
        <v>399</v>
      </c>
      <c r="N17" s="471" t="s">
        <v>433</v>
      </c>
      <c r="O17" s="472" t="s">
        <v>152</v>
      </c>
      <c r="P17" s="469"/>
      <c r="Q17" s="495" t="s">
        <v>434</v>
      </c>
    </row>
    <row r="18" spans="2:23" ht="16.2" thickTop="1" x14ac:dyDescent="0.3">
      <c r="B18" s="171">
        <v>1</v>
      </c>
      <c r="C18" s="480"/>
      <c r="D18" s="124" t="str">
        <f t="shared" ref="D18:D27" si="0">IF(ISBLANK(C18),"Optional","")</f>
        <v>Optional</v>
      </c>
      <c r="E18" s="478" t="str">
        <f>IFERROR(VLOOKUP(N_Input[[#This Row],[Crop Type Grown
(or most Similar)]],N_Example[],2,FALSE),"")</f>
        <v/>
      </c>
      <c r="F18" s="576" t="str">
        <f t="shared" ref="F18:F27" si="1">IF(E18="","","lb-N/acre-yr")</f>
        <v/>
      </c>
      <c r="G18" s="2"/>
      <c r="H18" s="136" t="s">
        <v>18</v>
      </c>
      <c r="I18" s="63" t="s">
        <v>22</v>
      </c>
      <c r="J18" s="64"/>
      <c r="M18" s="473" t="s">
        <v>400</v>
      </c>
      <c r="N18" s="187">
        <v>179</v>
      </c>
      <c r="O18" s="474" t="s">
        <v>529</v>
      </c>
      <c r="P18" s="469"/>
      <c r="Q18" s="469"/>
      <c r="R18" s="469"/>
      <c r="S18" s="469"/>
      <c r="T18" s="469"/>
      <c r="U18" s="469"/>
      <c r="V18" s="469"/>
      <c r="W18" s="469"/>
    </row>
    <row r="19" spans="2:23" x14ac:dyDescent="0.3">
      <c r="B19" s="172">
        <v>2</v>
      </c>
      <c r="C19" s="481"/>
      <c r="D19" s="125" t="str">
        <f t="shared" si="0"/>
        <v>Optional</v>
      </c>
      <c r="E19" s="478" t="str">
        <f>IFERROR(VLOOKUP(N_Input[[#This Row],[Crop Type Grown
(or most Similar)]],N_Example[],2,FALSE),"")</f>
        <v/>
      </c>
      <c r="F19" s="576" t="str">
        <f t="shared" si="1"/>
        <v/>
      </c>
      <c r="G19" s="2"/>
      <c r="H19" s="137" t="s">
        <v>19</v>
      </c>
      <c r="I19" s="63" t="s">
        <v>23</v>
      </c>
      <c r="J19" s="64"/>
      <c r="M19" s="473" t="s">
        <v>401</v>
      </c>
      <c r="N19" s="187">
        <v>112</v>
      </c>
      <c r="O19" s="474" t="s">
        <v>529</v>
      </c>
      <c r="P19" s="469"/>
      <c r="Q19" s="469"/>
      <c r="R19" s="469"/>
      <c r="S19" s="469"/>
      <c r="T19" s="469"/>
      <c r="U19" s="469"/>
      <c r="V19" s="469"/>
      <c r="W19" s="469"/>
    </row>
    <row r="20" spans="2:23" x14ac:dyDescent="0.3">
      <c r="B20" s="172">
        <v>3</v>
      </c>
      <c r="C20" s="481"/>
      <c r="D20" s="125" t="str">
        <f t="shared" si="0"/>
        <v>Optional</v>
      </c>
      <c r="E20" s="478" t="str">
        <f>IFERROR(VLOOKUP(N_Input[[#This Row],[Crop Type Grown
(or most Similar)]],N_Example[],2,FALSE),"")</f>
        <v/>
      </c>
      <c r="F20" s="576" t="str">
        <f t="shared" si="1"/>
        <v/>
      </c>
      <c r="G20" s="2"/>
      <c r="H20" s="138" t="s">
        <v>20</v>
      </c>
      <c r="I20" s="63" t="s">
        <v>26</v>
      </c>
      <c r="J20" s="64"/>
      <c r="M20" s="473" t="s">
        <v>402</v>
      </c>
      <c r="N20" s="187">
        <v>91</v>
      </c>
      <c r="O20" s="474" t="s">
        <v>529</v>
      </c>
      <c r="P20" s="469"/>
      <c r="Q20" s="469"/>
      <c r="R20" s="469"/>
      <c r="S20" s="469"/>
      <c r="T20" s="469"/>
      <c r="U20" s="469"/>
      <c r="V20" s="469"/>
      <c r="W20" s="469"/>
    </row>
    <row r="21" spans="2:23" ht="16.2" thickBot="1" x14ac:dyDescent="0.35">
      <c r="B21" s="172">
        <v>4</v>
      </c>
      <c r="C21" s="481"/>
      <c r="D21" s="125" t="str">
        <f t="shared" si="0"/>
        <v>Optional</v>
      </c>
      <c r="E21" s="478" t="str">
        <f>IFERROR(VLOOKUP(N_Input[[#This Row],[Crop Type Grown
(or most Similar)]],N_Example[],2,FALSE),"")</f>
        <v/>
      </c>
      <c r="F21" s="576" t="str">
        <f t="shared" si="1"/>
        <v/>
      </c>
      <c r="G21" s="2"/>
      <c r="H21" s="139" t="s">
        <v>21</v>
      </c>
      <c r="I21" s="67" t="s">
        <v>25</v>
      </c>
      <c r="J21" s="68"/>
      <c r="M21" s="473" t="s">
        <v>403</v>
      </c>
      <c r="N21" s="187">
        <v>190</v>
      </c>
      <c r="O21" s="474" t="s">
        <v>529</v>
      </c>
      <c r="P21" s="469"/>
      <c r="Q21" s="469"/>
      <c r="R21" s="469"/>
      <c r="S21" s="469"/>
      <c r="T21" s="469"/>
      <c r="U21" s="469"/>
      <c r="V21" s="469"/>
      <c r="W21" s="469"/>
    </row>
    <row r="22" spans="2:23" x14ac:dyDescent="0.3">
      <c r="B22" s="172">
        <v>5</v>
      </c>
      <c r="C22" s="481"/>
      <c r="D22" s="125" t="str">
        <f t="shared" si="0"/>
        <v>Optional</v>
      </c>
      <c r="E22" s="478" t="str">
        <f>IFERROR(VLOOKUP(N_Input[[#This Row],[Crop Type Grown
(or most Similar)]],N_Example[],2,FALSE),"")</f>
        <v/>
      </c>
      <c r="F22" s="576" t="str">
        <f t="shared" si="1"/>
        <v/>
      </c>
      <c r="G22" s="2"/>
      <c r="H22" s="70" t="s">
        <v>24</v>
      </c>
      <c r="I22" s="72"/>
      <c r="J22" s="72"/>
      <c r="M22" s="473" t="s">
        <v>404</v>
      </c>
      <c r="N22" s="187">
        <v>216</v>
      </c>
      <c r="O22" s="474" t="s">
        <v>529</v>
      </c>
      <c r="P22" s="469"/>
      <c r="Q22" s="469"/>
      <c r="R22" s="469"/>
      <c r="S22" s="469"/>
      <c r="T22" s="469"/>
      <c r="U22" s="469"/>
      <c r="V22" s="469"/>
      <c r="W22" s="469"/>
    </row>
    <row r="23" spans="2:23" x14ac:dyDescent="0.3">
      <c r="B23" s="172">
        <v>6</v>
      </c>
      <c r="C23" s="481"/>
      <c r="D23" s="125" t="str">
        <f t="shared" si="0"/>
        <v>Optional</v>
      </c>
      <c r="E23" s="478" t="str">
        <f>IFERROR(VLOOKUP(N_Input[[#This Row],[Crop Type Grown
(or most Similar)]],N_Example[],2,FALSE),"")</f>
        <v/>
      </c>
      <c r="F23" s="576" t="str">
        <f t="shared" si="1"/>
        <v/>
      </c>
      <c r="G23" s="2"/>
      <c r="H23" s="2"/>
      <c r="M23" s="475" t="s">
        <v>405</v>
      </c>
      <c r="N23" s="187">
        <v>238</v>
      </c>
      <c r="O23" s="474" t="s">
        <v>529</v>
      </c>
      <c r="P23" s="469"/>
      <c r="Q23" s="469"/>
      <c r="R23" s="469"/>
      <c r="S23" s="469"/>
      <c r="T23" s="469"/>
      <c r="U23" s="469"/>
      <c r="V23" s="469"/>
      <c r="W23" s="469"/>
    </row>
    <row r="24" spans="2:23" x14ac:dyDescent="0.3">
      <c r="B24" s="172">
        <v>7</v>
      </c>
      <c r="C24" s="481"/>
      <c r="D24" s="125" t="str">
        <f t="shared" si="0"/>
        <v>Optional</v>
      </c>
      <c r="E24" s="478" t="str">
        <f>IFERROR(VLOOKUP(N_Input[[#This Row],[Crop Type Grown
(or most Similar)]],N_Example[],2,FALSE),"")</f>
        <v/>
      </c>
      <c r="F24" s="576" t="str">
        <f t="shared" si="1"/>
        <v/>
      </c>
      <c r="G24" s="2"/>
      <c r="H24" s="2"/>
      <c r="M24" s="475" t="s">
        <v>406</v>
      </c>
      <c r="N24" s="187">
        <v>259</v>
      </c>
      <c r="O24" s="474" t="s">
        <v>529</v>
      </c>
      <c r="P24" s="469"/>
      <c r="Q24" s="469"/>
      <c r="R24" s="469"/>
      <c r="S24" s="469"/>
      <c r="T24" s="469"/>
      <c r="U24" s="469"/>
      <c r="V24" s="469"/>
      <c r="W24" s="469"/>
    </row>
    <row r="25" spans="2:23" x14ac:dyDescent="0.3">
      <c r="B25" s="172">
        <v>8</v>
      </c>
      <c r="C25" s="481"/>
      <c r="D25" s="125" t="str">
        <f t="shared" si="0"/>
        <v>Optional</v>
      </c>
      <c r="E25" s="478" t="str">
        <f>IFERROR(VLOOKUP(N_Input[[#This Row],[Crop Type Grown
(or most Similar)]],N_Example[],2,FALSE),"")</f>
        <v/>
      </c>
      <c r="F25" s="576" t="str">
        <f t="shared" si="1"/>
        <v/>
      </c>
      <c r="G25" s="2"/>
      <c r="H25" s="2"/>
      <c r="M25" s="476" t="s">
        <v>407</v>
      </c>
      <c r="N25" s="187">
        <v>213</v>
      </c>
      <c r="O25" s="474" t="s">
        <v>529</v>
      </c>
      <c r="P25" s="469"/>
      <c r="Q25" s="469"/>
      <c r="R25" s="469"/>
      <c r="S25" s="469"/>
      <c r="T25" s="469"/>
      <c r="U25" s="469"/>
      <c r="V25" s="469"/>
      <c r="W25" s="469"/>
    </row>
    <row r="26" spans="2:23" x14ac:dyDescent="0.3">
      <c r="B26" s="172">
        <v>9</v>
      </c>
      <c r="C26" s="481"/>
      <c r="D26" s="125" t="str">
        <f t="shared" si="0"/>
        <v>Optional</v>
      </c>
      <c r="E26" s="478" t="str">
        <f>IFERROR(VLOOKUP(N_Input[[#This Row],[Crop Type Grown
(or most Similar)]],N_Example[],2,FALSE),"")</f>
        <v/>
      </c>
      <c r="F26" s="576" t="str">
        <f t="shared" si="1"/>
        <v/>
      </c>
      <c r="G26" s="2"/>
      <c r="H26" s="2"/>
      <c r="M26" s="474" t="s">
        <v>408</v>
      </c>
      <c r="N26" s="187">
        <v>174</v>
      </c>
      <c r="O26" s="474" t="s">
        <v>529</v>
      </c>
      <c r="P26" s="469"/>
      <c r="Q26" s="469"/>
      <c r="R26" s="469"/>
      <c r="S26" s="469"/>
      <c r="T26" s="469"/>
      <c r="U26" s="469"/>
      <c r="V26" s="469"/>
      <c r="W26" s="469"/>
    </row>
    <row r="27" spans="2:23" ht="16.2" thickBot="1" x14ac:dyDescent="0.35">
      <c r="B27" s="173">
        <v>10</v>
      </c>
      <c r="C27" s="482"/>
      <c r="D27" s="174" t="str">
        <f t="shared" si="0"/>
        <v>Optional</v>
      </c>
      <c r="E27" s="479" t="str">
        <f>IFERROR(VLOOKUP(N_Input[[#This Row],[Crop Type Grown
(or most Similar)]],N_Example[],2,FALSE),"")</f>
        <v/>
      </c>
      <c r="F27" s="577" t="str">
        <f t="shared" si="1"/>
        <v/>
      </c>
      <c r="G27" s="2"/>
      <c r="H27" s="2"/>
      <c r="M27" s="474" t="s">
        <v>409</v>
      </c>
      <c r="N27" s="187">
        <v>44</v>
      </c>
      <c r="O27" s="474" t="s">
        <v>529</v>
      </c>
      <c r="P27" s="469"/>
      <c r="Q27" s="469"/>
      <c r="R27" s="469"/>
      <c r="S27" s="469"/>
      <c r="T27" s="469"/>
      <c r="U27" s="469"/>
      <c r="V27" s="469"/>
      <c r="W27" s="469"/>
    </row>
    <row r="28" spans="2:23" x14ac:dyDescent="0.3">
      <c r="M28" s="474" t="s">
        <v>410</v>
      </c>
      <c r="N28" s="187">
        <v>43</v>
      </c>
      <c r="O28" s="474" t="s">
        <v>529</v>
      </c>
      <c r="P28" s="469"/>
      <c r="Q28" s="469"/>
      <c r="R28" s="469"/>
      <c r="S28" s="469"/>
      <c r="T28" s="469"/>
      <c r="U28" s="469"/>
      <c r="V28" s="469"/>
      <c r="W28" s="469"/>
    </row>
    <row r="29" spans="2:23" x14ac:dyDescent="0.3">
      <c r="M29" s="474" t="s">
        <v>411</v>
      </c>
      <c r="N29" s="187">
        <v>27</v>
      </c>
      <c r="O29" s="474" t="s">
        <v>529</v>
      </c>
      <c r="P29" s="469"/>
      <c r="Q29" s="469"/>
      <c r="R29" s="469"/>
      <c r="S29" s="469"/>
      <c r="T29" s="469"/>
      <c r="U29" s="469"/>
      <c r="V29" s="469"/>
      <c r="W29" s="469"/>
    </row>
    <row r="30" spans="2:23" x14ac:dyDescent="0.3">
      <c r="M30" s="474" t="s">
        <v>412</v>
      </c>
      <c r="N30" s="187">
        <v>123</v>
      </c>
      <c r="O30" s="474" t="s">
        <v>529</v>
      </c>
      <c r="P30" s="469"/>
      <c r="Q30" s="469"/>
      <c r="R30" s="469"/>
      <c r="S30" s="469"/>
      <c r="T30" s="469"/>
      <c r="U30" s="469"/>
      <c r="V30" s="469"/>
      <c r="W30" s="469"/>
    </row>
    <row r="31" spans="2:23" x14ac:dyDescent="0.3">
      <c r="M31" s="474" t="s">
        <v>413</v>
      </c>
      <c r="N31" s="187">
        <v>193</v>
      </c>
      <c r="O31" s="474" t="s">
        <v>529</v>
      </c>
      <c r="P31" s="469"/>
      <c r="Q31" s="469"/>
      <c r="R31" s="469"/>
      <c r="S31" s="469"/>
      <c r="T31" s="469"/>
      <c r="U31" s="469"/>
      <c r="V31" s="469"/>
      <c r="W31" s="469"/>
    </row>
    <row r="32" spans="2:23" x14ac:dyDescent="0.3">
      <c r="M32" s="474" t="s">
        <v>414</v>
      </c>
      <c r="N32" s="187">
        <v>163</v>
      </c>
      <c r="O32" s="474" t="s">
        <v>529</v>
      </c>
      <c r="P32" s="469"/>
      <c r="Q32" s="469"/>
      <c r="R32" s="469"/>
      <c r="S32" s="469"/>
      <c r="T32" s="469"/>
      <c r="U32" s="469"/>
      <c r="V32" s="469"/>
      <c r="W32" s="469"/>
    </row>
    <row r="33" spans="13:23" x14ac:dyDescent="0.3">
      <c r="M33" s="474" t="s">
        <v>415</v>
      </c>
      <c r="N33" s="187">
        <v>151</v>
      </c>
      <c r="O33" s="474" t="s">
        <v>529</v>
      </c>
      <c r="P33" s="469"/>
      <c r="Q33" s="469"/>
      <c r="R33" s="469"/>
      <c r="S33" s="469"/>
      <c r="T33" s="469"/>
      <c r="U33" s="469"/>
      <c r="V33" s="469"/>
      <c r="W33" s="469"/>
    </row>
    <row r="34" spans="13:23" x14ac:dyDescent="0.3">
      <c r="M34" s="474" t="s">
        <v>416</v>
      </c>
      <c r="N34" s="187">
        <v>104</v>
      </c>
      <c r="O34" s="474" t="s">
        <v>529</v>
      </c>
      <c r="P34" s="469"/>
      <c r="Q34" s="469"/>
      <c r="R34" s="469"/>
      <c r="S34" s="469"/>
      <c r="T34" s="469"/>
      <c r="U34" s="469"/>
      <c r="V34" s="469"/>
      <c r="W34" s="469"/>
    </row>
    <row r="35" spans="13:23" x14ac:dyDescent="0.3">
      <c r="M35" s="474" t="s">
        <v>417</v>
      </c>
      <c r="N35" s="187">
        <v>212</v>
      </c>
      <c r="O35" s="474" t="s">
        <v>529</v>
      </c>
      <c r="P35" s="469"/>
      <c r="Q35" s="469"/>
      <c r="R35" s="469"/>
      <c r="S35" s="469"/>
      <c r="T35" s="469"/>
      <c r="U35" s="469"/>
      <c r="V35" s="469"/>
      <c r="W35" s="469"/>
    </row>
    <row r="36" spans="13:23" x14ac:dyDescent="0.3">
      <c r="M36" s="474" t="s">
        <v>418</v>
      </c>
      <c r="N36" s="187">
        <v>95</v>
      </c>
      <c r="O36" s="474" t="s">
        <v>529</v>
      </c>
      <c r="P36" s="469"/>
      <c r="Q36" s="469"/>
      <c r="R36" s="469"/>
      <c r="S36" s="469"/>
      <c r="T36" s="469"/>
      <c r="U36" s="469"/>
      <c r="V36" s="469"/>
      <c r="W36" s="469"/>
    </row>
    <row r="37" spans="13:23" x14ac:dyDescent="0.3">
      <c r="M37" s="474" t="s">
        <v>419</v>
      </c>
      <c r="N37" s="187">
        <v>102</v>
      </c>
      <c r="O37" s="474" t="s">
        <v>529</v>
      </c>
      <c r="P37" s="469"/>
      <c r="Q37" s="469"/>
      <c r="R37" s="469"/>
      <c r="S37" s="469"/>
      <c r="T37" s="469"/>
      <c r="U37" s="469"/>
      <c r="V37" s="469"/>
      <c r="W37" s="469"/>
    </row>
    <row r="38" spans="13:23" x14ac:dyDescent="0.3">
      <c r="M38" s="474" t="s">
        <v>420</v>
      </c>
      <c r="N38" s="187">
        <v>113</v>
      </c>
      <c r="O38" s="474" t="s">
        <v>529</v>
      </c>
      <c r="P38" s="469"/>
      <c r="Q38" s="469"/>
      <c r="R38" s="469"/>
      <c r="S38" s="469"/>
      <c r="T38" s="469"/>
      <c r="U38" s="469"/>
      <c r="V38" s="469"/>
      <c r="W38" s="469"/>
    </row>
    <row r="39" spans="13:23" x14ac:dyDescent="0.3">
      <c r="M39" s="474" t="s">
        <v>421</v>
      </c>
      <c r="N39" s="187">
        <v>346</v>
      </c>
      <c r="O39" s="474" t="s">
        <v>529</v>
      </c>
      <c r="P39" s="469"/>
      <c r="Q39" s="469"/>
      <c r="R39" s="469"/>
      <c r="S39" s="469"/>
      <c r="T39" s="469"/>
      <c r="U39" s="469"/>
      <c r="V39" s="469"/>
      <c r="W39" s="469"/>
    </row>
    <row r="40" spans="13:23" x14ac:dyDescent="0.3">
      <c r="M40" s="474" t="s">
        <v>422</v>
      </c>
      <c r="N40" s="187">
        <v>300</v>
      </c>
      <c r="O40" s="474" t="s">
        <v>529</v>
      </c>
      <c r="P40" s="469"/>
      <c r="Q40" s="469"/>
      <c r="R40" s="469"/>
      <c r="S40" s="469"/>
      <c r="T40" s="469"/>
      <c r="U40" s="469"/>
      <c r="V40" s="469"/>
      <c r="W40" s="469"/>
    </row>
    <row r="41" spans="13:23" x14ac:dyDescent="0.3">
      <c r="M41" s="474" t="s">
        <v>423</v>
      </c>
      <c r="N41" s="187">
        <v>159</v>
      </c>
      <c r="O41" s="474" t="s">
        <v>529</v>
      </c>
      <c r="P41" s="469"/>
      <c r="Q41" s="469"/>
      <c r="R41" s="469"/>
      <c r="S41" s="469"/>
      <c r="T41" s="469"/>
      <c r="U41" s="469"/>
      <c r="V41" s="469"/>
      <c r="W41" s="469"/>
    </row>
    <row r="42" spans="13:23" x14ac:dyDescent="0.3">
      <c r="M42" s="474" t="s">
        <v>424</v>
      </c>
      <c r="N42" s="187">
        <v>130</v>
      </c>
      <c r="O42" s="474" t="s">
        <v>529</v>
      </c>
      <c r="P42" s="469"/>
      <c r="Q42" s="469"/>
      <c r="R42" s="469"/>
      <c r="S42" s="469"/>
      <c r="T42" s="469"/>
      <c r="U42" s="469"/>
      <c r="V42" s="469"/>
      <c r="W42" s="469"/>
    </row>
    <row r="43" spans="13:23" x14ac:dyDescent="0.3">
      <c r="M43" s="474" t="s">
        <v>425</v>
      </c>
      <c r="N43" s="187">
        <v>104</v>
      </c>
      <c r="O43" s="474" t="s">
        <v>529</v>
      </c>
      <c r="P43" s="469"/>
      <c r="Q43" s="469"/>
      <c r="R43" s="469"/>
      <c r="S43" s="469"/>
      <c r="T43" s="469"/>
      <c r="U43" s="469"/>
      <c r="V43" s="469"/>
      <c r="W43" s="469"/>
    </row>
    <row r="44" spans="13:23" x14ac:dyDescent="0.3">
      <c r="M44" s="474" t="s">
        <v>426</v>
      </c>
      <c r="N44" s="187">
        <v>248</v>
      </c>
      <c r="O44" s="474" t="s">
        <v>529</v>
      </c>
      <c r="P44" s="469"/>
      <c r="Q44" s="469"/>
      <c r="R44" s="469"/>
      <c r="S44" s="469"/>
      <c r="T44" s="469"/>
      <c r="U44" s="469"/>
      <c r="V44" s="469"/>
      <c r="W44" s="469"/>
    </row>
    <row r="45" spans="13:23" x14ac:dyDescent="0.3">
      <c r="M45" s="474" t="s">
        <v>427</v>
      </c>
      <c r="N45" s="187">
        <v>130</v>
      </c>
      <c r="O45" s="474" t="s">
        <v>529</v>
      </c>
      <c r="P45" s="469"/>
      <c r="Q45" s="469"/>
      <c r="R45" s="469"/>
      <c r="S45" s="469"/>
      <c r="T45" s="469"/>
      <c r="U45" s="469"/>
      <c r="V45" s="469"/>
      <c r="W45" s="469"/>
    </row>
    <row r="46" spans="13:23" x14ac:dyDescent="0.3">
      <c r="M46" s="474" t="s">
        <v>428</v>
      </c>
      <c r="N46" s="187">
        <v>193</v>
      </c>
      <c r="O46" s="474" t="s">
        <v>529</v>
      </c>
      <c r="P46" s="469"/>
      <c r="Q46" s="469"/>
      <c r="R46" s="469"/>
      <c r="S46" s="469"/>
      <c r="T46" s="469"/>
      <c r="U46" s="469"/>
      <c r="V46" s="469"/>
      <c r="W46" s="469"/>
    </row>
    <row r="47" spans="13:23" x14ac:dyDescent="0.3">
      <c r="M47" s="474" t="s">
        <v>429</v>
      </c>
      <c r="N47" s="187">
        <v>177</v>
      </c>
      <c r="O47" s="474" t="s">
        <v>529</v>
      </c>
      <c r="P47" s="469"/>
      <c r="Q47" s="469"/>
      <c r="R47" s="469"/>
      <c r="S47" s="469"/>
      <c r="T47" s="469"/>
      <c r="U47" s="469"/>
      <c r="V47" s="469"/>
      <c r="W47" s="469"/>
    </row>
    <row r="48" spans="13:23" x14ac:dyDescent="0.3">
      <c r="M48" s="474" t="s">
        <v>430</v>
      </c>
      <c r="N48" s="187">
        <v>182</v>
      </c>
      <c r="O48" s="474" t="s">
        <v>529</v>
      </c>
      <c r="P48" s="469"/>
      <c r="Q48" s="469"/>
      <c r="R48" s="469"/>
      <c r="S48" s="469"/>
      <c r="T48" s="469"/>
      <c r="U48" s="469"/>
      <c r="V48" s="469"/>
      <c r="W48" s="469"/>
    </row>
    <row r="49" spans="13:23" x14ac:dyDescent="0.3">
      <c r="M49" s="474" t="s">
        <v>431</v>
      </c>
      <c r="N49" s="187">
        <v>138</v>
      </c>
      <c r="O49" s="474" t="s">
        <v>529</v>
      </c>
      <c r="P49" s="469"/>
      <c r="Q49" s="469"/>
      <c r="R49" s="469"/>
      <c r="S49" s="469"/>
      <c r="T49" s="469"/>
      <c r="U49" s="469"/>
      <c r="V49" s="469"/>
      <c r="W49" s="469"/>
    </row>
    <row r="50" spans="13:23" x14ac:dyDescent="0.3">
      <c r="M50" s="477" t="s">
        <v>432</v>
      </c>
      <c r="N50" s="188">
        <v>177</v>
      </c>
      <c r="O50" s="474" t="s">
        <v>529</v>
      </c>
      <c r="P50" s="469"/>
      <c r="Q50" s="469"/>
      <c r="R50" s="469"/>
      <c r="S50" s="469"/>
      <c r="T50" s="469"/>
      <c r="U50" s="469"/>
      <c r="V50" s="469"/>
      <c r="W50" s="469"/>
    </row>
    <row r="51" spans="13:23" x14ac:dyDescent="0.3">
      <c r="M51" s="185" t="s">
        <v>435</v>
      </c>
      <c r="N51" s="185" t="s">
        <v>435</v>
      </c>
      <c r="O51" s="185" t="s">
        <v>435</v>
      </c>
      <c r="P51" s="185" t="s">
        <v>435</v>
      </c>
      <c r="Q51" s="185" t="s">
        <v>435</v>
      </c>
    </row>
  </sheetData>
  <sheetProtection algorithmName="SHA-512" hashValue="JHF3ihvaXm/epj4LGLOIdt87cVeF+xfEwdnUZ952NtQ6QPE0ox1CFolomROhqqDG+vnKeBUQnNXPqfLXzIKoZQ==" saltValue="RUEtJWXK5yDzCTynKTVBNQ==" spinCount="100000" sheet="1" objects="1" scenarios="1"/>
  <conditionalFormatting sqref="C18:C27">
    <cfRule type="expression" dxfId="34" priority="8">
      <formula>D18="Optional"</formula>
    </cfRule>
  </conditionalFormatting>
  <conditionalFormatting sqref="D18:D27">
    <cfRule type="expression" dxfId="33" priority="7">
      <formula>D18="Optional"</formula>
    </cfRule>
  </conditionalFormatting>
  <dataValidations count="2">
    <dataValidation type="decimal" operator="greaterThanOrEqual" allowBlank="1" showInputMessage="1" showErrorMessage="1" sqref="E18:E27" xr:uid="{00000000-0002-0000-0800-000000000000}">
      <formula1>0</formula1>
    </dataValidation>
    <dataValidation type="list" operator="greaterThanOrEqual" allowBlank="1" showInputMessage="1" showErrorMessage="1" sqref="C18:C27" xr:uid="{00000000-0002-0000-0800-000001000000}">
      <formula1>$M$18:$M$50</formula1>
    </dataValidation>
  </dataValidations>
  <hyperlinks>
    <hyperlink ref="Q17" r:id="rId1" tooltip="Link to Nitrogen fertilizer use in California article" display="http://calag.ucanr.edu/Archive/?article=ca.E.v067n01p68" xr:uid="{00000000-0004-0000-0800-000000000000}"/>
    <hyperlink ref="B10" r:id="rId2" tooltip="Link to Land Restoration Benefits Tool User Guide" xr:uid="{00000000-0004-0000-0800-000001000000}"/>
  </hyperlinks>
  <pageMargins left="0.7" right="0.7" top="0.75" bottom="0.75" header="0.3" footer="0.3"/>
  <pageSetup orientation="portrait" r:id="rId3"/>
  <drawing r:id="rId4"/>
  <tableParts count="2">
    <tablePart r:id="rId5"/>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41</vt:i4>
      </vt:variant>
    </vt:vector>
  </HeadingPairs>
  <TitlesOfParts>
    <vt:vector size="55" baseType="lpstr">
      <vt:lpstr>Read Me</vt:lpstr>
      <vt:lpstr>Project Info</vt:lpstr>
      <vt:lpstr>Coastal Tidal Wetland</vt:lpstr>
      <vt:lpstr>Delta Wetland</vt:lpstr>
      <vt:lpstr>Grassland</vt:lpstr>
      <vt:lpstr>Mountain Meadow</vt:lpstr>
      <vt:lpstr>Seasonal Inland Wetland</vt:lpstr>
      <vt:lpstr>Trees</vt:lpstr>
      <vt:lpstr>N Apply</vt:lpstr>
      <vt:lpstr>GHG Summary</vt:lpstr>
      <vt:lpstr>Co-benefits Summary</vt:lpstr>
      <vt:lpstr>Acronyms</vt:lpstr>
      <vt:lpstr>Documentation</vt:lpstr>
      <vt:lpstr>CCIRTS &lt;HIDE&gt;</vt:lpstr>
      <vt:lpstr>Agency</vt:lpstr>
      <vt:lpstr>CTW</vt:lpstr>
      <vt:lpstr>CTW_acres</vt:lpstr>
      <vt:lpstr>CTW_CO2</vt:lpstr>
      <vt:lpstr>CTW_NOx</vt:lpstr>
      <vt:lpstr>CTW_PM2.5</vt:lpstr>
      <vt:lpstr>CTW_trees</vt:lpstr>
      <vt:lpstr>Delta</vt:lpstr>
      <vt:lpstr>Delta_acres</vt:lpstr>
      <vt:lpstr>Delta_CO2</vt:lpstr>
      <vt:lpstr>Delta_NOx</vt:lpstr>
      <vt:lpstr>Delta_PM2.5</vt:lpstr>
      <vt:lpstr>Delta_trees</vt:lpstr>
      <vt:lpstr>Funds_CCI</vt:lpstr>
      <vt:lpstr>Funds_Other</vt:lpstr>
      <vt:lpstr>Funds_Program</vt:lpstr>
      <vt:lpstr>Funds_Total</vt:lpstr>
      <vt:lpstr>GW</vt:lpstr>
      <vt:lpstr>GW_acres</vt:lpstr>
      <vt:lpstr>GW_CO2</vt:lpstr>
      <vt:lpstr>GW_NOx</vt:lpstr>
      <vt:lpstr>GW_PM2.5</vt:lpstr>
      <vt:lpstr>GW_trees</vt:lpstr>
      <vt:lpstr>MM</vt:lpstr>
      <vt:lpstr>MM_acres</vt:lpstr>
      <vt:lpstr>MM_CO2</vt:lpstr>
      <vt:lpstr>MM_NOx</vt:lpstr>
      <vt:lpstr>MM_PM2.5</vt:lpstr>
      <vt:lpstr>MM_trees</vt:lpstr>
      <vt:lpstr>'Co-benefits Summary'!Print_Area</vt:lpstr>
      <vt:lpstr>Documentation!Print_Area</vt:lpstr>
      <vt:lpstr>'GHG Summary'!Print_Area</vt:lpstr>
      <vt:lpstr>Program</vt:lpstr>
      <vt:lpstr>ProjectName</vt:lpstr>
      <vt:lpstr>ProjectType</vt:lpstr>
      <vt:lpstr>SIW</vt:lpstr>
      <vt:lpstr>SIW_acres</vt:lpstr>
      <vt:lpstr>SIW_CO2</vt:lpstr>
      <vt:lpstr>SIW_NOx</vt:lpstr>
      <vt:lpstr>SIW_PM2.5</vt:lpstr>
      <vt:lpstr>SIW_trees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Land Restoration QM</dc:title>
  <dc:subject>High Scrutiny</dc:subject>
  <dc:creator/>
  <cp:lastModifiedBy/>
  <dcterms:created xsi:type="dcterms:W3CDTF">2015-06-05T18:17:20Z</dcterms:created>
  <dcterms:modified xsi:type="dcterms:W3CDTF">2022-01-05T20:09:34Z</dcterms:modified>
</cp:coreProperties>
</file>