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drawings/drawing9.xml" ContentType="application/vnd.openxmlformats-officedocument.drawing+xml"/>
  <Override PartName="/xl/tables/table10.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filterPrivacy="1" updateLinks="never" codeName="ThisWorkbook"/>
  <xr:revisionPtr revIDLastSave="64" documentId="8_{2EF7FF91-86E5-4E9D-B3C6-022F21A0ACC8}" xr6:coauthVersionLast="47" xr6:coauthVersionMax="47" xr10:uidLastSave="{EB41578D-6B92-4ECC-A16F-F9BDBDDD1215}"/>
  <bookViews>
    <workbookView xWindow="-120" yWindow="-120" windowWidth="38640" windowHeight="21120" tabRatio="790" xr2:uid="{00000000-000D-0000-FFFF-FFFF00000000}"/>
  </bookViews>
  <sheets>
    <sheet name="Read Me" sheetId="1" r:id="rId1"/>
    <sheet name="Project Info" sheetId="2" r:id="rId2"/>
    <sheet name="Non-Elec PumpReplacement Inputs" sheetId="26" r:id="rId3"/>
    <sheet name="Electric PumpReplacement Inputs" sheetId="31" r:id="rId4"/>
    <sheet name="Solar PV Inputs" sheetId="22" r:id="rId5"/>
    <sheet name="Energy Efficiency Inputs" sheetId="24" r:id="rId6"/>
    <sheet name="Interim Water Delivery Inputs" sheetId="3" r:id="rId7"/>
    <sheet name="GHG Summary" sheetId="4" r:id="rId8"/>
    <sheet name="Co-benefits Summary" sheetId="5" r:id="rId9"/>
    <sheet name="Data Dictionary" sheetId="32" r:id="rId10"/>
    <sheet name="Delivery_Calcs" sheetId="19" state="hidden" r:id="rId11"/>
    <sheet name="Energy_Efficiency_Calcs" sheetId="25" state="hidden" r:id="rId12"/>
    <sheet name="LCT - Heavy Duty" sheetId="21" state="hidden" r:id="rId13"/>
    <sheet name="LCT - Light &amp; Light-Heavy Duty" sheetId="20" state="hidden" r:id="rId14"/>
    <sheet name="Grid Electricity" sheetId="23" state="hidden" r:id="rId15"/>
    <sheet name="Fuel-Specific GHG" sheetId="29" state="hidden" r:id="rId16"/>
    <sheet name="Fuel Prices" sheetId="27" state="hidden" r:id="rId17"/>
    <sheet name="Fuel Density" sheetId="28" state="hidden" r:id="rId18"/>
    <sheet name="Pump Emission Factors" sheetId="30" state="hidden" r:id="rId19"/>
    <sheet name="Defaults" sheetId="7" state="hidden" r:id="rId20"/>
    <sheet name="Passenger Auto GHG" sheetId="33" state="hidden" r:id="rId21"/>
    <sheet name="Passenger Auto C&amp;T" sheetId="34" state="hidden" r:id="rId22"/>
    <sheet name="Lists" sheetId="35" state="hidden" r:id="rId23"/>
  </sheets>
  <definedNames>
    <definedName name="AnnualkWh">'Solar PV Inputs'!$C$19</definedName>
    <definedName name="Box_Truck">Lists!$B$2:$B$6</definedName>
    <definedName name="ElectricityUse">'Solar PV Inputs'!$C$20</definedName>
    <definedName name="Heavy_Duty_Truck">Lists!$A$2:$A$6</definedName>
    <definedName name="_xlnm.Print_Area" localSheetId="8">'Co-benefits Summary'!$A$1:$E$30</definedName>
    <definedName name="_xlnm.Print_Area" localSheetId="19">Defaults!$B$1:$K$57</definedName>
    <definedName name="_xlnm.Print_Area" localSheetId="5">'Energy Efficiency Inputs'!$A$1:$P$36</definedName>
    <definedName name="_xlnm.Print_Area" localSheetId="17">'Fuel Density'!$B$1:$F$21</definedName>
    <definedName name="_xlnm.Print_Area" localSheetId="16">'Fuel Prices'!$B$1:$E$40</definedName>
    <definedName name="_xlnm.Print_Area" localSheetId="15">'Fuel-Specific GHG'!$A$1:$G$58</definedName>
    <definedName name="_xlnm.Print_Area" localSheetId="7">'GHG Summary'!$A$1:$D$26</definedName>
    <definedName name="_xlnm.Print_Area" localSheetId="1">'Project Info'!$A$1:$K$38</definedName>
    <definedName name="_xlnm.Print_Area" localSheetId="18">'Pump Emission Factors'!$A$1:$K$102</definedName>
    <definedName name="_xlnm.Print_Area" localSheetId="0">'Read Me'!$A$1:$C$27</definedName>
    <definedName name="_xlnm.Print_Area" localSheetId="4">'Solar PV Inputs'!$A$1:$H$29</definedName>
    <definedName name="Sedan">Lists!$D$2:$D$6</definedName>
    <definedName name="TotalkWh">'Solar PV Inputs'!$C$21</definedName>
    <definedName name="Van">Lists!$C$2:$C$6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7" l="1"/>
  <c r="G31" i="7"/>
  <c r="C33" i="7"/>
  <c r="C32" i="7"/>
  <c r="C31" i="7"/>
  <c r="C13" i="27"/>
  <c r="C23" i="27"/>
  <c r="D34" i="2" l="1"/>
  <c r="D33" i="2"/>
  <c r="C15" i="4"/>
  <c r="D46" i="34" l="1"/>
  <c r="E46" i="34"/>
  <c r="F46" i="34"/>
  <c r="G46" i="34"/>
  <c r="H46" i="34"/>
  <c r="I46" i="34"/>
  <c r="J46" i="34"/>
  <c r="K46" i="34"/>
  <c r="L46" i="34"/>
  <c r="D47" i="34"/>
  <c r="E47" i="34"/>
  <c r="F47" i="34"/>
  <c r="G47" i="34"/>
  <c r="H47" i="34"/>
  <c r="I47" i="34"/>
  <c r="J47" i="34"/>
  <c r="K47" i="34"/>
  <c r="L47" i="34"/>
  <c r="D48" i="34"/>
  <c r="E48" i="34"/>
  <c r="F48" i="34"/>
  <c r="G48" i="34"/>
  <c r="H48" i="34"/>
  <c r="I48" i="34"/>
  <c r="J48" i="34"/>
  <c r="K48" i="34"/>
  <c r="L48" i="34"/>
  <c r="D49" i="34"/>
  <c r="E49" i="34"/>
  <c r="F49" i="34"/>
  <c r="G49" i="34"/>
  <c r="H49" i="34"/>
  <c r="I49" i="34"/>
  <c r="J49" i="34"/>
  <c r="K49" i="34"/>
  <c r="L49" i="34"/>
  <c r="D50" i="34"/>
  <c r="E50" i="34"/>
  <c r="F50" i="34"/>
  <c r="G50" i="34"/>
  <c r="H50" i="34"/>
  <c r="I50" i="34"/>
  <c r="J50" i="34"/>
  <c r="K50" i="34"/>
  <c r="L50" i="34"/>
  <c r="D51" i="34"/>
  <c r="E51" i="34"/>
  <c r="F51" i="34"/>
  <c r="G51" i="34"/>
  <c r="H51" i="34"/>
  <c r="I51" i="34"/>
  <c r="J51" i="34"/>
  <c r="K51" i="34"/>
  <c r="L51" i="34"/>
  <c r="D52" i="34"/>
  <c r="E52" i="34"/>
  <c r="F52" i="34"/>
  <c r="G52" i="34"/>
  <c r="H52" i="34"/>
  <c r="I52" i="34"/>
  <c r="J52" i="34"/>
  <c r="K52" i="34"/>
  <c r="L52" i="34"/>
  <c r="D53" i="34"/>
  <c r="E53" i="34"/>
  <c r="F53" i="34"/>
  <c r="G53" i="34"/>
  <c r="H53" i="34"/>
  <c r="I53" i="34"/>
  <c r="J53" i="34"/>
  <c r="K53" i="34"/>
  <c r="L53" i="34"/>
  <c r="D54" i="34"/>
  <c r="E54" i="34"/>
  <c r="F54" i="34"/>
  <c r="G54" i="34"/>
  <c r="H54" i="34"/>
  <c r="I54" i="34"/>
  <c r="J54" i="34"/>
  <c r="K54" i="34"/>
  <c r="L54" i="34"/>
  <c r="D55" i="34"/>
  <c r="E55" i="34"/>
  <c r="F55" i="34"/>
  <c r="G55" i="34"/>
  <c r="H55" i="34"/>
  <c r="I55" i="34"/>
  <c r="J55" i="34"/>
  <c r="K55" i="34"/>
  <c r="L55" i="34"/>
  <c r="D56" i="34"/>
  <c r="E56" i="34"/>
  <c r="F56" i="34"/>
  <c r="G56" i="34"/>
  <c r="H56" i="34"/>
  <c r="I56" i="34"/>
  <c r="J56" i="34"/>
  <c r="K56" i="34"/>
  <c r="L56" i="34"/>
  <c r="D57" i="34"/>
  <c r="E57" i="34"/>
  <c r="F57" i="34"/>
  <c r="G57" i="34"/>
  <c r="H57" i="34"/>
  <c r="I57" i="34"/>
  <c r="J57" i="34"/>
  <c r="K57" i="34"/>
  <c r="L57" i="34"/>
  <c r="D58" i="34"/>
  <c r="E58" i="34"/>
  <c r="F58" i="34"/>
  <c r="G58" i="34"/>
  <c r="H58" i="34"/>
  <c r="I58" i="34"/>
  <c r="J58" i="34"/>
  <c r="K58" i="34"/>
  <c r="L58" i="34"/>
  <c r="D59" i="34"/>
  <c r="E59" i="34"/>
  <c r="F59" i="34"/>
  <c r="G59" i="34"/>
  <c r="H59" i="34"/>
  <c r="I59" i="34"/>
  <c r="J59" i="34"/>
  <c r="K59" i="34"/>
  <c r="L59" i="34"/>
  <c r="D60" i="34"/>
  <c r="E60" i="34"/>
  <c r="F60" i="34"/>
  <c r="G60" i="34"/>
  <c r="H60" i="34"/>
  <c r="I60" i="34"/>
  <c r="J60" i="34"/>
  <c r="K60" i="34"/>
  <c r="L60" i="34"/>
  <c r="D61" i="34"/>
  <c r="E61" i="34"/>
  <c r="F61" i="34"/>
  <c r="G61" i="34"/>
  <c r="H61" i="34"/>
  <c r="I61" i="34"/>
  <c r="J61" i="34"/>
  <c r="K61" i="34"/>
  <c r="L61" i="34"/>
  <c r="D62" i="34"/>
  <c r="E62" i="34"/>
  <c r="F62" i="34"/>
  <c r="G62" i="34"/>
  <c r="H62" i="34"/>
  <c r="I62" i="34"/>
  <c r="J62" i="34"/>
  <c r="K62" i="34"/>
  <c r="L62" i="34"/>
  <c r="D63" i="34"/>
  <c r="E63" i="34"/>
  <c r="F63" i="34"/>
  <c r="G63" i="34"/>
  <c r="H63" i="34"/>
  <c r="I63" i="34"/>
  <c r="J63" i="34"/>
  <c r="K63" i="34"/>
  <c r="L63" i="34"/>
  <c r="D64" i="34"/>
  <c r="E64" i="34"/>
  <c r="F64" i="34"/>
  <c r="G64" i="34"/>
  <c r="H64" i="34"/>
  <c r="I64" i="34"/>
  <c r="J64" i="34"/>
  <c r="K64" i="34"/>
  <c r="L64" i="34"/>
  <c r="D65" i="34"/>
  <c r="E65" i="34"/>
  <c r="F65" i="34"/>
  <c r="G65" i="34"/>
  <c r="H65" i="34"/>
  <c r="I65" i="34"/>
  <c r="J65" i="34"/>
  <c r="K65" i="34"/>
  <c r="L65" i="34"/>
  <c r="D66" i="34"/>
  <c r="E66" i="34"/>
  <c r="F66" i="34"/>
  <c r="G66" i="34"/>
  <c r="H66" i="34"/>
  <c r="I66" i="34"/>
  <c r="J66" i="34"/>
  <c r="K66" i="34"/>
  <c r="L66" i="34"/>
  <c r="D67" i="34"/>
  <c r="E67" i="34"/>
  <c r="F67" i="34"/>
  <c r="G67" i="34"/>
  <c r="H67" i="34"/>
  <c r="I67" i="34"/>
  <c r="J67" i="34"/>
  <c r="K67" i="34"/>
  <c r="L67" i="34"/>
  <c r="D68" i="34"/>
  <c r="E68" i="34"/>
  <c r="F68" i="34"/>
  <c r="G68" i="34"/>
  <c r="H68" i="34"/>
  <c r="I68" i="34"/>
  <c r="J68" i="34"/>
  <c r="K68" i="34"/>
  <c r="L68" i="34"/>
  <c r="D69" i="34"/>
  <c r="E69" i="34"/>
  <c r="F69" i="34"/>
  <c r="G69" i="34"/>
  <c r="H69" i="34"/>
  <c r="I69" i="34"/>
  <c r="J69" i="34"/>
  <c r="K69" i="34"/>
  <c r="L69" i="34"/>
  <c r="D70" i="34"/>
  <c r="E70" i="34"/>
  <c r="F70" i="34"/>
  <c r="G70" i="34"/>
  <c r="H70" i="34"/>
  <c r="I70" i="34"/>
  <c r="J70" i="34"/>
  <c r="K70" i="34"/>
  <c r="L70" i="34"/>
  <c r="D71" i="34"/>
  <c r="E71" i="34"/>
  <c r="F71" i="34"/>
  <c r="G71" i="34"/>
  <c r="H71" i="34"/>
  <c r="I71" i="34"/>
  <c r="J71" i="34"/>
  <c r="K71" i="34"/>
  <c r="L71" i="34"/>
  <c r="D72" i="34"/>
  <c r="E72" i="34"/>
  <c r="F72" i="34"/>
  <c r="G72" i="34"/>
  <c r="H72" i="34"/>
  <c r="I72" i="34"/>
  <c r="J72" i="34"/>
  <c r="K72" i="34"/>
  <c r="L72" i="34"/>
  <c r="D73" i="34"/>
  <c r="E73" i="34"/>
  <c r="F73" i="34"/>
  <c r="G73" i="34"/>
  <c r="H73" i="34"/>
  <c r="I73" i="34"/>
  <c r="J73" i="34"/>
  <c r="K73" i="34"/>
  <c r="L73" i="34"/>
  <c r="D74" i="34"/>
  <c r="E74" i="34"/>
  <c r="F74" i="34"/>
  <c r="G74" i="34"/>
  <c r="H74" i="34"/>
  <c r="I74" i="34"/>
  <c r="J74" i="34"/>
  <c r="K74" i="34"/>
  <c r="L74" i="34"/>
  <c r="D75" i="34"/>
  <c r="E75" i="34"/>
  <c r="F75" i="34"/>
  <c r="G75" i="34"/>
  <c r="H75" i="34"/>
  <c r="I75" i="34"/>
  <c r="J75" i="34"/>
  <c r="K75" i="34"/>
  <c r="L75" i="34"/>
  <c r="D76" i="34"/>
  <c r="E76" i="34"/>
  <c r="F76" i="34"/>
  <c r="G76" i="34"/>
  <c r="H76" i="34"/>
  <c r="I76" i="34"/>
  <c r="J76" i="34"/>
  <c r="K76" i="34"/>
  <c r="L76" i="34"/>
  <c r="D77" i="34"/>
  <c r="E77" i="34"/>
  <c r="F77" i="34"/>
  <c r="G77" i="34"/>
  <c r="H77" i="34"/>
  <c r="I77" i="34"/>
  <c r="J77" i="34"/>
  <c r="K77" i="34"/>
  <c r="L77" i="34"/>
  <c r="D78" i="34"/>
  <c r="E78" i="34"/>
  <c r="F78" i="34"/>
  <c r="G78" i="34"/>
  <c r="H78" i="34"/>
  <c r="I78" i="34"/>
  <c r="J78" i="34"/>
  <c r="K78" i="34"/>
  <c r="L78" i="34"/>
  <c r="D79" i="34"/>
  <c r="E79" i="34"/>
  <c r="F79" i="34"/>
  <c r="G79" i="34"/>
  <c r="H79" i="34"/>
  <c r="I79" i="34"/>
  <c r="J79" i="34"/>
  <c r="K79" i="34"/>
  <c r="L79" i="34"/>
  <c r="D80" i="34"/>
  <c r="E80" i="34"/>
  <c r="F80" i="34"/>
  <c r="G80" i="34"/>
  <c r="H80" i="34"/>
  <c r="I80" i="34"/>
  <c r="J80" i="34"/>
  <c r="K80" i="34"/>
  <c r="L80" i="34"/>
  <c r="E45" i="34"/>
  <c r="F45" i="34"/>
  <c r="G45" i="34"/>
  <c r="H45" i="34"/>
  <c r="I45" i="34"/>
  <c r="J45" i="34"/>
  <c r="K45" i="34"/>
  <c r="L45" i="34"/>
  <c r="D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45" i="34"/>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46" i="33"/>
  <c r="C46" i="33"/>
  <c r="C47"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O20" i="3" l="1"/>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19" i="3"/>
  <c r="C5" i="31"/>
  <c r="B7" i="32"/>
  <c r="B5" i="32"/>
  <c r="B4" i="32"/>
  <c r="B3" i="32"/>
  <c r="B1" i="32"/>
  <c r="D7" i="19" l="1"/>
  <c r="D5" i="19"/>
  <c r="D4" i="19"/>
  <c r="D3" i="19"/>
  <c r="D1" i="19"/>
  <c r="C12" i="19"/>
  <c r="C13" i="19"/>
  <c r="C14" i="19"/>
  <c r="C15" i="19"/>
  <c r="X15" i="19" s="1"/>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C37" i="2"/>
  <c r="BZ104" i="31"/>
  <c r="C4" i="31"/>
  <c r="C8" i="31"/>
  <c r="C3" i="31"/>
  <c r="C1" i="31"/>
  <c r="X30" i="19" l="1"/>
  <c r="X29" i="19"/>
  <c r="X42" i="19"/>
  <c r="X34" i="19"/>
  <c r="X26" i="19"/>
  <c r="X18" i="19"/>
  <c r="X37" i="19"/>
  <c r="X28" i="19"/>
  <c r="X41" i="19"/>
  <c r="X33" i="19"/>
  <c r="X25" i="19"/>
  <c r="X17" i="19"/>
  <c r="X38" i="19"/>
  <c r="X22" i="19"/>
  <c r="X36" i="19"/>
  <c r="X27" i="19"/>
  <c r="X40" i="19"/>
  <c r="X32" i="19"/>
  <c r="X24" i="19"/>
  <c r="X16" i="19"/>
  <c r="X21" i="19"/>
  <c r="X44" i="19"/>
  <c r="X20" i="19"/>
  <c r="X43" i="19"/>
  <c r="X35" i="19"/>
  <c r="X19" i="19"/>
  <c r="X39" i="19"/>
  <c r="X31" i="19"/>
  <c r="X23" i="19"/>
  <c r="BX20" i="31"/>
  <c r="BX21" i="31"/>
  <c r="BX22" i="31"/>
  <c r="BX23" i="31"/>
  <c r="BX24" i="31"/>
  <c r="BX25" i="31"/>
  <c r="BX26" i="31"/>
  <c r="BX27" i="31"/>
  <c r="BX28" i="31"/>
  <c r="BX29" i="31"/>
  <c r="BX30" i="31"/>
  <c r="BX31" i="31"/>
  <c r="BX32" i="31"/>
  <c r="BX33" i="31"/>
  <c r="BX34" i="31"/>
  <c r="BX35" i="31"/>
  <c r="BX36" i="31"/>
  <c r="BX37" i="31"/>
  <c r="BX38" i="31"/>
  <c r="BX39" i="31"/>
  <c r="BX40" i="31"/>
  <c r="BX41" i="31"/>
  <c r="BX42" i="31"/>
  <c r="BX43" i="31"/>
  <c r="BX44" i="31"/>
  <c r="BX45" i="31"/>
  <c r="BX46" i="31"/>
  <c r="BX47" i="31"/>
  <c r="BX48" i="31"/>
  <c r="BX49" i="31"/>
  <c r="BX50" i="31"/>
  <c r="BX51" i="31"/>
  <c r="BX52" i="31"/>
  <c r="BX53" i="31"/>
  <c r="BX54" i="31"/>
  <c r="BX55" i="31"/>
  <c r="BX56" i="31"/>
  <c r="BX57" i="31"/>
  <c r="BX58" i="31"/>
  <c r="BX59" i="31"/>
  <c r="BX60" i="31"/>
  <c r="BX61" i="31"/>
  <c r="BX62" i="31"/>
  <c r="BX63" i="31"/>
  <c r="BX64" i="31"/>
  <c r="BX65" i="31"/>
  <c r="BX66" i="31"/>
  <c r="BX67" i="31"/>
  <c r="BX68" i="31"/>
  <c r="BX69" i="31"/>
  <c r="BX70" i="31"/>
  <c r="BX71" i="31"/>
  <c r="BX72" i="31"/>
  <c r="BX73" i="31"/>
  <c r="BX74" i="31"/>
  <c r="BX75" i="31"/>
  <c r="BX76" i="31"/>
  <c r="BX77" i="31"/>
  <c r="BX78" i="31"/>
  <c r="BX79" i="31"/>
  <c r="BX80" i="31"/>
  <c r="BX81" i="31"/>
  <c r="BX82" i="31"/>
  <c r="BX83" i="31"/>
  <c r="BX84" i="31"/>
  <c r="BX85" i="31"/>
  <c r="BX86" i="31"/>
  <c r="BX87" i="31"/>
  <c r="BX88" i="31"/>
  <c r="BX89" i="31"/>
  <c r="BX90" i="31"/>
  <c r="BX91" i="31"/>
  <c r="BX92" i="31"/>
  <c r="BX93" i="31"/>
  <c r="BX94" i="31"/>
  <c r="BX95" i="31"/>
  <c r="BX96" i="31"/>
  <c r="BX97" i="31"/>
  <c r="BX98" i="31"/>
  <c r="BX99" i="31"/>
  <c r="BX100" i="31"/>
  <c r="BX101" i="31"/>
  <c r="BX102" i="31"/>
  <c r="BX103" i="31"/>
  <c r="AC20" i="31"/>
  <c r="BB20" i="31" s="1"/>
  <c r="AC21" i="31"/>
  <c r="BB21" i="31" s="1"/>
  <c r="AC22" i="31"/>
  <c r="BB22" i="31" s="1"/>
  <c r="AC23" i="31"/>
  <c r="BB23" i="31" s="1"/>
  <c r="AC24" i="31"/>
  <c r="BB24" i="31" s="1"/>
  <c r="AC25" i="31"/>
  <c r="BB25" i="31" s="1"/>
  <c r="AC26" i="31"/>
  <c r="BB26" i="31" s="1"/>
  <c r="AC27" i="31"/>
  <c r="BB27" i="31" s="1"/>
  <c r="AC28" i="31"/>
  <c r="BB28" i="31" s="1"/>
  <c r="AC29" i="31"/>
  <c r="BB29" i="31" s="1"/>
  <c r="AC30" i="31"/>
  <c r="BB30" i="31" s="1"/>
  <c r="AC31" i="31"/>
  <c r="BB31" i="31" s="1"/>
  <c r="AC32" i="31"/>
  <c r="BB32" i="31" s="1"/>
  <c r="AC33" i="31"/>
  <c r="BB33" i="31" s="1"/>
  <c r="AC34" i="31"/>
  <c r="BB34" i="31" s="1"/>
  <c r="AC35" i="31"/>
  <c r="BB35" i="31" s="1"/>
  <c r="AC36" i="31"/>
  <c r="BB36" i="31" s="1"/>
  <c r="AC37" i="31"/>
  <c r="BB37" i="31" s="1"/>
  <c r="AC38" i="31"/>
  <c r="BB38" i="31" s="1"/>
  <c r="AC39" i="31"/>
  <c r="BB39" i="31" s="1"/>
  <c r="AC40" i="31"/>
  <c r="BB40" i="31" s="1"/>
  <c r="AC41" i="31"/>
  <c r="BB41" i="31" s="1"/>
  <c r="AC42" i="31"/>
  <c r="BB42" i="31" s="1"/>
  <c r="AC43" i="31"/>
  <c r="BB43" i="31" s="1"/>
  <c r="AC44" i="31"/>
  <c r="BB44" i="31" s="1"/>
  <c r="AC45" i="31"/>
  <c r="BB45" i="31" s="1"/>
  <c r="AC46" i="31"/>
  <c r="BB46" i="31" s="1"/>
  <c r="AC47" i="31"/>
  <c r="BB47" i="31" s="1"/>
  <c r="AC48" i="31"/>
  <c r="BB48" i="31" s="1"/>
  <c r="AC49" i="31"/>
  <c r="BB49" i="31" s="1"/>
  <c r="AC50" i="31"/>
  <c r="BB50" i="31" s="1"/>
  <c r="AC51" i="31"/>
  <c r="BB51" i="31" s="1"/>
  <c r="AC52" i="31"/>
  <c r="BB52" i="31" s="1"/>
  <c r="AC53" i="31"/>
  <c r="BB53" i="31" s="1"/>
  <c r="AC54" i="31"/>
  <c r="BB54" i="31" s="1"/>
  <c r="AC55" i="31"/>
  <c r="BB55" i="31" s="1"/>
  <c r="AC56" i="31"/>
  <c r="BB56" i="31" s="1"/>
  <c r="AC57" i="31"/>
  <c r="BB57" i="31" s="1"/>
  <c r="AC58" i="31"/>
  <c r="BB58" i="31" s="1"/>
  <c r="AC59" i="31"/>
  <c r="BB59" i="31" s="1"/>
  <c r="AC60" i="31"/>
  <c r="BB60" i="31" s="1"/>
  <c r="AC61" i="31"/>
  <c r="BB61" i="31" s="1"/>
  <c r="AC62" i="31"/>
  <c r="BB62" i="31" s="1"/>
  <c r="AC63" i="31"/>
  <c r="BB63" i="31" s="1"/>
  <c r="AC64" i="31"/>
  <c r="BB64" i="31" s="1"/>
  <c r="AC65" i="31"/>
  <c r="BB65" i="31" s="1"/>
  <c r="AC66" i="31"/>
  <c r="BB66" i="31" s="1"/>
  <c r="AC67" i="31"/>
  <c r="BB67" i="31" s="1"/>
  <c r="AC68" i="31"/>
  <c r="BB68" i="31" s="1"/>
  <c r="AC69" i="31"/>
  <c r="BB69" i="31" s="1"/>
  <c r="AC70" i="31"/>
  <c r="BB70" i="31" s="1"/>
  <c r="AC71" i="31"/>
  <c r="BB71" i="31" s="1"/>
  <c r="AC72" i="31"/>
  <c r="BB72" i="31" s="1"/>
  <c r="AC73" i="31"/>
  <c r="BB73" i="31" s="1"/>
  <c r="AC74" i="31"/>
  <c r="BB74" i="31" s="1"/>
  <c r="AC75" i="31"/>
  <c r="BB75" i="31" s="1"/>
  <c r="AC76" i="31"/>
  <c r="BB76" i="31" s="1"/>
  <c r="AC77" i="31"/>
  <c r="BB77" i="31" s="1"/>
  <c r="AC78" i="31"/>
  <c r="BB78" i="31" s="1"/>
  <c r="AC79" i="31"/>
  <c r="BB79" i="31" s="1"/>
  <c r="AC80" i="31"/>
  <c r="BB80" i="31" s="1"/>
  <c r="AC81" i="31"/>
  <c r="BB81" i="31" s="1"/>
  <c r="AC82" i="31"/>
  <c r="BB82" i="31" s="1"/>
  <c r="AC83" i="31"/>
  <c r="BB83" i="31" s="1"/>
  <c r="AC84" i="31"/>
  <c r="BB84" i="31" s="1"/>
  <c r="AC85" i="31"/>
  <c r="BB85" i="31" s="1"/>
  <c r="AC86" i="31"/>
  <c r="BB86" i="31" s="1"/>
  <c r="AC87" i="31"/>
  <c r="BB87" i="31" s="1"/>
  <c r="AC88" i="31"/>
  <c r="BB88" i="31" s="1"/>
  <c r="AC89" i="31"/>
  <c r="BB89" i="31" s="1"/>
  <c r="AC90" i="31"/>
  <c r="BB90" i="31" s="1"/>
  <c r="AC91" i="31"/>
  <c r="BB91" i="31" s="1"/>
  <c r="AC92" i="31"/>
  <c r="BB92" i="31" s="1"/>
  <c r="AC93" i="31"/>
  <c r="BB93" i="31" s="1"/>
  <c r="AC94" i="31"/>
  <c r="BB94" i="31" s="1"/>
  <c r="AC95" i="31"/>
  <c r="BB95" i="31" s="1"/>
  <c r="AC96" i="31"/>
  <c r="BB96" i="31" s="1"/>
  <c r="AC97" i="31"/>
  <c r="BB97" i="31" s="1"/>
  <c r="AC98" i="31"/>
  <c r="BB98" i="31" s="1"/>
  <c r="AC99" i="31"/>
  <c r="BB99" i="31" s="1"/>
  <c r="AC100" i="31"/>
  <c r="BB100" i="31" s="1"/>
  <c r="AC101" i="31"/>
  <c r="BB101" i="31" s="1"/>
  <c r="AC102" i="31"/>
  <c r="BB102" i="31" s="1"/>
  <c r="AC103" i="31"/>
  <c r="BB103" i="31" s="1"/>
  <c r="BA20" i="31"/>
  <c r="BC20" i="31" s="1"/>
  <c r="BA21" i="31"/>
  <c r="BC21" i="31" s="1"/>
  <c r="BA22" i="31"/>
  <c r="BC22" i="31" s="1"/>
  <c r="BA23" i="31"/>
  <c r="BC23" i="31" s="1"/>
  <c r="BA24" i="31"/>
  <c r="BA25" i="31"/>
  <c r="BC25" i="31" s="1"/>
  <c r="BA26" i="31"/>
  <c r="BC26" i="31" s="1"/>
  <c r="BA27" i="31"/>
  <c r="BC27" i="31" s="1"/>
  <c r="BA28" i="31"/>
  <c r="BC28" i="31" s="1"/>
  <c r="BA29" i="31"/>
  <c r="BC29" i="31" s="1"/>
  <c r="BA30" i="31"/>
  <c r="BC30" i="31" s="1"/>
  <c r="BA31" i="31"/>
  <c r="BC31" i="31" s="1"/>
  <c r="BA32" i="31"/>
  <c r="BC32" i="31" s="1"/>
  <c r="BA33" i="31"/>
  <c r="BC33" i="31" s="1"/>
  <c r="BA34" i="31"/>
  <c r="BC34" i="31" s="1"/>
  <c r="BA35" i="31"/>
  <c r="BC35" i="31" s="1"/>
  <c r="BA36" i="31"/>
  <c r="BC36" i="31" s="1"/>
  <c r="BA37" i="31"/>
  <c r="BC37" i="31" s="1"/>
  <c r="BA38" i="31"/>
  <c r="BC38" i="31" s="1"/>
  <c r="BA39" i="31"/>
  <c r="BC39" i="31" s="1"/>
  <c r="BA40" i="31"/>
  <c r="BC40" i="31" s="1"/>
  <c r="BA41" i="31"/>
  <c r="BC41" i="31" s="1"/>
  <c r="BA42" i="31"/>
  <c r="BC42" i="31" s="1"/>
  <c r="BA43" i="31"/>
  <c r="BC43" i="31" s="1"/>
  <c r="BA44" i="31"/>
  <c r="BC44" i="31" s="1"/>
  <c r="BA45" i="31"/>
  <c r="BC45" i="31" s="1"/>
  <c r="BA46" i="31"/>
  <c r="BC46" i="31" s="1"/>
  <c r="BA47" i="31"/>
  <c r="BC47" i="31" s="1"/>
  <c r="BA48" i="31"/>
  <c r="BC48" i="31" s="1"/>
  <c r="BA49" i="31"/>
  <c r="BC49" i="31" s="1"/>
  <c r="BA50" i="31"/>
  <c r="BC50" i="31" s="1"/>
  <c r="BA51" i="31"/>
  <c r="BC51" i="31" s="1"/>
  <c r="BA52" i="31"/>
  <c r="BC52" i="31" s="1"/>
  <c r="BA53" i="31"/>
  <c r="BC53" i="31" s="1"/>
  <c r="BA54" i="31"/>
  <c r="BC54" i="31" s="1"/>
  <c r="BA55" i="31"/>
  <c r="BC55" i="31" s="1"/>
  <c r="BA56" i="31"/>
  <c r="BC56" i="31" s="1"/>
  <c r="BA57" i="31"/>
  <c r="BC57" i="31" s="1"/>
  <c r="BA58" i="31"/>
  <c r="BC58" i="31" s="1"/>
  <c r="BA59" i="31"/>
  <c r="BC59" i="31" s="1"/>
  <c r="BA60" i="31"/>
  <c r="BC60" i="31" s="1"/>
  <c r="BA61" i="31"/>
  <c r="BC61" i="31" s="1"/>
  <c r="BA62" i="31"/>
  <c r="BC62" i="31" s="1"/>
  <c r="BA63" i="31"/>
  <c r="BC63" i="31" s="1"/>
  <c r="BA64" i="31"/>
  <c r="BC64" i="31" s="1"/>
  <c r="BA65" i="31"/>
  <c r="BC65" i="31" s="1"/>
  <c r="BA66" i="31"/>
  <c r="BC66" i="31" s="1"/>
  <c r="BA67" i="31"/>
  <c r="BC67" i="31" s="1"/>
  <c r="BA68" i="31"/>
  <c r="BC68" i="31" s="1"/>
  <c r="BA69" i="31"/>
  <c r="BC69" i="31" s="1"/>
  <c r="BA70" i="31"/>
  <c r="BC70" i="31" s="1"/>
  <c r="BA71" i="31"/>
  <c r="BC71" i="31" s="1"/>
  <c r="BA72" i="31"/>
  <c r="BC72" i="31" s="1"/>
  <c r="BA73" i="31"/>
  <c r="BC73" i="31" s="1"/>
  <c r="BA74" i="31"/>
  <c r="BC74" i="31" s="1"/>
  <c r="BA75" i="31"/>
  <c r="BC75" i="31" s="1"/>
  <c r="BA76" i="31"/>
  <c r="BC76" i="31" s="1"/>
  <c r="BA77" i="31"/>
  <c r="BC77" i="31" s="1"/>
  <c r="BA78" i="31"/>
  <c r="BC78" i="31" s="1"/>
  <c r="BA79" i="31"/>
  <c r="BC79" i="31" s="1"/>
  <c r="BA80" i="31"/>
  <c r="BC80" i="31" s="1"/>
  <c r="BA81" i="31"/>
  <c r="BC81" i="31" s="1"/>
  <c r="BA82" i="31"/>
  <c r="BC82" i="31" s="1"/>
  <c r="BA83" i="31"/>
  <c r="BC83" i="31" s="1"/>
  <c r="BA84" i="31"/>
  <c r="BC84" i="31" s="1"/>
  <c r="BA85" i="31"/>
  <c r="BC85" i="31" s="1"/>
  <c r="BA86" i="31"/>
  <c r="BC86" i="31" s="1"/>
  <c r="BA87" i="31"/>
  <c r="BC87" i="31" s="1"/>
  <c r="BA88" i="31"/>
  <c r="BC88" i="31" s="1"/>
  <c r="BA89" i="31"/>
  <c r="BC89" i="31" s="1"/>
  <c r="BA90" i="31"/>
  <c r="BC90" i="31" s="1"/>
  <c r="BA91" i="31"/>
  <c r="BC91" i="31" s="1"/>
  <c r="BA92" i="31"/>
  <c r="BC92" i="31" s="1"/>
  <c r="BA93" i="31"/>
  <c r="BC93" i="31" s="1"/>
  <c r="BA94" i="31"/>
  <c r="BC94" i="31" s="1"/>
  <c r="BA95" i="31"/>
  <c r="BC95" i="31" s="1"/>
  <c r="BA96" i="31"/>
  <c r="BC96" i="31" s="1"/>
  <c r="BA97" i="31"/>
  <c r="BC97" i="31" s="1"/>
  <c r="BA98" i="31"/>
  <c r="BC98" i="31" s="1"/>
  <c r="BA99" i="31"/>
  <c r="BC99" i="31" s="1"/>
  <c r="BA100" i="31"/>
  <c r="BC100" i="31" s="1"/>
  <c r="BA101" i="31"/>
  <c r="BC101" i="31" s="1"/>
  <c r="BA102" i="31"/>
  <c r="BC102" i="31" s="1"/>
  <c r="BA103" i="31"/>
  <c r="BC103" i="31" s="1"/>
  <c r="BC24" i="31"/>
  <c r="AW20" i="31"/>
  <c r="AW21" i="31"/>
  <c r="AW22" i="31"/>
  <c r="AW23" i="31"/>
  <c r="AW24" i="31"/>
  <c r="AW25" i="31"/>
  <c r="AW26" i="31"/>
  <c r="AW27" i="31"/>
  <c r="AW28" i="31"/>
  <c r="AW29" i="31"/>
  <c r="AW30" i="31"/>
  <c r="AW31" i="31"/>
  <c r="AW32" i="31"/>
  <c r="AW33" i="31"/>
  <c r="AW34" i="31"/>
  <c r="AW35" i="31"/>
  <c r="AW36" i="31"/>
  <c r="AW37" i="31"/>
  <c r="AW38" i="31"/>
  <c r="AW39" i="31"/>
  <c r="AW40" i="31"/>
  <c r="AW41" i="31"/>
  <c r="AW42" i="31"/>
  <c r="AW43" i="31"/>
  <c r="AW44" i="31"/>
  <c r="AW45" i="31"/>
  <c r="AW46" i="31"/>
  <c r="AW47" i="31"/>
  <c r="AW48" i="31"/>
  <c r="AW49" i="31"/>
  <c r="AW50" i="31"/>
  <c r="AW51" i="31"/>
  <c r="AW52" i="31"/>
  <c r="AW53" i="31"/>
  <c r="AW54" i="31"/>
  <c r="AW55" i="31"/>
  <c r="AW56" i="31"/>
  <c r="AW57" i="31"/>
  <c r="AW58" i="31"/>
  <c r="AW59" i="31"/>
  <c r="AW60" i="31"/>
  <c r="AW61" i="31"/>
  <c r="AW62" i="31"/>
  <c r="AW63" i="31"/>
  <c r="AW64" i="31"/>
  <c r="AW65" i="31"/>
  <c r="AW66" i="31"/>
  <c r="AW67" i="31"/>
  <c r="AW68" i="31"/>
  <c r="AW69" i="31"/>
  <c r="AW70" i="31"/>
  <c r="AW71" i="31"/>
  <c r="AW72" i="31"/>
  <c r="AW73" i="31"/>
  <c r="AW74" i="31"/>
  <c r="AW75" i="31"/>
  <c r="AW76" i="31"/>
  <c r="AW77" i="31"/>
  <c r="AW78" i="31"/>
  <c r="AW79" i="31"/>
  <c r="AW80" i="31"/>
  <c r="AW81" i="31"/>
  <c r="AW82" i="31"/>
  <c r="AW83" i="31"/>
  <c r="AW84" i="31"/>
  <c r="AW85" i="31"/>
  <c r="AW86" i="31"/>
  <c r="AW87" i="31"/>
  <c r="AW88" i="31"/>
  <c r="AW89" i="31"/>
  <c r="AW90" i="31"/>
  <c r="AW91" i="31"/>
  <c r="AW92" i="31"/>
  <c r="AW93" i="31"/>
  <c r="AW94" i="31"/>
  <c r="AW95" i="31"/>
  <c r="AW96" i="31"/>
  <c r="AW97" i="31"/>
  <c r="AW98" i="31"/>
  <c r="AW99" i="31"/>
  <c r="AW100" i="31"/>
  <c r="AW101" i="31"/>
  <c r="AW102" i="31"/>
  <c r="AW103" i="31"/>
  <c r="Y20" i="31"/>
  <c r="Y21" i="31"/>
  <c r="Y22" i="31"/>
  <c r="Y23" i="31"/>
  <c r="Y24" i="31"/>
  <c r="Y25" i="31"/>
  <c r="Y26" i="31"/>
  <c r="Y27" i="31"/>
  <c r="Y28" i="31"/>
  <c r="Y29" i="31"/>
  <c r="Y30" i="31"/>
  <c r="Y31" i="31"/>
  <c r="Y32" i="31"/>
  <c r="Y33" i="31"/>
  <c r="Y34" i="31"/>
  <c r="Y35" i="31"/>
  <c r="Y36" i="31"/>
  <c r="Y37" i="31"/>
  <c r="Y38" i="31"/>
  <c r="Y39" i="31"/>
  <c r="Y40" i="31"/>
  <c r="Y41" i="31"/>
  <c r="Y42" i="31"/>
  <c r="Y43" i="31"/>
  <c r="Y44" i="31"/>
  <c r="Y45" i="31"/>
  <c r="Y46" i="31"/>
  <c r="Y47" i="31"/>
  <c r="Y48" i="31"/>
  <c r="Y49" i="31"/>
  <c r="Y50" i="31"/>
  <c r="Y51" i="31"/>
  <c r="Y52" i="31"/>
  <c r="Y53" i="31"/>
  <c r="Y54" i="31"/>
  <c r="Y55" i="31"/>
  <c r="Y56" i="31"/>
  <c r="Y57" i="31"/>
  <c r="Y58" i="31"/>
  <c r="Y59" i="31"/>
  <c r="Y60" i="31"/>
  <c r="Y61" i="31"/>
  <c r="Y62" i="31"/>
  <c r="Y63" i="31"/>
  <c r="Y64" i="31"/>
  <c r="Y65" i="31"/>
  <c r="Y66" i="31"/>
  <c r="Y67" i="31"/>
  <c r="Y68" i="31"/>
  <c r="Y69" i="31"/>
  <c r="Y70" i="31"/>
  <c r="Y71" i="31"/>
  <c r="Y72" i="31"/>
  <c r="Y73" i="31"/>
  <c r="Y74" i="31"/>
  <c r="Y75" i="31"/>
  <c r="Y76" i="31"/>
  <c r="Y77" i="31"/>
  <c r="Y78" i="31"/>
  <c r="Y79" i="31"/>
  <c r="Y80" i="31"/>
  <c r="Y81" i="31"/>
  <c r="Y82" i="31"/>
  <c r="Y83" i="31"/>
  <c r="Y84" i="31"/>
  <c r="Y85" i="31"/>
  <c r="Y86" i="31"/>
  <c r="Y87" i="31"/>
  <c r="Y88" i="31"/>
  <c r="Y89" i="31"/>
  <c r="Y90" i="31"/>
  <c r="Y91" i="31"/>
  <c r="Y92" i="31"/>
  <c r="Y93" i="31"/>
  <c r="Y94" i="31"/>
  <c r="Y95" i="31"/>
  <c r="Y96" i="31"/>
  <c r="Y97" i="31"/>
  <c r="Y98" i="31"/>
  <c r="Y99" i="31"/>
  <c r="Y100" i="31"/>
  <c r="Y101" i="31"/>
  <c r="Y102" i="31"/>
  <c r="Y103" i="31"/>
  <c r="BE20" i="31"/>
  <c r="BE21" i="31"/>
  <c r="BE22" i="31"/>
  <c r="BE23" i="31"/>
  <c r="BE24" i="31"/>
  <c r="BE25" i="31"/>
  <c r="BE26" i="31"/>
  <c r="BE27" i="31"/>
  <c r="BE28" i="31"/>
  <c r="BE29" i="31"/>
  <c r="BE30" i="31"/>
  <c r="BE31" i="31"/>
  <c r="BE32" i="31"/>
  <c r="BE33" i="31"/>
  <c r="BE34" i="31"/>
  <c r="BE35" i="31"/>
  <c r="BE36" i="31"/>
  <c r="BE37" i="31"/>
  <c r="BE38" i="31"/>
  <c r="BE39" i="31"/>
  <c r="BE40" i="31"/>
  <c r="BE41" i="31"/>
  <c r="BE42" i="31"/>
  <c r="BE43" i="31"/>
  <c r="BE44" i="31"/>
  <c r="BE45" i="31"/>
  <c r="BE46" i="31"/>
  <c r="BE47" i="31"/>
  <c r="BE48" i="31"/>
  <c r="BE49" i="31"/>
  <c r="BE50" i="31"/>
  <c r="BE51" i="31"/>
  <c r="BE52" i="31"/>
  <c r="BE53" i="31"/>
  <c r="BE54" i="31"/>
  <c r="BE55" i="31"/>
  <c r="BE56" i="31"/>
  <c r="BE57" i="31"/>
  <c r="BE58" i="31"/>
  <c r="BE59" i="31"/>
  <c r="BE60" i="31"/>
  <c r="BE61" i="31"/>
  <c r="BE62" i="31"/>
  <c r="BE63" i="31"/>
  <c r="BE64" i="31"/>
  <c r="BE65" i="31"/>
  <c r="BE66" i="31"/>
  <c r="BE67" i="31"/>
  <c r="BE68" i="31"/>
  <c r="BE69" i="31"/>
  <c r="BE70" i="31"/>
  <c r="BE71" i="31"/>
  <c r="BE72" i="31"/>
  <c r="BE73" i="31"/>
  <c r="BE74" i="31"/>
  <c r="BE75" i="31"/>
  <c r="BE76" i="31"/>
  <c r="BE77" i="31"/>
  <c r="BE78" i="31"/>
  <c r="BE79" i="31"/>
  <c r="BE80" i="31"/>
  <c r="BE81" i="31"/>
  <c r="BE82" i="31"/>
  <c r="BE83" i="31"/>
  <c r="BE84" i="31"/>
  <c r="BE85" i="31"/>
  <c r="BE86" i="31"/>
  <c r="BE87" i="31"/>
  <c r="BE88" i="31"/>
  <c r="BE89" i="31"/>
  <c r="BE90" i="31"/>
  <c r="BE91" i="31"/>
  <c r="BE92" i="31"/>
  <c r="BE93" i="31"/>
  <c r="BE94" i="31"/>
  <c r="BE95" i="31"/>
  <c r="BE96" i="31"/>
  <c r="BE97" i="31"/>
  <c r="BE98" i="31"/>
  <c r="BE99" i="31"/>
  <c r="BE100" i="31"/>
  <c r="BE101" i="31"/>
  <c r="BE102" i="31"/>
  <c r="BE103" i="31"/>
  <c r="AZ20" i="31"/>
  <c r="AZ21" i="31"/>
  <c r="AZ22" i="31"/>
  <c r="AZ23" i="31"/>
  <c r="AZ24" i="31"/>
  <c r="AZ25" i="31"/>
  <c r="AZ26" i="31"/>
  <c r="AZ27" i="31"/>
  <c r="AZ28" i="31"/>
  <c r="AZ29" i="31"/>
  <c r="AZ30" i="31"/>
  <c r="AZ31" i="31"/>
  <c r="AZ32" i="31"/>
  <c r="AZ33" i="31"/>
  <c r="AZ34" i="31"/>
  <c r="AZ35" i="31"/>
  <c r="AZ36" i="31"/>
  <c r="AZ37" i="31"/>
  <c r="AZ38" i="31"/>
  <c r="AZ39" i="31"/>
  <c r="AZ40" i="31"/>
  <c r="AZ41" i="31"/>
  <c r="AZ42" i="31"/>
  <c r="AZ43" i="31"/>
  <c r="AZ44" i="31"/>
  <c r="AZ45" i="31"/>
  <c r="AZ46" i="31"/>
  <c r="AZ47" i="31"/>
  <c r="AZ48" i="31"/>
  <c r="AZ49" i="31"/>
  <c r="AZ50" i="31"/>
  <c r="AZ51" i="31"/>
  <c r="AZ52" i="31"/>
  <c r="AZ53" i="31"/>
  <c r="AZ54" i="31"/>
  <c r="AZ55" i="31"/>
  <c r="AZ56" i="31"/>
  <c r="AZ57" i="31"/>
  <c r="AZ58" i="31"/>
  <c r="AZ59" i="31"/>
  <c r="AZ60" i="31"/>
  <c r="AZ61" i="31"/>
  <c r="AZ62" i="31"/>
  <c r="AZ63" i="31"/>
  <c r="AZ64" i="31"/>
  <c r="AZ65" i="31"/>
  <c r="AZ66" i="31"/>
  <c r="AZ67" i="31"/>
  <c r="AZ68" i="31"/>
  <c r="AZ69" i="31"/>
  <c r="AZ70" i="31"/>
  <c r="AZ71" i="31"/>
  <c r="AZ72" i="31"/>
  <c r="AZ73" i="31"/>
  <c r="AZ74" i="31"/>
  <c r="AZ75" i="31"/>
  <c r="AZ76" i="31"/>
  <c r="AZ77" i="31"/>
  <c r="AZ78" i="31"/>
  <c r="AZ79" i="31"/>
  <c r="AZ80" i="31"/>
  <c r="AZ81" i="31"/>
  <c r="AZ82" i="31"/>
  <c r="AZ83" i="31"/>
  <c r="AZ84" i="31"/>
  <c r="AZ85" i="31"/>
  <c r="AZ86" i="31"/>
  <c r="AZ87" i="31"/>
  <c r="AZ88" i="31"/>
  <c r="AZ89" i="31"/>
  <c r="AZ90" i="31"/>
  <c r="AZ91" i="31"/>
  <c r="AZ92" i="31"/>
  <c r="AZ93" i="31"/>
  <c r="AZ94" i="31"/>
  <c r="AZ95" i="31"/>
  <c r="AZ96" i="31"/>
  <c r="AZ97" i="31"/>
  <c r="AZ98" i="31"/>
  <c r="AZ99" i="31"/>
  <c r="AZ100" i="31"/>
  <c r="AZ101" i="31"/>
  <c r="AZ102" i="31"/>
  <c r="AZ103" i="31"/>
  <c r="AB20" i="31"/>
  <c r="AB21" i="31"/>
  <c r="AB22" i="31"/>
  <c r="AB23" i="31"/>
  <c r="AB24" i="31"/>
  <c r="AB25" i="31"/>
  <c r="AB26" i="31"/>
  <c r="AB27" i="31"/>
  <c r="AB28" i="31"/>
  <c r="AB29" i="31"/>
  <c r="AB30" i="31"/>
  <c r="AB31" i="31"/>
  <c r="AB32" i="31"/>
  <c r="AB33" i="31"/>
  <c r="AB34" i="31"/>
  <c r="AB35" i="31"/>
  <c r="AB36" i="31"/>
  <c r="AB37" i="31"/>
  <c r="AB38" i="31"/>
  <c r="AB39" i="31"/>
  <c r="AB40" i="31"/>
  <c r="AB41" i="31"/>
  <c r="AB42" i="31"/>
  <c r="AB43" i="31"/>
  <c r="AB44" i="31"/>
  <c r="AB45" i="31"/>
  <c r="AB46" i="31"/>
  <c r="AB47" i="31"/>
  <c r="AB48" i="31"/>
  <c r="AB49" i="31"/>
  <c r="AB50" i="31"/>
  <c r="AB51" i="31"/>
  <c r="AB52" i="31"/>
  <c r="AB53" i="31"/>
  <c r="AB54" i="31"/>
  <c r="AB55" i="31"/>
  <c r="AB56" i="31"/>
  <c r="AB57" i="31"/>
  <c r="AB58" i="31"/>
  <c r="AB59" i="31"/>
  <c r="AB60" i="31"/>
  <c r="AB61" i="31"/>
  <c r="AB62" i="31"/>
  <c r="AB63" i="31"/>
  <c r="AB64" i="31"/>
  <c r="AB65" i="31"/>
  <c r="AB66" i="31"/>
  <c r="AB67" i="31"/>
  <c r="AB68" i="31"/>
  <c r="AB69" i="31"/>
  <c r="AB70" i="31"/>
  <c r="AB71" i="31"/>
  <c r="AB72" i="31"/>
  <c r="AB73" i="31"/>
  <c r="AB74" i="31"/>
  <c r="AB75" i="31"/>
  <c r="AB76" i="31"/>
  <c r="AB77" i="31"/>
  <c r="AB78" i="31"/>
  <c r="AB79" i="31"/>
  <c r="AB80" i="31"/>
  <c r="AB81" i="31"/>
  <c r="AB82" i="31"/>
  <c r="AB83" i="31"/>
  <c r="AB84" i="31"/>
  <c r="AB85" i="31"/>
  <c r="AB86" i="31"/>
  <c r="AB87" i="31"/>
  <c r="AB88" i="31"/>
  <c r="AB89" i="31"/>
  <c r="AB90" i="31"/>
  <c r="AB91" i="31"/>
  <c r="AB92" i="31"/>
  <c r="AB93" i="31"/>
  <c r="AB94" i="31"/>
  <c r="AB95" i="31"/>
  <c r="AB96" i="31"/>
  <c r="AB97" i="31"/>
  <c r="AB98" i="31"/>
  <c r="AB99" i="31"/>
  <c r="AB100" i="31"/>
  <c r="AB101" i="31"/>
  <c r="AB102" i="31"/>
  <c r="AB103" i="31"/>
  <c r="AY20" i="31"/>
  <c r="AY21" i="31"/>
  <c r="AY22" i="31"/>
  <c r="AY23" i="31"/>
  <c r="AY24" i="31"/>
  <c r="AY25" i="31"/>
  <c r="AY26" i="31"/>
  <c r="AY27" i="31"/>
  <c r="AY28" i="31"/>
  <c r="AY29" i="31"/>
  <c r="AY30" i="31"/>
  <c r="AY31" i="31"/>
  <c r="AY32" i="31"/>
  <c r="AY33" i="31"/>
  <c r="AY34" i="31"/>
  <c r="AY35" i="31"/>
  <c r="AY36" i="31"/>
  <c r="AY37" i="31"/>
  <c r="AY38" i="31"/>
  <c r="AY39" i="31"/>
  <c r="AY40" i="31"/>
  <c r="AY41" i="31"/>
  <c r="AY42" i="31"/>
  <c r="AY43" i="31"/>
  <c r="AY44" i="31"/>
  <c r="AY45" i="31"/>
  <c r="AY46" i="31"/>
  <c r="AY47" i="31"/>
  <c r="AY48" i="31"/>
  <c r="AY49" i="31"/>
  <c r="AY50" i="31"/>
  <c r="AY51" i="31"/>
  <c r="AY52" i="31"/>
  <c r="AY53" i="31"/>
  <c r="AY54" i="31"/>
  <c r="AY55" i="31"/>
  <c r="AY56" i="31"/>
  <c r="AY57" i="31"/>
  <c r="AY58" i="31"/>
  <c r="AY59" i="31"/>
  <c r="AY60" i="31"/>
  <c r="AY61" i="31"/>
  <c r="AY62" i="31"/>
  <c r="AY63" i="31"/>
  <c r="AY64" i="31"/>
  <c r="AY65" i="31"/>
  <c r="AY66" i="31"/>
  <c r="AY67" i="31"/>
  <c r="AY68" i="31"/>
  <c r="AY69" i="31"/>
  <c r="AY70" i="31"/>
  <c r="AY71" i="31"/>
  <c r="AY72" i="31"/>
  <c r="AY73" i="31"/>
  <c r="AY74" i="31"/>
  <c r="AY75" i="31"/>
  <c r="AY76" i="31"/>
  <c r="AY77" i="31"/>
  <c r="AY78" i="31"/>
  <c r="AY79" i="31"/>
  <c r="AY80" i="31"/>
  <c r="AY81" i="31"/>
  <c r="AY82" i="31"/>
  <c r="AY83" i="31"/>
  <c r="AY84" i="31"/>
  <c r="AY85" i="31"/>
  <c r="AY86" i="31"/>
  <c r="AY87" i="31"/>
  <c r="AY88" i="31"/>
  <c r="AY89" i="31"/>
  <c r="AY90" i="31"/>
  <c r="AY91" i="31"/>
  <c r="AY92" i="31"/>
  <c r="AY93" i="31"/>
  <c r="AY94" i="31"/>
  <c r="AY95" i="31"/>
  <c r="AY96" i="31"/>
  <c r="AY97" i="31"/>
  <c r="AY98" i="31"/>
  <c r="AY99" i="31"/>
  <c r="AY100" i="31"/>
  <c r="AY101" i="31"/>
  <c r="AY102" i="31"/>
  <c r="AY103"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99" i="31"/>
  <c r="AA100" i="31"/>
  <c r="AA101" i="31"/>
  <c r="AA102" i="31"/>
  <c r="AA103" i="31"/>
  <c r="S20" i="31"/>
  <c r="S21" i="31"/>
  <c r="S22" i="31"/>
  <c r="S23" i="31"/>
  <c r="S24" i="31"/>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AU103" i="31"/>
  <c r="AU102" i="31"/>
  <c r="AU101" i="31"/>
  <c r="AU100" i="31"/>
  <c r="AU99" i="31"/>
  <c r="AU98" i="31"/>
  <c r="AU97" i="31"/>
  <c r="AU96" i="31"/>
  <c r="AU95" i="31"/>
  <c r="AU94" i="31"/>
  <c r="AU93" i="31"/>
  <c r="AU92" i="31"/>
  <c r="AU91" i="31"/>
  <c r="AU90" i="31"/>
  <c r="AU89" i="31"/>
  <c r="AU88" i="31"/>
  <c r="AU87" i="31"/>
  <c r="AU86" i="31"/>
  <c r="AU85" i="31"/>
  <c r="AU84" i="31"/>
  <c r="AU83" i="31"/>
  <c r="AU82" i="31"/>
  <c r="AU81" i="31"/>
  <c r="AU80" i="31"/>
  <c r="AU79" i="31"/>
  <c r="AU78" i="31"/>
  <c r="AU77" i="31"/>
  <c r="AU76" i="31"/>
  <c r="AU75" i="31"/>
  <c r="AU74" i="31"/>
  <c r="AU73" i="31"/>
  <c r="AU72" i="31"/>
  <c r="AU71" i="31"/>
  <c r="AU70" i="31"/>
  <c r="AU69" i="31"/>
  <c r="AU68" i="31"/>
  <c r="AU67" i="31"/>
  <c r="AU66" i="31"/>
  <c r="AU65" i="31"/>
  <c r="AU64" i="31"/>
  <c r="AU63" i="31"/>
  <c r="AU62" i="31"/>
  <c r="AU61" i="31"/>
  <c r="AU60" i="31"/>
  <c r="AU59" i="31"/>
  <c r="AU58" i="31"/>
  <c r="AU57" i="31"/>
  <c r="AU56" i="31"/>
  <c r="AU55" i="31"/>
  <c r="AU54" i="31"/>
  <c r="AU53" i="31"/>
  <c r="AU52" i="31"/>
  <c r="AU51" i="31"/>
  <c r="AU50" i="31"/>
  <c r="AU49" i="31"/>
  <c r="AU48" i="31"/>
  <c r="AU47" i="31"/>
  <c r="AU46" i="31"/>
  <c r="AU45" i="31"/>
  <c r="AU44" i="31"/>
  <c r="AU43" i="31"/>
  <c r="AU42" i="31"/>
  <c r="AU41" i="31"/>
  <c r="AU40" i="31"/>
  <c r="AU39" i="31"/>
  <c r="AU38" i="31"/>
  <c r="AU37" i="31"/>
  <c r="AU36" i="31"/>
  <c r="AU35" i="31"/>
  <c r="AU34" i="31"/>
  <c r="AU33" i="31"/>
  <c r="AU32" i="31"/>
  <c r="AU31" i="31"/>
  <c r="AU30" i="31"/>
  <c r="AU29" i="31"/>
  <c r="AU28" i="31"/>
  <c r="AU27" i="31"/>
  <c r="AU26" i="31"/>
  <c r="AU25" i="31"/>
  <c r="AU24" i="31"/>
  <c r="AU23" i="31"/>
  <c r="AU22" i="31"/>
  <c r="AU21" i="31"/>
  <c r="AU20" i="31"/>
  <c r="W103" i="31"/>
  <c r="W102" i="31"/>
  <c r="W101" i="31"/>
  <c r="W100" i="31"/>
  <c r="W99" i="31"/>
  <c r="W98" i="31"/>
  <c r="W97" i="31"/>
  <c r="W96" i="31"/>
  <c r="W95" i="31"/>
  <c r="W94" i="31"/>
  <c r="W93" i="31"/>
  <c r="W92" i="31"/>
  <c r="W91" i="31"/>
  <c r="W90" i="31"/>
  <c r="W89" i="31"/>
  <c r="W88" i="31"/>
  <c r="W87" i="31"/>
  <c r="W86" i="31"/>
  <c r="W85" i="31"/>
  <c r="W84" i="31"/>
  <c r="W83" i="31"/>
  <c r="W82" i="31"/>
  <c r="W81" i="31"/>
  <c r="W80" i="31"/>
  <c r="W79" i="31"/>
  <c r="W78" i="31"/>
  <c r="W77" i="31"/>
  <c r="W76" i="31"/>
  <c r="W75" i="31"/>
  <c r="W74" i="31"/>
  <c r="W73" i="31"/>
  <c r="W72" i="31"/>
  <c r="W71" i="31"/>
  <c r="W70" i="31"/>
  <c r="W69" i="31"/>
  <c r="W68" i="31"/>
  <c r="W67" i="31"/>
  <c r="W66" i="31"/>
  <c r="W65" i="31"/>
  <c r="W64" i="31"/>
  <c r="W63" i="31"/>
  <c r="W62" i="31"/>
  <c r="W61" i="31"/>
  <c r="W60" i="31"/>
  <c r="W59" i="31"/>
  <c r="W58" i="31"/>
  <c r="W57" i="31"/>
  <c r="W56" i="31"/>
  <c r="W55" i="31"/>
  <c r="W54" i="31"/>
  <c r="W53" i="31"/>
  <c r="W52" i="31"/>
  <c r="W51" i="31"/>
  <c r="W50" i="31"/>
  <c r="W49" i="31"/>
  <c r="W48" i="31"/>
  <c r="W47" i="31"/>
  <c r="W46" i="31"/>
  <c r="W45" i="31"/>
  <c r="W44" i="31"/>
  <c r="W43" i="31"/>
  <c r="W42" i="31"/>
  <c r="W41" i="31"/>
  <c r="W40" i="31"/>
  <c r="W39" i="31"/>
  <c r="W38" i="31"/>
  <c r="W37" i="31"/>
  <c r="W36" i="31"/>
  <c r="W35" i="31"/>
  <c r="W34" i="31"/>
  <c r="W33" i="31"/>
  <c r="W32" i="31"/>
  <c r="W31" i="31"/>
  <c r="W30" i="31"/>
  <c r="W29" i="31"/>
  <c r="W28" i="31"/>
  <c r="W27" i="31"/>
  <c r="W26" i="31"/>
  <c r="W25" i="31"/>
  <c r="W24" i="31"/>
  <c r="W23" i="31"/>
  <c r="W22" i="31"/>
  <c r="W21" i="31"/>
  <c r="W20" i="31"/>
  <c r="AQ20" i="31"/>
  <c r="AQ21" i="31"/>
  <c r="AQ22" i="31"/>
  <c r="AQ23" i="31"/>
  <c r="AQ24" i="31"/>
  <c r="AQ25" i="31"/>
  <c r="AQ26" i="31"/>
  <c r="AQ27" i="31"/>
  <c r="AQ28" i="31"/>
  <c r="AQ29" i="31"/>
  <c r="AQ30" i="31"/>
  <c r="AQ31" i="31"/>
  <c r="AQ32" i="31"/>
  <c r="AQ33" i="31"/>
  <c r="AQ34" i="31"/>
  <c r="AQ35" i="31"/>
  <c r="AQ36" i="31"/>
  <c r="AQ37" i="31"/>
  <c r="AQ38" i="31"/>
  <c r="AQ39" i="31"/>
  <c r="AQ40" i="31"/>
  <c r="AQ41" i="31"/>
  <c r="AQ42" i="31"/>
  <c r="AQ43" i="31"/>
  <c r="AQ44" i="31"/>
  <c r="AQ45" i="31"/>
  <c r="AQ46" i="31"/>
  <c r="AQ47" i="31"/>
  <c r="AQ48" i="31"/>
  <c r="AQ49" i="31"/>
  <c r="AQ50" i="31"/>
  <c r="AQ51" i="31"/>
  <c r="AQ52" i="31"/>
  <c r="AQ53" i="31"/>
  <c r="AQ54" i="31"/>
  <c r="AQ55" i="31"/>
  <c r="AQ56" i="31"/>
  <c r="AQ57" i="31"/>
  <c r="AQ58" i="31"/>
  <c r="AQ59" i="31"/>
  <c r="AQ60" i="31"/>
  <c r="AQ61" i="31"/>
  <c r="AQ62" i="31"/>
  <c r="AQ63" i="31"/>
  <c r="AQ64" i="31"/>
  <c r="AQ65" i="31"/>
  <c r="AQ66" i="31"/>
  <c r="AQ67" i="31"/>
  <c r="AQ68" i="31"/>
  <c r="AQ69" i="31"/>
  <c r="AQ70" i="31"/>
  <c r="AQ71" i="31"/>
  <c r="AQ72" i="31"/>
  <c r="AQ73" i="31"/>
  <c r="AQ74" i="31"/>
  <c r="AQ75" i="31"/>
  <c r="AQ76" i="31"/>
  <c r="AQ77" i="31"/>
  <c r="AQ78" i="31"/>
  <c r="AQ79" i="31"/>
  <c r="AQ80" i="31"/>
  <c r="AQ81" i="31"/>
  <c r="AQ82" i="31"/>
  <c r="AQ83" i="31"/>
  <c r="AQ84" i="31"/>
  <c r="AQ85" i="31"/>
  <c r="AQ86" i="31"/>
  <c r="AQ87" i="31"/>
  <c r="AQ88" i="31"/>
  <c r="AQ89" i="31"/>
  <c r="AQ90" i="31"/>
  <c r="AQ91" i="31"/>
  <c r="AQ92" i="31"/>
  <c r="AQ93" i="31"/>
  <c r="AQ94" i="31"/>
  <c r="AQ95" i="31"/>
  <c r="AQ96" i="31"/>
  <c r="AQ97" i="31"/>
  <c r="AQ98" i="31"/>
  <c r="AQ99" i="31"/>
  <c r="AQ100" i="31"/>
  <c r="AQ101" i="31"/>
  <c r="AQ102" i="31"/>
  <c r="AQ103" i="31"/>
  <c r="AO20" i="31"/>
  <c r="AO21" i="31"/>
  <c r="AO22" i="31"/>
  <c r="AO23" i="31"/>
  <c r="AO24" i="31"/>
  <c r="AO25" i="31"/>
  <c r="AO26" i="31"/>
  <c r="AO27" i="31"/>
  <c r="AO28" i="31"/>
  <c r="AO29" i="31"/>
  <c r="AO30" i="31"/>
  <c r="AO31" i="31"/>
  <c r="AO32" i="31"/>
  <c r="AO33" i="31"/>
  <c r="AO34" i="31"/>
  <c r="AO35" i="31"/>
  <c r="AO36" i="31"/>
  <c r="AO37" i="31"/>
  <c r="AO38" i="31"/>
  <c r="AO39" i="31"/>
  <c r="AO40" i="31"/>
  <c r="AO41" i="31"/>
  <c r="AO42" i="31"/>
  <c r="AO43" i="31"/>
  <c r="AO44" i="31"/>
  <c r="AO45" i="31"/>
  <c r="AO46" i="31"/>
  <c r="AO47" i="31"/>
  <c r="AO48" i="31"/>
  <c r="AO49" i="31"/>
  <c r="AO50" i="31"/>
  <c r="AO51" i="31"/>
  <c r="AO52" i="31"/>
  <c r="AO53" i="31"/>
  <c r="AO54" i="31"/>
  <c r="AO55" i="31"/>
  <c r="AO56" i="31"/>
  <c r="AO57" i="31"/>
  <c r="AO58" i="31"/>
  <c r="AO59" i="31"/>
  <c r="AO60" i="31"/>
  <c r="AO61" i="31"/>
  <c r="AO62" i="31"/>
  <c r="AO63" i="31"/>
  <c r="AO64" i="31"/>
  <c r="AO65" i="31"/>
  <c r="AO66" i="31"/>
  <c r="AO67" i="31"/>
  <c r="AO68" i="31"/>
  <c r="AO69" i="31"/>
  <c r="AO70" i="31"/>
  <c r="AO71" i="31"/>
  <c r="AO72" i="31"/>
  <c r="AO73" i="31"/>
  <c r="AO74" i="31"/>
  <c r="AO75" i="31"/>
  <c r="AO76" i="31"/>
  <c r="AO77" i="31"/>
  <c r="AO78" i="31"/>
  <c r="AO79" i="31"/>
  <c r="AO80" i="31"/>
  <c r="AO81" i="31"/>
  <c r="AO82" i="31"/>
  <c r="AO83" i="31"/>
  <c r="AO84" i="31"/>
  <c r="AO85" i="31"/>
  <c r="AO86" i="31"/>
  <c r="AO87" i="31"/>
  <c r="AO88" i="31"/>
  <c r="AO89" i="31"/>
  <c r="AO90" i="31"/>
  <c r="AO91" i="31"/>
  <c r="AO92" i="31"/>
  <c r="AO93" i="31"/>
  <c r="AO94" i="31"/>
  <c r="AO95" i="31"/>
  <c r="AO96" i="31"/>
  <c r="AO97" i="31"/>
  <c r="AO98" i="31"/>
  <c r="AO99" i="31"/>
  <c r="AO100" i="31"/>
  <c r="AO101" i="31"/>
  <c r="AO102" i="31"/>
  <c r="AO103" i="31"/>
  <c r="AS20" i="31"/>
  <c r="AS21" i="31"/>
  <c r="AS22" i="31"/>
  <c r="AS23" i="31"/>
  <c r="AS24" i="31"/>
  <c r="AS25" i="31"/>
  <c r="AS26" i="31"/>
  <c r="AS27" i="31"/>
  <c r="AS28" i="31"/>
  <c r="AS29" i="31"/>
  <c r="AS30" i="31"/>
  <c r="AS31" i="31"/>
  <c r="AS32" i="31"/>
  <c r="AS33" i="31"/>
  <c r="AS34" i="31"/>
  <c r="AS35" i="31"/>
  <c r="AS36" i="31"/>
  <c r="AS37" i="31"/>
  <c r="AS38" i="31"/>
  <c r="AS39" i="31"/>
  <c r="AS40" i="31"/>
  <c r="AS41" i="31"/>
  <c r="AS42" i="31"/>
  <c r="AS43" i="31"/>
  <c r="AS44" i="31"/>
  <c r="AS45" i="31"/>
  <c r="AS46" i="31"/>
  <c r="AS47" i="31"/>
  <c r="AS48" i="31"/>
  <c r="AS49" i="31"/>
  <c r="AS50" i="31"/>
  <c r="AS51" i="31"/>
  <c r="AS52" i="31"/>
  <c r="AS53" i="31"/>
  <c r="AS54" i="31"/>
  <c r="AS55" i="31"/>
  <c r="AS56" i="31"/>
  <c r="AS57" i="31"/>
  <c r="AS58" i="31"/>
  <c r="AS59" i="31"/>
  <c r="AS60" i="31"/>
  <c r="AS61" i="31"/>
  <c r="AS62" i="31"/>
  <c r="AS63" i="31"/>
  <c r="AS64" i="31"/>
  <c r="AS65" i="31"/>
  <c r="AS66" i="31"/>
  <c r="AS67" i="31"/>
  <c r="AS68" i="31"/>
  <c r="AS69" i="31"/>
  <c r="AS70" i="31"/>
  <c r="AS71" i="31"/>
  <c r="AS72" i="31"/>
  <c r="AS73" i="31"/>
  <c r="AS74" i="31"/>
  <c r="AS75" i="31"/>
  <c r="AS76" i="31"/>
  <c r="AS77" i="31"/>
  <c r="AS78" i="31"/>
  <c r="AS79" i="31"/>
  <c r="AS80" i="31"/>
  <c r="AS81" i="31"/>
  <c r="AS82" i="31"/>
  <c r="AS83" i="31"/>
  <c r="AS84" i="31"/>
  <c r="AS85" i="31"/>
  <c r="AS86" i="31"/>
  <c r="AS87" i="31"/>
  <c r="AS88" i="31"/>
  <c r="AS89" i="31"/>
  <c r="AS90" i="31"/>
  <c r="AS91" i="31"/>
  <c r="AS92" i="31"/>
  <c r="AS93" i="31"/>
  <c r="AS94" i="31"/>
  <c r="AS95" i="31"/>
  <c r="AS96" i="31"/>
  <c r="AS97" i="31"/>
  <c r="AS98" i="31"/>
  <c r="AS99" i="31"/>
  <c r="AS100" i="31"/>
  <c r="AS101" i="31"/>
  <c r="AS102" i="31"/>
  <c r="AS103" i="31"/>
  <c r="I20" i="31"/>
  <c r="K20" i="31"/>
  <c r="M20" i="31"/>
  <c r="I21" i="31"/>
  <c r="K21" i="31"/>
  <c r="M21" i="31"/>
  <c r="I22" i="31"/>
  <c r="K22" i="31"/>
  <c r="M22" i="31"/>
  <c r="I23" i="31"/>
  <c r="K23" i="31"/>
  <c r="M23" i="31"/>
  <c r="I24" i="31"/>
  <c r="K24" i="31"/>
  <c r="M24" i="31"/>
  <c r="I25" i="31"/>
  <c r="K25" i="31"/>
  <c r="M25" i="31"/>
  <c r="I26" i="31"/>
  <c r="K26" i="31"/>
  <c r="M26" i="31"/>
  <c r="I27" i="31"/>
  <c r="K27" i="31"/>
  <c r="M27" i="31"/>
  <c r="I28" i="31"/>
  <c r="K28" i="31"/>
  <c r="M28" i="31"/>
  <c r="I29" i="31"/>
  <c r="K29" i="31"/>
  <c r="M29" i="31"/>
  <c r="I30" i="31"/>
  <c r="K30" i="31"/>
  <c r="M30" i="31"/>
  <c r="I31" i="31"/>
  <c r="K31" i="31"/>
  <c r="M31" i="31"/>
  <c r="I32" i="31"/>
  <c r="K32" i="31"/>
  <c r="M32" i="31"/>
  <c r="I33" i="31"/>
  <c r="K33" i="31"/>
  <c r="M33" i="31"/>
  <c r="I34" i="31"/>
  <c r="K34" i="31"/>
  <c r="M34" i="31"/>
  <c r="I35" i="31"/>
  <c r="K35" i="31"/>
  <c r="M35" i="31"/>
  <c r="I36" i="31"/>
  <c r="K36" i="31"/>
  <c r="M36" i="31"/>
  <c r="I37" i="31"/>
  <c r="K37" i="31"/>
  <c r="M37" i="31"/>
  <c r="I38" i="31"/>
  <c r="K38" i="31"/>
  <c r="M38" i="31"/>
  <c r="I39" i="31"/>
  <c r="K39" i="31"/>
  <c r="M39" i="31"/>
  <c r="I40" i="31"/>
  <c r="K40" i="31"/>
  <c r="M40" i="31"/>
  <c r="I41" i="31"/>
  <c r="K41" i="31"/>
  <c r="M41" i="31"/>
  <c r="I42" i="31"/>
  <c r="K42" i="31"/>
  <c r="M42" i="31"/>
  <c r="I43" i="31"/>
  <c r="K43" i="31"/>
  <c r="M43" i="31"/>
  <c r="I44" i="31"/>
  <c r="K44" i="31"/>
  <c r="M44" i="31"/>
  <c r="I45" i="31"/>
  <c r="K45" i="31"/>
  <c r="M45" i="31"/>
  <c r="I46" i="31"/>
  <c r="K46" i="31"/>
  <c r="M46" i="31"/>
  <c r="I47" i="31"/>
  <c r="K47" i="31"/>
  <c r="M47" i="31"/>
  <c r="I48" i="31"/>
  <c r="K48" i="31"/>
  <c r="M48" i="31"/>
  <c r="I49" i="31"/>
  <c r="K49" i="31"/>
  <c r="M49" i="31"/>
  <c r="I50" i="31"/>
  <c r="K50" i="31"/>
  <c r="M50" i="31"/>
  <c r="I51" i="31"/>
  <c r="K51" i="31"/>
  <c r="M51" i="31"/>
  <c r="I52" i="31"/>
  <c r="K52" i="31"/>
  <c r="M52" i="31"/>
  <c r="I53" i="31"/>
  <c r="K53" i="31"/>
  <c r="M53" i="31"/>
  <c r="I54" i="31"/>
  <c r="K54" i="31"/>
  <c r="M54" i="31"/>
  <c r="I55" i="31"/>
  <c r="K55" i="31"/>
  <c r="M55" i="31"/>
  <c r="I56" i="31"/>
  <c r="K56" i="31"/>
  <c r="M56" i="31"/>
  <c r="I57" i="31"/>
  <c r="K57" i="31"/>
  <c r="M57" i="31"/>
  <c r="I58" i="31"/>
  <c r="K58" i="31"/>
  <c r="M58" i="31"/>
  <c r="I59" i="31"/>
  <c r="K59" i="31"/>
  <c r="M59" i="31"/>
  <c r="I60" i="31"/>
  <c r="K60" i="31"/>
  <c r="M60" i="31"/>
  <c r="I61" i="31"/>
  <c r="K61" i="31"/>
  <c r="M61" i="31"/>
  <c r="I62" i="31"/>
  <c r="K62" i="31"/>
  <c r="M62" i="31"/>
  <c r="I63" i="31"/>
  <c r="K63" i="31"/>
  <c r="M63" i="31"/>
  <c r="I64" i="31"/>
  <c r="K64" i="31"/>
  <c r="M64" i="31"/>
  <c r="I65" i="31"/>
  <c r="K65" i="31"/>
  <c r="M65" i="31"/>
  <c r="I66" i="31"/>
  <c r="K66" i="31"/>
  <c r="M66" i="31"/>
  <c r="I67" i="31"/>
  <c r="K67" i="31"/>
  <c r="M67" i="31"/>
  <c r="I68" i="31"/>
  <c r="K68" i="31"/>
  <c r="M68" i="31"/>
  <c r="I69" i="31"/>
  <c r="K69" i="31"/>
  <c r="M69" i="31"/>
  <c r="I70" i="31"/>
  <c r="K70" i="31"/>
  <c r="M70" i="31"/>
  <c r="I71" i="31"/>
  <c r="K71" i="31"/>
  <c r="M71" i="31"/>
  <c r="I72" i="31"/>
  <c r="K72" i="31"/>
  <c r="M72" i="31"/>
  <c r="I73" i="31"/>
  <c r="K73" i="31"/>
  <c r="M73" i="31"/>
  <c r="I74" i="31"/>
  <c r="K74" i="31"/>
  <c r="M74" i="31"/>
  <c r="I75" i="31"/>
  <c r="K75" i="31"/>
  <c r="M75" i="31"/>
  <c r="I76" i="31"/>
  <c r="K76" i="31"/>
  <c r="M76" i="31"/>
  <c r="I77" i="31"/>
  <c r="K77" i="31"/>
  <c r="M77" i="31"/>
  <c r="I78" i="31"/>
  <c r="K78" i="31"/>
  <c r="M78" i="31"/>
  <c r="I79" i="31"/>
  <c r="K79" i="31"/>
  <c r="M79" i="31"/>
  <c r="I80" i="31"/>
  <c r="K80" i="31"/>
  <c r="M80" i="31"/>
  <c r="I81" i="31"/>
  <c r="K81" i="31"/>
  <c r="M81" i="31"/>
  <c r="I82" i="31"/>
  <c r="K82" i="31"/>
  <c r="M82" i="31"/>
  <c r="I83" i="31"/>
  <c r="K83" i="31"/>
  <c r="M83" i="31"/>
  <c r="I84" i="31"/>
  <c r="K84" i="31"/>
  <c r="M84" i="31"/>
  <c r="I85" i="31"/>
  <c r="K85" i="31"/>
  <c r="M85" i="31"/>
  <c r="I86" i="31"/>
  <c r="K86" i="31"/>
  <c r="M86" i="31"/>
  <c r="I87" i="31"/>
  <c r="K87" i="31"/>
  <c r="M87" i="31"/>
  <c r="I88" i="31"/>
  <c r="K88" i="31"/>
  <c r="M88" i="31"/>
  <c r="I89" i="31"/>
  <c r="K89" i="31"/>
  <c r="M89" i="31"/>
  <c r="I90" i="31"/>
  <c r="K90" i="31"/>
  <c r="M90" i="31"/>
  <c r="I91" i="31"/>
  <c r="K91" i="31"/>
  <c r="M91" i="31"/>
  <c r="I92" i="31"/>
  <c r="K92" i="31"/>
  <c r="M92" i="31"/>
  <c r="I93" i="31"/>
  <c r="K93" i="31"/>
  <c r="M93" i="31"/>
  <c r="I94" i="31"/>
  <c r="K94" i="31"/>
  <c r="M94" i="31"/>
  <c r="I95" i="31"/>
  <c r="K95" i="31"/>
  <c r="M95" i="31"/>
  <c r="I96" i="31"/>
  <c r="K96" i="31"/>
  <c r="M96" i="31"/>
  <c r="I97" i="31"/>
  <c r="K97" i="31"/>
  <c r="M97" i="31"/>
  <c r="I98" i="31"/>
  <c r="K98" i="31"/>
  <c r="M98" i="31"/>
  <c r="I99" i="31"/>
  <c r="K99" i="31"/>
  <c r="M99" i="31"/>
  <c r="I100" i="31"/>
  <c r="K100" i="31"/>
  <c r="M100" i="31"/>
  <c r="I101" i="31"/>
  <c r="K101" i="31"/>
  <c r="M101" i="31"/>
  <c r="I102" i="31"/>
  <c r="K102" i="31"/>
  <c r="M102" i="31"/>
  <c r="I103" i="31"/>
  <c r="K103" i="31"/>
  <c r="M103" i="31"/>
  <c r="AE20" i="31"/>
  <c r="AE21" i="31"/>
  <c r="AE22" i="31"/>
  <c r="AE23" i="31"/>
  <c r="AE24" i="31"/>
  <c r="AE25" i="31"/>
  <c r="AE26" i="31"/>
  <c r="AE27" i="31"/>
  <c r="AE28" i="31"/>
  <c r="AE29" i="31"/>
  <c r="AE30" i="31"/>
  <c r="AE31" i="31"/>
  <c r="AE32" i="31"/>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95" i="31"/>
  <c r="AE96" i="31"/>
  <c r="AE97" i="31"/>
  <c r="AE98" i="31"/>
  <c r="AE99" i="31"/>
  <c r="AE100" i="31"/>
  <c r="AE101" i="31"/>
  <c r="AE102" i="31"/>
  <c r="AE103" i="31"/>
  <c r="AG20" i="31"/>
  <c r="AI20" i="31"/>
  <c r="AK20" i="31"/>
  <c r="AG21" i="31"/>
  <c r="AI21" i="31"/>
  <c r="AK21" i="31"/>
  <c r="AG22" i="31"/>
  <c r="AI22" i="31"/>
  <c r="AK22" i="31"/>
  <c r="AG23" i="31"/>
  <c r="AI23" i="31"/>
  <c r="AK23" i="31"/>
  <c r="AG24" i="31"/>
  <c r="AI24" i="31"/>
  <c r="AK24" i="31"/>
  <c r="AG25" i="31"/>
  <c r="AI25" i="31"/>
  <c r="AK25" i="31"/>
  <c r="AG26" i="31"/>
  <c r="AI26" i="31"/>
  <c r="AK26" i="31"/>
  <c r="AG27" i="31"/>
  <c r="AI27" i="31"/>
  <c r="AK27" i="31"/>
  <c r="AG28" i="31"/>
  <c r="AI28" i="31"/>
  <c r="AK28" i="31"/>
  <c r="AG29" i="31"/>
  <c r="AI29" i="31"/>
  <c r="AK29" i="31"/>
  <c r="AG30" i="31"/>
  <c r="AI30" i="31"/>
  <c r="AK30" i="31"/>
  <c r="AG31" i="31"/>
  <c r="AI31" i="31"/>
  <c r="AK31" i="31"/>
  <c r="AG32" i="31"/>
  <c r="AI32" i="31"/>
  <c r="AK32" i="31"/>
  <c r="AG33" i="31"/>
  <c r="AI33" i="31"/>
  <c r="AK33" i="31"/>
  <c r="AG34" i="31"/>
  <c r="AI34" i="31"/>
  <c r="AK34" i="31"/>
  <c r="AG35" i="31"/>
  <c r="AI35" i="31"/>
  <c r="AK35" i="31"/>
  <c r="AG36" i="31"/>
  <c r="AI36" i="31"/>
  <c r="AK36" i="31"/>
  <c r="AG37" i="31"/>
  <c r="AI37" i="31"/>
  <c r="AK37" i="31"/>
  <c r="AG38" i="31"/>
  <c r="AI38" i="31"/>
  <c r="AK38" i="31"/>
  <c r="AG39" i="31"/>
  <c r="AI39" i="31"/>
  <c r="AK39" i="31"/>
  <c r="AG40" i="31"/>
  <c r="AI40" i="31"/>
  <c r="AK40" i="31"/>
  <c r="AG41" i="31"/>
  <c r="AI41" i="31"/>
  <c r="AK41" i="31"/>
  <c r="AG42" i="31"/>
  <c r="AI42" i="31"/>
  <c r="AK42" i="31"/>
  <c r="AG43" i="31"/>
  <c r="AI43" i="31"/>
  <c r="AK43" i="31"/>
  <c r="AG44" i="31"/>
  <c r="AI44" i="31"/>
  <c r="AK44" i="31"/>
  <c r="AG45" i="31"/>
  <c r="AI45" i="31"/>
  <c r="AK45" i="31"/>
  <c r="AG46" i="31"/>
  <c r="AI46" i="31"/>
  <c r="AK46" i="31"/>
  <c r="AG47" i="31"/>
  <c r="AI47" i="31"/>
  <c r="AK47" i="31"/>
  <c r="AG48" i="31"/>
  <c r="AI48" i="31"/>
  <c r="AK48" i="31"/>
  <c r="AG49" i="31"/>
  <c r="AI49" i="31"/>
  <c r="AK49" i="31"/>
  <c r="AG50" i="31"/>
  <c r="AI50" i="31"/>
  <c r="AK50" i="31"/>
  <c r="AG51" i="31"/>
  <c r="AI51" i="31"/>
  <c r="AK51" i="31"/>
  <c r="AG52" i="31"/>
  <c r="AI52" i="31"/>
  <c r="AK52" i="31"/>
  <c r="AG53" i="31"/>
  <c r="AI53" i="31"/>
  <c r="AK53" i="31"/>
  <c r="AG54" i="31"/>
  <c r="AI54" i="31"/>
  <c r="AK54" i="31"/>
  <c r="AG55" i="31"/>
  <c r="AI55" i="31"/>
  <c r="AK55" i="31"/>
  <c r="AG56" i="31"/>
  <c r="AI56" i="31"/>
  <c r="AK56" i="31"/>
  <c r="AG57" i="31"/>
  <c r="AI57" i="31"/>
  <c r="AK57" i="31"/>
  <c r="AG58" i="31"/>
  <c r="AI58" i="31"/>
  <c r="AK58" i="31"/>
  <c r="AG59" i="31"/>
  <c r="AI59" i="31"/>
  <c r="AK59" i="31"/>
  <c r="AG60" i="31"/>
  <c r="AI60" i="31"/>
  <c r="AK60" i="31"/>
  <c r="AG61" i="31"/>
  <c r="AI61" i="31"/>
  <c r="AK61" i="31"/>
  <c r="AG62" i="31"/>
  <c r="AI62" i="31"/>
  <c r="AK62" i="31"/>
  <c r="AG63" i="31"/>
  <c r="AI63" i="31"/>
  <c r="AK63" i="31"/>
  <c r="AG64" i="31"/>
  <c r="AI64" i="31"/>
  <c r="AK64" i="31"/>
  <c r="AG65" i="31"/>
  <c r="AI65" i="31"/>
  <c r="AK65" i="31"/>
  <c r="AG66" i="31"/>
  <c r="AI66" i="31"/>
  <c r="AK66" i="31"/>
  <c r="AG67" i="31"/>
  <c r="AI67" i="31"/>
  <c r="AK67" i="31"/>
  <c r="AG68" i="31"/>
  <c r="AI68" i="31"/>
  <c r="AK68" i="31"/>
  <c r="AG69" i="31"/>
  <c r="AI69" i="31"/>
  <c r="AK69" i="31"/>
  <c r="AG70" i="31"/>
  <c r="AI70" i="31"/>
  <c r="AK70" i="31"/>
  <c r="AG71" i="31"/>
  <c r="AI71" i="31"/>
  <c r="AK71" i="31"/>
  <c r="AG72" i="31"/>
  <c r="AI72" i="31"/>
  <c r="AK72" i="31"/>
  <c r="AG73" i="31"/>
  <c r="AI73" i="31"/>
  <c r="AK73" i="31"/>
  <c r="AG74" i="31"/>
  <c r="AI74" i="31"/>
  <c r="AK74" i="31"/>
  <c r="AG75" i="31"/>
  <c r="AI75" i="31"/>
  <c r="AK75" i="31"/>
  <c r="AG76" i="31"/>
  <c r="AI76" i="31"/>
  <c r="AK76" i="31"/>
  <c r="AG77" i="31"/>
  <c r="AI77" i="31"/>
  <c r="AK77" i="31"/>
  <c r="AG78" i="31"/>
  <c r="AI78" i="31"/>
  <c r="AK78" i="31"/>
  <c r="AG79" i="31"/>
  <c r="AI79" i="31"/>
  <c r="AK79" i="31"/>
  <c r="AG80" i="31"/>
  <c r="AI80" i="31"/>
  <c r="AK80" i="31"/>
  <c r="AG81" i="31"/>
  <c r="AI81" i="31"/>
  <c r="AK81" i="31"/>
  <c r="AG82" i="31"/>
  <c r="AI82" i="31"/>
  <c r="AK82" i="31"/>
  <c r="AG83" i="31"/>
  <c r="AI83" i="31"/>
  <c r="AK83" i="31"/>
  <c r="AG84" i="31"/>
  <c r="AI84" i="31"/>
  <c r="AK84" i="31"/>
  <c r="AG85" i="31"/>
  <c r="AI85" i="31"/>
  <c r="AK85" i="31"/>
  <c r="AG86" i="31"/>
  <c r="AI86" i="31"/>
  <c r="AK86" i="31"/>
  <c r="AG87" i="31"/>
  <c r="AI87" i="31"/>
  <c r="AK87" i="31"/>
  <c r="AG88" i="31"/>
  <c r="AI88" i="31"/>
  <c r="AK88" i="31"/>
  <c r="AG89" i="31"/>
  <c r="AI89" i="31"/>
  <c r="AK89" i="31"/>
  <c r="AG90" i="31"/>
  <c r="AI90" i="31"/>
  <c r="AK90" i="31"/>
  <c r="AG91" i="31"/>
  <c r="AI91" i="31"/>
  <c r="AK91" i="31"/>
  <c r="AG92" i="31"/>
  <c r="AI92" i="31"/>
  <c r="AK92" i="31"/>
  <c r="AG93" i="31"/>
  <c r="AI93" i="31"/>
  <c r="AK93" i="31"/>
  <c r="AG94" i="31"/>
  <c r="AI94" i="31"/>
  <c r="AK94" i="31"/>
  <c r="AG95" i="31"/>
  <c r="AI95" i="31"/>
  <c r="AK95" i="31"/>
  <c r="AG96" i="31"/>
  <c r="AI96" i="31"/>
  <c r="AK96" i="31"/>
  <c r="AG97" i="31"/>
  <c r="AI97" i="31"/>
  <c r="AK97" i="31"/>
  <c r="AG98" i="31"/>
  <c r="AI98" i="31"/>
  <c r="AK98" i="31"/>
  <c r="AG99" i="31"/>
  <c r="AI99" i="31"/>
  <c r="AK99" i="31"/>
  <c r="AG100" i="31"/>
  <c r="AI100" i="31"/>
  <c r="AK100" i="31"/>
  <c r="AG101" i="31"/>
  <c r="AI101" i="31"/>
  <c r="AK101" i="31"/>
  <c r="AG102" i="31"/>
  <c r="AI102" i="31"/>
  <c r="AK102" i="31"/>
  <c r="AG103" i="31"/>
  <c r="AI103" i="31"/>
  <c r="AK103" i="31"/>
  <c r="AM103" i="31"/>
  <c r="Q103" i="31"/>
  <c r="O103" i="31"/>
  <c r="E103" i="31"/>
  <c r="C103" i="31"/>
  <c r="AM102" i="31"/>
  <c r="Q102" i="31"/>
  <c r="O102" i="31"/>
  <c r="E102" i="31"/>
  <c r="C102" i="31"/>
  <c r="AM101" i="31"/>
  <c r="Q101" i="31"/>
  <c r="O101" i="31"/>
  <c r="E101" i="31"/>
  <c r="C101" i="31"/>
  <c r="AM100" i="31"/>
  <c r="Q100" i="31"/>
  <c r="O100" i="31"/>
  <c r="E100" i="31"/>
  <c r="C100" i="31"/>
  <c r="AM99" i="31"/>
  <c r="Q99" i="31"/>
  <c r="O99" i="31"/>
  <c r="E99" i="31"/>
  <c r="C99" i="31"/>
  <c r="AM98" i="31"/>
  <c r="Q98" i="31"/>
  <c r="O98" i="31"/>
  <c r="E98" i="31"/>
  <c r="C98" i="31"/>
  <c r="AM97" i="31"/>
  <c r="Q97" i="31"/>
  <c r="O97" i="31"/>
  <c r="E97" i="31"/>
  <c r="C97" i="31"/>
  <c r="AM96" i="31"/>
  <c r="Q96" i="31"/>
  <c r="O96" i="31"/>
  <c r="E96" i="31"/>
  <c r="C96" i="31"/>
  <c r="AM95" i="31"/>
  <c r="Q95" i="31"/>
  <c r="O95" i="31"/>
  <c r="E95" i="31"/>
  <c r="C95" i="31"/>
  <c r="AM94" i="31"/>
  <c r="Q94" i="31"/>
  <c r="O94" i="31"/>
  <c r="E94" i="31"/>
  <c r="C94" i="31"/>
  <c r="AM93" i="31"/>
  <c r="Q93" i="31"/>
  <c r="O93" i="31"/>
  <c r="E93" i="31"/>
  <c r="C93" i="31"/>
  <c r="AM92" i="31"/>
  <c r="Q92" i="31"/>
  <c r="O92" i="31"/>
  <c r="E92" i="31"/>
  <c r="C92" i="31"/>
  <c r="AM91" i="31"/>
  <c r="Q91" i="31"/>
  <c r="O91" i="31"/>
  <c r="E91" i="31"/>
  <c r="C91" i="31"/>
  <c r="AM90" i="31"/>
  <c r="Q90" i="31"/>
  <c r="O90" i="31"/>
  <c r="E90" i="31"/>
  <c r="C90" i="31"/>
  <c r="AM89" i="31"/>
  <c r="Q89" i="31"/>
  <c r="O89" i="31"/>
  <c r="E89" i="31"/>
  <c r="C89" i="31"/>
  <c r="AM88" i="31"/>
  <c r="Q88" i="31"/>
  <c r="O88" i="31"/>
  <c r="E88" i="31"/>
  <c r="C88" i="31"/>
  <c r="AM87" i="31"/>
  <c r="Q87" i="31"/>
  <c r="O87" i="31"/>
  <c r="E87" i="31"/>
  <c r="C87" i="31"/>
  <c r="AM86" i="31"/>
  <c r="Q86" i="31"/>
  <c r="O86" i="31"/>
  <c r="E86" i="31"/>
  <c r="C86" i="31"/>
  <c r="AM85" i="31"/>
  <c r="Q85" i="31"/>
  <c r="O85" i="31"/>
  <c r="E85" i="31"/>
  <c r="C85" i="31"/>
  <c r="AM84" i="31"/>
  <c r="Q84" i="31"/>
  <c r="O84" i="31"/>
  <c r="E84" i="31"/>
  <c r="C84" i="31"/>
  <c r="AM83" i="31"/>
  <c r="Q83" i="31"/>
  <c r="O83" i="31"/>
  <c r="E83" i="31"/>
  <c r="C83" i="31"/>
  <c r="AM82" i="31"/>
  <c r="Q82" i="31"/>
  <c r="O82" i="31"/>
  <c r="E82" i="31"/>
  <c r="C82" i="31"/>
  <c r="AM81" i="31"/>
  <c r="Q81" i="31"/>
  <c r="O81" i="31"/>
  <c r="E81" i="31"/>
  <c r="C81" i="31"/>
  <c r="AM80" i="31"/>
  <c r="Q80" i="31"/>
  <c r="O80" i="31"/>
  <c r="E80" i="31"/>
  <c r="C80" i="31"/>
  <c r="AM79" i="31"/>
  <c r="Q79" i="31"/>
  <c r="O79" i="31"/>
  <c r="E79" i="31"/>
  <c r="C79" i="31"/>
  <c r="AM78" i="31"/>
  <c r="Q78" i="31"/>
  <c r="O78" i="31"/>
  <c r="E78" i="31"/>
  <c r="C78" i="31"/>
  <c r="AM77" i="31"/>
  <c r="Q77" i="31"/>
  <c r="O77" i="31"/>
  <c r="E77" i="31"/>
  <c r="C77" i="31"/>
  <c r="AM76" i="31"/>
  <c r="Q76" i="31"/>
  <c r="O76" i="31"/>
  <c r="E76" i="31"/>
  <c r="C76" i="31"/>
  <c r="AM75" i="31"/>
  <c r="Q75" i="31"/>
  <c r="O75" i="31"/>
  <c r="E75" i="31"/>
  <c r="C75" i="31"/>
  <c r="AM74" i="31"/>
  <c r="Q74" i="31"/>
  <c r="O74" i="31"/>
  <c r="E74" i="31"/>
  <c r="C74" i="31"/>
  <c r="AM73" i="31"/>
  <c r="Q73" i="31"/>
  <c r="O73" i="31"/>
  <c r="E73" i="31"/>
  <c r="C73" i="31"/>
  <c r="AM72" i="31"/>
  <c r="Q72" i="31"/>
  <c r="O72" i="31"/>
  <c r="E72" i="31"/>
  <c r="C72" i="31"/>
  <c r="AM71" i="31"/>
  <c r="Q71" i="31"/>
  <c r="O71" i="31"/>
  <c r="E71" i="31"/>
  <c r="C71" i="31"/>
  <c r="AM70" i="31"/>
  <c r="Q70" i="31"/>
  <c r="O70" i="31"/>
  <c r="E70" i="31"/>
  <c r="C70" i="31"/>
  <c r="AM69" i="31"/>
  <c r="Q69" i="31"/>
  <c r="O69" i="31"/>
  <c r="E69" i="31"/>
  <c r="C69" i="31"/>
  <c r="AM68" i="31"/>
  <c r="Q68" i="31"/>
  <c r="O68" i="31"/>
  <c r="E68" i="31"/>
  <c r="C68" i="31"/>
  <c r="AM67" i="31"/>
  <c r="Q67" i="31"/>
  <c r="O67" i="31"/>
  <c r="E67" i="31"/>
  <c r="C67" i="31"/>
  <c r="AM66" i="31"/>
  <c r="Q66" i="31"/>
  <c r="O66" i="31"/>
  <c r="E66" i="31"/>
  <c r="C66" i="31"/>
  <c r="AM65" i="31"/>
  <c r="Q65" i="31"/>
  <c r="O65" i="31"/>
  <c r="E65" i="31"/>
  <c r="C65" i="31"/>
  <c r="AM64" i="31"/>
  <c r="Q64" i="31"/>
  <c r="O64" i="31"/>
  <c r="E64" i="31"/>
  <c r="C64" i="31"/>
  <c r="AM63" i="31"/>
  <c r="Q63" i="31"/>
  <c r="O63" i="31"/>
  <c r="E63" i="31"/>
  <c r="C63" i="31"/>
  <c r="AM62" i="31"/>
  <c r="Q62" i="31"/>
  <c r="O62" i="31"/>
  <c r="E62" i="31"/>
  <c r="C62" i="31"/>
  <c r="AM61" i="31"/>
  <c r="Q61" i="31"/>
  <c r="O61" i="31"/>
  <c r="E61" i="31"/>
  <c r="C61" i="31"/>
  <c r="AM60" i="31"/>
  <c r="Q60" i="31"/>
  <c r="O60" i="31"/>
  <c r="E60" i="31"/>
  <c r="C60" i="31"/>
  <c r="AM59" i="31"/>
  <c r="Q59" i="31"/>
  <c r="O59" i="31"/>
  <c r="E59" i="31"/>
  <c r="C59" i="31"/>
  <c r="AM58" i="31"/>
  <c r="Q58" i="31"/>
  <c r="O58" i="31"/>
  <c r="E58" i="31"/>
  <c r="C58" i="31"/>
  <c r="AM57" i="31"/>
  <c r="Q57" i="31"/>
  <c r="O57" i="31"/>
  <c r="E57" i="31"/>
  <c r="C57" i="31"/>
  <c r="AM56" i="31"/>
  <c r="Q56" i="31"/>
  <c r="O56" i="31"/>
  <c r="E56" i="31"/>
  <c r="C56" i="31"/>
  <c r="AM55" i="31"/>
  <c r="Q55" i="31"/>
  <c r="O55" i="31"/>
  <c r="E55" i="31"/>
  <c r="C55" i="31"/>
  <c r="AM54" i="31"/>
  <c r="Q54" i="31"/>
  <c r="O54" i="31"/>
  <c r="E54" i="31"/>
  <c r="C54" i="31"/>
  <c r="AM53" i="31"/>
  <c r="Q53" i="31"/>
  <c r="O53" i="31"/>
  <c r="E53" i="31"/>
  <c r="C53" i="31"/>
  <c r="AM52" i="31"/>
  <c r="Q52" i="31"/>
  <c r="O52" i="31"/>
  <c r="E52" i="31"/>
  <c r="C52" i="31"/>
  <c r="AM51" i="31"/>
  <c r="Q51" i="31"/>
  <c r="O51" i="31"/>
  <c r="E51" i="31"/>
  <c r="C51" i="31"/>
  <c r="AM50" i="31"/>
  <c r="Q50" i="31"/>
  <c r="O50" i="31"/>
  <c r="E50" i="31"/>
  <c r="C50" i="31"/>
  <c r="AM49" i="31"/>
  <c r="Q49" i="31"/>
  <c r="O49" i="31"/>
  <c r="E49" i="31"/>
  <c r="C49" i="31"/>
  <c r="AM48" i="31"/>
  <c r="Q48" i="31"/>
  <c r="O48" i="31"/>
  <c r="E48" i="31"/>
  <c r="C48" i="31"/>
  <c r="AM47" i="31"/>
  <c r="Q47" i="31"/>
  <c r="O47" i="31"/>
  <c r="E47" i="31"/>
  <c r="C47" i="31"/>
  <c r="AM46" i="31"/>
  <c r="Q46" i="31"/>
  <c r="O46" i="31"/>
  <c r="E46" i="31"/>
  <c r="C46" i="31"/>
  <c r="AM45" i="31"/>
  <c r="Q45" i="31"/>
  <c r="O45" i="31"/>
  <c r="E45" i="31"/>
  <c r="C45" i="31"/>
  <c r="AM44" i="31"/>
  <c r="Q44" i="31"/>
  <c r="O44" i="31"/>
  <c r="E44" i="31"/>
  <c r="C44" i="31"/>
  <c r="AM43" i="31"/>
  <c r="Q43" i="31"/>
  <c r="O43" i="31"/>
  <c r="E43" i="31"/>
  <c r="C43" i="31"/>
  <c r="AM42" i="31"/>
  <c r="Q42" i="31"/>
  <c r="O42" i="31"/>
  <c r="E42" i="31"/>
  <c r="C42" i="31"/>
  <c r="AM41" i="31"/>
  <c r="Q41" i="31"/>
  <c r="O41" i="31"/>
  <c r="E41" i="31"/>
  <c r="C41" i="31"/>
  <c r="AM40" i="31"/>
  <c r="Q40" i="31"/>
  <c r="O40" i="31"/>
  <c r="E40" i="31"/>
  <c r="C40" i="31"/>
  <c r="AM39" i="31"/>
  <c r="Q39" i="31"/>
  <c r="O39" i="31"/>
  <c r="E39" i="31"/>
  <c r="C39" i="31"/>
  <c r="AM38" i="31"/>
  <c r="Q38" i="31"/>
  <c r="O38" i="31"/>
  <c r="E38" i="31"/>
  <c r="C38" i="31"/>
  <c r="AM37" i="31"/>
  <c r="Q37" i="31"/>
  <c r="O37" i="31"/>
  <c r="E37" i="31"/>
  <c r="C37" i="31"/>
  <c r="AM36" i="31"/>
  <c r="Q36" i="31"/>
  <c r="O36" i="31"/>
  <c r="E36" i="31"/>
  <c r="C36" i="31"/>
  <c r="AM35" i="31"/>
  <c r="Q35" i="31"/>
  <c r="O35" i="31"/>
  <c r="E35" i="31"/>
  <c r="C35" i="31"/>
  <c r="AM34" i="31"/>
  <c r="Q34" i="31"/>
  <c r="O34" i="31"/>
  <c r="E34" i="31"/>
  <c r="C34" i="31"/>
  <c r="AM33" i="31"/>
  <c r="Q33" i="31"/>
  <c r="O33" i="31"/>
  <c r="E33" i="31"/>
  <c r="C33" i="31"/>
  <c r="AM32" i="31"/>
  <c r="Q32" i="31"/>
  <c r="O32" i="31"/>
  <c r="E32" i="31"/>
  <c r="C32" i="31"/>
  <c r="AM31" i="31"/>
  <c r="Q31" i="31"/>
  <c r="O31" i="31"/>
  <c r="E31" i="31"/>
  <c r="C31" i="31"/>
  <c r="AM30" i="31"/>
  <c r="Q30" i="31"/>
  <c r="O30" i="31"/>
  <c r="E30" i="31"/>
  <c r="C30" i="31"/>
  <c r="AM29" i="31"/>
  <c r="Q29" i="31"/>
  <c r="O29" i="31"/>
  <c r="E29" i="31"/>
  <c r="C29" i="31"/>
  <c r="AM28" i="31"/>
  <c r="Q28" i="31"/>
  <c r="O28" i="31"/>
  <c r="E28" i="31"/>
  <c r="C28" i="31"/>
  <c r="AM27" i="31"/>
  <c r="Q27" i="31"/>
  <c r="O27" i="31"/>
  <c r="E27" i="31"/>
  <c r="C27" i="31"/>
  <c r="AM26" i="31"/>
  <c r="Q26" i="31"/>
  <c r="O26" i="31"/>
  <c r="E26" i="31"/>
  <c r="C26" i="31"/>
  <c r="AM25" i="31"/>
  <c r="Q25" i="31"/>
  <c r="O25" i="31"/>
  <c r="E25" i="31"/>
  <c r="C25" i="31"/>
  <c r="AM24" i="31"/>
  <c r="Q24" i="31"/>
  <c r="O24" i="31"/>
  <c r="E24" i="31"/>
  <c r="C24" i="31"/>
  <c r="AM23" i="31"/>
  <c r="Q23" i="31"/>
  <c r="O23" i="31"/>
  <c r="E23" i="31"/>
  <c r="C23" i="31"/>
  <c r="AM22" i="31"/>
  <c r="Q22" i="31"/>
  <c r="O22" i="31"/>
  <c r="E22" i="31"/>
  <c r="C22" i="31"/>
  <c r="AM21" i="31"/>
  <c r="Q21" i="31"/>
  <c r="O21" i="31"/>
  <c r="E21" i="31"/>
  <c r="C21" i="31"/>
  <c r="AM20" i="31"/>
  <c r="Q20" i="31"/>
  <c r="O20" i="31"/>
  <c r="E20" i="31"/>
  <c r="C20" i="31"/>
  <c r="BO20" i="26"/>
  <c r="CU24" i="26"/>
  <c r="CU25" i="26"/>
  <c r="CU26" i="26"/>
  <c r="CU27" i="26"/>
  <c r="CU28" i="26"/>
  <c r="CU29" i="26"/>
  <c r="CU30" i="26"/>
  <c r="CU31" i="26"/>
  <c r="CU32" i="26"/>
  <c r="CU33" i="26"/>
  <c r="CU34" i="26"/>
  <c r="CU35" i="26"/>
  <c r="CU36" i="26"/>
  <c r="CU37" i="26"/>
  <c r="CU38" i="26"/>
  <c r="CU39" i="26"/>
  <c r="CU40" i="26"/>
  <c r="CU41" i="26"/>
  <c r="CU42" i="26"/>
  <c r="CU43" i="26"/>
  <c r="CU44" i="26"/>
  <c r="CU45" i="26"/>
  <c r="CU46" i="26"/>
  <c r="CU47" i="26"/>
  <c r="CU48" i="26"/>
  <c r="CU49" i="26"/>
  <c r="CU50" i="26"/>
  <c r="CU51" i="26"/>
  <c r="CU52" i="26"/>
  <c r="CU53" i="26"/>
  <c r="CU54" i="26"/>
  <c r="CU55" i="26"/>
  <c r="CU56" i="26"/>
  <c r="CU57" i="26"/>
  <c r="CU58" i="26"/>
  <c r="CU59" i="26"/>
  <c r="CU60" i="26"/>
  <c r="CU61" i="26"/>
  <c r="CU62" i="26"/>
  <c r="CU63" i="26"/>
  <c r="CU64" i="26"/>
  <c r="CU65" i="26"/>
  <c r="CU66" i="26"/>
  <c r="CU67" i="26"/>
  <c r="CU68" i="26"/>
  <c r="CU69" i="26"/>
  <c r="CU70" i="26"/>
  <c r="CU71" i="26"/>
  <c r="CU72" i="26"/>
  <c r="CU73" i="26"/>
  <c r="CU74" i="26"/>
  <c r="CU75" i="26"/>
  <c r="CU76" i="26"/>
  <c r="CU77" i="26"/>
  <c r="CU78" i="26"/>
  <c r="CU79" i="26"/>
  <c r="CU80" i="26"/>
  <c r="CU81" i="26"/>
  <c r="CU82" i="26"/>
  <c r="CU83" i="26"/>
  <c r="CU84" i="26"/>
  <c r="CU85" i="26"/>
  <c r="CU86" i="26"/>
  <c r="CU87" i="26"/>
  <c r="CU88" i="26"/>
  <c r="CU89" i="26"/>
  <c r="CU90" i="26"/>
  <c r="CU91" i="26"/>
  <c r="CU92" i="26"/>
  <c r="CU93" i="26"/>
  <c r="CU94" i="26"/>
  <c r="CU95" i="26"/>
  <c r="CU96" i="26"/>
  <c r="CU97" i="26"/>
  <c r="CU98" i="26"/>
  <c r="CU99" i="26"/>
  <c r="CU100" i="26"/>
  <c r="CU101" i="26"/>
  <c r="CU102" i="26"/>
  <c r="CU103" i="26"/>
  <c r="J96" i="30"/>
  <c r="CU21" i="26" s="1"/>
  <c r="J97" i="30"/>
  <c r="CU22" i="26" s="1"/>
  <c r="J98" i="30"/>
  <c r="CU23" i="26" s="1"/>
  <c r="J95" i="30"/>
  <c r="CU20" i="26" s="1"/>
  <c r="CV24" i="26"/>
  <c r="CV25" i="26"/>
  <c r="CV26" i="26"/>
  <c r="CV27" i="26"/>
  <c r="CV28" i="26"/>
  <c r="CV29" i="26"/>
  <c r="CV30" i="26"/>
  <c r="CV31" i="26"/>
  <c r="CV32" i="26"/>
  <c r="CV33" i="26"/>
  <c r="CV34" i="26"/>
  <c r="CV35" i="26"/>
  <c r="CV36" i="26"/>
  <c r="CV37" i="26"/>
  <c r="CV38" i="26"/>
  <c r="CV39" i="26"/>
  <c r="CV40" i="26"/>
  <c r="CV41" i="26"/>
  <c r="CV42" i="26"/>
  <c r="CV43" i="26"/>
  <c r="CV44" i="26"/>
  <c r="CV45" i="26"/>
  <c r="CV46" i="26"/>
  <c r="CV47" i="26"/>
  <c r="CV48" i="26"/>
  <c r="CV49" i="26"/>
  <c r="CV50" i="26"/>
  <c r="CV51" i="26"/>
  <c r="CV52" i="26"/>
  <c r="CV53" i="26"/>
  <c r="CV54" i="26"/>
  <c r="CV55" i="26"/>
  <c r="CV56" i="26"/>
  <c r="CV57" i="26"/>
  <c r="CV58" i="26"/>
  <c r="CV59" i="26"/>
  <c r="CV60" i="26"/>
  <c r="CV61" i="26"/>
  <c r="CV62" i="26"/>
  <c r="CV63" i="26"/>
  <c r="CV64" i="26"/>
  <c r="CV65" i="26"/>
  <c r="CV66" i="26"/>
  <c r="CV67" i="26"/>
  <c r="CV68" i="26"/>
  <c r="CV69" i="26"/>
  <c r="CV70" i="26"/>
  <c r="CV71" i="26"/>
  <c r="CV72" i="26"/>
  <c r="CV73" i="26"/>
  <c r="CV74" i="26"/>
  <c r="CV75" i="26"/>
  <c r="CV76" i="26"/>
  <c r="CV77" i="26"/>
  <c r="CV78" i="26"/>
  <c r="CV79" i="26"/>
  <c r="CV80" i="26"/>
  <c r="CV81" i="26"/>
  <c r="CV82" i="26"/>
  <c r="CV83" i="26"/>
  <c r="CV84" i="26"/>
  <c r="CV85" i="26"/>
  <c r="CV86" i="26"/>
  <c r="CV87" i="26"/>
  <c r="CV88" i="26"/>
  <c r="CV89" i="26"/>
  <c r="CV90" i="26"/>
  <c r="CV91" i="26"/>
  <c r="CV92" i="26"/>
  <c r="CV93" i="26"/>
  <c r="CV94" i="26"/>
  <c r="CV95" i="26"/>
  <c r="CV96" i="26"/>
  <c r="CV97" i="26"/>
  <c r="CV98" i="26"/>
  <c r="CV99" i="26"/>
  <c r="CV100" i="26"/>
  <c r="CV101" i="26"/>
  <c r="CV102" i="26"/>
  <c r="CV103" i="26"/>
  <c r="CT24" i="26"/>
  <c r="CT25" i="26"/>
  <c r="CT26" i="26"/>
  <c r="CT27" i="26"/>
  <c r="CT28" i="26"/>
  <c r="CT29" i="26"/>
  <c r="CT30" i="26"/>
  <c r="CT31" i="26"/>
  <c r="CT32" i="26"/>
  <c r="CT33" i="26"/>
  <c r="CT34" i="26"/>
  <c r="CT35" i="26"/>
  <c r="CT36" i="26"/>
  <c r="CT37" i="26"/>
  <c r="CT38" i="26"/>
  <c r="CT39" i="26"/>
  <c r="CT40" i="26"/>
  <c r="CT41" i="26"/>
  <c r="CT42" i="26"/>
  <c r="CT43" i="26"/>
  <c r="CT44" i="26"/>
  <c r="CT45" i="26"/>
  <c r="CT46" i="26"/>
  <c r="CT47" i="26"/>
  <c r="CT48" i="26"/>
  <c r="CT49" i="26"/>
  <c r="CT50" i="26"/>
  <c r="CT51" i="26"/>
  <c r="CT52" i="26"/>
  <c r="CT53" i="26"/>
  <c r="CT54" i="26"/>
  <c r="CT55" i="26"/>
  <c r="CT56" i="26"/>
  <c r="CT57" i="26"/>
  <c r="CT58" i="26"/>
  <c r="CT59" i="26"/>
  <c r="CT60" i="26"/>
  <c r="CT61" i="26"/>
  <c r="CT62" i="26"/>
  <c r="CT63" i="26"/>
  <c r="CT64" i="26"/>
  <c r="CT65" i="26"/>
  <c r="CT66" i="26"/>
  <c r="CT67" i="26"/>
  <c r="CT68" i="26"/>
  <c r="CT69" i="26"/>
  <c r="CT70" i="26"/>
  <c r="CT71" i="26"/>
  <c r="CT72" i="26"/>
  <c r="CT73" i="26"/>
  <c r="CT74" i="26"/>
  <c r="CT75" i="26"/>
  <c r="CT76" i="26"/>
  <c r="CT77" i="26"/>
  <c r="CT78" i="26"/>
  <c r="CT79" i="26"/>
  <c r="CT80" i="26"/>
  <c r="CT81" i="26"/>
  <c r="CT82" i="26"/>
  <c r="CT83" i="26"/>
  <c r="CT84" i="26"/>
  <c r="CT85" i="26"/>
  <c r="CT86" i="26"/>
  <c r="CT87" i="26"/>
  <c r="CT88" i="26"/>
  <c r="CT89" i="26"/>
  <c r="CT90" i="26"/>
  <c r="CT91" i="26"/>
  <c r="CT92" i="26"/>
  <c r="CT93" i="26"/>
  <c r="CT94" i="26"/>
  <c r="CT95" i="26"/>
  <c r="CT96" i="26"/>
  <c r="CT97" i="26"/>
  <c r="CT98" i="26"/>
  <c r="CT99" i="26"/>
  <c r="CT100" i="26"/>
  <c r="CT101" i="26"/>
  <c r="CT102" i="26"/>
  <c r="CT103" i="26"/>
  <c r="CS24" i="26"/>
  <c r="CS25" i="26"/>
  <c r="CS26" i="26"/>
  <c r="CS27" i="26"/>
  <c r="CS28" i="26"/>
  <c r="CS29" i="26"/>
  <c r="CS30" i="26"/>
  <c r="CS31" i="26"/>
  <c r="CS32" i="26"/>
  <c r="CS33" i="26"/>
  <c r="CS34" i="26"/>
  <c r="CS35" i="26"/>
  <c r="CS36" i="26"/>
  <c r="CS37" i="26"/>
  <c r="CS38" i="26"/>
  <c r="CS39" i="26"/>
  <c r="CS40" i="26"/>
  <c r="CS41" i="26"/>
  <c r="CS42" i="26"/>
  <c r="CS43" i="26"/>
  <c r="CS44" i="26"/>
  <c r="CS45" i="26"/>
  <c r="CS46" i="26"/>
  <c r="CS47" i="26"/>
  <c r="CS48" i="26"/>
  <c r="CS49" i="26"/>
  <c r="CS50" i="26"/>
  <c r="CS51" i="26"/>
  <c r="CS52" i="26"/>
  <c r="CS53" i="26"/>
  <c r="CS54" i="26"/>
  <c r="CS55" i="26"/>
  <c r="CS56" i="26"/>
  <c r="CS57" i="26"/>
  <c r="CS58" i="26"/>
  <c r="CS59" i="26"/>
  <c r="CS60" i="26"/>
  <c r="CS61" i="26"/>
  <c r="CS62" i="26"/>
  <c r="CS63" i="26"/>
  <c r="CS64" i="26"/>
  <c r="CS65" i="26"/>
  <c r="CS66" i="26"/>
  <c r="CS67" i="26"/>
  <c r="CS68" i="26"/>
  <c r="CS69" i="26"/>
  <c r="CS70" i="26"/>
  <c r="CS71" i="26"/>
  <c r="CS72" i="26"/>
  <c r="CS73" i="26"/>
  <c r="CS74" i="26"/>
  <c r="CS75" i="26"/>
  <c r="CS76" i="26"/>
  <c r="CS77" i="26"/>
  <c r="CS78" i="26"/>
  <c r="CS79" i="26"/>
  <c r="CS80" i="26"/>
  <c r="CS81" i="26"/>
  <c r="CS82" i="26"/>
  <c r="CS83" i="26"/>
  <c r="CS84" i="26"/>
  <c r="CS85" i="26"/>
  <c r="CS86" i="26"/>
  <c r="CS87" i="26"/>
  <c r="CS88" i="26"/>
  <c r="CS89" i="26"/>
  <c r="CS90" i="26"/>
  <c r="CS91" i="26"/>
  <c r="CS92" i="26"/>
  <c r="CS93" i="26"/>
  <c r="CS94" i="26"/>
  <c r="CS95" i="26"/>
  <c r="CS96" i="26"/>
  <c r="CS97" i="26"/>
  <c r="CS98" i="26"/>
  <c r="CS99" i="26"/>
  <c r="CS100" i="26"/>
  <c r="CS101" i="26"/>
  <c r="CS102" i="26"/>
  <c r="CS103" i="26"/>
  <c r="CR24" i="26"/>
  <c r="CR25" i="26"/>
  <c r="CR26" i="26"/>
  <c r="CR27" i="26"/>
  <c r="CR28" i="26"/>
  <c r="CR29" i="26"/>
  <c r="CR30" i="26"/>
  <c r="CR31" i="26"/>
  <c r="CR32" i="26"/>
  <c r="CR33" i="26"/>
  <c r="CR34" i="26"/>
  <c r="CR35" i="26"/>
  <c r="CR36" i="26"/>
  <c r="CR37" i="26"/>
  <c r="CR38" i="26"/>
  <c r="CR39" i="26"/>
  <c r="CR40" i="26"/>
  <c r="CR41" i="26"/>
  <c r="CR42" i="26"/>
  <c r="CR43" i="26"/>
  <c r="CR44" i="26"/>
  <c r="CR45" i="26"/>
  <c r="CR46" i="26"/>
  <c r="CR47" i="26"/>
  <c r="CR48" i="26"/>
  <c r="CR49" i="26"/>
  <c r="CR50" i="26"/>
  <c r="CR51" i="26"/>
  <c r="CR52" i="26"/>
  <c r="CR53" i="26"/>
  <c r="CR54" i="26"/>
  <c r="CR55" i="26"/>
  <c r="CR56" i="26"/>
  <c r="CR57" i="26"/>
  <c r="CR58" i="26"/>
  <c r="CR59" i="26"/>
  <c r="CR60" i="26"/>
  <c r="CR61" i="26"/>
  <c r="CR62" i="26"/>
  <c r="CR63" i="26"/>
  <c r="CR64" i="26"/>
  <c r="CR65" i="26"/>
  <c r="CR66" i="26"/>
  <c r="CR67" i="26"/>
  <c r="CR68" i="26"/>
  <c r="CR69" i="26"/>
  <c r="CR70" i="26"/>
  <c r="CR71" i="26"/>
  <c r="CR72" i="26"/>
  <c r="CR73" i="26"/>
  <c r="CR74" i="26"/>
  <c r="CR75" i="26"/>
  <c r="CR76" i="26"/>
  <c r="CR77" i="26"/>
  <c r="CR78" i="26"/>
  <c r="CR79" i="26"/>
  <c r="CR80" i="26"/>
  <c r="CR81" i="26"/>
  <c r="CR82" i="26"/>
  <c r="CR83" i="26"/>
  <c r="CR84" i="26"/>
  <c r="CR85" i="26"/>
  <c r="CR86" i="26"/>
  <c r="CR87" i="26"/>
  <c r="CR88" i="26"/>
  <c r="CR89" i="26"/>
  <c r="CR90" i="26"/>
  <c r="CR91" i="26"/>
  <c r="CR92" i="26"/>
  <c r="CR93" i="26"/>
  <c r="CR94" i="26"/>
  <c r="CR95" i="26"/>
  <c r="CR96" i="26"/>
  <c r="CR97" i="26"/>
  <c r="CR98" i="26"/>
  <c r="CR99" i="26"/>
  <c r="CR100" i="26"/>
  <c r="CR101" i="26"/>
  <c r="CR102" i="26"/>
  <c r="CR103" i="26"/>
  <c r="I96" i="30"/>
  <c r="CV21" i="26" s="1"/>
  <c r="I97" i="30"/>
  <c r="CV22" i="26" s="1"/>
  <c r="I98" i="30"/>
  <c r="CV23" i="26" s="1"/>
  <c r="I95" i="30"/>
  <c r="H96" i="30"/>
  <c r="CT21" i="26" s="1"/>
  <c r="H97" i="30"/>
  <c r="CT22" i="26" s="1"/>
  <c r="H98" i="30"/>
  <c r="CT23" i="26" s="1"/>
  <c r="H95" i="30"/>
  <c r="G96" i="30"/>
  <c r="CS21" i="26" s="1"/>
  <c r="G97" i="30"/>
  <c r="CS22" i="26" s="1"/>
  <c r="G98" i="30"/>
  <c r="CS23" i="26" s="1"/>
  <c r="G95" i="30"/>
  <c r="F96" i="30"/>
  <c r="CR21" i="26" s="1"/>
  <c r="F97" i="30"/>
  <c r="CR22" i="26" s="1"/>
  <c r="F98" i="30"/>
  <c r="CR23" i="26" s="1"/>
  <c r="F95" i="30"/>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54" i="26"/>
  <c r="W55" i="26"/>
  <c r="W56" i="26"/>
  <c r="W57" i="26"/>
  <c r="W58" i="26"/>
  <c r="W59" i="26"/>
  <c r="W60" i="26"/>
  <c r="W61" i="26"/>
  <c r="W62" i="26"/>
  <c r="W63" i="26"/>
  <c r="W64" i="26"/>
  <c r="W65" i="26"/>
  <c r="W66" i="26"/>
  <c r="W67" i="26"/>
  <c r="W68" i="26"/>
  <c r="W69" i="26"/>
  <c r="W70" i="26"/>
  <c r="W71" i="26"/>
  <c r="W72" i="26"/>
  <c r="W73" i="26"/>
  <c r="W74" i="26"/>
  <c r="W75" i="26"/>
  <c r="W76" i="26"/>
  <c r="W77" i="26"/>
  <c r="W78" i="26"/>
  <c r="W79" i="26"/>
  <c r="W80" i="26"/>
  <c r="W81" i="26"/>
  <c r="W82" i="26"/>
  <c r="W83" i="26"/>
  <c r="W84" i="26"/>
  <c r="W85" i="26"/>
  <c r="W86" i="26"/>
  <c r="W87" i="26"/>
  <c r="W88" i="26"/>
  <c r="W89" i="26"/>
  <c r="W90" i="26"/>
  <c r="W91" i="26"/>
  <c r="W92" i="26"/>
  <c r="W93" i="26"/>
  <c r="W94" i="26"/>
  <c r="W95" i="26"/>
  <c r="W96" i="26"/>
  <c r="W97" i="26"/>
  <c r="W98" i="26"/>
  <c r="W99" i="26"/>
  <c r="W100" i="26"/>
  <c r="W101" i="26"/>
  <c r="W102" i="26"/>
  <c r="W103" i="26"/>
  <c r="W20" i="26"/>
  <c r="AL21" i="26"/>
  <c r="AL22" i="26"/>
  <c r="AL23" i="26"/>
  <c r="AL24" i="26"/>
  <c r="AL25" i="26"/>
  <c r="AL26" i="26"/>
  <c r="AL27" i="26"/>
  <c r="AL28" i="26"/>
  <c r="AL29" i="26"/>
  <c r="AL30" i="26"/>
  <c r="AL31" i="26"/>
  <c r="AL32" i="26"/>
  <c r="AL33" i="26"/>
  <c r="AL34" i="26"/>
  <c r="AL35" i="26"/>
  <c r="AL36" i="26"/>
  <c r="AL37" i="26"/>
  <c r="AL38" i="26"/>
  <c r="AL39" i="26"/>
  <c r="AL40" i="26"/>
  <c r="AL41" i="26"/>
  <c r="AL42" i="26"/>
  <c r="AL43" i="26"/>
  <c r="AL44" i="26"/>
  <c r="AL45" i="26"/>
  <c r="AL46" i="26"/>
  <c r="AL47" i="26"/>
  <c r="AL48" i="26"/>
  <c r="AL49" i="26"/>
  <c r="AL50" i="26"/>
  <c r="AL51" i="26"/>
  <c r="AL52" i="26"/>
  <c r="AL53" i="26"/>
  <c r="AL54" i="26"/>
  <c r="AL55" i="26"/>
  <c r="AL56" i="26"/>
  <c r="AL57" i="26"/>
  <c r="AL58" i="26"/>
  <c r="AL59" i="26"/>
  <c r="AL60" i="26"/>
  <c r="AL61" i="26"/>
  <c r="AL62" i="26"/>
  <c r="AL63" i="26"/>
  <c r="AL64" i="26"/>
  <c r="AL65" i="26"/>
  <c r="AL66" i="26"/>
  <c r="AL67" i="26"/>
  <c r="AL68" i="26"/>
  <c r="AL69" i="26"/>
  <c r="AL70" i="26"/>
  <c r="AL71" i="26"/>
  <c r="AL72" i="26"/>
  <c r="AL73" i="26"/>
  <c r="AL74" i="26"/>
  <c r="AL75" i="26"/>
  <c r="AL76" i="26"/>
  <c r="AL77" i="26"/>
  <c r="AL78" i="26"/>
  <c r="AL79" i="26"/>
  <c r="AL80" i="26"/>
  <c r="AL81" i="26"/>
  <c r="AL82" i="26"/>
  <c r="AL83" i="26"/>
  <c r="AL84" i="26"/>
  <c r="AL85" i="26"/>
  <c r="AL86" i="26"/>
  <c r="AL87" i="26"/>
  <c r="AL88" i="26"/>
  <c r="AL89" i="26"/>
  <c r="AL90" i="26"/>
  <c r="AL91" i="26"/>
  <c r="AL92" i="26"/>
  <c r="AL93" i="26"/>
  <c r="AL94" i="26"/>
  <c r="AL95" i="26"/>
  <c r="AL96" i="26"/>
  <c r="AL97" i="26"/>
  <c r="AL98" i="26"/>
  <c r="AL99" i="26"/>
  <c r="AL100" i="26"/>
  <c r="AL101" i="26"/>
  <c r="AL102" i="26"/>
  <c r="AL103" i="26"/>
  <c r="AL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AS91" i="26"/>
  <c r="AS92" i="26"/>
  <c r="AS93" i="26"/>
  <c r="AS94" i="26"/>
  <c r="AS95" i="26"/>
  <c r="AS96" i="26"/>
  <c r="AS97" i="26"/>
  <c r="AS98" i="26"/>
  <c r="AS99" i="26"/>
  <c r="AS100" i="26"/>
  <c r="AS101" i="26"/>
  <c r="AS102" i="26"/>
  <c r="AS103" i="26"/>
  <c r="AW21" i="26"/>
  <c r="AW22" i="26"/>
  <c r="AW23" i="26"/>
  <c r="AW24" i="26"/>
  <c r="AW25" i="26"/>
  <c r="AW26" i="26"/>
  <c r="AW27" i="26"/>
  <c r="AW28" i="26"/>
  <c r="AW29" i="26"/>
  <c r="AW30" i="26"/>
  <c r="AW31" i="26"/>
  <c r="AW32" i="26"/>
  <c r="AW33" i="26"/>
  <c r="AW34" i="26"/>
  <c r="AW35" i="26"/>
  <c r="AW36" i="26"/>
  <c r="AW37" i="26"/>
  <c r="AW38" i="26"/>
  <c r="AW39" i="26"/>
  <c r="AW40" i="26"/>
  <c r="AW41" i="26"/>
  <c r="AW42" i="26"/>
  <c r="AW43" i="26"/>
  <c r="AW44" i="26"/>
  <c r="AW45" i="26"/>
  <c r="AW46" i="26"/>
  <c r="AW47" i="26"/>
  <c r="AW48" i="26"/>
  <c r="AW49" i="26"/>
  <c r="AW50" i="26"/>
  <c r="AW51" i="26"/>
  <c r="AW52" i="26"/>
  <c r="AW53" i="26"/>
  <c r="AW54" i="26"/>
  <c r="AW55" i="26"/>
  <c r="AW56" i="26"/>
  <c r="AW57" i="26"/>
  <c r="AW58" i="26"/>
  <c r="AW59" i="26"/>
  <c r="AW60" i="26"/>
  <c r="AW61" i="26"/>
  <c r="AW62" i="26"/>
  <c r="AW63" i="26"/>
  <c r="AW64" i="26"/>
  <c r="AW65" i="26"/>
  <c r="AW66" i="26"/>
  <c r="AW67" i="26"/>
  <c r="AW68" i="26"/>
  <c r="AW69" i="26"/>
  <c r="AW70" i="26"/>
  <c r="AW71" i="26"/>
  <c r="AW72" i="26"/>
  <c r="AW73" i="26"/>
  <c r="AW74" i="26"/>
  <c r="AW75" i="26"/>
  <c r="AW76" i="26"/>
  <c r="AW77" i="26"/>
  <c r="AW78" i="26"/>
  <c r="AW79" i="26"/>
  <c r="AW80" i="26"/>
  <c r="AW81" i="26"/>
  <c r="AW82" i="26"/>
  <c r="AW83" i="26"/>
  <c r="AW84" i="26"/>
  <c r="AW85" i="26"/>
  <c r="AW86" i="26"/>
  <c r="AW87" i="26"/>
  <c r="AW88" i="26"/>
  <c r="AW89" i="26"/>
  <c r="AW90" i="26"/>
  <c r="AW91" i="26"/>
  <c r="AW92" i="26"/>
  <c r="AW93" i="26"/>
  <c r="AW94" i="26"/>
  <c r="AW95" i="26"/>
  <c r="AW96" i="26"/>
  <c r="AW97" i="26"/>
  <c r="AW98" i="26"/>
  <c r="AW99" i="26"/>
  <c r="AW100" i="26"/>
  <c r="AW101" i="26"/>
  <c r="AW102" i="26"/>
  <c r="AW103" i="26"/>
  <c r="AQ21" i="26"/>
  <c r="AQ22" i="26"/>
  <c r="AQ23" i="26"/>
  <c r="AQ24" i="26"/>
  <c r="AQ25" i="26"/>
  <c r="AQ26" i="26"/>
  <c r="AQ27" i="26"/>
  <c r="AQ28" i="26"/>
  <c r="AQ29" i="26"/>
  <c r="AQ30" i="26"/>
  <c r="AQ31" i="26"/>
  <c r="AQ32" i="26"/>
  <c r="AQ33" i="26"/>
  <c r="AQ34" i="26"/>
  <c r="AQ35" i="26"/>
  <c r="AQ36" i="26"/>
  <c r="AQ37" i="26"/>
  <c r="AQ38" i="26"/>
  <c r="AQ39" i="26"/>
  <c r="AQ40" i="26"/>
  <c r="AQ41" i="26"/>
  <c r="AQ42" i="26"/>
  <c r="AQ43" i="26"/>
  <c r="AQ44" i="26"/>
  <c r="AQ45" i="26"/>
  <c r="AQ46" i="26"/>
  <c r="AQ47" i="26"/>
  <c r="AQ48" i="26"/>
  <c r="AQ49" i="26"/>
  <c r="AQ50" i="26"/>
  <c r="AQ51" i="26"/>
  <c r="AQ52" i="26"/>
  <c r="AQ53" i="26"/>
  <c r="AQ54" i="26"/>
  <c r="AQ55" i="26"/>
  <c r="AQ56" i="26"/>
  <c r="AQ57" i="26"/>
  <c r="AQ58" i="26"/>
  <c r="AQ59" i="26"/>
  <c r="AQ60" i="26"/>
  <c r="AQ61" i="26"/>
  <c r="AQ62" i="26"/>
  <c r="AQ63" i="26"/>
  <c r="AQ64" i="26"/>
  <c r="AQ65" i="26"/>
  <c r="AQ66" i="26"/>
  <c r="AQ67" i="26"/>
  <c r="AQ68" i="26"/>
  <c r="AQ69" i="26"/>
  <c r="AQ70" i="26"/>
  <c r="AQ71" i="26"/>
  <c r="AQ72" i="26"/>
  <c r="AQ73" i="26"/>
  <c r="AQ74" i="26"/>
  <c r="AQ75" i="26"/>
  <c r="AQ76" i="26"/>
  <c r="AQ77" i="26"/>
  <c r="AQ78" i="26"/>
  <c r="AQ79" i="26"/>
  <c r="AQ80" i="26"/>
  <c r="AQ81" i="26"/>
  <c r="AQ82" i="26"/>
  <c r="AQ83" i="26"/>
  <c r="AQ84" i="26"/>
  <c r="AQ85" i="26"/>
  <c r="AQ86" i="26"/>
  <c r="AQ87" i="26"/>
  <c r="AQ88" i="26"/>
  <c r="AQ89" i="26"/>
  <c r="AQ90" i="26"/>
  <c r="AQ91" i="26"/>
  <c r="AQ92" i="26"/>
  <c r="AQ93" i="26"/>
  <c r="AQ94" i="26"/>
  <c r="AQ95" i="26"/>
  <c r="AQ96" i="26"/>
  <c r="AQ97" i="26"/>
  <c r="AQ98" i="26"/>
  <c r="AQ99" i="26"/>
  <c r="AQ100" i="26"/>
  <c r="AQ101" i="26"/>
  <c r="AQ102" i="26"/>
  <c r="AQ103"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M91" i="26"/>
  <c r="AM92" i="26"/>
  <c r="AM93" i="26"/>
  <c r="AM94" i="26"/>
  <c r="AM95" i="26"/>
  <c r="AM96" i="26"/>
  <c r="AM97" i="26"/>
  <c r="AM98" i="26"/>
  <c r="AM99" i="26"/>
  <c r="AM100" i="26"/>
  <c r="AM101" i="26"/>
  <c r="AM102" i="26"/>
  <c r="AM103" i="26"/>
  <c r="AN21" i="26"/>
  <c r="AN22" i="26"/>
  <c r="AN23" i="26"/>
  <c r="AN24" i="26"/>
  <c r="AN25" i="26"/>
  <c r="AN26" i="26"/>
  <c r="AN27" i="26"/>
  <c r="AN28" i="26"/>
  <c r="AN29" i="26"/>
  <c r="AN30" i="26"/>
  <c r="AN31" i="26"/>
  <c r="AN32" i="26"/>
  <c r="AN33" i="26"/>
  <c r="AN34" i="26"/>
  <c r="AN35" i="26"/>
  <c r="AN36" i="26"/>
  <c r="AN37" i="26"/>
  <c r="AN38" i="26"/>
  <c r="AN39" i="26"/>
  <c r="AN40" i="26"/>
  <c r="AN41" i="26"/>
  <c r="AN42" i="26"/>
  <c r="AN43" i="26"/>
  <c r="AN44" i="26"/>
  <c r="AN45" i="26"/>
  <c r="AN46" i="26"/>
  <c r="AN47" i="26"/>
  <c r="AN48" i="26"/>
  <c r="AN49" i="26"/>
  <c r="AN50" i="26"/>
  <c r="AN51" i="26"/>
  <c r="AN52" i="26"/>
  <c r="AN53" i="26"/>
  <c r="AN54" i="26"/>
  <c r="AN55" i="26"/>
  <c r="AN56" i="26"/>
  <c r="AN57" i="26"/>
  <c r="AN58" i="26"/>
  <c r="AN59" i="26"/>
  <c r="AN60" i="26"/>
  <c r="AN61" i="26"/>
  <c r="AN62" i="26"/>
  <c r="AN63" i="26"/>
  <c r="AN64" i="26"/>
  <c r="AN65" i="26"/>
  <c r="AN66" i="26"/>
  <c r="AN67" i="26"/>
  <c r="AN68" i="26"/>
  <c r="AN69" i="26"/>
  <c r="AN70" i="26"/>
  <c r="AN71" i="26"/>
  <c r="AN72" i="26"/>
  <c r="AN73" i="26"/>
  <c r="AN74" i="26"/>
  <c r="AN75" i="26"/>
  <c r="AN76" i="26"/>
  <c r="AN77" i="26"/>
  <c r="AN78" i="26"/>
  <c r="AN79" i="26"/>
  <c r="AN80" i="26"/>
  <c r="AN81" i="26"/>
  <c r="AN82" i="26"/>
  <c r="AN83" i="26"/>
  <c r="AN84" i="26"/>
  <c r="AN85" i="26"/>
  <c r="AN86" i="26"/>
  <c r="AN87" i="26"/>
  <c r="AN88" i="26"/>
  <c r="AN89" i="26"/>
  <c r="AN90" i="26"/>
  <c r="AN91" i="26"/>
  <c r="AN92" i="26"/>
  <c r="AN93" i="26"/>
  <c r="AN94" i="26"/>
  <c r="AN95" i="26"/>
  <c r="AN96" i="26"/>
  <c r="AN97" i="26"/>
  <c r="AN98" i="26"/>
  <c r="AN99" i="26"/>
  <c r="AN100" i="26"/>
  <c r="AN101" i="26"/>
  <c r="AN102" i="26"/>
  <c r="AN103" i="26"/>
  <c r="AM20" i="26"/>
  <c r="AN20" i="26"/>
  <c r="BG33" i="31" l="1"/>
  <c r="BG76" i="31"/>
  <c r="BG99" i="31"/>
  <c r="BG91" i="31"/>
  <c r="BG83" i="31"/>
  <c r="BG75" i="31"/>
  <c r="BG67" i="31"/>
  <c r="BG59" i="31"/>
  <c r="BG51" i="31"/>
  <c r="BG43" i="31"/>
  <c r="BG35" i="31"/>
  <c r="BG27" i="31"/>
  <c r="BH52" i="31"/>
  <c r="BG96" i="31"/>
  <c r="BG88" i="31"/>
  <c r="BG80" i="31"/>
  <c r="BG72" i="31"/>
  <c r="BG64" i="31"/>
  <c r="BG56" i="31"/>
  <c r="BG48" i="31"/>
  <c r="BG40" i="31"/>
  <c r="BG32" i="31"/>
  <c r="BG24" i="31"/>
  <c r="BH100" i="31"/>
  <c r="BH76" i="31"/>
  <c r="BH44" i="31"/>
  <c r="BT99" i="31"/>
  <c r="BT91" i="31"/>
  <c r="BT83" i="31"/>
  <c r="BT75" i="31"/>
  <c r="BT67" i="31"/>
  <c r="BT59" i="31"/>
  <c r="BT51" i="31"/>
  <c r="BT43" i="31"/>
  <c r="BT35" i="31"/>
  <c r="BT27" i="31"/>
  <c r="BG98" i="31"/>
  <c r="BH99" i="31"/>
  <c r="BH91" i="31"/>
  <c r="BI91" i="31" s="1"/>
  <c r="BJ91" i="31" s="1"/>
  <c r="BH83" i="31"/>
  <c r="BH75" i="31"/>
  <c r="BH67" i="31"/>
  <c r="BH59" i="31"/>
  <c r="BH51" i="31"/>
  <c r="BH43" i="31"/>
  <c r="BH35" i="31"/>
  <c r="BH27" i="31"/>
  <c r="BG103" i="31"/>
  <c r="BG95" i="31"/>
  <c r="BG87" i="31"/>
  <c r="BG79" i="31"/>
  <c r="BG71" i="31"/>
  <c r="BG63" i="31"/>
  <c r="BG55" i="31"/>
  <c r="BG47" i="31"/>
  <c r="BG39" i="31"/>
  <c r="BG31" i="31"/>
  <c r="BG23" i="31"/>
  <c r="BH92" i="31"/>
  <c r="BH68" i="31"/>
  <c r="BH36" i="31"/>
  <c r="BH20" i="31"/>
  <c r="BG25" i="31"/>
  <c r="BH98" i="31"/>
  <c r="BH90" i="31"/>
  <c r="BH82" i="31"/>
  <c r="BH74" i="31"/>
  <c r="BH66" i="31"/>
  <c r="BH58" i="31"/>
  <c r="BH50" i="31"/>
  <c r="BH42" i="31"/>
  <c r="BH34" i="31"/>
  <c r="BH26" i="31"/>
  <c r="BG102" i="31"/>
  <c r="BG94" i="31"/>
  <c r="BG86" i="31"/>
  <c r="BG78" i="31"/>
  <c r="BG70" i="31"/>
  <c r="BG62" i="31"/>
  <c r="BG54" i="31"/>
  <c r="BG46" i="31"/>
  <c r="BG38" i="31"/>
  <c r="BG30" i="31"/>
  <c r="BG22" i="31"/>
  <c r="BH84" i="31"/>
  <c r="BH60" i="31"/>
  <c r="BH28" i="31"/>
  <c r="BH97" i="31"/>
  <c r="BH89" i="31"/>
  <c r="BH81" i="31"/>
  <c r="BH73" i="31"/>
  <c r="BH65" i="31"/>
  <c r="BH57" i="31"/>
  <c r="BH49" i="31"/>
  <c r="BH41" i="31"/>
  <c r="BH33" i="31"/>
  <c r="BH25" i="31"/>
  <c r="BG101" i="31"/>
  <c r="BG93" i="31"/>
  <c r="BG85" i="31"/>
  <c r="BG77" i="31"/>
  <c r="BG69" i="31"/>
  <c r="BG61" i="31"/>
  <c r="BG53" i="31"/>
  <c r="BG45" i="31"/>
  <c r="BG37" i="31"/>
  <c r="BG29" i="31"/>
  <c r="BG21" i="31"/>
  <c r="BH24" i="31"/>
  <c r="BH96" i="31"/>
  <c r="BH88" i="31"/>
  <c r="BH80" i="31"/>
  <c r="BH72" i="31"/>
  <c r="BH64" i="31"/>
  <c r="BH56" i="31"/>
  <c r="BH48" i="31"/>
  <c r="BH40" i="31"/>
  <c r="BH32" i="31"/>
  <c r="BG100" i="31"/>
  <c r="BG92" i="31"/>
  <c r="BG84" i="31"/>
  <c r="BG68" i="31"/>
  <c r="BG60" i="31"/>
  <c r="BG52" i="31"/>
  <c r="BG44" i="31"/>
  <c r="BG36" i="31"/>
  <c r="BG28" i="31"/>
  <c r="BG20" i="31"/>
  <c r="BH103" i="31"/>
  <c r="BH95" i="31"/>
  <c r="BH87" i="31"/>
  <c r="BH79" i="31"/>
  <c r="BH71" i="31"/>
  <c r="BH63" i="31"/>
  <c r="BH55" i="31"/>
  <c r="BH47" i="31"/>
  <c r="BH39" i="31"/>
  <c r="BH31" i="31"/>
  <c r="BH23" i="31"/>
  <c r="BG49" i="31"/>
  <c r="BH102" i="31"/>
  <c r="BH94" i="31"/>
  <c r="BH86" i="31"/>
  <c r="BH78" i="31"/>
  <c r="BH70" i="31"/>
  <c r="BH62" i="31"/>
  <c r="BH54" i="31"/>
  <c r="BH46" i="31"/>
  <c r="BH38" i="31"/>
  <c r="BH30" i="31"/>
  <c r="BH22" i="31"/>
  <c r="BG90" i="31"/>
  <c r="BG82" i="31"/>
  <c r="BG74" i="31"/>
  <c r="BG66" i="31"/>
  <c r="BG58" i="31"/>
  <c r="BG50" i="31"/>
  <c r="BG42" i="31"/>
  <c r="BG34" i="31"/>
  <c r="BG26" i="31"/>
  <c r="BG41" i="31"/>
  <c r="BH101" i="31"/>
  <c r="BH93" i="31"/>
  <c r="BH85" i="31"/>
  <c r="BH77" i="31"/>
  <c r="BH69" i="31"/>
  <c r="BH61" i="31"/>
  <c r="BH53" i="31"/>
  <c r="BH45" i="31"/>
  <c r="BH37" i="31"/>
  <c r="BH29" i="31"/>
  <c r="BH21" i="31"/>
  <c r="BG97" i="31"/>
  <c r="BG89" i="31"/>
  <c r="BG81" i="31"/>
  <c r="BG73" i="31"/>
  <c r="BG65" i="31"/>
  <c r="BG57" i="31"/>
  <c r="BT100" i="31"/>
  <c r="BT68" i="31"/>
  <c r="BT52" i="31"/>
  <c r="BU20" i="31"/>
  <c r="BU88" i="31"/>
  <c r="CR20" i="26"/>
  <c r="CS20" i="26"/>
  <c r="CT20" i="26"/>
  <c r="CV20" i="26"/>
  <c r="BT86" i="31"/>
  <c r="BT61" i="31"/>
  <c r="BU40" i="31"/>
  <c r="BU72" i="31"/>
  <c r="BU48" i="31"/>
  <c r="BT76" i="31"/>
  <c r="BT74" i="31"/>
  <c r="BT28" i="31"/>
  <c r="BU56" i="31"/>
  <c r="BU103" i="31"/>
  <c r="BU95" i="31"/>
  <c r="BU87" i="31"/>
  <c r="BU79" i="31"/>
  <c r="BU71" i="31"/>
  <c r="BU63" i="31"/>
  <c r="BU55" i="31"/>
  <c r="BU47" i="31"/>
  <c r="BU39" i="31"/>
  <c r="BU31" i="31"/>
  <c r="BU23" i="31"/>
  <c r="BU94" i="31"/>
  <c r="BU70" i="31"/>
  <c r="BU46" i="31"/>
  <c r="BT50" i="31"/>
  <c r="BU32" i="31"/>
  <c r="BT97" i="31"/>
  <c r="BT73" i="31"/>
  <c r="BU64" i="31"/>
  <c r="BT96" i="31"/>
  <c r="BT44" i="31"/>
  <c r="BT92" i="31"/>
  <c r="BU36" i="31"/>
  <c r="BU24" i="31"/>
  <c r="BT87" i="31"/>
  <c r="BT84" i="31"/>
  <c r="BT60" i="31"/>
  <c r="BT36" i="31"/>
  <c r="BU80" i="31"/>
  <c r="BU60" i="31"/>
  <c r="BU74" i="31"/>
  <c r="BU50" i="31"/>
  <c r="BT102" i="31"/>
  <c r="BT54" i="31"/>
  <c r="BU96" i="31"/>
  <c r="BU84" i="31"/>
  <c r="BU57" i="31"/>
  <c r="BT37" i="31"/>
  <c r="BT25" i="31"/>
  <c r="BU81" i="31"/>
  <c r="BT49" i="31"/>
  <c r="BT24" i="31"/>
  <c r="BU22" i="31"/>
  <c r="BT23" i="31"/>
  <c r="BU99" i="31"/>
  <c r="BU91" i="31"/>
  <c r="BU83" i="31"/>
  <c r="BU75" i="31"/>
  <c r="BU67" i="31"/>
  <c r="BU59" i="31"/>
  <c r="BU51" i="31"/>
  <c r="BU43" i="31"/>
  <c r="BU35" i="31"/>
  <c r="BU27" i="31"/>
  <c r="BT103" i="31"/>
  <c r="BT95" i="31"/>
  <c r="BT79" i="31"/>
  <c r="BT71" i="31"/>
  <c r="BT63" i="31"/>
  <c r="BT55" i="31"/>
  <c r="BT47" i="31"/>
  <c r="BT39" i="31"/>
  <c r="BT31" i="31"/>
  <c r="BT85" i="31"/>
  <c r="BU34" i="31"/>
  <c r="BU98" i="31"/>
  <c r="BU90" i="31"/>
  <c r="BU82" i="31"/>
  <c r="BU66" i="31"/>
  <c r="BU58" i="31"/>
  <c r="BU42" i="31"/>
  <c r="BU26" i="31"/>
  <c r="BT94" i="31"/>
  <c r="BT78" i="31"/>
  <c r="BT70" i="31"/>
  <c r="BT62" i="31"/>
  <c r="BT46" i="31"/>
  <c r="BT38" i="31"/>
  <c r="BT30" i="31"/>
  <c r="BT22" i="31"/>
  <c r="BT93" i="31"/>
  <c r="BT72" i="31"/>
  <c r="BT58" i="31"/>
  <c r="BT48" i="31"/>
  <c r="BT34" i="31"/>
  <c r="BU93" i="31"/>
  <c r="BU69" i="31"/>
  <c r="BU45" i="31"/>
  <c r="BU33" i="31"/>
  <c r="BU21" i="31"/>
  <c r="BT82" i="31"/>
  <c r="BT69" i="31"/>
  <c r="BT57" i="31"/>
  <c r="BT45" i="31"/>
  <c r="BT33" i="31"/>
  <c r="BT21" i="31"/>
  <c r="BU92" i="31"/>
  <c r="BU78" i="31"/>
  <c r="BU68" i="31"/>
  <c r="BU54" i="31"/>
  <c r="BU44" i="31"/>
  <c r="BT90" i="31"/>
  <c r="BT81" i="31"/>
  <c r="BT56" i="31"/>
  <c r="BT32" i="31"/>
  <c r="BT20" i="31"/>
  <c r="BU89" i="31"/>
  <c r="BU77" i="31"/>
  <c r="BU65" i="31"/>
  <c r="BU53" i="31"/>
  <c r="BU41" i="31"/>
  <c r="BU30" i="31"/>
  <c r="BT101" i="31"/>
  <c r="BT89" i="31"/>
  <c r="BT80" i="31"/>
  <c r="BT66" i="31"/>
  <c r="BT42" i="31"/>
  <c r="BT29" i="31"/>
  <c r="BU101" i="31"/>
  <c r="BU76" i="31"/>
  <c r="BU52" i="31"/>
  <c r="BU29" i="31"/>
  <c r="BU102" i="31"/>
  <c r="BT88" i="31"/>
  <c r="BT77" i="31"/>
  <c r="BT65" i="31"/>
  <c r="BT53" i="31"/>
  <c r="BT41" i="31"/>
  <c r="BU100" i="31"/>
  <c r="BU86" i="31"/>
  <c r="BU62" i="31"/>
  <c r="BU38" i="31"/>
  <c r="BU28" i="31"/>
  <c r="BT98" i="31"/>
  <c r="BT64" i="31"/>
  <c r="BT40" i="31"/>
  <c r="BT26" i="31"/>
  <c r="BU97" i="31"/>
  <c r="BU85" i="31"/>
  <c r="BU73" i="31"/>
  <c r="BU61" i="31"/>
  <c r="BU49" i="31"/>
  <c r="BU37" i="31"/>
  <c r="BU25" i="31"/>
  <c r="BD21" i="31"/>
  <c r="BD103" i="31"/>
  <c r="BD95" i="31"/>
  <c r="BD87" i="31"/>
  <c r="BD79" i="31"/>
  <c r="BD71" i="31"/>
  <c r="BD63" i="31"/>
  <c r="BD55" i="31"/>
  <c r="BD47" i="31"/>
  <c r="BD39" i="31"/>
  <c r="BD31" i="31"/>
  <c r="BD102" i="31"/>
  <c r="BD94" i="31"/>
  <c r="BD86" i="31"/>
  <c r="BD78" i="31"/>
  <c r="BD70" i="31"/>
  <c r="BD62" i="31"/>
  <c r="BD54" i="31"/>
  <c r="BD46" i="31"/>
  <c r="BD38" i="31"/>
  <c r="BD30" i="31"/>
  <c r="BD101" i="31"/>
  <c r="BD93" i="31"/>
  <c r="BD85" i="31"/>
  <c r="BD77" i="31"/>
  <c r="BD69" i="31"/>
  <c r="BD61" i="31"/>
  <c r="BD53" i="31"/>
  <c r="BD45" i="31"/>
  <c r="BD37" i="31"/>
  <c r="BD29" i="31"/>
  <c r="BD100" i="31"/>
  <c r="BD92" i="31"/>
  <c r="BD84" i="31"/>
  <c r="BD76" i="31"/>
  <c r="BD68" i="31"/>
  <c r="BD60" i="31"/>
  <c r="BD52" i="31"/>
  <c r="BD44" i="31"/>
  <c r="BD36" i="31"/>
  <c r="BD28" i="31"/>
  <c r="BD99" i="31"/>
  <c r="BD91" i="31"/>
  <c r="BD83" i="31"/>
  <c r="BD75" i="31"/>
  <c r="BD67" i="31"/>
  <c r="BD59" i="31"/>
  <c r="BD51" i="31"/>
  <c r="BD43" i="31"/>
  <c r="BD35" i="31"/>
  <c r="BD27" i="31"/>
  <c r="BD98" i="31"/>
  <c r="BD90" i="31"/>
  <c r="BD82" i="31"/>
  <c r="BD74" i="31"/>
  <c r="BD66" i="31"/>
  <c r="BD58" i="31"/>
  <c r="BD50" i="31"/>
  <c r="BD42" i="31"/>
  <c r="BD34" i="31"/>
  <c r="BD26" i="31"/>
  <c r="BD97" i="31"/>
  <c r="BD89" i="31"/>
  <c r="BD81" i="31"/>
  <c r="BD73" i="31"/>
  <c r="BD65" i="31"/>
  <c r="BD57" i="31"/>
  <c r="BD49" i="31"/>
  <c r="BD41" i="31"/>
  <c r="BD33" i="31"/>
  <c r="BD25" i="31"/>
  <c r="BD96" i="31"/>
  <c r="BD88" i="31"/>
  <c r="BD80" i="31"/>
  <c r="BD72" i="31"/>
  <c r="BD64" i="31"/>
  <c r="BD56" i="31"/>
  <c r="BD48" i="31"/>
  <c r="BD40" i="31"/>
  <c r="BD32" i="31"/>
  <c r="BD24" i="31"/>
  <c r="BD23" i="31"/>
  <c r="BD22" i="31"/>
  <c r="BD20" i="31"/>
  <c r="B43" i="19"/>
  <c r="F43" i="19"/>
  <c r="AA43" i="19" s="1"/>
  <c r="AB43" i="19" s="1"/>
  <c r="AC43" i="19" s="1"/>
  <c r="B44" i="19"/>
  <c r="F44" i="19"/>
  <c r="AA44" i="19" s="1"/>
  <c r="AB44" i="19" s="1"/>
  <c r="AC44" i="19" s="1"/>
  <c r="B38" i="19"/>
  <c r="F38" i="19"/>
  <c r="AA38" i="19" s="1"/>
  <c r="AB38" i="19" s="1"/>
  <c r="AC38" i="19" s="1"/>
  <c r="B39" i="19"/>
  <c r="F39" i="19"/>
  <c r="AA39" i="19" s="1"/>
  <c r="AB39" i="19" s="1"/>
  <c r="AC39" i="19" s="1"/>
  <c r="B40" i="19"/>
  <c r="F40" i="19"/>
  <c r="AA40" i="19" s="1"/>
  <c r="AB40" i="19" s="1"/>
  <c r="AC40" i="19" s="1"/>
  <c r="B41" i="19"/>
  <c r="F41" i="19"/>
  <c r="AA41" i="19" s="1"/>
  <c r="AB41" i="19" s="1"/>
  <c r="AC41" i="19" s="1"/>
  <c r="B42" i="19"/>
  <c r="F42" i="19"/>
  <c r="AA42" i="19" s="1"/>
  <c r="AB42" i="19" s="1"/>
  <c r="AC42" i="19" s="1"/>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W39" i="19" l="1"/>
  <c r="Y39" i="19" s="1"/>
  <c r="M39" i="19"/>
  <c r="N39" i="19" s="1"/>
  <c r="O39" i="19" s="1"/>
  <c r="G39" i="19"/>
  <c r="H39" i="19" s="1"/>
  <c r="I39" i="19" s="1"/>
  <c r="P39" i="19"/>
  <c r="Q39" i="19" s="1"/>
  <c r="R39" i="19" s="1"/>
  <c r="J39" i="19"/>
  <c r="K39" i="19" s="1"/>
  <c r="L39" i="19" s="1"/>
  <c r="S39" i="19"/>
  <c r="T39" i="19" s="1"/>
  <c r="U39" i="19" s="1"/>
  <c r="V39" i="19"/>
  <c r="J42" i="19"/>
  <c r="K42" i="19" s="1"/>
  <c r="L42" i="19" s="1"/>
  <c r="M42" i="19"/>
  <c r="N42" i="19" s="1"/>
  <c r="O42" i="19" s="1"/>
  <c r="S42" i="19"/>
  <c r="T42" i="19" s="1"/>
  <c r="U42" i="19" s="1"/>
  <c r="W42" i="19"/>
  <c r="Y42" i="19" s="1"/>
  <c r="G42" i="19"/>
  <c r="H42" i="19" s="1"/>
  <c r="I42" i="19" s="1"/>
  <c r="P42" i="19"/>
  <c r="Q42" i="19" s="1"/>
  <c r="R42" i="19" s="1"/>
  <c r="V42" i="19"/>
  <c r="J41" i="19"/>
  <c r="K41" i="19" s="1"/>
  <c r="L41" i="19" s="1"/>
  <c r="S41" i="19"/>
  <c r="T41" i="19" s="1"/>
  <c r="U41" i="19" s="1"/>
  <c r="W41" i="19"/>
  <c r="Y41" i="19" s="1"/>
  <c r="M41" i="19"/>
  <c r="N41" i="19" s="1"/>
  <c r="O41" i="19" s="1"/>
  <c r="G41" i="19"/>
  <c r="H41" i="19" s="1"/>
  <c r="I41" i="19" s="1"/>
  <c r="P41" i="19"/>
  <c r="Q41" i="19" s="1"/>
  <c r="R41" i="19" s="1"/>
  <c r="V41" i="19"/>
  <c r="M38" i="19"/>
  <c r="N38" i="19" s="1"/>
  <c r="O38" i="19" s="1"/>
  <c r="J38" i="19"/>
  <c r="K38" i="19" s="1"/>
  <c r="L38" i="19" s="1"/>
  <c r="G38" i="19"/>
  <c r="H38" i="19" s="1"/>
  <c r="I38" i="19" s="1"/>
  <c r="P38" i="19"/>
  <c r="Q38" i="19" s="1"/>
  <c r="R38" i="19" s="1"/>
  <c r="S38" i="19"/>
  <c r="T38" i="19" s="1"/>
  <c r="U38" i="19" s="1"/>
  <c r="W38" i="19"/>
  <c r="Y38" i="19" s="1"/>
  <c r="V38" i="19"/>
  <c r="G44" i="19"/>
  <c r="H44" i="19" s="1"/>
  <c r="I44" i="19" s="1"/>
  <c r="P44" i="19"/>
  <c r="Q44" i="19" s="1"/>
  <c r="R44" i="19" s="1"/>
  <c r="W44" i="19"/>
  <c r="Y44" i="19" s="1"/>
  <c r="J44" i="19"/>
  <c r="K44" i="19" s="1"/>
  <c r="L44" i="19" s="1"/>
  <c r="S44" i="19"/>
  <c r="T44" i="19" s="1"/>
  <c r="U44" i="19" s="1"/>
  <c r="M44" i="19"/>
  <c r="N44" i="19" s="1"/>
  <c r="O44" i="19" s="1"/>
  <c r="V44" i="19"/>
  <c r="S40" i="19"/>
  <c r="T40" i="19" s="1"/>
  <c r="U40" i="19" s="1"/>
  <c r="G40" i="19"/>
  <c r="H40" i="19" s="1"/>
  <c r="I40" i="19" s="1"/>
  <c r="P40" i="19"/>
  <c r="Q40" i="19" s="1"/>
  <c r="R40" i="19" s="1"/>
  <c r="W40" i="19"/>
  <c r="Y40" i="19" s="1"/>
  <c r="M40" i="19"/>
  <c r="N40" i="19" s="1"/>
  <c r="O40" i="19" s="1"/>
  <c r="J40" i="19"/>
  <c r="K40" i="19" s="1"/>
  <c r="L40" i="19" s="1"/>
  <c r="V40" i="19"/>
  <c r="P43" i="19"/>
  <c r="Q43" i="19" s="1"/>
  <c r="R43" i="19" s="1"/>
  <c r="J43" i="19"/>
  <c r="K43" i="19" s="1"/>
  <c r="L43" i="19" s="1"/>
  <c r="W43" i="19"/>
  <c r="Y43" i="19" s="1"/>
  <c r="S43" i="19"/>
  <c r="T43" i="19" s="1"/>
  <c r="U43" i="19" s="1"/>
  <c r="M43" i="19"/>
  <c r="N43" i="19" s="1"/>
  <c r="O43" i="19" s="1"/>
  <c r="G43" i="19"/>
  <c r="H43" i="19" s="1"/>
  <c r="I43" i="19" s="1"/>
  <c r="V43" i="19"/>
  <c r="AP42" i="19"/>
  <c r="AU42" i="19"/>
  <c r="AD42" i="19"/>
  <c r="AE42" i="19" s="1"/>
  <c r="AV42" i="19"/>
  <c r="AU41" i="19"/>
  <c r="AD41" i="19"/>
  <c r="AE41" i="19" s="1"/>
  <c r="AV41" i="19"/>
  <c r="AP41" i="19"/>
  <c r="AV38" i="19"/>
  <c r="AP38" i="19"/>
  <c r="AU38" i="19"/>
  <c r="AD38" i="19"/>
  <c r="AE38" i="19" s="1"/>
  <c r="AD44" i="19"/>
  <c r="AE44" i="19" s="1"/>
  <c r="AP44" i="19"/>
  <c r="AU44" i="19"/>
  <c r="AV44" i="19"/>
  <c r="AU40" i="19"/>
  <c r="AD40" i="19"/>
  <c r="AE40" i="19" s="1"/>
  <c r="AV40" i="19"/>
  <c r="AP40" i="19"/>
  <c r="AU39" i="19"/>
  <c r="AD39" i="19"/>
  <c r="AE39" i="19" s="1"/>
  <c r="AV39" i="19"/>
  <c r="AP39" i="19"/>
  <c r="AP43" i="19"/>
  <c r="AU43" i="19"/>
  <c r="AV43" i="19"/>
  <c r="AD43" i="19"/>
  <c r="AE43" i="19" s="1"/>
  <c r="BI99" i="31"/>
  <c r="BJ99" i="31" s="1"/>
  <c r="BY99" i="31" s="1"/>
  <c r="AT41" i="19"/>
  <c r="AS41" i="19"/>
  <c r="AR41" i="19"/>
  <c r="AQ41" i="19"/>
  <c r="AR38" i="19"/>
  <c r="AQ38" i="19"/>
  <c r="AT38" i="19"/>
  <c r="AS38" i="19"/>
  <c r="AT40" i="19"/>
  <c r="AS40" i="19"/>
  <c r="AR40" i="19"/>
  <c r="AQ40" i="19"/>
  <c r="AT44" i="19"/>
  <c r="AS44" i="19"/>
  <c r="AR44" i="19"/>
  <c r="AQ44" i="19"/>
  <c r="AT42" i="19"/>
  <c r="AS42" i="19"/>
  <c r="AR42" i="19"/>
  <c r="AQ42" i="19"/>
  <c r="AT39" i="19"/>
  <c r="AS39" i="19"/>
  <c r="AR39" i="19"/>
  <c r="AQ39" i="19"/>
  <c r="AT43" i="19"/>
  <c r="AS43" i="19"/>
  <c r="AR43" i="19"/>
  <c r="AQ43" i="19"/>
  <c r="Z39" i="19"/>
  <c r="AF39" i="19"/>
  <c r="AG39" i="19" s="1"/>
  <c r="AK39" i="19"/>
  <c r="AO39" i="19" s="1"/>
  <c r="AJ39" i="19"/>
  <c r="AN39" i="19" s="1"/>
  <c r="AI39" i="19"/>
  <c r="AM39" i="19" s="1"/>
  <c r="AH39" i="19"/>
  <c r="AL39" i="19" s="1"/>
  <c r="Z38" i="19"/>
  <c r="AF38" i="19"/>
  <c r="AG38" i="19" s="1"/>
  <c r="AK38" i="19"/>
  <c r="AO38" i="19" s="1"/>
  <c r="AJ38" i="19"/>
  <c r="AN38" i="19" s="1"/>
  <c r="AI38" i="19"/>
  <c r="AM38" i="19" s="1"/>
  <c r="AH38" i="19"/>
  <c r="AL38" i="19" s="1"/>
  <c r="AJ42" i="19"/>
  <c r="AN42" i="19" s="1"/>
  <c r="AI42" i="19"/>
  <c r="AM42" i="19" s="1"/>
  <c r="AH42" i="19"/>
  <c r="AL42" i="19" s="1"/>
  <c r="Z42" i="19"/>
  <c r="AK42" i="19"/>
  <c r="AO42" i="19" s="1"/>
  <c r="AF42" i="19"/>
  <c r="AG42" i="19" s="1"/>
  <c r="AF41" i="19"/>
  <c r="AG41" i="19" s="1"/>
  <c r="AK41" i="19"/>
  <c r="AO41" i="19" s="1"/>
  <c r="AH41" i="19"/>
  <c r="AL41" i="19" s="1"/>
  <c r="Z41" i="19"/>
  <c r="AJ41" i="19"/>
  <c r="AN41" i="19" s="1"/>
  <c r="AI41" i="19"/>
  <c r="AM41" i="19" s="1"/>
  <c r="AF43" i="19"/>
  <c r="AG43" i="19" s="1"/>
  <c r="AK43" i="19"/>
  <c r="AO43" i="19" s="1"/>
  <c r="AJ43" i="19"/>
  <c r="AN43" i="19" s="1"/>
  <c r="AI43" i="19"/>
  <c r="AM43" i="19" s="1"/>
  <c r="AH43" i="19"/>
  <c r="AL43" i="19" s="1"/>
  <c r="Z43" i="19"/>
  <c r="AI40" i="19"/>
  <c r="AM40" i="19" s="1"/>
  <c r="AH40" i="19"/>
  <c r="AL40" i="19" s="1"/>
  <c r="AJ40" i="19"/>
  <c r="AN40" i="19" s="1"/>
  <c r="Z40" i="19"/>
  <c r="AF40" i="19"/>
  <c r="AG40" i="19" s="1"/>
  <c r="AK40" i="19"/>
  <c r="AO40" i="19" s="1"/>
  <c r="Z44" i="19"/>
  <c r="AF44" i="19"/>
  <c r="AG44" i="19" s="1"/>
  <c r="AK44" i="19"/>
  <c r="AO44" i="19" s="1"/>
  <c r="AJ44" i="19"/>
  <c r="AN44" i="19" s="1"/>
  <c r="AI44" i="19"/>
  <c r="AM44" i="19" s="1"/>
  <c r="AH44" i="19"/>
  <c r="AL44" i="19" s="1"/>
  <c r="BI71" i="31"/>
  <c r="BJ71" i="31" s="1"/>
  <c r="BY71" i="31" s="1"/>
  <c r="BD104" i="31"/>
  <c r="BI41" i="31"/>
  <c r="BJ41" i="31" s="1"/>
  <c r="BY41" i="31" s="1"/>
  <c r="BT104" i="31"/>
  <c r="BM88" i="31"/>
  <c r="CC88" i="31" s="1"/>
  <c r="BL88" i="31"/>
  <c r="CA88" i="31" s="1"/>
  <c r="BN88" i="31"/>
  <c r="BO88" i="31" s="1"/>
  <c r="CB88" i="31" s="1"/>
  <c r="BN58" i="31"/>
  <c r="BO58" i="31" s="1"/>
  <c r="CB58" i="31" s="1"/>
  <c r="BL58" i="31"/>
  <c r="CA58" i="31" s="1"/>
  <c r="BM58" i="31"/>
  <c r="CC58" i="31" s="1"/>
  <c r="BN28" i="31"/>
  <c r="BO28" i="31" s="1"/>
  <c r="CB28" i="31" s="1"/>
  <c r="BL28" i="31"/>
  <c r="CA28" i="31" s="1"/>
  <c r="BM28" i="31"/>
  <c r="CC28" i="31" s="1"/>
  <c r="BM77" i="31"/>
  <c r="CC77" i="31" s="1"/>
  <c r="BN77" i="31"/>
  <c r="BO77" i="31" s="1"/>
  <c r="CB77" i="31" s="1"/>
  <c r="BL77" i="31"/>
  <c r="CA77" i="31" s="1"/>
  <c r="BM21" i="31"/>
  <c r="CC21" i="31" s="1"/>
  <c r="BN21" i="31"/>
  <c r="BO21" i="31" s="1"/>
  <c r="CB21" i="31" s="1"/>
  <c r="BL21" i="31"/>
  <c r="CA21" i="31" s="1"/>
  <c r="BM32" i="31"/>
  <c r="CC32" i="31" s="1"/>
  <c r="BN32" i="31"/>
  <c r="BO32" i="31" s="1"/>
  <c r="CB32" i="31" s="1"/>
  <c r="BL32" i="31"/>
  <c r="CA32" i="31" s="1"/>
  <c r="BM96" i="31"/>
  <c r="CC96" i="31" s="1"/>
  <c r="BN96" i="31"/>
  <c r="BO96" i="31" s="1"/>
  <c r="CB96" i="31" s="1"/>
  <c r="BL96" i="31"/>
  <c r="CA96" i="31" s="1"/>
  <c r="BN81" i="31"/>
  <c r="BO81" i="31" s="1"/>
  <c r="CB81" i="31" s="1"/>
  <c r="BL81" i="31"/>
  <c r="CA81" i="31" s="1"/>
  <c r="BM81" i="31"/>
  <c r="CC81" i="31" s="1"/>
  <c r="BN66" i="31"/>
  <c r="BO66" i="31" s="1"/>
  <c r="CB66" i="31" s="1"/>
  <c r="BL66" i="31"/>
  <c r="CA66" i="31" s="1"/>
  <c r="BM66" i="31"/>
  <c r="CC66" i="31" s="1"/>
  <c r="BN51" i="31"/>
  <c r="BO51" i="31" s="1"/>
  <c r="CB51" i="31" s="1"/>
  <c r="BL51" i="31"/>
  <c r="CA51" i="31" s="1"/>
  <c r="BM51" i="31"/>
  <c r="CC51" i="31" s="1"/>
  <c r="BN36" i="31"/>
  <c r="BO36" i="31" s="1"/>
  <c r="CB36" i="31" s="1"/>
  <c r="BL36" i="31"/>
  <c r="CA36" i="31" s="1"/>
  <c r="BM36" i="31"/>
  <c r="CC36" i="31" s="1"/>
  <c r="BN100" i="31"/>
  <c r="BO100" i="31" s="1"/>
  <c r="CB100" i="31" s="1"/>
  <c r="BL100" i="31"/>
  <c r="CA100" i="31" s="1"/>
  <c r="BM100" i="31"/>
  <c r="CC100" i="31" s="1"/>
  <c r="BM85" i="31"/>
  <c r="CC85" i="31" s="1"/>
  <c r="BN85" i="31"/>
  <c r="BO85" i="31" s="1"/>
  <c r="CB85" i="31" s="1"/>
  <c r="BL85" i="31"/>
  <c r="CA85" i="31" s="1"/>
  <c r="BM70" i="31"/>
  <c r="CC70" i="31" s="1"/>
  <c r="BN70" i="31"/>
  <c r="BO70" i="31" s="1"/>
  <c r="CB70" i="31" s="1"/>
  <c r="BL70" i="31"/>
  <c r="CA70" i="31" s="1"/>
  <c r="BM55" i="31"/>
  <c r="CC55" i="31" s="1"/>
  <c r="BL55" i="31"/>
  <c r="CA55" i="31" s="1"/>
  <c r="BN55" i="31"/>
  <c r="BO55" i="31" s="1"/>
  <c r="CB55" i="31" s="1"/>
  <c r="BM24" i="31"/>
  <c r="CC24" i="31" s="1"/>
  <c r="BL24" i="31"/>
  <c r="CA24" i="31" s="1"/>
  <c r="BN24" i="31"/>
  <c r="BO24" i="31" s="1"/>
  <c r="CB24" i="31" s="1"/>
  <c r="BN73" i="31"/>
  <c r="BO73" i="31" s="1"/>
  <c r="CB73" i="31" s="1"/>
  <c r="BL73" i="31"/>
  <c r="CA73" i="31" s="1"/>
  <c r="BM73" i="31"/>
  <c r="CC73" i="31" s="1"/>
  <c r="BN43" i="31"/>
  <c r="BO43" i="31" s="1"/>
  <c r="CB43" i="31" s="1"/>
  <c r="BL43" i="31"/>
  <c r="CA43" i="31" s="1"/>
  <c r="BM43" i="31"/>
  <c r="CC43" i="31" s="1"/>
  <c r="BN92" i="31"/>
  <c r="BO92" i="31" s="1"/>
  <c r="CB92" i="31" s="1"/>
  <c r="BL92" i="31"/>
  <c r="CA92" i="31" s="1"/>
  <c r="BM92" i="31"/>
  <c r="CC92" i="31" s="1"/>
  <c r="BM62" i="31"/>
  <c r="CC62" i="31" s="1"/>
  <c r="BN62" i="31"/>
  <c r="BO62" i="31" s="1"/>
  <c r="CB62" i="31" s="1"/>
  <c r="BL62" i="31"/>
  <c r="CA62" i="31" s="1"/>
  <c r="BM47" i="31"/>
  <c r="CC47" i="31" s="1"/>
  <c r="BN47" i="31"/>
  <c r="BO47" i="31" s="1"/>
  <c r="CB47" i="31" s="1"/>
  <c r="BL47" i="31"/>
  <c r="CA47" i="31" s="1"/>
  <c r="BM40" i="31"/>
  <c r="CC40" i="31" s="1"/>
  <c r="BN40" i="31"/>
  <c r="BO40" i="31" s="1"/>
  <c r="CB40" i="31" s="1"/>
  <c r="BL40" i="31"/>
  <c r="CA40" i="31" s="1"/>
  <c r="BN25" i="31"/>
  <c r="BO25" i="31" s="1"/>
  <c r="CB25" i="31" s="1"/>
  <c r="BL25" i="31"/>
  <c r="CA25" i="31" s="1"/>
  <c r="BM25" i="31"/>
  <c r="CC25" i="31" s="1"/>
  <c r="BN89" i="31"/>
  <c r="BO89" i="31" s="1"/>
  <c r="CB89" i="31" s="1"/>
  <c r="BL89" i="31"/>
  <c r="CA89" i="31" s="1"/>
  <c r="BM89" i="31"/>
  <c r="CC89" i="31" s="1"/>
  <c r="BN74" i="31"/>
  <c r="BO74" i="31" s="1"/>
  <c r="CB74" i="31" s="1"/>
  <c r="BL74" i="31"/>
  <c r="CA74" i="31" s="1"/>
  <c r="BM74" i="31"/>
  <c r="CC74" i="31" s="1"/>
  <c r="BN59" i="31"/>
  <c r="BO59" i="31" s="1"/>
  <c r="CB59" i="31" s="1"/>
  <c r="BL59" i="31"/>
  <c r="CA59" i="31" s="1"/>
  <c r="BM59" i="31"/>
  <c r="CC59" i="31" s="1"/>
  <c r="BN44" i="31"/>
  <c r="BO44" i="31" s="1"/>
  <c r="CB44" i="31" s="1"/>
  <c r="BL44" i="31"/>
  <c r="CA44" i="31" s="1"/>
  <c r="BM44" i="31"/>
  <c r="CC44" i="31" s="1"/>
  <c r="BM29" i="31"/>
  <c r="CC29" i="31" s="1"/>
  <c r="BN29" i="31"/>
  <c r="BO29" i="31" s="1"/>
  <c r="CB29" i="31" s="1"/>
  <c r="BL29" i="31"/>
  <c r="CA29" i="31" s="1"/>
  <c r="BM93" i="31"/>
  <c r="CC93" i="31" s="1"/>
  <c r="BN93" i="31"/>
  <c r="BO93" i="31" s="1"/>
  <c r="CB93" i="31" s="1"/>
  <c r="BL93" i="31"/>
  <c r="CA93" i="31" s="1"/>
  <c r="BM78" i="31"/>
  <c r="CC78" i="31" s="1"/>
  <c r="BN78" i="31"/>
  <c r="BO78" i="31" s="1"/>
  <c r="CB78" i="31" s="1"/>
  <c r="BL78" i="31"/>
  <c r="CA78" i="31" s="1"/>
  <c r="BM63" i="31"/>
  <c r="CC63" i="31" s="1"/>
  <c r="BN63" i="31"/>
  <c r="BO63" i="31" s="1"/>
  <c r="CB63" i="31" s="1"/>
  <c r="BL63" i="31"/>
  <c r="CA63" i="31" s="1"/>
  <c r="BM48" i="31"/>
  <c r="CC48" i="31" s="1"/>
  <c r="BN48" i="31"/>
  <c r="BO48" i="31" s="1"/>
  <c r="CB48" i="31" s="1"/>
  <c r="BL48" i="31"/>
  <c r="CA48" i="31" s="1"/>
  <c r="BN97" i="31"/>
  <c r="BO97" i="31" s="1"/>
  <c r="CB97" i="31" s="1"/>
  <c r="BL97" i="31"/>
  <c r="CA97" i="31" s="1"/>
  <c r="BM97" i="31"/>
  <c r="CC97" i="31" s="1"/>
  <c r="BN67" i="31"/>
  <c r="BO67" i="31" s="1"/>
  <c r="CB67" i="31" s="1"/>
  <c r="BL67" i="31"/>
  <c r="CA67" i="31" s="1"/>
  <c r="BM67" i="31"/>
  <c r="CC67" i="31" s="1"/>
  <c r="BM37" i="31"/>
  <c r="CC37" i="31" s="1"/>
  <c r="BN37" i="31"/>
  <c r="BO37" i="31" s="1"/>
  <c r="CB37" i="31" s="1"/>
  <c r="BL37" i="31"/>
  <c r="CA37" i="31" s="1"/>
  <c r="BM86" i="31"/>
  <c r="CC86" i="31" s="1"/>
  <c r="BN86" i="31"/>
  <c r="BO86" i="31" s="1"/>
  <c r="CB86" i="31" s="1"/>
  <c r="BL86" i="31"/>
  <c r="CA86" i="31" s="1"/>
  <c r="BM71" i="31"/>
  <c r="CC71" i="31" s="1"/>
  <c r="BN71" i="31"/>
  <c r="BO71" i="31" s="1"/>
  <c r="CB71" i="31" s="1"/>
  <c r="BL71" i="31"/>
  <c r="CA71" i="31" s="1"/>
  <c r="BN33" i="31"/>
  <c r="BO33" i="31" s="1"/>
  <c r="CB33" i="31" s="1"/>
  <c r="BL33" i="31"/>
  <c r="CA33" i="31" s="1"/>
  <c r="BM33" i="31"/>
  <c r="CC33" i="31" s="1"/>
  <c r="BN82" i="31"/>
  <c r="BO82" i="31" s="1"/>
  <c r="CB82" i="31" s="1"/>
  <c r="BL82" i="31"/>
  <c r="CA82" i="31" s="1"/>
  <c r="BM82" i="31"/>
  <c r="CC82" i="31" s="1"/>
  <c r="BN52" i="31"/>
  <c r="BO52" i="31" s="1"/>
  <c r="CB52" i="31" s="1"/>
  <c r="BL52" i="31"/>
  <c r="CA52" i="31" s="1"/>
  <c r="BM52" i="31"/>
  <c r="CC52" i="31" s="1"/>
  <c r="BM101" i="31"/>
  <c r="CC101" i="31" s="1"/>
  <c r="BN101" i="31"/>
  <c r="BO101" i="31" s="1"/>
  <c r="CB101" i="31" s="1"/>
  <c r="BL101" i="31"/>
  <c r="CA101" i="31" s="1"/>
  <c r="BM56" i="31"/>
  <c r="CC56" i="31" s="1"/>
  <c r="BL56" i="31"/>
  <c r="CA56" i="31" s="1"/>
  <c r="BN56" i="31"/>
  <c r="BO56" i="31" s="1"/>
  <c r="CB56" i="31" s="1"/>
  <c r="BN41" i="31"/>
  <c r="BO41" i="31" s="1"/>
  <c r="CB41" i="31" s="1"/>
  <c r="BL41" i="31"/>
  <c r="CA41" i="31" s="1"/>
  <c r="BM41" i="31"/>
  <c r="CC41" i="31" s="1"/>
  <c r="BN26" i="31"/>
  <c r="BO26" i="31" s="1"/>
  <c r="CB26" i="31" s="1"/>
  <c r="BL26" i="31"/>
  <c r="CA26" i="31" s="1"/>
  <c r="BM26" i="31"/>
  <c r="CC26" i="31" s="1"/>
  <c r="BN90" i="31"/>
  <c r="BO90" i="31" s="1"/>
  <c r="CB90" i="31" s="1"/>
  <c r="BL90" i="31"/>
  <c r="CA90" i="31" s="1"/>
  <c r="BM90" i="31"/>
  <c r="CC90" i="31" s="1"/>
  <c r="BN75" i="31"/>
  <c r="BO75" i="31" s="1"/>
  <c r="CB75" i="31" s="1"/>
  <c r="BL75" i="31"/>
  <c r="CA75" i="31" s="1"/>
  <c r="BM75" i="31"/>
  <c r="CC75" i="31" s="1"/>
  <c r="BN60" i="31"/>
  <c r="BO60" i="31" s="1"/>
  <c r="CB60" i="31" s="1"/>
  <c r="BL60" i="31"/>
  <c r="CA60" i="31" s="1"/>
  <c r="BM60" i="31"/>
  <c r="CC60" i="31" s="1"/>
  <c r="BM45" i="31"/>
  <c r="CC45" i="31" s="1"/>
  <c r="BN45" i="31"/>
  <c r="BO45" i="31" s="1"/>
  <c r="CB45" i="31" s="1"/>
  <c r="BL45" i="31"/>
  <c r="CA45" i="31" s="1"/>
  <c r="BM30" i="31"/>
  <c r="CC30" i="31" s="1"/>
  <c r="BN30" i="31"/>
  <c r="BO30" i="31" s="1"/>
  <c r="CB30" i="31" s="1"/>
  <c r="BL30" i="31"/>
  <c r="CA30" i="31" s="1"/>
  <c r="BM94" i="31"/>
  <c r="CC94" i="31" s="1"/>
  <c r="BN94" i="31"/>
  <c r="BO94" i="31" s="1"/>
  <c r="CB94" i="31" s="1"/>
  <c r="BL94" i="31"/>
  <c r="CA94" i="31" s="1"/>
  <c r="BM79" i="31"/>
  <c r="CC79" i="31" s="1"/>
  <c r="BN79" i="31"/>
  <c r="BO79" i="31" s="1"/>
  <c r="CB79" i="31" s="1"/>
  <c r="BL79" i="31"/>
  <c r="CA79" i="31" s="1"/>
  <c r="BN49" i="31"/>
  <c r="BO49" i="31" s="1"/>
  <c r="CB49" i="31" s="1"/>
  <c r="BL49" i="31"/>
  <c r="CA49" i="31" s="1"/>
  <c r="BM49" i="31"/>
  <c r="CC49" i="31" s="1"/>
  <c r="BN98" i="31"/>
  <c r="BO98" i="31" s="1"/>
  <c r="CB98" i="31" s="1"/>
  <c r="BL98" i="31"/>
  <c r="CA98" i="31" s="1"/>
  <c r="BM98" i="31"/>
  <c r="CC98" i="31" s="1"/>
  <c r="BN68" i="31"/>
  <c r="BO68" i="31" s="1"/>
  <c r="CB68" i="31" s="1"/>
  <c r="BL68" i="31"/>
  <c r="CA68" i="31" s="1"/>
  <c r="BM68" i="31"/>
  <c r="CC68" i="31" s="1"/>
  <c r="BM38" i="31"/>
  <c r="CC38" i="31" s="1"/>
  <c r="BN38" i="31"/>
  <c r="BO38" i="31" s="1"/>
  <c r="CB38" i="31" s="1"/>
  <c r="BL38" i="31"/>
  <c r="CA38" i="31" s="1"/>
  <c r="BM87" i="31"/>
  <c r="CC87" i="31" s="1"/>
  <c r="BL87" i="31"/>
  <c r="CA87" i="31" s="1"/>
  <c r="BN87" i="31"/>
  <c r="BO87" i="31" s="1"/>
  <c r="CB87" i="31" s="1"/>
  <c r="BM20" i="31"/>
  <c r="BN20" i="31"/>
  <c r="BL20" i="31"/>
  <c r="BM64" i="31"/>
  <c r="CC64" i="31" s="1"/>
  <c r="BN64" i="31"/>
  <c r="BO64" i="31" s="1"/>
  <c r="CB64" i="31" s="1"/>
  <c r="BL64" i="31"/>
  <c r="CA64" i="31" s="1"/>
  <c r="BN34" i="31"/>
  <c r="BO34" i="31" s="1"/>
  <c r="CB34" i="31" s="1"/>
  <c r="BL34" i="31"/>
  <c r="CA34" i="31" s="1"/>
  <c r="BM34" i="31"/>
  <c r="CC34" i="31" s="1"/>
  <c r="BN83" i="31"/>
  <c r="BO83" i="31" s="1"/>
  <c r="CB83" i="31" s="1"/>
  <c r="BL83" i="31"/>
  <c r="CA83" i="31" s="1"/>
  <c r="BM83" i="31"/>
  <c r="CC83" i="31" s="1"/>
  <c r="BM53" i="31"/>
  <c r="CC53" i="31" s="1"/>
  <c r="BN53" i="31"/>
  <c r="BO53" i="31" s="1"/>
  <c r="CB53" i="31" s="1"/>
  <c r="BL53" i="31"/>
  <c r="CA53" i="31" s="1"/>
  <c r="BM102" i="31"/>
  <c r="CC102" i="31" s="1"/>
  <c r="BN102" i="31"/>
  <c r="BO102" i="31" s="1"/>
  <c r="CB102" i="31" s="1"/>
  <c r="BL102" i="31"/>
  <c r="CA102" i="31" s="1"/>
  <c r="BM22" i="31"/>
  <c r="CC22" i="31" s="1"/>
  <c r="BN22" i="31"/>
  <c r="BO22" i="31" s="1"/>
  <c r="CB22" i="31" s="1"/>
  <c r="BL22" i="31"/>
  <c r="CA22" i="31" s="1"/>
  <c r="BM72" i="31"/>
  <c r="CC72" i="31" s="1"/>
  <c r="BN72" i="31"/>
  <c r="BO72" i="31" s="1"/>
  <c r="CB72" i="31" s="1"/>
  <c r="BL72" i="31"/>
  <c r="CA72" i="31" s="1"/>
  <c r="BN57" i="31"/>
  <c r="BO57" i="31" s="1"/>
  <c r="CB57" i="31" s="1"/>
  <c r="BL57" i="31"/>
  <c r="CA57" i="31" s="1"/>
  <c r="BM57" i="31"/>
  <c r="CC57" i="31" s="1"/>
  <c r="BN42" i="31"/>
  <c r="BO42" i="31" s="1"/>
  <c r="CB42" i="31" s="1"/>
  <c r="BL42" i="31"/>
  <c r="CA42" i="31" s="1"/>
  <c r="BM42" i="31"/>
  <c r="CC42" i="31" s="1"/>
  <c r="BN27" i="31"/>
  <c r="BO27" i="31" s="1"/>
  <c r="CB27" i="31" s="1"/>
  <c r="BL27" i="31"/>
  <c r="CA27" i="31" s="1"/>
  <c r="BM27" i="31"/>
  <c r="CC27" i="31" s="1"/>
  <c r="BN91" i="31"/>
  <c r="BO91" i="31" s="1"/>
  <c r="CB91" i="31" s="1"/>
  <c r="BL91" i="31"/>
  <c r="CA91" i="31" s="1"/>
  <c r="BM91" i="31"/>
  <c r="CC91" i="31" s="1"/>
  <c r="BN76" i="31"/>
  <c r="BO76" i="31" s="1"/>
  <c r="CB76" i="31" s="1"/>
  <c r="BL76" i="31"/>
  <c r="CA76" i="31" s="1"/>
  <c r="BM76" i="31"/>
  <c r="CC76" i="31" s="1"/>
  <c r="BM61" i="31"/>
  <c r="CC61" i="31" s="1"/>
  <c r="BN61" i="31"/>
  <c r="BO61" i="31" s="1"/>
  <c r="CB61" i="31" s="1"/>
  <c r="BL61" i="31"/>
  <c r="CA61" i="31" s="1"/>
  <c r="BM46" i="31"/>
  <c r="CC46" i="31" s="1"/>
  <c r="BN46" i="31"/>
  <c r="BO46" i="31" s="1"/>
  <c r="CB46" i="31" s="1"/>
  <c r="BL46" i="31"/>
  <c r="CA46" i="31" s="1"/>
  <c r="BM31" i="31"/>
  <c r="CC31" i="31" s="1"/>
  <c r="BN31" i="31"/>
  <c r="BO31" i="31" s="1"/>
  <c r="CB31" i="31" s="1"/>
  <c r="BL31" i="31"/>
  <c r="CA31" i="31" s="1"/>
  <c r="BM95" i="31"/>
  <c r="CC95" i="31" s="1"/>
  <c r="BN95" i="31"/>
  <c r="BO95" i="31" s="1"/>
  <c r="CB95" i="31" s="1"/>
  <c r="BL95" i="31"/>
  <c r="CA95" i="31" s="1"/>
  <c r="BM23" i="31"/>
  <c r="CC23" i="31" s="1"/>
  <c r="BL23" i="31"/>
  <c r="CA23" i="31" s="1"/>
  <c r="BN23" i="31"/>
  <c r="BO23" i="31" s="1"/>
  <c r="CB23" i="31" s="1"/>
  <c r="BM80" i="31"/>
  <c r="CC80" i="31" s="1"/>
  <c r="BN80" i="31"/>
  <c r="BO80" i="31" s="1"/>
  <c r="CB80" i="31" s="1"/>
  <c r="BL80" i="31"/>
  <c r="CA80" i="31" s="1"/>
  <c r="BN65" i="31"/>
  <c r="BO65" i="31" s="1"/>
  <c r="CB65" i="31" s="1"/>
  <c r="BL65" i="31"/>
  <c r="CA65" i="31" s="1"/>
  <c r="BM65" i="31"/>
  <c r="CC65" i="31" s="1"/>
  <c r="BN50" i="31"/>
  <c r="BO50" i="31" s="1"/>
  <c r="CB50" i="31" s="1"/>
  <c r="BL50" i="31"/>
  <c r="CA50" i="31" s="1"/>
  <c r="BM50" i="31"/>
  <c r="CC50" i="31" s="1"/>
  <c r="BN35" i="31"/>
  <c r="BO35" i="31" s="1"/>
  <c r="CB35" i="31" s="1"/>
  <c r="BL35" i="31"/>
  <c r="CA35" i="31" s="1"/>
  <c r="BM35" i="31"/>
  <c r="CC35" i="31" s="1"/>
  <c r="BN99" i="31"/>
  <c r="BO99" i="31" s="1"/>
  <c r="CB99" i="31" s="1"/>
  <c r="BL99" i="31"/>
  <c r="CA99" i="31" s="1"/>
  <c r="BM99" i="31"/>
  <c r="CC99" i="31" s="1"/>
  <c r="BN84" i="31"/>
  <c r="BO84" i="31" s="1"/>
  <c r="CB84" i="31" s="1"/>
  <c r="BL84" i="31"/>
  <c r="CA84" i="31" s="1"/>
  <c r="BM84" i="31"/>
  <c r="CC84" i="31" s="1"/>
  <c r="BM69" i="31"/>
  <c r="CC69" i="31" s="1"/>
  <c r="BN69" i="31"/>
  <c r="BO69" i="31" s="1"/>
  <c r="CB69" i="31" s="1"/>
  <c r="BL69" i="31"/>
  <c r="CA69" i="31" s="1"/>
  <c r="BM54" i="31"/>
  <c r="CC54" i="31" s="1"/>
  <c r="BN54" i="31"/>
  <c r="BO54" i="31" s="1"/>
  <c r="CB54" i="31" s="1"/>
  <c r="BL54" i="31"/>
  <c r="CA54" i="31" s="1"/>
  <c r="BM39" i="31"/>
  <c r="CC39" i="31" s="1"/>
  <c r="BN39" i="31"/>
  <c r="BO39" i="31" s="1"/>
  <c r="CB39" i="31" s="1"/>
  <c r="BL39" i="31"/>
  <c r="CA39" i="31" s="1"/>
  <c r="BM103" i="31"/>
  <c r="CC103" i="31" s="1"/>
  <c r="BN103" i="31"/>
  <c r="BO103" i="31" s="1"/>
  <c r="CB103" i="31" s="1"/>
  <c r="BL103" i="31"/>
  <c r="CA103" i="31" s="1"/>
  <c r="BI49" i="31"/>
  <c r="BJ49" i="31" s="1"/>
  <c r="BI60" i="31"/>
  <c r="BJ60" i="31" s="1"/>
  <c r="BY60" i="31" s="1"/>
  <c r="BI44" i="31"/>
  <c r="BJ44" i="31" s="1"/>
  <c r="BI97" i="31"/>
  <c r="BJ97" i="31" s="1"/>
  <c r="BY97" i="31" s="1"/>
  <c r="BI74" i="31"/>
  <c r="BJ74" i="31" s="1"/>
  <c r="BI82" i="31"/>
  <c r="BJ82" i="31" s="1"/>
  <c r="BY82" i="31" s="1"/>
  <c r="BI43" i="31"/>
  <c r="BJ43" i="31" s="1"/>
  <c r="BY43" i="31" s="1"/>
  <c r="BI89" i="31"/>
  <c r="BJ89" i="31" s="1"/>
  <c r="BI26" i="31"/>
  <c r="BJ26" i="31" s="1"/>
  <c r="BY26" i="31" s="1"/>
  <c r="BI68" i="31"/>
  <c r="BJ68" i="31" s="1"/>
  <c r="BY68" i="31" s="1"/>
  <c r="BI52" i="31"/>
  <c r="BJ52" i="31" s="1"/>
  <c r="BY52" i="31" s="1"/>
  <c r="BI90" i="31"/>
  <c r="BJ90" i="31" s="1"/>
  <c r="BI51" i="31"/>
  <c r="BJ51" i="31" s="1"/>
  <c r="BY51" i="31" s="1"/>
  <c r="BI96" i="31"/>
  <c r="BJ96" i="31" s="1"/>
  <c r="BY96" i="31" s="1"/>
  <c r="BI87" i="31"/>
  <c r="BJ87" i="31" s="1"/>
  <c r="BI25" i="31"/>
  <c r="BJ25" i="31" s="1"/>
  <c r="BI56" i="31"/>
  <c r="BJ56" i="31" s="1"/>
  <c r="BI30" i="31"/>
  <c r="BJ30" i="31" s="1"/>
  <c r="BY30" i="31" s="1"/>
  <c r="BI94" i="31"/>
  <c r="BJ94" i="31" s="1"/>
  <c r="BY94" i="31" s="1"/>
  <c r="BI67" i="31"/>
  <c r="BJ67" i="31" s="1"/>
  <c r="BI98" i="31"/>
  <c r="BI59" i="31"/>
  <c r="BJ59" i="31" s="1"/>
  <c r="BI28" i="31"/>
  <c r="BJ28" i="31" s="1"/>
  <c r="BY28" i="31" s="1"/>
  <c r="BI46" i="31"/>
  <c r="BJ46" i="31" s="1"/>
  <c r="BY46" i="31" s="1"/>
  <c r="BI33" i="31"/>
  <c r="BJ33" i="31" s="1"/>
  <c r="BY33" i="31" s="1"/>
  <c r="BI65" i="31"/>
  <c r="BI50" i="31"/>
  <c r="BJ50" i="31" s="1"/>
  <c r="BI92" i="31"/>
  <c r="BJ92" i="31" s="1"/>
  <c r="BI73" i="31"/>
  <c r="BJ73" i="31" s="1"/>
  <c r="BI83" i="31"/>
  <c r="BJ83" i="31" s="1"/>
  <c r="BI66" i="31"/>
  <c r="BI31" i="31"/>
  <c r="BI34" i="31"/>
  <c r="BJ34" i="31" s="1"/>
  <c r="BI76" i="31"/>
  <c r="BI57" i="31"/>
  <c r="BI47" i="31"/>
  <c r="BI100" i="31"/>
  <c r="BI27" i="31"/>
  <c r="BI42" i="31"/>
  <c r="BJ42" i="31" s="1"/>
  <c r="BI84" i="31"/>
  <c r="BI45" i="31"/>
  <c r="BJ45" i="31" s="1"/>
  <c r="BI75" i="31"/>
  <c r="BI55" i="31"/>
  <c r="BJ55" i="31" s="1"/>
  <c r="BI88" i="31"/>
  <c r="BI81" i="31"/>
  <c r="BI35" i="31"/>
  <c r="BI24" i="31"/>
  <c r="BI54" i="31"/>
  <c r="BI62" i="31"/>
  <c r="BI23" i="31"/>
  <c r="BI21" i="31"/>
  <c r="BI85" i="31"/>
  <c r="BJ85" i="31" s="1"/>
  <c r="BI32" i="31"/>
  <c r="BJ32" i="31" s="1"/>
  <c r="BI77" i="31"/>
  <c r="BJ77" i="31" s="1"/>
  <c r="BI70" i="31"/>
  <c r="BI48" i="31"/>
  <c r="BJ48" i="31" s="1"/>
  <c r="BI39" i="31"/>
  <c r="BI80" i="31"/>
  <c r="BI22" i="31"/>
  <c r="BJ22" i="31" s="1"/>
  <c r="BI86" i="31"/>
  <c r="BI64" i="31"/>
  <c r="BI38" i="31"/>
  <c r="BI102" i="31"/>
  <c r="BI63" i="31"/>
  <c r="BI36" i="31"/>
  <c r="BI58" i="31"/>
  <c r="BJ58" i="31" s="1"/>
  <c r="BI20" i="31"/>
  <c r="BI79" i="31"/>
  <c r="BI29" i="31"/>
  <c r="BI93" i="31"/>
  <c r="BJ93" i="31" s="1"/>
  <c r="BI40" i="31"/>
  <c r="BI37" i="31"/>
  <c r="BI101" i="31"/>
  <c r="BI95" i="31"/>
  <c r="BI78" i="31"/>
  <c r="BI103" i="31"/>
  <c r="BI53" i="31"/>
  <c r="BI61" i="31"/>
  <c r="BI72" i="31"/>
  <c r="BJ72" i="31" s="1"/>
  <c r="BI69" i="31"/>
  <c r="BW28" i="31"/>
  <c r="BV28" i="31" s="1"/>
  <c r="BW49" i="31"/>
  <c r="BV49" i="31" s="1"/>
  <c r="BW102" i="31"/>
  <c r="BV102" i="31" s="1"/>
  <c r="BW63" i="31"/>
  <c r="BV63" i="31" s="1"/>
  <c r="BW61" i="31"/>
  <c r="BV61" i="31" s="1"/>
  <c r="BW103" i="31"/>
  <c r="BV103" i="31" s="1"/>
  <c r="BW94" i="31"/>
  <c r="BV94" i="31" s="1"/>
  <c r="BW24" i="31"/>
  <c r="BV24" i="31" s="1"/>
  <c r="BW50" i="31"/>
  <c r="BV50" i="31" s="1"/>
  <c r="BW81" i="31"/>
  <c r="BV81" i="31" s="1"/>
  <c r="BW97" i="31"/>
  <c r="BV97" i="31" s="1"/>
  <c r="BW32" i="31"/>
  <c r="BV32" i="31" s="1"/>
  <c r="BW48" i="31"/>
  <c r="BV48" i="31" s="1"/>
  <c r="BY91" i="31"/>
  <c r="BW74" i="31"/>
  <c r="BV74" i="31" s="1"/>
  <c r="BW40" i="31"/>
  <c r="BV40" i="31" s="1"/>
  <c r="BW78" i="31"/>
  <c r="BV78" i="31" s="1"/>
  <c r="BW54" i="31"/>
  <c r="BV54" i="31" s="1"/>
  <c r="BW87" i="31"/>
  <c r="BV87" i="31" s="1"/>
  <c r="BW73" i="31"/>
  <c r="BV73" i="31" s="1"/>
  <c r="BW30" i="31"/>
  <c r="BV30" i="31" s="1"/>
  <c r="BW42" i="31"/>
  <c r="BV42" i="31" s="1"/>
  <c r="BW93" i="31"/>
  <c r="BV93" i="31" s="1"/>
  <c r="BW53" i="31"/>
  <c r="BV53" i="31" s="1"/>
  <c r="BW67" i="31"/>
  <c r="BV67" i="31" s="1"/>
  <c r="BW44" i="31"/>
  <c r="BV44" i="31" s="1"/>
  <c r="BW51" i="31"/>
  <c r="BV51" i="31" s="1"/>
  <c r="BW100" i="31"/>
  <c r="BV100" i="31" s="1"/>
  <c r="BW29" i="31"/>
  <c r="BV29" i="31" s="1"/>
  <c r="BW80" i="31"/>
  <c r="BV80" i="31" s="1"/>
  <c r="BW84" i="31"/>
  <c r="BV84" i="31" s="1"/>
  <c r="BW70" i="31"/>
  <c r="BV70" i="31" s="1"/>
  <c r="BW47" i="31"/>
  <c r="BV47" i="31" s="1"/>
  <c r="BW65" i="31"/>
  <c r="BV65" i="31" s="1"/>
  <c r="BW92" i="31"/>
  <c r="BV92" i="31" s="1"/>
  <c r="BW59" i="31"/>
  <c r="BV59" i="31" s="1"/>
  <c r="BW83" i="31"/>
  <c r="BV83" i="31" s="1"/>
  <c r="BW99" i="31"/>
  <c r="BV99" i="31" s="1"/>
  <c r="BW71" i="31"/>
  <c r="BV71" i="31" s="1"/>
  <c r="BW46" i="31"/>
  <c r="BV46" i="31" s="1"/>
  <c r="BW39" i="31"/>
  <c r="BV39" i="31" s="1"/>
  <c r="BW34" i="31"/>
  <c r="BV34" i="31" s="1"/>
  <c r="BW89" i="31"/>
  <c r="BV89" i="31" s="1"/>
  <c r="BW56" i="31"/>
  <c r="BV56" i="31" s="1"/>
  <c r="BW68" i="31"/>
  <c r="BV68" i="31" s="1"/>
  <c r="BW55" i="31"/>
  <c r="BV55" i="31" s="1"/>
  <c r="BW62" i="31"/>
  <c r="BV62" i="31" s="1"/>
  <c r="BW69" i="31"/>
  <c r="BV69" i="31" s="1"/>
  <c r="BW37" i="31"/>
  <c r="BV37" i="31" s="1"/>
  <c r="BW23" i="31"/>
  <c r="BV23" i="31" s="1"/>
  <c r="BW91" i="31"/>
  <c r="BV91" i="31" s="1"/>
  <c r="BW90" i="31"/>
  <c r="BV90" i="31" s="1"/>
  <c r="BW77" i="31"/>
  <c r="BV77" i="31" s="1"/>
  <c r="BW60" i="31"/>
  <c r="BV60" i="31" s="1"/>
  <c r="BW98" i="31"/>
  <c r="BV98" i="31" s="1"/>
  <c r="BW85" i="31"/>
  <c r="BV85" i="31" s="1"/>
  <c r="BW72" i="31"/>
  <c r="BV72" i="31" s="1"/>
  <c r="BW57" i="31"/>
  <c r="BV57" i="31" s="1"/>
  <c r="BW82" i="31"/>
  <c r="BV82" i="31" s="1"/>
  <c r="BW79" i="31"/>
  <c r="BV79" i="31" s="1"/>
  <c r="BW45" i="31"/>
  <c r="BV45" i="31" s="1"/>
  <c r="BW22" i="31"/>
  <c r="BV22" i="31" s="1"/>
  <c r="BW66" i="31"/>
  <c r="BV66" i="31" s="1"/>
  <c r="BW58" i="31"/>
  <c r="BV58" i="31" s="1"/>
  <c r="AI20" i="26"/>
  <c r="AI21" i="26"/>
  <c r="AI22" i="26"/>
  <c r="AI23" i="26"/>
  <c r="AI24" i="26"/>
  <c r="AI25" i="26"/>
  <c r="AI26" i="26"/>
  <c r="AI27" i="26"/>
  <c r="AI28" i="26"/>
  <c r="AI29" i="26"/>
  <c r="AI30" i="26"/>
  <c r="AI31" i="26"/>
  <c r="AI32" i="26"/>
  <c r="AI33" i="26"/>
  <c r="AI34" i="26"/>
  <c r="AI35" i="26"/>
  <c r="AI36" i="26"/>
  <c r="AI37" i="26"/>
  <c r="AI38" i="26"/>
  <c r="AI39" i="26"/>
  <c r="AI40" i="26"/>
  <c r="AI41" i="26"/>
  <c r="AI42" i="26"/>
  <c r="AI43" i="26"/>
  <c r="AI44" i="26"/>
  <c r="AI45" i="26"/>
  <c r="AI46" i="26"/>
  <c r="AI47" i="26"/>
  <c r="AI48" i="26"/>
  <c r="AI49" i="26"/>
  <c r="AI50" i="26"/>
  <c r="AI51" i="26"/>
  <c r="AI52" i="26"/>
  <c r="AI53" i="26"/>
  <c r="AI54" i="26"/>
  <c r="AI55" i="26"/>
  <c r="AI56" i="26"/>
  <c r="AI57" i="26"/>
  <c r="AI58" i="26"/>
  <c r="AI59" i="26"/>
  <c r="AI60" i="26"/>
  <c r="AI61" i="26"/>
  <c r="AI62" i="26"/>
  <c r="AI63" i="26"/>
  <c r="AI64" i="26"/>
  <c r="AI65" i="26"/>
  <c r="AI66" i="26"/>
  <c r="AI67" i="26"/>
  <c r="AI68" i="26"/>
  <c r="AI69" i="26"/>
  <c r="AI70" i="26"/>
  <c r="AI71" i="26"/>
  <c r="AI72" i="26"/>
  <c r="AI73" i="26"/>
  <c r="AI74" i="26"/>
  <c r="AI75" i="26"/>
  <c r="AI76" i="26"/>
  <c r="AI77" i="26"/>
  <c r="AI78" i="26"/>
  <c r="AI79" i="26"/>
  <c r="AI80" i="26"/>
  <c r="AI81" i="26"/>
  <c r="AI82" i="26"/>
  <c r="AI83" i="26"/>
  <c r="AI84" i="26"/>
  <c r="AI85" i="26"/>
  <c r="AI86" i="26"/>
  <c r="AI87" i="26"/>
  <c r="AI88" i="26"/>
  <c r="AI89" i="26"/>
  <c r="AI90" i="26"/>
  <c r="AI91" i="26"/>
  <c r="AI92" i="26"/>
  <c r="AI93" i="26"/>
  <c r="AI94" i="26"/>
  <c r="AI95" i="26"/>
  <c r="AI96" i="26"/>
  <c r="AI97" i="26"/>
  <c r="AI98" i="26"/>
  <c r="AI99" i="26"/>
  <c r="AI100" i="26"/>
  <c r="AI101" i="26"/>
  <c r="AI102" i="26"/>
  <c r="AI103"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45" i="26"/>
  <c r="S46" i="26"/>
  <c r="S47" i="26"/>
  <c r="S48" i="26"/>
  <c r="S49" i="26"/>
  <c r="S50" i="26"/>
  <c r="S51" i="26"/>
  <c r="S52" i="26"/>
  <c r="S53" i="26"/>
  <c r="S54" i="26"/>
  <c r="S55" i="26"/>
  <c r="S56" i="26"/>
  <c r="S57" i="26"/>
  <c r="S58" i="26"/>
  <c r="S59" i="26"/>
  <c r="S60" i="26"/>
  <c r="S61" i="26"/>
  <c r="S62" i="26"/>
  <c r="S63" i="26"/>
  <c r="S64" i="26"/>
  <c r="S65" i="26"/>
  <c r="S66" i="26"/>
  <c r="S67" i="26"/>
  <c r="S68" i="26"/>
  <c r="S69" i="26"/>
  <c r="S70" i="26"/>
  <c r="S71" i="26"/>
  <c r="S72" i="26"/>
  <c r="S73" i="26"/>
  <c r="S74" i="26"/>
  <c r="S75" i="26"/>
  <c r="S76" i="26"/>
  <c r="S77" i="26"/>
  <c r="S78" i="26"/>
  <c r="S79" i="26"/>
  <c r="S80" i="26"/>
  <c r="S81" i="26"/>
  <c r="S82" i="26"/>
  <c r="S83" i="26"/>
  <c r="S84" i="26"/>
  <c r="S85" i="26"/>
  <c r="S86" i="26"/>
  <c r="S87" i="26"/>
  <c r="S88" i="26"/>
  <c r="S89" i="26"/>
  <c r="S90" i="26"/>
  <c r="S91" i="26"/>
  <c r="S92" i="26"/>
  <c r="S93" i="26"/>
  <c r="S94" i="26"/>
  <c r="S95" i="26"/>
  <c r="S96" i="26"/>
  <c r="S97" i="26"/>
  <c r="S98" i="26"/>
  <c r="S99" i="26"/>
  <c r="S100" i="26"/>
  <c r="S101" i="26"/>
  <c r="S102" i="26"/>
  <c r="S103" i="26"/>
  <c r="AK103" i="26"/>
  <c r="AK102" i="26"/>
  <c r="AK101" i="26"/>
  <c r="AK100" i="26"/>
  <c r="AK99" i="26"/>
  <c r="AK98" i="26"/>
  <c r="AK97" i="26"/>
  <c r="AK96" i="26"/>
  <c r="AK95" i="26"/>
  <c r="AK94" i="26"/>
  <c r="AK93" i="26"/>
  <c r="AK92" i="26"/>
  <c r="AK91" i="26"/>
  <c r="AK90" i="26"/>
  <c r="AK89" i="26"/>
  <c r="AK88" i="26"/>
  <c r="AK87" i="26"/>
  <c r="AK86" i="26"/>
  <c r="AK85" i="26"/>
  <c r="AK84" i="26"/>
  <c r="AK83" i="26"/>
  <c r="AK82" i="26"/>
  <c r="AK81" i="26"/>
  <c r="AK80" i="26"/>
  <c r="AK79" i="26"/>
  <c r="AK78" i="26"/>
  <c r="AK77" i="26"/>
  <c r="AK76" i="26"/>
  <c r="AK75" i="26"/>
  <c r="AK74" i="26"/>
  <c r="AK73" i="26"/>
  <c r="AK72" i="26"/>
  <c r="AK71" i="26"/>
  <c r="AK70" i="26"/>
  <c r="AK69" i="26"/>
  <c r="AK68" i="26"/>
  <c r="AK67" i="26"/>
  <c r="AK66" i="26"/>
  <c r="AK65" i="26"/>
  <c r="AK64" i="26"/>
  <c r="AK63" i="26"/>
  <c r="AK62" i="26"/>
  <c r="AK61" i="26"/>
  <c r="AK60" i="26"/>
  <c r="AK59" i="26"/>
  <c r="AK58" i="26"/>
  <c r="AK57" i="26"/>
  <c r="AK56" i="26"/>
  <c r="AK55" i="26"/>
  <c r="AK54" i="26"/>
  <c r="AK53" i="26"/>
  <c r="AK52" i="26"/>
  <c r="AK51" i="26"/>
  <c r="AK50" i="26"/>
  <c r="AK49" i="26"/>
  <c r="AK48" i="26"/>
  <c r="AK47" i="26"/>
  <c r="AK46" i="26"/>
  <c r="AK45" i="26"/>
  <c r="AK44" i="26"/>
  <c r="AK43" i="26"/>
  <c r="AK42" i="26"/>
  <c r="AK41" i="26"/>
  <c r="AK40" i="26"/>
  <c r="AK39" i="26"/>
  <c r="AK38" i="26"/>
  <c r="AK37" i="26"/>
  <c r="AK36" i="26"/>
  <c r="AK35" i="26"/>
  <c r="AK34" i="26"/>
  <c r="AK33" i="26"/>
  <c r="AK32" i="26"/>
  <c r="AK31" i="26"/>
  <c r="AK30" i="26"/>
  <c r="AK29" i="26"/>
  <c r="AK28" i="26"/>
  <c r="AK27" i="26"/>
  <c r="AK26" i="26"/>
  <c r="AK25" i="26"/>
  <c r="AK24" i="26"/>
  <c r="AK23" i="26"/>
  <c r="AK22" i="26"/>
  <c r="AK21" i="26"/>
  <c r="AK20" i="26"/>
  <c r="AG103" i="26"/>
  <c r="AG102" i="26"/>
  <c r="AG101" i="26"/>
  <c r="AG100" i="26"/>
  <c r="AG99" i="26"/>
  <c r="AG98" i="26"/>
  <c r="AG97" i="26"/>
  <c r="AG96" i="26"/>
  <c r="AG95" i="26"/>
  <c r="AG94" i="26"/>
  <c r="AG93" i="26"/>
  <c r="AG92" i="26"/>
  <c r="AG91" i="26"/>
  <c r="AG90" i="26"/>
  <c r="AG89" i="26"/>
  <c r="AG88" i="26"/>
  <c r="AG87" i="26"/>
  <c r="AG86" i="26"/>
  <c r="AG85" i="26"/>
  <c r="AG84" i="26"/>
  <c r="AG83" i="26"/>
  <c r="AG82" i="26"/>
  <c r="AG81" i="26"/>
  <c r="AG80" i="26"/>
  <c r="AG79" i="26"/>
  <c r="AG78" i="26"/>
  <c r="AG77" i="26"/>
  <c r="AG76" i="26"/>
  <c r="AG75" i="26"/>
  <c r="AG74" i="26"/>
  <c r="AG73" i="26"/>
  <c r="AG72" i="26"/>
  <c r="AG71" i="26"/>
  <c r="AG70" i="26"/>
  <c r="AG69" i="26"/>
  <c r="AG68" i="26"/>
  <c r="AG67" i="26"/>
  <c r="AG66" i="26"/>
  <c r="AG65" i="26"/>
  <c r="AG64" i="26"/>
  <c r="AG63" i="26"/>
  <c r="AG62" i="26"/>
  <c r="AG61" i="26"/>
  <c r="AG60" i="26"/>
  <c r="AG59" i="26"/>
  <c r="AG58" i="26"/>
  <c r="AG57" i="26"/>
  <c r="AG56" i="26"/>
  <c r="AG55" i="26"/>
  <c r="AG54" i="26"/>
  <c r="AG53" i="26"/>
  <c r="AG52" i="26"/>
  <c r="AG51" i="26"/>
  <c r="AG50" i="26"/>
  <c r="AG49" i="26"/>
  <c r="AG48" i="26"/>
  <c r="AG47" i="26"/>
  <c r="AG46" i="26"/>
  <c r="AG45" i="26"/>
  <c r="AG44" i="26"/>
  <c r="AG43" i="26"/>
  <c r="AG42" i="26"/>
  <c r="AG41" i="26"/>
  <c r="AG40" i="26"/>
  <c r="AG39" i="26"/>
  <c r="AG38" i="26"/>
  <c r="AG37" i="26"/>
  <c r="AG36" i="26"/>
  <c r="AG35" i="26"/>
  <c r="AG34" i="26"/>
  <c r="AG33" i="26"/>
  <c r="AG32" i="26"/>
  <c r="AG31" i="26"/>
  <c r="AG30" i="26"/>
  <c r="AG29" i="26"/>
  <c r="AG28" i="26"/>
  <c r="AG27" i="26"/>
  <c r="AG26" i="26"/>
  <c r="AG25" i="26"/>
  <c r="AG24" i="26"/>
  <c r="AG23" i="26"/>
  <c r="AG22" i="26"/>
  <c r="AG21" i="26"/>
  <c r="AG20" i="26"/>
  <c r="AC103" i="26"/>
  <c r="AC102" i="26"/>
  <c r="AC101" i="26"/>
  <c r="AC100" i="26"/>
  <c r="AC99" i="26"/>
  <c r="AC98" i="26"/>
  <c r="AC97" i="26"/>
  <c r="AC96" i="26"/>
  <c r="AC95" i="26"/>
  <c r="AC94" i="26"/>
  <c r="AC93" i="26"/>
  <c r="AC92" i="26"/>
  <c r="AC91" i="26"/>
  <c r="AC90" i="26"/>
  <c r="AC89" i="26"/>
  <c r="AC88" i="26"/>
  <c r="AC87" i="26"/>
  <c r="AC86" i="26"/>
  <c r="AC85" i="26"/>
  <c r="AC84" i="26"/>
  <c r="AC83" i="26"/>
  <c r="AC82" i="26"/>
  <c r="AC81" i="26"/>
  <c r="AC80" i="26"/>
  <c r="AC79" i="26"/>
  <c r="AC78" i="26"/>
  <c r="AC77" i="26"/>
  <c r="AC76" i="26"/>
  <c r="AC75" i="26"/>
  <c r="AC74" i="26"/>
  <c r="AC73" i="26"/>
  <c r="AC72" i="26"/>
  <c r="AC71" i="26"/>
  <c r="AC70" i="26"/>
  <c r="AC69" i="26"/>
  <c r="AC68" i="26"/>
  <c r="AC67" i="26"/>
  <c r="AC66" i="26"/>
  <c r="AC65" i="26"/>
  <c r="AC64" i="26"/>
  <c r="AC63" i="26"/>
  <c r="AC62" i="26"/>
  <c r="AC61" i="26"/>
  <c r="AC60" i="26"/>
  <c r="AC59" i="26"/>
  <c r="AC58" i="26"/>
  <c r="AC57" i="26"/>
  <c r="AC56" i="26"/>
  <c r="AC55" i="26"/>
  <c r="AC54" i="26"/>
  <c r="AC53" i="26"/>
  <c r="AC52" i="26"/>
  <c r="AC51" i="26"/>
  <c r="AC50" i="26"/>
  <c r="AC49" i="26"/>
  <c r="AC48" i="26"/>
  <c r="AC47" i="26"/>
  <c r="AC46" i="26"/>
  <c r="AC45" i="26"/>
  <c r="AC44" i="26"/>
  <c r="AC43" i="26"/>
  <c r="AC42" i="26"/>
  <c r="AC41" i="26"/>
  <c r="AC40" i="26"/>
  <c r="AC39" i="26"/>
  <c r="AC38" i="26"/>
  <c r="AC37" i="26"/>
  <c r="AC36" i="26"/>
  <c r="AC35" i="26"/>
  <c r="AC34" i="26"/>
  <c r="AC33" i="26"/>
  <c r="AC32" i="26"/>
  <c r="AC31" i="26"/>
  <c r="AC30" i="26"/>
  <c r="AC29" i="26"/>
  <c r="AC28" i="26"/>
  <c r="AC27" i="26"/>
  <c r="AC26" i="26"/>
  <c r="AC25" i="26"/>
  <c r="AC24" i="26"/>
  <c r="AC23" i="26"/>
  <c r="AC22" i="26"/>
  <c r="AC21" i="26"/>
  <c r="AC20" i="26"/>
  <c r="AE103" i="26"/>
  <c r="AE102" i="26"/>
  <c r="AE101" i="26"/>
  <c r="AE100" i="26"/>
  <c r="AE99" i="26"/>
  <c r="AE98" i="26"/>
  <c r="AE97" i="26"/>
  <c r="AE96" i="26"/>
  <c r="AE95" i="26"/>
  <c r="AE94" i="26"/>
  <c r="AE93" i="26"/>
  <c r="AE92" i="26"/>
  <c r="AE91" i="26"/>
  <c r="AE90" i="26"/>
  <c r="AE89" i="26"/>
  <c r="AE88" i="26"/>
  <c r="AE87" i="26"/>
  <c r="AE86" i="26"/>
  <c r="AE85" i="26"/>
  <c r="AE84" i="26"/>
  <c r="AE83" i="26"/>
  <c r="AE82" i="26"/>
  <c r="AE81" i="26"/>
  <c r="AE80" i="26"/>
  <c r="AE79" i="26"/>
  <c r="AE78" i="26"/>
  <c r="AE77" i="26"/>
  <c r="AE76" i="26"/>
  <c r="AE75" i="26"/>
  <c r="AE74" i="26"/>
  <c r="AE73" i="26"/>
  <c r="AE72" i="26"/>
  <c r="AE71" i="26"/>
  <c r="AE70" i="26"/>
  <c r="AE69" i="26"/>
  <c r="AE68" i="26"/>
  <c r="AE67" i="26"/>
  <c r="AE66" i="26"/>
  <c r="AE65" i="26"/>
  <c r="AE64" i="26"/>
  <c r="AE63" i="26"/>
  <c r="AE62" i="26"/>
  <c r="AE61" i="26"/>
  <c r="AE60" i="26"/>
  <c r="AE59" i="26"/>
  <c r="AE58" i="26"/>
  <c r="AE57" i="26"/>
  <c r="AE56" i="26"/>
  <c r="AE55" i="26"/>
  <c r="AE54" i="26"/>
  <c r="AE53" i="26"/>
  <c r="AE52" i="26"/>
  <c r="AE51" i="26"/>
  <c r="AE50" i="26"/>
  <c r="AE49" i="26"/>
  <c r="AE48" i="26"/>
  <c r="AE47" i="26"/>
  <c r="AE46" i="26"/>
  <c r="AE45" i="26"/>
  <c r="AE44" i="26"/>
  <c r="AE43" i="26"/>
  <c r="AE42" i="26"/>
  <c r="AE41" i="26"/>
  <c r="AE40" i="26"/>
  <c r="AE39" i="26"/>
  <c r="AE38" i="26"/>
  <c r="AE37" i="26"/>
  <c r="AE36" i="26"/>
  <c r="AE35" i="26"/>
  <c r="AE34" i="26"/>
  <c r="AE33" i="26"/>
  <c r="AE32" i="26"/>
  <c r="AE31" i="26"/>
  <c r="AE30" i="26"/>
  <c r="AE29" i="26"/>
  <c r="AE28" i="26"/>
  <c r="AE27" i="26"/>
  <c r="AE26" i="26"/>
  <c r="AE25" i="26"/>
  <c r="AE24" i="26"/>
  <c r="AE23" i="26"/>
  <c r="AE22" i="26"/>
  <c r="AE21" i="26"/>
  <c r="AE20" i="26"/>
  <c r="AA103" i="26"/>
  <c r="AA102" i="26"/>
  <c r="AA101" i="26"/>
  <c r="AA100" i="26"/>
  <c r="AA99" i="26"/>
  <c r="AA98" i="26"/>
  <c r="AA97" i="26"/>
  <c r="AA96" i="26"/>
  <c r="AA95" i="26"/>
  <c r="AA94" i="26"/>
  <c r="AA93" i="26"/>
  <c r="AA92" i="26"/>
  <c r="AA91" i="26"/>
  <c r="AA90" i="26"/>
  <c r="AA89" i="26"/>
  <c r="AA88" i="26"/>
  <c r="AA87" i="26"/>
  <c r="AA86" i="26"/>
  <c r="AA85" i="26"/>
  <c r="AA84" i="26"/>
  <c r="AA83" i="26"/>
  <c r="AA82" i="26"/>
  <c r="AA81" i="26"/>
  <c r="AA80" i="26"/>
  <c r="AA79" i="26"/>
  <c r="AA78" i="26"/>
  <c r="AA77" i="26"/>
  <c r="AA76" i="26"/>
  <c r="AA75" i="26"/>
  <c r="AA74" i="26"/>
  <c r="AA73" i="26"/>
  <c r="AA72" i="26"/>
  <c r="AA71" i="26"/>
  <c r="AA70" i="26"/>
  <c r="AA69" i="26"/>
  <c r="AA68" i="26"/>
  <c r="AA67" i="26"/>
  <c r="AA66" i="26"/>
  <c r="AA65" i="26"/>
  <c r="AA64" i="26"/>
  <c r="AA63" i="26"/>
  <c r="AA62" i="26"/>
  <c r="AA61" i="26"/>
  <c r="AA60" i="26"/>
  <c r="AA59" i="26"/>
  <c r="AA58" i="26"/>
  <c r="AA57" i="26"/>
  <c r="AA56" i="26"/>
  <c r="AA55" i="26"/>
  <c r="AA54" i="26"/>
  <c r="AA53" i="26"/>
  <c r="AA52" i="26"/>
  <c r="AA51" i="26"/>
  <c r="AA50" i="26"/>
  <c r="AA49" i="26"/>
  <c r="AA48" i="26"/>
  <c r="AA47" i="26"/>
  <c r="AA46" i="26"/>
  <c r="AA45" i="26"/>
  <c r="AA44" i="26"/>
  <c r="AA43" i="26"/>
  <c r="AA42" i="26"/>
  <c r="AA41" i="26"/>
  <c r="AA40" i="26"/>
  <c r="AA39" i="26"/>
  <c r="AA38" i="26"/>
  <c r="AA37" i="26"/>
  <c r="AA36" i="26"/>
  <c r="AA35" i="26"/>
  <c r="AA34" i="26"/>
  <c r="AA33" i="26"/>
  <c r="AA32" i="26"/>
  <c r="AA31" i="26"/>
  <c r="AA30" i="26"/>
  <c r="AA29" i="26"/>
  <c r="AA28" i="26"/>
  <c r="AA27" i="26"/>
  <c r="AA26" i="26"/>
  <c r="AA25" i="26"/>
  <c r="AA24" i="26"/>
  <c r="AA23" i="26"/>
  <c r="AA22" i="26"/>
  <c r="AA21" i="26"/>
  <c r="AA20" i="26"/>
  <c r="Y103" i="26"/>
  <c r="Y102" i="26"/>
  <c r="Y101" i="26"/>
  <c r="Y100" i="26"/>
  <c r="Y99" i="26"/>
  <c r="Y98" i="26"/>
  <c r="Y97" i="26"/>
  <c r="Y96" i="26"/>
  <c r="Y95" i="26"/>
  <c r="Y94" i="26"/>
  <c r="Y93" i="26"/>
  <c r="Y92" i="26"/>
  <c r="Y91" i="26"/>
  <c r="Y90" i="26"/>
  <c r="Y89" i="26"/>
  <c r="Y88" i="26"/>
  <c r="Y87" i="26"/>
  <c r="Y86" i="26"/>
  <c r="Y85" i="26"/>
  <c r="Y84" i="26"/>
  <c r="Y83" i="26"/>
  <c r="Y82" i="26"/>
  <c r="Y81" i="26"/>
  <c r="Y80" i="26"/>
  <c r="Y79" i="26"/>
  <c r="Y78" i="26"/>
  <c r="Y77" i="26"/>
  <c r="Y76" i="26"/>
  <c r="Y75" i="26"/>
  <c r="Y74" i="26"/>
  <c r="Y73" i="26"/>
  <c r="Y72" i="26"/>
  <c r="Y71" i="26"/>
  <c r="Y70" i="26"/>
  <c r="Y69" i="26"/>
  <c r="Y68" i="26"/>
  <c r="Y67" i="26"/>
  <c r="Y66" i="26"/>
  <c r="Y65" i="26"/>
  <c r="Y64" i="26"/>
  <c r="Y63" i="26"/>
  <c r="Y62" i="26"/>
  <c r="Y61" i="26"/>
  <c r="Y60" i="26"/>
  <c r="Y59" i="26"/>
  <c r="Y58" i="26"/>
  <c r="Y57" i="26"/>
  <c r="Y56" i="26"/>
  <c r="Y55" i="26"/>
  <c r="Y54" i="26"/>
  <c r="Y53" i="26"/>
  <c r="Y52" i="26"/>
  <c r="Y51" i="26"/>
  <c r="Y50" i="26"/>
  <c r="Y49" i="26"/>
  <c r="Y48" i="26"/>
  <c r="Y47" i="26"/>
  <c r="Y46" i="26"/>
  <c r="Y45" i="26"/>
  <c r="Y44" i="26"/>
  <c r="Y43" i="26"/>
  <c r="Y42" i="26"/>
  <c r="Y41" i="26"/>
  <c r="Y40" i="26"/>
  <c r="Y39" i="26"/>
  <c r="Y38" i="26"/>
  <c r="Y37" i="26"/>
  <c r="Y36" i="26"/>
  <c r="Y35" i="26"/>
  <c r="Y34" i="26"/>
  <c r="Y33" i="26"/>
  <c r="Y32" i="26"/>
  <c r="Y31" i="26"/>
  <c r="Y30" i="26"/>
  <c r="Y29" i="26"/>
  <c r="Y28" i="26"/>
  <c r="Y27" i="26"/>
  <c r="Y26" i="26"/>
  <c r="Y25" i="26"/>
  <c r="Y24" i="26"/>
  <c r="Y23" i="26"/>
  <c r="Y22" i="26"/>
  <c r="Y21" i="26"/>
  <c r="Y20" i="26"/>
  <c r="U103" i="26"/>
  <c r="U102" i="26"/>
  <c r="U101" i="26"/>
  <c r="U100" i="26"/>
  <c r="U99" i="26"/>
  <c r="U98" i="26"/>
  <c r="U97" i="26"/>
  <c r="U96" i="26"/>
  <c r="U95" i="26"/>
  <c r="U94" i="26"/>
  <c r="U93" i="26"/>
  <c r="U92" i="26"/>
  <c r="U91" i="26"/>
  <c r="U90" i="26"/>
  <c r="U89" i="26"/>
  <c r="U88" i="26"/>
  <c r="U87" i="26"/>
  <c r="U86" i="26"/>
  <c r="U85" i="26"/>
  <c r="U84" i="26"/>
  <c r="U83" i="26"/>
  <c r="U82" i="26"/>
  <c r="U81" i="26"/>
  <c r="U80" i="26"/>
  <c r="U79" i="26"/>
  <c r="U78" i="26"/>
  <c r="U77" i="26"/>
  <c r="U76" i="26"/>
  <c r="U75" i="26"/>
  <c r="U74" i="26"/>
  <c r="U73" i="26"/>
  <c r="U72" i="26"/>
  <c r="U71" i="26"/>
  <c r="U70" i="26"/>
  <c r="U69" i="26"/>
  <c r="U68" i="26"/>
  <c r="U67" i="26"/>
  <c r="U66" i="26"/>
  <c r="U65" i="26"/>
  <c r="U64" i="26"/>
  <c r="U63" i="26"/>
  <c r="U62" i="26"/>
  <c r="U61" i="26"/>
  <c r="U60" i="26"/>
  <c r="U59" i="26"/>
  <c r="U58" i="26"/>
  <c r="U57" i="26"/>
  <c r="U56" i="26"/>
  <c r="U55" i="26"/>
  <c r="U54" i="26"/>
  <c r="U53" i="26"/>
  <c r="U52" i="26"/>
  <c r="U51" i="26"/>
  <c r="U50" i="26"/>
  <c r="U49" i="26"/>
  <c r="U48" i="26"/>
  <c r="U47" i="26"/>
  <c r="U46" i="26"/>
  <c r="U45" i="26"/>
  <c r="U44" i="26"/>
  <c r="U43" i="26"/>
  <c r="U42" i="26"/>
  <c r="U41" i="26"/>
  <c r="U40" i="26"/>
  <c r="U39" i="26"/>
  <c r="U38" i="26"/>
  <c r="U37" i="26"/>
  <c r="U36" i="26"/>
  <c r="U35" i="26"/>
  <c r="U34" i="26"/>
  <c r="U33" i="26"/>
  <c r="U32" i="26"/>
  <c r="U31" i="26"/>
  <c r="U30" i="26"/>
  <c r="U29" i="26"/>
  <c r="U28" i="26"/>
  <c r="U27" i="26"/>
  <c r="U26" i="26"/>
  <c r="U25" i="26"/>
  <c r="U24" i="26"/>
  <c r="U23" i="26"/>
  <c r="U22" i="26"/>
  <c r="U21" i="26"/>
  <c r="U20" i="26"/>
  <c r="Q103" i="26"/>
  <c r="Q102" i="26"/>
  <c r="Q101" i="26"/>
  <c r="Q100" i="26"/>
  <c r="Q99" i="26"/>
  <c r="Q98" i="26"/>
  <c r="Q97" i="26"/>
  <c r="Q96" i="26"/>
  <c r="Q95" i="26"/>
  <c r="Q94" i="26"/>
  <c r="Q93" i="26"/>
  <c r="Q92" i="26"/>
  <c r="Q91" i="26"/>
  <c r="Q90" i="26"/>
  <c r="Q89" i="26"/>
  <c r="Q88" i="26"/>
  <c r="Q87" i="26"/>
  <c r="Q86" i="26"/>
  <c r="Q85" i="26"/>
  <c r="Q84" i="26"/>
  <c r="Q83" i="26"/>
  <c r="Q82" i="26"/>
  <c r="Q81" i="26"/>
  <c r="Q80" i="26"/>
  <c r="Q79" i="26"/>
  <c r="Q78" i="26"/>
  <c r="Q77" i="26"/>
  <c r="Q76" i="26"/>
  <c r="Q75" i="26"/>
  <c r="Q74" i="26"/>
  <c r="Q73" i="26"/>
  <c r="Q72" i="26"/>
  <c r="Q71" i="26"/>
  <c r="Q70" i="26"/>
  <c r="Q69" i="26"/>
  <c r="Q68" i="26"/>
  <c r="Q67" i="26"/>
  <c r="Q66" i="26"/>
  <c r="Q65" i="26"/>
  <c r="Q64" i="26"/>
  <c r="Q63" i="26"/>
  <c r="Q62" i="26"/>
  <c r="Q61" i="26"/>
  <c r="Q60" i="26"/>
  <c r="Q59" i="26"/>
  <c r="Q58" i="26"/>
  <c r="Q57" i="26"/>
  <c r="Q56" i="26"/>
  <c r="Q55" i="26"/>
  <c r="Q54" i="26"/>
  <c r="Q53" i="26"/>
  <c r="Q52" i="26"/>
  <c r="Q51" i="26"/>
  <c r="Q50" i="26"/>
  <c r="Q49" i="26"/>
  <c r="Q48" i="26"/>
  <c r="Q47" i="26"/>
  <c r="Q46" i="26"/>
  <c r="Q45" i="26"/>
  <c r="Q44" i="26"/>
  <c r="Q43" i="26"/>
  <c r="Q42" i="26"/>
  <c r="Q41" i="26"/>
  <c r="Q40" i="26"/>
  <c r="Q39" i="26"/>
  <c r="Q38" i="26"/>
  <c r="Q37" i="26"/>
  <c r="Q36" i="26"/>
  <c r="Q35" i="26"/>
  <c r="Q34" i="26"/>
  <c r="Q33" i="26"/>
  <c r="Q32" i="26"/>
  <c r="Q31" i="26"/>
  <c r="Q30" i="26"/>
  <c r="Q29" i="26"/>
  <c r="Q28" i="26"/>
  <c r="Q27" i="26"/>
  <c r="Q26" i="26"/>
  <c r="Q25" i="26"/>
  <c r="Q24" i="26"/>
  <c r="Q23" i="26"/>
  <c r="Q22" i="26"/>
  <c r="Q21" i="26"/>
  <c r="Q20"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O103" i="26"/>
  <c r="O102" i="26"/>
  <c r="O101" i="26"/>
  <c r="O100" i="26"/>
  <c r="O99" i="26"/>
  <c r="O98" i="26"/>
  <c r="O97" i="26"/>
  <c r="O96" i="26"/>
  <c r="O95" i="26"/>
  <c r="O94" i="26"/>
  <c r="O93" i="26"/>
  <c r="O92" i="26"/>
  <c r="O91" i="26"/>
  <c r="O90" i="26"/>
  <c r="O89" i="26"/>
  <c r="O88" i="26"/>
  <c r="O87" i="26"/>
  <c r="O86" i="26"/>
  <c r="O85" i="26"/>
  <c r="O84" i="26"/>
  <c r="O83" i="26"/>
  <c r="O82" i="26"/>
  <c r="O81" i="26"/>
  <c r="O80" i="26"/>
  <c r="O79" i="26"/>
  <c r="O78" i="26"/>
  <c r="O77" i="26"/>
  <c r="O76" i="26"/>
  <c r="O75" i="26"/>
  <c r="O74" i="26"/>
  <c r="O73" i="26"/>
  <c r="O72" i="26"/>
  <c r="O71" i="26"/>
  <c r="O70" i="26"/>
  <c r="O69" i="26"/>
  <c r="O68" i="26"/>
  <c r="O67" i="26"/>
  <c r="O66" i="26"/>
  <c r="O65" i="26"/>
  <c r="O64" i="26"/>
  <c r="O63" i="26"/>
  <c r="O62" i="26"/>
  <c r="O61" i="26"/>
  <c r="O60" i="26"/>
  <c r="O59" i="26"/>
  <c r="O58" i="26"/>
  <c r="O57" i="26"/>
  <c r="O56" i="26"/>
  <c r="O55" i="26"/>
  <c r="O54" i="26"/>
  <c r="O53" i="26"/>
  <c r="O52" i="26"/>
  <c r="O51" i="26"/>
  <c r="O50" i="26"/>
  <c r="O49" i="26"/>
  <c r="O48" i="26"/>
  <c r="O47" i="26"/>
  <c r="O46" i="26"/>
  <c r="O45" i="26"/>
  <c r="O44" i="26"/>
  <c r="O43" i="26"/>
  <c r="O42" i="26"/>
  <c r="O41" i="26"/>
  <c r="O40" i="26"/>
  <c r="O39" i="26"/>
  <c r="O38" i="26"/>
  <c r="O37" i="26"/>
  <c r="O36" i="26"/>
  <c r="O35" i="26"/>
  <c r="O34" i="26"/>
  <c r="O33" i="26"/>
  <c r="O32" i="26"/>
  <c r="O31" i="26"/>
  <c r="O30" i="26"/>
  <c r="O29" i="26"/>
  <c r="O28" i="26"/>
  <c r="O27" i="26"/>
  <c r="O26" i="26"/>
  <c r="O25" i="26"/>
  <c r="O24" i="26"/>
  <c r="O23" i="26"/>
  <c r="O22" i="26"/>
  <c r="O21" i="26"/>
  <c r="O20" i="26"/>
  <c r="K103" i="26"/>
  <c r="K102" i="26"/>
  <c r="K101" i="26"/>
  <c r="K100" i="26"/>
  <c r="K99" i="26"/>
  <c r="K98" i="26"/>
  <c r="K97" i="26"/>
  <c r="K96" i="26"/>
  <c r="K95" i="26"/>
  <c r="K94" i="26"/>
  <c r="K93" i="26"/>
  <c r="K92" i="26"/>
  <c r="K91" i="26"/>
  <c r="K90" i="26"/>
  <c r="K89" i="26"/>
  <c r="K88" i="26"/>
  <c r="K87" i="26"/>
  <c r="K86" i="26"/>
  <c r="K85" i="26"/>
  <c r="K84" i="26"/>
  <c r="K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I103" i="26"/>
  <c r="I102" i="26"/>
  <c r="I101" i="26"/>
  <c r="I100" i="26"/>
  <c r="I99" i="26"/>
  <c r="I98" i="26"/>
  <c r="I97" i="26"/>
  <c r="I96" i="26"/>
  <c r="I95" i="26"/>
  <c r="I94" i="26"/>
  <c r="I93" i="26"/>
  <c r="I92" i="26"/>
  <c r="I91" i="26"/>
  <c r="I90" i="26"/>
  <c r="I89" i="26"/>
  <c r="I88" i="26"/>
  <c r="I87" i="26"/>
  <c r="I86" i="26"/>
  <c r="I85" i="26"/>
  <c r="I84" i="26"/>
  <c r="I83" i="26"/>
  <c r="I82" i="26"/>
  <c r="I81" i="26"/>
  <c r="I80" i="26"/>
  <c r="I79" i="26"/>
  <c r="I78" i="26"/>
  <c r="I77" i="26"/>
  <c r="I76" i="26"/>
  <c r="I75" i="26"/>
  <c r="I74" i="26"/>
  <c r="I73" i="26"/>
  <c r="I72" i="26"/>
  <c r="I71" i="26"/>
  <c r="I70" i="26"/>
  <c r="I69" i="26"/>
  <c r="I68" i="26"/>
  <c r="I67" i="26"/>
  <c r="I66" i="26"/>
  <c r="I65" i="26"/>
  <c r="I64" i="26"/>
  <c r="I63" i="26"/>
  <c r="I62" i="26"/>
  <c r="I61" i="26"/>
  <c r="I60" i="26"/>
  <c r="I59" i="26"/>
  <c r="I58" i="26"/>
  <c r="I57" i="26"/>
  <c r="I56" i="26"/>
  <c r="I55" i="26"/>
  <c r="I54" i="26"/>
  <c r="I53" i="26"/>
  <c r="I52" i="26"/>
  <c r="I51" i="26"/>
  <c r="I50" i="26"/>
  <c r="I49" i="26"/>
  <c r="I48" i="26"/>
  <c r="I47" i="26"/>
  <c r="I46" i="26"/>
  <c r="I45" i="26"/>
  <c r="I44" i="26"/>
  <c r="I43" i="26"/>
  <c r="I42" i="26"/>
  <c r="I41" i="26"/>
  <c r="I40" i="26"/>
  <c r="I39" i="26"/>
  <c r="I38" i="26"/>
  <c r="I37" i="26"/>
  <c r="I36" i="26"/>
  <c r="I35" i="26"/>
  <c r="I34" i="26"/>
  <c r="I33" i="26"/>
  <c r="I32" i="26"/>
  <c r="I31" i="26"/>
  <c r="I30" i="26"/>
  <c r="I29" i="26"/>
  <c r="I28" i="26"/>
  <c r="I27" i="26"/>
  <c r="I26" i="26"/>
  <c r="I25" i="26"/>
  <c r="I24" i="26"/>
  <c r="I23" i="26"/>
  <c r="I22" i="26"/>
  <c r="I21" i="26"/>
  <c r="I20"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G26" i="26"/>
  <c r="G25" i="26"/>
  <c r="G24" i="26"/>
  <c r="G23" i="26"/>
  <c r="G22" i="26"/>
  <c r="G21" i="26"/>
  <c r="G20"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BQ95" i="31" l="1"/>
  <c r="CF95" i="31" s="1"/>
  <c r="BQ36" i="31"/>
  <c r="CF36" i="31" s="1"/>
  <c r="BR78" i="31"/>
  <c r="BP99" i="31"/>
  <c r="CD99" i="31" s="1"/>
  <c r="BP63" i="31"/>
  <c r="CD63" i="31" s="1"/>
  <c r="BQ99" i="31"/>
  <c r="CF99" i="31" s="1"/>
  <c r="BR59" i="31"/>
  <c r="BQ59" i="31"/>
  <c r="CF59" i="31" s="1"/>
  <c r="CA20" i="31"/>
  <c r="CA104" i="31" s="1"/>
  <c r="BL104" i="31"/>
  <c r="BO20" i="31"/>
  <c r="BN104" i="31"/>
  <c r="CC20" i="31"/>
  <c r="CC104" i="31" s="1"/>
  <c r="BM104" i="31"/>
  <c r="BP89" i="31"/>
  <c r="CD89" i="31" s="1"/>
  <c r="BQ89" i="31"/>
  <c r="CF89" i="31" s="1"/>
  <c r="BP36" i="31"/>
  <c r="CD36" i="31" s="1"/>
  <c r="CG62" i="31"/>
  <c r="CG29" i="31"/>
  <c r="CG78" i="31"/>
  <c r="CG97" i="31"/>
  <c r="CG94" i="31"/>
  <c r="CG39" i="31"/>
  <c r="CG83" i="31"/>
  <c r="CG100" i="31"/>
  <c r="CG103" i="31"/>
  <c r="CG91" i="31"/>
  <c r="CG68" i="31"/>
  <c r="CG73" i="31"/>
  <c r="CG81" i="31"/>
  <c r="CG37" i="31"/>
  <c r="CG102" i="31"/>
  <c r="CG87" i="31"/>
  <c r="CG48" i="31"/>
  <c r="CG24" i="31"/>
  <c r="CG49" i="31"/>
  <c r="CG53" i="31"/>
  <c r="CG54" i="31"/>
  <c r="CG28" i="31"/>
  <c r="BW96" i="31"/>
  <c r="BV96" i="31" s="1"/>
  <c r="BJ21" i="31"/>
  <c r="BY21" i="31" s="1"/>
  <c r="BJ101" i="31"/>
  <c r="BY101" i="31" s="1"/>
  <c r="BJ36" i="31"/>
  <c r="BY36" i="31" s="1"/>
  <c r="BJ39" i="31"/>
  <c r="BY39" i="31" s="1"/>
  <c r="BJ62" i="31"/>
  <c r="BY62" i="31" s="1"/>
  <c r="BJ20" i="31"/>
  <c r="BJ65" i="31"/>
  <c r="BY65" i="31" s="1"/>
  <c r="BJ69" i="31"/>
  <c r="BY69" i="31" s="1"/>
  <c r="BJ37" i="31"/>
  <c r="BY37" i="31" s="1"/>
  <c r="BJ63" i="31"/>
  <c r="BY63" i="31" s="1"/>
  <c r="BJ54" i="31"/>
  <c r="BY54" i="31" s="1"/>
  <c r="BJ84" i="31"/>
  <c r="BY84" i="31" s="1"/>
  <c r="BJ31" i="31"/>
  <c r="BY31" i="31" s="1"/>
  <c r="BJ76" i="31"/>
  <c r="BY76" i="31" s="1"/>
  <c r="BJ40" i="31"/>
  <c r="BY40" i="31" s="1"/>
  <c r="BJ102" i="31"/>
  <c r="BY102" i="31" s="1"/>
  <c r="BJ70" i="31"/>
  <c r="BY70" i="31" s="1"/>
  <c r="BJ24" i="31"/>
  <c r="BY24" i="31" s="1"/>
  <c r="BJ66" i="31"/>
  <c r="BY66" i="31" s="1"/>
  <c r="BJ78" i="31"/>
  <c r="BY78" i="31" s="1"/>
  <c r="BJ75" i="31"/>
  <c r="BY75" i="31" s="1"/>
  <c r="BJ61" i="31"/>
  <c r="BY61" i="31" s="1"/>
  <c r="BJ38" i="31"/>
  <c r="BY38" i="31" s="1"/>
  <c r="BJ35" i="31"/>
  <c r="BY35" i="31" s="1"/>
  <c r="BJ27" i="31"/>
  <c r="BY27" i="31" s="1"/>
  <c r="BJ57" i="31"/>
  <c r="BY57" i="31" s="1"/>
  <c r="BJ95" i="31"/>
  <c r="BY95" i="31" s="1"/>
  <c r="BJ23" i="31"/>
  <c r="BY23" i="31" s="1"/>
  <c r="BJ53" i="31"/>
  <c r="BY53" i="31" s="1"/>
  <c r="BJ29" i="31"/>
  <c r="BY29" i="31" s="1"/>
  <c r="BJ64" i="31"/>
  <c r="BY64" i="31" s="1"/>
  <c r="BJ81" i="31"/>
  <c r="BY81" i="31" s="1"/>
  <c r="BJ100" i="31"/>
  <c r="BY100" i="31" s="1"/>
  <c r="BJ98" i="31"/>
  <c r="BY98" i="31" s="1"/>
  <c r="BJ80" i="31"/>
  <c r="BY80" i="31" s="1"/>
  <c r="BJ103" i="31"/>
  <c r="BY103" i="31" s="1"/>
  <c r="BJ79" i="31"/>
  <c r="BY79" i="31" s="1"/>
  <c r="BJ86" i="31"/>
  <c r="BY86" i="31" s="1"/>
  <c r="BJ88" i="31"/>
  <c r="BY88" i="31" s="1"/>
  <c r="BJ47" i="31"/>
  <c r="BY47" i="31" s="1"/>
  <c r="BS95" i="31"/>
  <c r="CE95" i="31" s="1"/>
  <c r="BR95" i="31"/>
  <c r="BS36" i="31"/>
  <c r="CE36" i="31" s="1"/>
  <c r="BR36" i="31"/>
  <c r="BS84" i="31"/>
  <c r="CE84" i="31" s="1"/>
  <c r="BR84" i="31"/>
  <c r="BS89" i="31"/>
  <c r="CE89" i="31" s="1"/>
  <c r="BR89" i="31"/>
  <c r="CG50" i="31"/>
  <c r="BY77" i="31"/>
  <c r="CG74" i="31"/>
  <c r="CG61" i="31"/>
  <c r="CG46" i="31"/>
  <c r="BW25" i="31"/>
  <c r="BV25" i="31" s="1"/>
  <c r="BW38" i="31"/>
  <c r="BV38" i="31" s="1"/>
  <c r="BY90" i="31"/>
  <c r="CG30" i="31"/>
  <c r="CG69" i="31"/>
  <c r="BW35" i="31"/>
  <c r="BV35" i="31" s="1"/>
  <c r="BW26" i="31"/>
  <c r="BV26" i="31" s="1"/>
  <c r="BW41" i="31"/>
  <c r="BV41" i="31" s="1"/>
  <c r="BY73" i="31"/>
  <c r="BY48" i="31"/>
  <c r="BW64" i="31"/>
  <c r="BV64" i="31" s="1"/>
  <c r="BY74" i="31"/>
  <c r="CG92" i="31"/>
  <c r="BY87" i="31"/>
  <c r="BY93" i="31"/>
  <c r="BY50" i="31"/>
  <c r="BW101" i="31"/>
  <c r="BV101" i="31" s="1"/>
  <c r="BY32" i="31"/>
  <c r="BP40" i="31"/>
  <c r="CD40" i="31" s="1"/>
  <c r="BY45" i="31"/>
  <c r="BQ84" i="31"/>
  <c r="CF84" i="31" s="1"/>
  <c r="BP59" i="31"/>
  <c r="CD59" i="31" s="1"/>
  <c r="BW36" i="31"/>
  <c r="BV36" i="31" s="1"/>
  <c r="BQ28" i="31"/>
  <c r="CF28" i="31" s="1"/>
  <c r="BP84" i="31"/>
  <c r="CD84" i="31" s="1"/>
  <c r="BW88" i="31"/>
  <c r="BV88" i="31" s="1"/>
  <c r="CG99" i="31"/>
  <c r="BW86" i="31"/>
  <c r="BV86" i="31" s="1"/>
  <c r="CG59" i="31"/>
  <c r="BW52" i="31"/>
  <c r="BV52" i="31" s="1"/>
  <c r="CG32" i="31"/>
  <c r="BW95" i="31"/>
  <c r="BV95" i="31" s="1"/>
  <c r="BW27" i="31"/>
  <c r="BV27" i="31" s="1"/>
  <c r="BQ63" i="31"/>
  <c r="CF63" i="31" s="1"/>
  <c r="BY58" i="31"/>
  <c r="BR76" i="31"/>
  <c r="BY55" i="31"/>
  <c r="BY59" i="31"/>
  <c r="BY56" i="31"/>
  <c r="BQ40" i="31"/>
  <c r="CF40" i="31" s="1"/>
  <c r="BQ22" i="31"/>
  <c r="CF22" i="31" s="1"/>
  <c r="CG42" i="31"/>
  <c r="CG93" i="31"/>
  <c r="BY22" i="31"/>
  <c r="CG84" i="31"/>
  <c r="BY49" i="31"/>
  <c r="BY89" i="31"/>
  <c r="BW20" i="31"/>
  <c r="BW21" i="31"/>
  <c r="BV21" i="31" s="1"/>
  <c r="CG89" i="31"/>
  <c r="BY83" i="31"/>
  <c r="BP32" i="31"/>
  <c r="CD32" i="31" s="1"/>
  <c r="CG70" i="31"/>
  <c r="BP95" i="31"/>
  <c r="CD95" i="31" s="1"/>
  <c r="BY25" i="31"/>
  <c r="CG51" i="31"/>
  <c r="CG67" i="31"/>
  <c r="CG47" i="31"/>
  <c r="BW76" i="31"/>
  <c r="BV76" i="31" s="1"/>
  <c r="BW31" i="31"/>
  <c r="BV31" i="31" s="1"/>
  <c r="BQ32" i="31"/>
  <c r="CF32" i="31" s="1"/>
  <c r="BY42" i="31"/>
  <c r="BY85" i="31"/>
  <c r="BW75" i="31"/>
  <c r="BV75" i="31" s="1"/>
  <c r="CG80" i="31"/>
  <c r="CG63" i="31"/>
  <c r="BW43" i="31"/>
  <c r="BV43" i="31" s="1"/>
  <c r="BQ78" i="31"/>
  <c r="CF78" i="31" s="1"/>
  <c r="CG44" i="31"/>
  <c r="CG55" i="31"/>
  <c r="BQ76" i="31"/>
  <c r="CF76" i="31" s="1"/>
  <c r="BP78" i="31"/>
  <c r="CD78" i="31" s="1"/>
  <c r="BY44" i="31"/>
  <c r="BQ71" i="31"/>
  <c r="CF71" i="31" s="1"/>
  <c r="BP52" i="31"/>
  <c r="CD52" i="31" s="1"/>
  <c r="BY92" i="31"/>
  <c r="BY67" i="31"/>
  <c r="BR20" i="31"/>
  <c r="BY34" i="31"/>
  <c r="BR72" i="31"/>
  <c r="BP85" i="31"/>
  <c r="CD85" i="31" s="1"/>
  <c r="BP53" i="31"/>
  <c r="CD53" i="31" s="1"/>
  <c r="BP82" i="31"/>
  <c r="CD82" i="31" s="1"/>
  <c r="BP46" i="31"/>
  <c r="CD46" i="31" s="1"/>
  <c r="BP57" i="31"/>
  <c r="CD57" i="31" s="1"/>
  <c r="BP48" i="31"/>
  <c r="CD48" i="31" s="1"/>
  <c r="BQ24" i="31"/>
  <c r="CF24" i="31" s="1"/>
  <c r="BP37" i="31"/>
  <c r="CD37" i="31" s="1"/>
  <c r="BQ55" i="31"/>
  <c r="CF55" i="31" s="1"/>
  <c r="BP81" i="31"/>
  <c r="CD81" i="31" s="1"/>
  <c r="BY72" i="31"/>
  <c r="BW33" i="31"/>
  <c r="BV33" i="31" s="1"/>
  <c r="BP39" i="31"/>
  <c r="CD39" i="31" s="1"/>
  <c r="BP103" i="31"/>
  <c r="CD103" i="31" s="1"/>
  <c r="BP92" i="31"/>
  <c r="CD92" i="31" s="1"/>
  <c r="BP74" i="31"/>
  <c r="CD74" i="31" s="1"/>
  <c r="BQ103" i="31"/>
  <c r="CF103" i="31" s="1"/>
  <c r="BQ74" i="31"/>
  <c r="CF74" i="31" s="1"/>
  <c r="BP64" i="31"/>
  <c r="CD64" i="31" s="1"/>
  <c r="BQ50" i="31"/>
  <c r="CF50" i="31" s="1"/>
  <c r="BP71" i="31"/>
  <c r="CD71" i="31" s="1"/>
  <c r="CG65" i="31"/>
  <c r="BQ57" i="31"/>
  <c r="CF57" i="31" s="1"/>
  <c r="BQ68" i="31"/>
  <c r="CF68" i="31" s="1"/>
  <c r="BS78" i="31"/>
  <c r="CE78" i="31" s="1"/>
  <c r="CG34" i="31"/>
  <c r="BQ34" i="31"/>
  <c r="CF34" i="31" s="1"/>
  <c r="BP43" i="31"/>
  <c r="CD43" i="31" s="1"/>
  <c r="BQ60" i="31"/>
  <c r="CF60" i="31" s="1"/>
  <c r="BP47" i="31"/>
  <c r="CD47" i="31" s="1"/>
  <c r="BQ64" i="31"/>
  <c r="CF64" i="31" s="1"/>
  <c r="BR79" i="31"/>
  <c r="BP22" i="31"/>
  <c r="CD22" i="31" s="1"/>
  <c r="BQ91" i="31"/>
  <c r="CF91" i="31" s="1"/>
  <c r="BQ97" i="31"/>
  <c r="CF97" i="31" s="1"/>
  <c r="BQ43" i="31"/>
  <c r="CF43" i="31" s="1"/>
  <c r="BQ98" i="31"/>
  <c r="CF98" i="31" s="1"/>
  <c r="BQ92" i="31"/>
  <c r="CF92" i="31" s="1"/>
  <c r="BQ81" i="31"/>
  <c r="CF81" i="31" s="1"/>
  <c r="BR74" i="31"/>
  <c r="BQ61" i="31"/>
  <c r="CF61" i="31" s="1"/>
  <c r="BR25" i="31"/>
  <c r="BQ85" i="31"/>
  <c r="CF85" i="31" s="1"/>
  <c r="BP34" i="31"/>
  <c r="CD34" i="31" s="1"/>
  <c r="BQ44" i="31"/>
  <c r="CF44" i="31" s="1"/>
  <c r="BP91" i="31"/>
  <c r="CD91" i="31" s="1"/>
  <c r="BP28" i="31"/>
  <c r="CD28" i="31" s="1"/>
  <c r="BP49" i="31"/>
  <c r="CD49" i="31" s="1"/>
  <c r="BQ88" i="31"/>
  <c r="CF88" i="31" s="1"/>
  <c r="BQ27" i="31"/>
  <c r="CF27" i="31" s="1"/>
  <c r="BP26" i="31"/>
  <c r="CD26" i="31" s="1"/>
  <c r="BQ52" i="31"/>
  <c r="CF52" i="31" s="1"/>
  <c r="BQ66" i="31"/>
  <c r="CF66" i="31" s="1"/>
  <c r="BQ33" i="31"/>
  <c r="CF33" i="31" s="1"/>
  <c r="BR64" i="31"/>
  <c r="BP38" i="31"/>
  <c r="CD38" i="31" s="1"/>
  <c r="CG23" i="31"/>
  <c r="BQ29" i="31"/>
  <c r="CF29" i="31" s="1"/>
  <c r="BP102" i="31"/>
  <c r="CD102" i="31" s="1"/>
  <c r="BP100" i="31"/>
  <c r="CD100" i="31" s="1"/>
  <c r="CG56" i="31"/>
  <c r="BQ25" i="31"/>
  <c r="CF25" i="31" s="1"/>
  <c r="BQ39" i="31"/>
  <c r="CF39" i="31" s="1"/>
  <c r="BQ102" i="31"/>
  <c r="CF102" i="31" s="1"/>
  <c r="BQ51" i="31"/>
  <c r="CF51" i="31" s="1"/>
  <c r="BP31" i="31"/>
  <c r="CD31" i="31" s="1"/>
  <c r="BP97" i="31"/>
  <c r="CD97" i="31" s="1"/>
  <c r="BQ38" i="31"/>
  <c r="CF38" i="31" s="1"/>
  <c r="BP96" i="31"/>
  <c r="CD96" i="31" s="1"/>
  <c r="BP25" i="31"/>
  <c r="CD25" i="31" s="1"/>
  <c r="CG79" i="31"/>
  <c r="BQ82" i="31"/>
  <c r="CF82" i="31" s="1"/>
  <c r="BR39" i="31"/>
  <c r="BR41" i="31"/>
  <c r="BR44" i="31"/>
  <c r="BQ48" i="31"/>
  <c r="CF48" i="31" s="1"/>
  <c r="CG98" i="31"/>
  <c r="BR30" i="31"/>
  <c r="BP50" i="31"/>
  <c r="CD50" i="31" s="1"/>
  <c r="BP51" i="31"/>
  <c r="CD51" i="31" s="1"/>
  <c r="BQ46" i="31"/>
  <c r="CF46" i="31" s="1"/>
  <c r="BR57" i="31"/>
  <c r="BR53" i="31"/>
  <c r="BQ47" i="31"/>
  <c r="CF47" i="31" s="1"/>
  <c r="BR38" i="31"/>
  <c r="BP61" i="31"/>
  <c r="CD61" i="31" s="1"/>
  <c r="BR100" i="31"/>
  <c r="BP87" i="31"/>
  <c r="CD87" i="31" s="1"/>
  <c r="BR48" i="31"/>
  <c r="CG57" i="31"/>
  <c r="BP73" i="31"/>
  <c r="CD73" i="31" s="1"/>
  <c r="BP67" i="31"/>
  <c r="CD67" i="31" s="1"/>
  <c r="BR26" i="31"/>
  <c r="BR46" i="31"/>
  <c r="BR47" i="31"/>
  <c r="BP24" i="31"/>
  <c r="CD24" i="31" s="1"/>
  <c r="BP72" i="31"/>
  <c r="CD72" i="31" s="1"/>
  <c r="CG72" i="31"/>
  <c r="BR82" i="31"/>
  <c r="BQ54" i="31"/>
  <c r="CF54" i="31" s="1"/>
  <c r="CG58" i="31"/>
  <c r="BP42" i="31"/>
  <c r="CD42" i="31" s="1"/>
  <c r="BP44" i="31"/>
  <c r="CD44" i="31" s="1"/>
  <c r="BR58" i="31"/>
  <c r="BQ73" i="31"/>
  <c r="CF73" i="31" s="1"/>
  <c r="CG90" i="31"/>
  <c r="BQ67" i="31"/>
  <c r="CF67" i="31" s="1"/>
  <c r="BR52" i="31"/>
  <c r="BP66" i="31"/>
  <c r="CD66" i="31" s="1"/>
  <c r="BP33" i="31"/>
  <c r="CD33" i="31" s="1"/>
  <c r="BQ96" i="31"/>
  <c r="CF96" i="31" s="1"/>
  <c r="BP60" i="31"/>
  <c r="CD60" i="31" s="1"/>
  <c r="BQ72" i="31"/>
  <c r="CF72" i="31" s="1"/>
  <c r="CG22" i="31"/>
  <c r="CG40" i="31"/>
  <c r="BP98" i="31"/>
  <c r="CD98" i="31" s="1"/>
  <c r="BP79" i="31"/>
  <c r="CD79" i="31" s="1"/>
  <c r="BP88" i="31"/>
  <c r="CD88" i="31" s="1"/>
  <c r="BP27" i="31"/>
  <c r="CD27" i="31" s="1"/>
  <c r="CG85" i="31"/>
  <c r="BP41" i="31"/>
  <c r="CD41" i="31" s="1"/>
  <c r="BP54" i="31"/>
  <c r="CD54" i="31" s="1"/>
  <c r="BS59" i="31"/>
  <c r="CE59" i="31" s="1"/>
  <c r="CG71" i="31"/>
  <c r="BP58" i="31"/>
  <c r="CD58" i="31" s="1"/>
  <c r="CG60" i="31"/>
  <c r="BR60" i="31"/>
  <c r="BR61" i="31"/>
  <c r="BQ41" i="31"/>
  <c r="CF41" i="31" s="1"/>
  <c r="CG45" i="31"/>
  <c r="BR98" i="31"/>
  <c r="BQ87" i="31"/>
  <c r="CF87" i="31" s="1"/>
  <c r="CG82" i="31"/>
  <c r="BQ58" i="31"/>
  <c r="CF58" i="31" s="1"/>
  <c r="BQ30" i="31"/>
  <c r="CF30" i="31" s="1"/>
  <c r="CG77" i="31"/>
  <c r="BR91" i="31"/>
  <c r="BQ49" i="31"/>
  <c r="CF49" i="31" s="1"/>
  <c r="BQ26" i="31"/>
  <c r="CF26" i="31" s="1"/>
  <c r="BP76" i="31"/>
  <c r="CD76" i="31" s="1"/>
  <c r="BQ53" i="31"/>
  <c r="CF53" i="31" s="1"/>
  <c r="BR80" i="31"/>
  <c r="BP55" i="31"/>
  <c r="CD55" i="31" s="1"/>
  <c r="CG66" i="31"/>
  <c r="BQ37" i="31"/>
  <c r="CF37" i="31" s="1"/>
  <c r="BR51" i="31"/>
  <c r="BR37" i="31"/>
  <c r="BQ100" i="31"/>
  <c r="CF100" i="31" s="1"/>
  <c r="BD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45" i="26"/>
  <c r="BV46" i="26"/>
  <c r="BV47" i="26"/>
  <c r="BV48" i="26"/>
  <c r="BV49" i="26"/>
  <c r="BV50" i="26"/>
  <c r="BV51" i="26"/>
  <c r="BV52" i="26"/>
  <c r="BV53" i="26"/>
  <c r="BV54" i="26"/>
  <c r="BV55" i="26"/>
  <c r="BV56" i="26"/>
  <c r="BV57" i="26"/>
  <c r="BV58" i="26"/>
  <c r="BV59" i="26"/>
  <c r="BV60" i="26"/>
  <c r="BV61" i="26"/>
  <c r="BV62" i="26"/>
  <c r="BV63" i="26"/>
  <c r="BV64" i="26"/>
  <c r="BV65" i="26"/>
  <c r="BV66" i="26"/>
  <c r="BV67" i="26"/>
  <c r="BV68" i="26"/>
  <c r="BV69" i="26"/>
  <c r="BV70" i="26"/>
  <c r="BV71" i="26"/>
  <c r="BV72" i="26"/>
  <c r="BV73" i="26"/>
  <c r="BV74" i="26"/>
  <c r="BV75" i="26"/>
  <c r="BV76" i="26"/>
  <c r="BV77" i="26"/>
  <c r="BV78" i="26"/>
  <c r="BV79" i="26"/>
  <c r="BV80" i="26"/>
  <c r="BV81" i="26"/>
  <c r="BV82" i="26"/>
  <c r="BV83" i="26"/>
  <c r="BV84" i="26"/>
  <c r="BV85" i="26"/>
  <c r="BV86" i="26"/>
  <c r="BV87" i="26"/>
  <c r="BV88" i="26"/>
  <c r="BV89" i="26"/>
  <c r="BV90" i="26"/>
  <c r="BV91" i="26"/>
  <c r="BV92" i="26"/>
  <c r="BV93" i="26"/>
  <c r="BV94" i="26"/>
  <c r="BV95" i="26"/>
  <c r="BV96" i="26"/>
  <c r="BV97" i="26"/>
  <c r="BV98" i="26"/>
  <c r="BV99" i="26"/>
  <c r="BV100" i="26"/>
  <c r="BV101" i="26"/>
  <c r="BV102" i="26"/>
  <c r="BV103" i="26"/>
  <c r="BV20" i="26"/>
  <c r="C21" i="22"/>
  <c r="C26" i="5" l="1"/>
  <c r="BJ104" i="31"/>
  <c r="BV20" i="31"/>
  <c r="BW104" i="31"/>
  <c r="CB20" i="31"/>
  <c r="CB104" i="31" s="1"/>
  <c r="BO104" i="31"/>
  <c r="BY20" i="31"/>
  <c r="BY104" i="31" s="1"/>
  <c r="CG96" i="31"/>
  <c r="CG27" i="31"/>
  <c r="CG33" i="31"/>
  <c r="CG21" i="31"/>
  <c r="CG26" i="31"/>
  <c r="CG86" i="31"/>
  <c r="BS72" i="31"/>
  <c r="CE72" i="31" s="1"/>
  <c r="BS24" i="31"/>
  <c r="CE24" i="31" s="1"/>
  <c r="BR24" i="31"/>
  <c r="BS55" i="31"/>
  <c r="CE55" i="31" s="1"/>
  <c r="BR55" i="31"/>
  <c r="BS42" i="31"/>
  <c r="CE42" i="31" s="1"/>
  <c r="BR42" i="31"/>
  <c r="BR31" i="31"/>
  <c r="BR66" i="31"/>
  <c r="BQ20" i="31"/>
  <c r="BR63" i="31"/>
  <c r="BS40" i="31"/>
  <c r="CE40" i="31" s="1"/>
  <c r="BR40" i="31"/>
  <c r="BR73" i="31"/>
  <c r="BR96" i="31"/>
  <c r="BS67" i="31"/>
  <c r="CE67" i="31" s="1"/>
  <c r="BR67" i="31"/>
  <c r="BR94" i="31"/>
  <c r="BR87" i="31"/>
  <c r="BR93" i="31"/>
  <c r="BS88" i="31"/>
  <c r="CE88" i="31" s="1"/>
  <c r="BR88" i="31"/>
  <c r="BR103" i="31"/>
  <c r="BQ80" i="31"/>
  <c r="CF80" i="31" s="1"/>
  <c r="BS97" i="31"/>
  <c r="CE97" i="31" s="1"/>
  <c r="BR97" i="31"/>
  <c r="BR43" i="31"/>
  <c r="BS92" i="31"/>
  <c r="CE92" i="31" s="1"/>
  <c r="BR92" i="31"/>
  <c r="BS50" i="31"/>
  <c r="CE50" i="31" s="1"/>
  <c r="BR50" i="31"/>
  <c r="BR49" i="31"/>
  <c r="BQ21" i="31"/>
  <c r="CF21" i="31" s="1"/>
  <c r="BS99" i="31"/>
  <c r="CE99" i="31" s="1"/>
  <c r="BR99" i="31"/>
  <c r="BP23" i="31"/>
  <c r="CD23" i="31" s="1"/>
  <c r="BR21" i="31"/>
  <c r="BQ94" i="31"/>
  <c r="CF94" i="31" s="1"/>
  <c r="BQ31" i="31"/>
  <c r="CF31" i="31" s="1"/>
  <c r="BP80" i="31"/>
  <c r="CD80" i="31" s="1"/>
  <c r="BQ23" i="31"/>
  <c r="CF23" i="31" s="1"/>
  <c r="BS34" i="31"/>
  <c r="CE34" i="31" s="1"/>
  <c r="BR34" i="31"/>
  <c r="BR23" i="31"/>
  <c r="BR33" i="31"/>
  <c r="BS81" i="31"/>
  <c r="CE81" i="31" s="1"/>
  <c r="BR81" i="31"/>
  <c r="BQ42" i="31"/>
  <c r="CF42" i="31" s="1"/>
  <c r="BQ93" i="31"/>
  <c r="CF93" i="31" s="1"/>
  <c r="BP93" i="31"/>
  <c r="CD93" i="31" s="1"/>
  <c r="BS32" i="31"/>
  <c r="CE32" i="31" s="1"/>
  <c r="BR32" i="31"/>
  <c r="BS22" i="31"/>
  <c r="CE22" i="31" s="1"/>
  <c r="BR22" i="31"/>
  <c r="BP94" i="31"/>
  <c r="CD94" i="31" s="1"/>
  <c r="BS102" i="31"/>
  <c r="CE102" i="31" s="1"/>
  <c r="BR102" i="31"/>
  <c r="BP30" i="31"/>
  <c r="CD30" i="31" s="1"/>
  <c r="BP21" i="31"/>
  <c r="CD21" i="31" s="1"/>
  <c r="BR27" i="31"/>
  <c r="BS71" i="31"/>
  <c r="CE71" i="31" s="1"/>
  <c r="BR71" i="31"/>
  <c r="BS54" i="31"/>
  <c r="CE54" i="31" s="1"/>
  <c r="BR54" i="31"/>
  <c r="BS85" i="31"/>
  <c r="CE85" i="31" s="1"/>
  <c r="BR85" i="31"/>
  <c r="BR28" i="31"/>
  <c r="BQ79" i="31"/>
  <c r="CF79" i="31" s="1"/>
  <c r="CG25" i="31"/>
  <c r="BS96" i="31"/>
  <c r="CE96" i="31" s="1"/>
  <c r="CG41" i="31"/>
  <c r="CG38" i="31"/>
  <c r="CG20" i="31"/>
  <c r="CG64" i="31"/>
  <c r="CG36" i="31"/>
  <c r="CG52" i="31"/>
  <c r="CG35" i="31"/>
  <c r="BS103" i="31"/>
  <c r="CE103" i="31" s="1"/>
  <c r="CG101" i="31"/>
  <c r="BS63" i="31"/>
  <c r="CE63" i="31" s="1"/>
  <c r="BS49" i="31"/>
  <c r="CE49" i="31" s="1"/>
  <c r="CG75" i="31"/>
  <c r="CG31" i="31"/>
  <c r="CG88" i="31"/>
  <c r="CG95" i="31"/>
  <c r="BP29" i="31"/>
  <c r="CD29" i="31" s="1"/>
  <c r="CG76" i="31"/>
  <c r="CG43" i="31"/>
  <c r="BS87" i="31"/>
  <c r="CE87" i="31" s="1"/>
  <c r="BS66" i="31"/>
  <c r="CE66" i="31" s="1"/>
  <c r="BS33" i="31"/>
  <c r="CE33" i="31" s="1"/>
  <c r="BP68" i="31"/>
  <c r="CD68" i="31" s="1"/>
  <c r="BP35" i="31"/>
  <c r="CD35" i="31" s="1"/>
  <c r="BP75" i="31"/>
  <c r="CD75" i="31" s="1"/>
  <c r="BS73" i="31"/>
  <c r="CE73" i="31" s="1"/>
  <c r="BS27" i="31"/>
  <c r="CE27" i="31" s="1"/>
  <c r="BS79" i="31"/>
  <c r="CE79" i="31" s="1"/>
  <c r="BS74" i="31"/>
  <c r="CE74" i="31" s="1"/>
  <c r="BS25" i="31"/>
  <c r="CE25" i="31" s="1"/>
  <c r="BQ35" i="31"/>
  <c r="CF35" i="31" s="1"/>
  <c r="BR83" i="31"/>
  <c r="BR69" i="31"/>
  <c r="BS53" i="31"/>
  <c r="CE53" i="31" s="1"/>
  <c r="BR35" i="31"/>
  <c r="BS37" i="31"/>
  <c r="CE37" i="31" s="1"/>
  <c r="BS57" i="31"/>
  <c r="CE57" i="31" s="1"/>
  <c r="BR75" i="31"/>
  <c r="BS58" i="31"/>
  <c r="CE58" i="31" s="1"/>
  <c r="BS48" i="31"/>
  <c r="CE48" i="31" s="1"/>
  <c r="BS38" i="31"/>
  <c r="CE38" i="31" s="1"/>
  <c r="BS41" i="31"/>
  <c r="CE41" i="31" s="1"/>
  <c r="BS82" i="31"/>
  <c r="CE82" i="31" s="1"/>
  <c r="BS20" i="31"/>
  <c r="BS39" i="31"/>
  <c r="CE39" i="31" s="1"/>
  <c r="BS91" i="31"/>
  <c r="CE91" i="31" s="1"/>
  <c r="BS52" i="31"/>
  <c r="CE52" i="31" s="1"/>
  <c r="BS76" i="31"/>
  <c r="CE76" i="31" s="1"/>
  <c r="BS98" i="31"/>
  <c r="CE98" i="31" s="1"/>
  <c r="BS47" i="31"/>
  <c r="CE47" i="31" s="1"/>
  <c r="BS30" i="31"/>
  <c r="CE30" i="31" s="1"/>
  <c r="BS44" i="31"/>
  <c r="CE44" i="31" s="1"/>
  <c r="BS51" i="31"/>
  <c r="CE51" i="31" s="1"/>
  <c r="BQ75" i="31"/>
  <c r="CF75" i="31" s="1"/>
  <c r="BS46" i="31"/>
  <c r="CE46" i="31" s="1"/>
  <c r="D8" i="26"/>
  <c r="D5" i="26"/>
  <c r="D4" i="26"/>
  <c r="D3" i="26"/>
  <c r="D1" i="26"/>
  <c r="CQ21" i="26"/>
  <c r="DT21" i="26" s="1"/>
  <c r="CQ22" i="26"/>
  <c r="DT22" i="26" s="1"/>
  <c r="CQ23" i="26"/>
  <c r="DT23" i="26" s="1"/>
  <c r="CQ24" i="26"/>
  <c r="DT24" i="26" s="1"/>
  <c r="CQ25" i="26"/>
  <c r="DT25" i="26" s="1"/>
  <c r="CQ26" i="26"/>
  <c r="DT26" i="26" s="1"/>
  <c r="CQ27" i="26"/>
  <c r="DT27" i="26" s="1"/>
  <c r="CQ28" i="26"/>
  <c r="DT28" i="26" s="1"/>
  <c r="CQ29" i="26"/>
  <c r="DT29" i="26" s="1"/>
  <c r="CQ30" i="26"/>
  <c r="DT30" i="26" s="1"/>
  <c r="CQ31" i="26"/>
  <c r="DT31" i="26" s="1"/>
  <c r="CQ32" i="26"/>
  <c r="DT32" i="26" s="1"/>
  <c r="CQ33" i="26"/>
  <c r="DT33" i="26" s="1"/>
  <c r="CQ34" i="26"/>
  <c r="DT34" i="26" s="1"/>
  <c r="CQ35" i="26"/>
  <c r="DT35" i="26" s="1"/>
  <c r="CQ36" i="26"/>
  <c r="DT36" i="26" s="1"/>
  <c r="CQ37" i="26"/>
  <c r="DT37" i="26" s="1"/>
  <c r="CQ38" i="26"/>
  <c r="DT38" i="26" s="1"/>
  <c r="CQ39" i="26"/>
  <c r="DT39" i="26" s="1"/>
  <c r="CQ40" i="26"/>
  <c r="DT40" i="26" s="1"/>
  <c r="CQ41" i="26"/>
  <c r="DT41" i="26" s="1"/>
  <c r="CQ42" i="26"/>
  <c r="DT42" i="26" s="1"/>
  <c r="CQ43" i="26"/>
  <c r="DT43" i="26" s="1"/>
  <c r="CQ44" i="26"/>
  <c r="DT44" i="26" s="1"/>
  <c r="CQ45" i="26"/>
  <c r="DT45" i="26" s="1"/>
  <c r="CQ46" i="26"/>
  <c r="DT46" i="26" s="1"/>
  <c r="CQ47" i="26"/>
  <c r="DT47" i="26" s="1"/>
  <c r="CQ48" i="26"/>
  <c r="DT48" i="26" s="1"/>
  <c r="CQ49" i="26"/>
  <c r="DT49" i="26" s="1"/>
  <c r="CQ50" i="26"/>
  <c r="DT50" i="26" s="1"/>
  <c r="CQ51" i="26"/>
  <c r="DT51" i="26" s="1"/>
  <c r="CQ52" i="26"/>
  <c r="DT52" i="26" s="1"/>
  <c r="CQ53" i="26"/>
  <c r="DT53" i="26" s="1"/>
  <c r="CQ54" i="26"/>
  <c r="DT54" i="26" s="1"/>
  <c r="CQ55" i="26"/>
  <c r="DT55" i="26" s="1"/>
  <c r="CQ56" i="26"/>
  <c r="DT56" i="26" s="1"/>
  <c r="CQ57" i="26"/>
  <c r="DT57" i="26" s="1"/>
  <c r="CQ58" i="26"/>
  <c r="DT58" i="26" s="1"/>
  <c r="CQ59" i="26"/>
  <c r="DT59" i="26" s="1"/>
  <c r="CQ60" i="26"/>
  <c r="DT60" i="26" s="1"/>
  <c r="CQ61" i="26"/>
  <c r="DT61" i="26" s="1"/>
  <c r="CQ62" i="26"/>
  <c r="DT62" i="26" s="1"/>
  <c r="CQ63" i="26"/>
  <c r="DT63" i="26" s="1"/>
  <c r="CQ64" i="26"/>
  <c r="DT64" i="26" s="1"/>
  <c r="CQ65" i="26"/>
  <c r="DT65" i="26" s="1"/>
  <c r="CQ66" i="26"/>
  <c r="DT66" i="26" s="1"/>
  <c r="CQ67" i="26"/>
  <c r="DT67" i="26" s="1"/>
  <c r="CQ68" i="26"/>
  <c r="DT68" i="26" s="1"/>
  <c r="CQ69" i="26"/>
  <c r="DT69" i="26" s="1"/>
  <c r="CQ70" i="26"/>
  <c r="DT70" i="26" s="1"/>
  <c r="CQ71" i="26"/>
  <c r="DT71" i="26" s="1"/>
  <c r="CQ72" i="26"/>
  <c r="DT72" i="26" s="1"/>
  <c r="CQ73" i="26"/>
  <c r="DT73" i="26" s="1"/>
  <c r="CQ74" i="26"/>
  <c r="DT74" i="26" s="1"/>
  <c r="CQ75" i="26"/>
  <c r="DT75" i="26" s="1"/>
  <c r="CQ76" i="26"/>
  <c r="DT76" i="26" s="1"/>
  <c r="CQ77" i="26"/>
  <c r="DT77" i="26" s="1"/>
  <c r="CQ78" i="26"/>
  <c r="DT78" i="26" s="1"/>
  <c r="CQ79" i="26"/>
  <c r="DT79" i="26" s="1"/>
  <c r="CQ80" i="26"/>
  <c r="DT80" i="26" s="1"/>
  <c r="CQ81" i="26"/>
  <c r="DT81" i="26" s="1"/>
  <c r="CQ82" i="26"/>
  <c r="DT82" i="26" s="1"/>
  <c r="CQ83" i="26"/>
  <c r="DT83" i="26" s="1"/>
  <c r="CQ84" i="26"/>
  <c r="DT84" i="26" s="1"/>
  <c r="CQ85" i="26"/>
  <c r="DT85" i="26" s="1"/>
  <c r="CQ86" i="26"/>
  <c r="DT86" i="26" s="1"/>
  <c r="CQ87" i="26"/>
  <c r="DT87" i="26" s="1"/>
  <c r="CQ88" i="26"/>
  <c r="DT88" i="26" s="1"/>
  <c r="CQ89" i="26"/>
  <c r="DT89" i="26" s="1"/>
  <c r="CQ90" i="26"/>
  <c r="DT90" i="26" s="1"/>
  <c r="CQ91" i="26"/>
  <c r="DT91" i="26" s="1"/>
  <c r="CQ92" i="26"/>
  <c r="DT92" i="26" s="1"/>
  <c r="CQ93" i="26"/>
  <c r="DT93" i="26" s="1"/>
  <c r="CQ94" i="26"/>
  <c r="DT94" i="26" s="1"/>
  <c r="CQ95" i="26"/>
  <c r="DT95" i="26" s="1"/>
  <c r="CQ96" i="26"/>
  <c r="DT96" i="26" s="1"/>
  <c r="CQ97" i="26"/>
  <c r="DT97" i="26" s="1"/>
  <c r="CQ98" i="26"/>
  <c r="DT98" i="26" s="1"/>
  <c r="CQ99" i="26"/>
  <c r="DT99" i="26" s="1"/>
  <c r="CQ100" i="26"/>
  <c r="DT100" i="26" s="1"/>
  <c r="CQ101" i="26"/>
  <c r="DT101" i="26" s="1"/>
  <c r="CQ102" i="26"/>
  <c r="DT102" i="26" s="1"/>
  <c r="CQ103" i="26"/>
  <c r="DT103" i="26" s="1"/>
  <c r="CP21" i="26"/>
  <c r="CP22" i="26"/>
  <c r="CP23" i="26"/>
  <c r="CP24" i="26"/>
  <c r="CP25" i="26"/>
  <c r="CP26" i="26"/>
  <c r="CP27" i="26"/>
  <c r="CP28" i="26"/>
  <c r="CP29" i="26"/>
  <c r="CP30" i="26"/>
  <c r="CP31" i="26"/>
  <c r="CP32" i="26"/>
  <c r="CP33" i="26"/>
  <c r="CP34" i="26"/>
  <c r="CP35" i="26"/>
  <c r="CP36" i="26"/>
  <c r="CP37" i="26"/>
  <c r="CP38" i="26"/>
  <c r="CP39" i="26"/>
  <c r="CP40" i="26"/>
  <c r="CP41" i="26"/>
  <c r="CP42" i="26"/>
  <c r="CP43" i="26"/>
  <c r="CP44" i="26"/>
  <c r="CP45" i="26"/>
  <c r="CP46" i="26"/>
  <c r="CP47" i="26"/>
  <c r="CP48" i="26"/>
  <c r="CP49" i="26"/>
  <c r="CP50" i="26"/>
  <c r="CP51" i="26"/>
  <c r="CP52" i="26"/>
  <c r="CP53" i="26"/>
  <c r="CP54" i="26"/>
  <c r="CP55" i="26"/>
  <c r="CP56" i="26"/>
  <c r="CP57" i="26"/>
  <c r="CP58" i="26"/>
  <c r="CP59" i="26"/>
  <c r="CP60" i="26"/>
  <c r="CP61" i="26"/>
  <c r="CP62" i="26"/>
  <c r="CP63" i="26"/>
  <c r="CP64" i="26"/>
  <c r="CP65" i="26"/>
  <c r="CP66" i="26"/>
  <c r="CP67" i="26"/>
  <c r="CP68" i="26"/>
  <c r="CP69" i="26"/>
  <c r="CP70" i="26"/>
  <c r="CP71" i="26"/>
  <c r="CP72" i="26"/>
  <c r="CP73" i="26"/>
  <c r="CP74" i="26"/>
  <c r="CP75" i="26"/>
  <c r="CP76" i="26"/>
  <c r="CP77" i="26"/>
  <c r="CP78" i="26"/>
  <c r="CP79" i="26"/>
  <c r="CP80" i="26"/>
  <c r="CP81" i="26"/>
  <c r="CP82" i="26"/>
  <c r="CP83" i="26"/>
  <c r="CP84" i="26"/>
  <c r="CP85" i="26"/>
  <c r="CP86" i="26"/>
  <c r="CP87" i="26"/>
  <c r="CP88" i="26"/>
  <c r="CP89" i="26"/>
  <c r="CP90" i="26"/>
  <c r="CP91" i="26"/>
  <c r="CP92" i="26"/>
  <c r="CP93" i="26"/>
  <c r="CP94" i="26"/>
  <c r="CP95" i="26"/>
  <c r="CP96" i="26"/>
  <c r="CP97" i="26"/>
  <c r="CP98" i="26"/>
  <c r="CP99" i="26"/>
  <c r="CP100" i="26"/>
  <c r="CP101" i="26"/>
  <c r="CP102" i="26"/>
  <c r="CP103" i="26"/>
  <c r="CO21" i="26"/>
  <c r="DU21" i="26" s="1"/>
  <c r="CO22" i="26"/>
  <c r="DU22" i="26" s="1"/>
  <c r="CO23" i="26"/>
  <c r="DU23" i="26" s="1"/>
  <c r="CO24" i="26"/>
  <c r="DU24" i="26" s="1"/>
  <c r="CO25" i="26"/>
  <c r="DU25" i="26" s="1"/>
  <c r="CO26" i="26"/>
  <c r="DU26" i="26" s="1"/>
  <c r="CO27" i="26"/>
  <c r="DU27" i="26" s="1"/>
  <c r="CO28" i="26"/>
  <c r="DU28" i="26" s="1"/>
  <c r="CO29" i="26"/>
  <c r="DU29" i="26" s="1"/>
  <c r="CO30" i="26"/>
  <c r="DU30" i="26" s="1"/>
  <c r="CO31" i="26"/>
  <c r="DU31" i="26" s="1"/>
  <c r="CO32" i="26"/>
  <c r="DU32" i="26" s="1"/>
  <c r="CO33" i="26"/>
  <c r="DU33" i="26" s="1"/>
  <c r="CO34" i="26"/>
  <c r="DU34" i="26" s="1"/>
  <c r="CO35" i="26"/>
  <c r="DU35" i="26" s="1"/>
  <c r="CO36" i="26"/>
  <c r="DU36" i="26" s="1"/>
  <c r="CO37" i="26"/>
  <c r="DU37" i="26" s="1"/>
  <c r="CO38" i="26"/>
  <c r="DU38" i="26" s="1"/>
  <c r="CO39" i="26"/>
  <c r="DU39" i="26" s="1"/>
  <c r="CO40" i="26"/>
  <c r="DU40" i="26" s="1"/>
  <c r="CO41" i="26"/>
  <c r="DU41" i="26" s="1"/>
  <c r="CO42" i="26"/>
  <c r="DU42" i="26" s="1"/>
  <c r="CO43" i="26"/>
  <c r="DU43" i="26" s="1"/>
  <c r="CO44" i="26"/>
  <c r="DU44" i="26" s="1"/>
  <c r="CO45" i="26"/>
  <c r="DU45" i="26" s="1"/>
  <c r="CO46" i="26"/>
  <c r="DU46" i="26" s="1"/>
  <c r="CO47" i="26"/>
  <c r="DU47" i="26" s="1"/>
  <c r="CO48" i="26"/>
  <c r="DU48" i="26" s="1"/>
  <c r="CO49" i="26"/>
  <c r="DU49" i="26" s="1"/>
  <c r="CO50" i="26"/>
  <c r="DU50" i="26" s="1"/>
  <c r="CO51" i="26"/>
  <c r="DU51" i="26" s="1"/>
  <c r="CO52" i="26"/>
  <c r="DU52" i="26" s="1"/>
  <c r="CO53" i="26"/>
  <c r="DU53" i="26" s="1"/>
  <c r="CO54" i="26"/>
  <c r="DU54" i="26" s="1"/>
  <c r="CO55" i="26"/>
  <c r="DU55" i="26" s="1"/>
  <c r="CO56" i="26"/>
  <c r="DU56" i="26" s="1"/>
  <c r="CO57" i="26"/>
  <c r="DU57" i="26" s="1"/>
  <c r="CO58" i="26"/>
  <c r="DU58" i="26" s="1"/>
  <c r="CO59" i="26"/>
  <c r="DU59" i="26" s="1"/>
  <c r="CO60" i="26"/>
  <c r="DU60" i="26" s="1"/>
  <c r="CO61" i="26"/>
  <c r="DU61" i="26" s="1"/>
  <c r="CO62" i="26"/>
  <c r="DU62" i="26" s="1"/>
  <c r="CO63" i="26"/>
  <c r="DU63" i="26" s="1"/>
  <c r="CO64" i="26"/>
  <c r="DU64" i="26" s="1"/>
  <c r="CO65" i="26"/>
  <c r="DU65" i="26" s="1"/>
  <c r="CO66" i="26"/>
  <c r="DU66" i="26" s="1"/>
  <c r="CO67" i="26"/>
  <c r="DU67" i="26" s="1"/>
  <c r="CO68" i="26"/>
  <c r="DU68" i="26" s="1"/>
  <c r="CO69" i="26"/>
  <c r="DU69" i="26" s="1"/>
  <c r="CO70" i="26"/>
  <c r="DU70" i="26" s="1"/>
  <c r="CO71" i="26"/>
  <c r="DU71" i="26" s="1"/>
  <c r="CO72" i="26"/>
  <c r="DU72" i="26" s="1"/>
  <c r="CO73" i="26"/>
  <c r="DU73" i="26" s="1"/>
  <c r="CO74" i="26"/>
  <c r="DU74" i="26" s="1"/>
  <c r="CO75" i="26"/>
  <c r="DU75" i="26" s="1"/>
  <c r="CO76" i="26"/>
  <c r="DU76" i="26" s="1"/>
  <c r="CO77" i="26"/>
  <c r="DU77" i="26" s="1"/>
  <c r="CO78" i="26"/>
  <c r="DU78" i="26" s="1"/>
  <c r="CO79" i="26"/>
  <c r="DU79" i="26" s="1"/>
  <c r="CO80" i="26"/>
  <c r="DU80" i="26" s="1"/>
  <c r="CO81" i="26"/>
  <c r="DU81" i="26" s="1"/>
  <c r="CO82" i="26"/>
  <c r="DU82" i="26" s="1"/>
  <c r="CO83" i="26"/>
  <c r="DU83" i="26" s="1"/>
  <c r="CO84" i="26"/>
  <c r="DU84" i="26" s="1"/>
  <c r="CO85" i="26"/>
  <c r="DU85" i="26" s="1"/>
  <c r="CO86" i="26"/>
  <c r="DU86" i="26" s="1"/>
  <c r="CO87" i="26"/>
  <c r="DU87" i="26" s="1"/>
  <c r="CO88" i="26"/>
  <c r="DU88" i="26" s="1"/>
  <c r="CO89" i="26"/>
  <c r="DU89" i="26" s="1"/>
  <c r="CO90" i="26"/>
  <c r="DU90" i="26" s="1"/>
  <c r="CO91" i="26"/>
  <c r="DU91" i="26" s="1"/>
  <c r="CO92" i="26"/>
  <c r="DU92" i="26" s="1"/>
  <c r="CO93" i="26"/>
  <c r="DU93" i="26" s="1"/>
  <c r="CO94" i="26"/>
  <c r="DU94" i="26" s="1"/>
  <c r="CO95" i="26"/>
  <c r="DU95" i="26" s="1"/>
  <c r="CO96" i="26"/>
  <c r="DU96" i="26" s="1"/>
  <c r="CO97" i="26"/>
  <c r="DU97" i="26" s="1"/>
  <c r="CO98" i="26"/>
  <c r="DU98" i="26" s="1"/>
  <c r="CO99" i="26"/>
  <c r="DU99" i="26" s="1"/>
  <c r="CO100" i="26"/>
  <c r="DU100" i="26" s="1"/>
  <c r="CO101" i="26"/>
  <c r="DU101" i="26" s="1"/>
  <c r="CO102" i="26"/>
  <c r="DU102" i="26" s="1"/>
  <c r="CO103" i="26"/>
  <c r="DU103" i="26" s="1"/>
  <c r="CN21" i="26"/>
  <c r="DS21" i="26" s="1"/>
  <c r="CN22" i="26"/>
  <c r="DS22" i="26" s="1"/>
  <c r="CN23" i="26"/>
  <c r="DS23" i="26" s="1"/>
  <c r="CN24" i="26"/>
  <c r="DS24" i="26" s="1"/>
  <c r="CN25" i="26"/>
  <c r="DS25" i="26" s="1"/>
  <c r="CN26" i="26"/>
  <c r="DS26" i="26" s="1"/>
  <c r="CN27" i="26"/>
  <c r="DS27" i="26" s="1"/>
  <c r="CN28" i="26"/>
  <c r="DS28" i="26" s="1"/>
  <c r="CN29" i="26"/>
  <c r="DS29" i="26" s="1"/>
  <c r="CN30" i="26"/>
  <c r="DS30" i="26" s="1"/>
  <c r="CN31" i="26"/>
  <c r="DS31" i="26" s="1"/>
  <c r="CN32" i="26"/>
  <c r="DS32" i="26" s="1"/>
  <c r="CN33" i="26"/>
  <c r="DS33" i="26" s="1"/>
  <c r="CN34" i="26"/>
  <c r="DS34" i="26" s="1"/>
  <c r="CN35" i="26"/>
  <c r="DS35" i="26" s="1"/>
  <c r="CN36" i="26"/>
  <c r="DS36" i="26" s="1"/>
  <c r="CN37" i="26"/>
  <c r="DS37" i="26" s="1"/>
  <c r="CN38" i="26"/>
  <c r="DS38" i="26" s="1"/>
  <c r="CN39" i="26"/>
  <c r="DS39" i="26" s="1"/>
  <c r="CN40" i="26"/>
  <c r="DS40" i="26" s="1"/>
  <c r="CN41" i="26"/>
  <c r="DS41" i="26" s="1"/>
  <c r="CN42" i="26"/>
  <c r="DS42" i="26" s="1"/>
  <c r="CN43" i="26"/>
  <c r="DS43" i="26" s="1"/>
  <c r="CN44" i="26"/>
  <c r="DS44" i="26" s="1"/>
  <c r="CN45" i="26"/>
  <c r="DS45" i="26" s="1"/>
  <c r="CN46" i="26"/>
  <c r="DS46" i="26" s="1"/>
  <c r="CN47" i="26"/>
  <c r="DS47" i="26" s="1"/>
  <c r="CN48" i="26"/>
  <c r="DS48" i="26" s="1"/>
  <c r="CN49" i="26"/>
  <c r="DS49" i="26" s="1"/>
  <c r="CN50" i="26"/>
  <c r="DS50" i="26" s="1"/>
  <c r="CN51" i="26"/>
  <c r="DS51" i="26" s="1"/>
  <c r="CN52" i="26"/>
  <c r="DS52" i="26" s="1"/>
  <c r="CN53" i="26"/>
  <c r="DS53" i="26" s="1"/>
  <c r="CN54" i="26"/>
  <c r="DS54" i="26" s="1"/>
  <c r="CN55" i="26"/>
  <c r="DS55" i="26" s="1"/>
  <c r="CN56" i="26"/>
  <c r="DS56" i="26" s="1"/>
  <c r="CN57" i="26"/>
  <c r="DS57" i="26" s="1"/>
  <c r="CN58" i="26"/>
  <c r="DS58" i="26" s="1"/>
  <c r="CN59" i="26"/>
  <c r="DS59" i="26" s="1"/>
  <c r="CN60" i="26"/>
  <c r="DS60" i="26" s="1"/>
  <c r="CN61" i="26"/>
  <c r="DS61" i="26" s="1"/>
  <c r="CN62" i="26"/>
  <c r="DS62" i="26" s="1"/>
  <c r="CN63" i="26"/>
  <c r="DS63" i="26" s="1"/>
  <c r="CN64" i="26"/>
  <c r="DS64" i="26" s="1"/>
  <c r="CN65" i="26"/>
  <c r="DS65" i="26" s="1"/>
  <c r="CN66" i="26"/>
  <c r="DS66" i="26" s="1"/>
  <c r="CN67" i="26"/>
  <c r="DS67" i="26" s="1"/>
  <c r="CN68" i="26"/>
  <c r="DS68" i="26" s="1"/>
  <c r="CN69" i="26"/>
  <c r="DS69" i="26" s="1"/>
  <c r="CN70" i="26"/>
  <c r="DS70" i="26" s="1"/>
  <c r="CN71" i="26"/>
  <c r="DS71" i="26" s="1"/>
  <c r="CN72" i="26"/>
  <c r="DS72" i="26" s="1"/>
  <c r="CN73" i="26"/>
  <c r="DS73" i="26" s="1"/>
  <c r="CN74" i="26"/>
  <c r="DS74" i="26" s="1"/>
  <c r="CN75" i="26"/>
  <c r="DS75" i="26" s="1"/>
  <c r="CN76" i="26"/>
  <c r="DS76" i="26" s="1"/>
  <c r="CN77" i="26"/>
  <c r="DS77" i="26" s="1"/>
  <c r="CN78" i="26"/>
  <c r="DS78" i="26" s="1"/>
  <c r="CN79" i="26"/>
  <c r="DS79" i="26" s="1"/>
  <c r="CN80" i="26"/>
  <c r="DS80" i="26" s="1"/>
  <c r="CN81" i="26"/>
  <c r="DS81" i="26" s="1"/>
  <c r="CN82" i="26"/>
  <c r="DS82" i="26" s="1"/>
  <c r="CN83" i="26"/>
  <c r="DS83" i="26" s="1"/>
  <c r="CN84" i="26"/>
  <c r="DS84" i="26" s="1"/>
  <c r="CN85" i="26"/>
  <c r="DS85" i="26" s="1"/>
  <c r="CN86" i="26"/>
  <c r="DS86" i="26" s="1"/>
  <c r="CN87" i="26"/>
  <c r="DS87" i="26" s="1"/>
  <c r="CN88" i="26"/>
  <c r="DS88" i="26" s="1"/>
  <c r="CN89" i="26"/>
  <c r="DS89" i="26" s="1"/>
  <c r="CN90" i="26"/>
  <c r="DS90" i="26" s="1"/>
  <c r="CN91" i="26"/>
  <c r="DS91" i="26" s="1"/>
  <c r="CN92" i="26"/>
  <c r="DS92" i="26" s="1"/>
  <c r="CN93" i="26"/>
  <c r="DS93" i="26" s="1"/>
  <c r="CN94" i="26"/>
  <c r="DS94" i="26" s="1"/>
  <c r="CN95" i="26"/>
  <c r="DS95" i="26" s="1"/>
  <c r="CN96" i="26"/>
  <c r="DS96" i="26" s="1"/>
  <c r="CN97" i="26"/>
  <c r="DS97" i="26" s="1"/>
  <c r="CN98" i="26"/>
  <c r="DS98" i="26" s="1"/>
  <c r="CN99" i="26"/>
  <c r="DS99" i="26" s="1"/>
  <c r="CN100" i="26"/>
  <c r="DS100" i="26" s="1"/>
  <c r="CN101" i="26"/>
  <c r="DS101" i="26" s="1"/>
  <c r="CN102" i="26"/>
  <c r="DS102" i="26" s="1"/>
  <c r="CN103" i="26"/>
  <c r="DS103" i="26" s="1"/>
  <c r="CG104" i="31" l="1"/>
  <c r="CE20" i="31"/>
  <c r="CF20" i="31"/>
  <c r="BQ65" i="31"/>
  <c r="CF65" i="31" s="1"/>
  <c r="BS80" i="31"/>
  <c r="CE80" i="31" s="1"/>
  <c r="BQ86" i="31"/>
  <c r="CF86" i="31" s="1"/>
  <c r="BS61" i="31"/>
  <c r="CE61" i="31" s="1"/>
  <c r="BP65" i="31"/>
  <c r="CD65" i="31" s="1"/>
  <c r="BP70" i="31"/>
  <c r="CD70" i="31" s="1"/>
  <c r="BR101" i="31"/>
  <c r="BR77" i="31"/>
  <c r="BS28" i="31"/>
  <c r="CE28" i="31" s="1"/>
  <c r="BR68" i="31"/>
  <c r="BS43" i="31"/>
  <c r="CE43" i="31" s="1"/>
  <c r="BQ90" i="31"/>
  <c r="CF90" i="31" s="1"/>
  <c r="BR56" i="31"/>
  <c r="BS100" i="31"/>
  <c r="CE100" i="31" s="1"/>
  <c r="BQ56" i="31"/>
  <c r="CF56" i="31" s="1"/>
  <c r="BS21" i="31"/>
  <c r="CE21" i="31" s="1"/>
  <c r="BS23" i="31"/>
  <c r="CE23" i="31" s="1"/>
  <c r="BP86" i="31"/>
  <c r="CD86" i="31" s="1"/>
  <c r="BP45" i="31"/>
  <c r="CD45" i="31" s="1"/>
  <c r="BR45" i="31"/>
  <c r="BQ77" i="31"/>
  <c r="CF77" i="31" s="1"/>
  <c r="BR86" i="31"/>
  <c r="BP56" i="31"/>
  <c r="CD56" i="31" s="1"/>
  <c r="BS26" i="31"/>
  <c r="CE26" i="31" s="1"/>
  <c r="BS64" i="31"/>
  <c r="CE64" i="31" s="1"/>
  <c r="BR90" i="31"/>
  <c r="BQ70" i="31"/>
  <c r="CF70" i="31" s="1"/>
  <c r="BQ69" i="31"/>
  <c r="CF69" i="31" s="1"/>
  <c r="BP69" i="31"/>
  <c r="CD69" i="31" s="1"/>
  <c r="BQ83" i="31"/>
  <c r="CF83" i="31" s="1"/>
  <c r="BP20" i="31"/>
  <c r="BP77" i="31"/>
  <c r="CD77" i="31" s="1"/>
  <c r="BP101" i="31"/>
  <c r="CD101" i="31" s="1"/>
  <c r="BR65" i="31"/>
  <c r="BP62" i="31"/>
  <c r="CD62" i="31" s="1"/>
  <c r="BS31" i="31"/>
  <c r="CE31" i="31" s="1"/>
  <c r="BQ62" i="31"/>
  <c r="CF62" i="31" s="1"/>
  <c r="BQ45" i="31"/>
  <c r="CF45" i="31" s="1"/>
  <c r="BR62" i="31"/>
  <c r="BS93" i="31"/>
  <c r="CE93" i="31" s="1"/>
  <c r="BS29" i="31"/>
  <c r="CE29" i="31" s="1"/>
  <c r="BR29" i="31"/>
  <c r="BR70" i="31"/>
  <c r="BS94" i="31"/>
  <c r="CE94" i="31" s="1"/>
  <c r="BS60" i="31"/>
  <c r="CE60" i="31" s="1"/>
  <c r="BQ101" i="31"/>
  <c r="CF101" i="31" s="1"/>
  <c r="BP83" i="31"/>
  <c r="CD83" i="31" s="1"/>
  <c r="BP90" i="31"/>
  <c r="CD90" i="31" s="1"/>
  <c r="BS68" i="31"/>
  <c r="CE68" i="31" s="1"/>
  <c r="BS35" i="31"/>
  <c r="CE35" i="31" s="1"/>
  <c r="CG21" i="26"/>
  <c r="CH21" i="26" s="1"/>
  <c r="CG22" i="26"/>
  <c r="CH22" i="26" s="1"/>
  <c r="CG23" i="26"/>
  <c r="CH23" i="26" s="1"/>
  <c r="CG24" i="26"/>
  <c r="CH24" i="26" s="1"/>
  <c r="CG25" i="26"/>
  <c r="CH25" i="26" s="1"/>
  <c r="CG26" i="26"/>
  <c r="CH26" i="26" s="1"/>
  <c r="CG27" i="26"/>
  <c r="CH27" i="26" s="1"/>
  <c r="CG28" i="26"/>
  <c r="CH28" i="26" s="1"/>
  <c r="CG29" i="26"/>
  <c r="CH29" i="26" s="1"/>
  <c r="CG30" i="26"/>
  <c r="CH30" i="26" s="1"/>
  <c r="CG31" i="26"/>
  <c r="CH31" i="26" s="1"/>
  <c r="CG32" i="26"/>
  <c r="CH32" i="26" s="1"/>
  <c r="CG33" i="26"/>
  <c r="CH33" i="26" s="1"/>
  <c r="CG34" i="26"/>
  <c r="CH34" i="26" s="1"/>
  <c r="CG35" i="26"/>
  <c r="CH35" i="26" s="1"/>
  <c r="CG36" i="26"/>
  <c r="CH36" i="26" s="1"/>
  <c r="CG37" i="26"/>
  <c r="CH37" i="26" s="1"/>
  <c r="CG38" i="26"/>
  <c r="CH38" i="26" s="1"/>
  <c r="CG39" i="26"/>
  <c r="CH39" i="26" s="1"/>
  <c r="CG40" i="26"/>
  <c r="CH40" i="26" s="1"/>
  <c r="CG41" i="26"/>
  <c r="CH41" i="26" s="1"/>
  <c r="CG42" i="26"/>
  <c r="CH42" i="26" s="1"/>
  <c r="CG43" i="26"/>
  <c r="CH43" i="26" s="1"/>
  <c r="CG44" i="26"/>
  <c r="CH44" i="26" s="1"/>
  <c r="CG45" i="26"/>
  <c r="CH45" i="26" s="1"/>
  <c r="CG46" i="26"/>
  <c r="CH46" i="26" s="1"/>
  <c r="CG47" i="26"/>
  <c r="CH47" i="26" s="1"/>
  <c r="CG48" i="26"/>
  <c r="CH48" i="26" s="1"/>
  <c r="CG49" i="26"/>
  <c r="CH49" i="26" s="1"/>
  <c r="CG50" i="26"/>
  <c r="CH50" i="26" s="1"/>
  <c r="CG51" i="26"/>
  <c r="CH51" i="26" s="1"/>
  <c r="CG52" i="26"/>
  <c r="CH52" i="26" s="1"/>
  <c r="CG53" i="26"/>
  <c r="CH53" i="26" s="1"/>
  <c r="CG54" i="26"/>
  <c r="CH54" i="26" s="1"/>
  <c r="CG55" i="26"/>
  <c r="CH55" i="26" s="1"/>
  <c r="CG56" i="26"/>
  <c r="CH56" i="26" s="1"/>
  <c r="CG57" i="26"/>
  <c r="CH57" i="26" s="1"/>
  <c r="CG58" i="26"/>
  <c r="CH58" i="26" s="1"/>
  <c r="CG59" i="26"/>
  <c r="CH59" i="26" s="1"/>
  <c r="CG60" i="26"/>
  <c r="CH60" i="26" s="1"/>
  <c r="CG61" i="26"/>
  <c r="CH61" i="26" s="1"/>
  <c r="CG62" i="26"/>
  <c r="CH62" i="26" s="1"/>
  <c r="CG63" i="26"/>
  <c r="CH63" i="26" s="1"/>
  <c r="CG64" i="26"/>
  <c r="CH64" i="26" s="1"/>
  <c r="CG65" i="26"/>
  <c r="CH65" i="26" s="1"/>
  <c r="CG66" i="26"/>
  <c r="CH66" i="26" s="1"/>
  <c r="CG67" i="26"/>
  <c r="CH67" i="26" s="1"/>
  <c r="CG68" i="26"/>
  <c r="CH68" i="26" s="1"/>
  <c r="CG69" i="26"/>
  <c r="CH69" i="26" s="1"/>
  <c r="CG70" i="26"/>
  <c r="CH70" i="26" s="1"/>
  <c r="CG71" i="26"/>
  <c r="CH71" i="26" s="1"/>
  <c r="CG72" i="26"/>
  <c r="CH72" i="26" s="1"/>
  <c r="CG73" i="26"/>
  <c r="CH73" i="26" s="1"/>
  <c r="CG74" i="26"/>
  <c r="CH74" i="26" s="1"/>
  <c r="CG75" i="26"/>
  <c r="CH75" i="26" s="1"/>
  <c r="CG76" i="26"/>
  <c r="CH76" i="26" s="1"/>
  <c r="CG77" i="26"/>
  <c r="CH77" i="26" s="1"/>
  <c r="CG78" i="26"/>
  <c r="CH78" i="26" s="1"/>
  <c r="CG79" i="26"/>
  <c r="CH79" i="26" s="1"/>
  <c r="CG80" i="26"/>
  <c r="CH80" i="26" s="1"/>
  <c r="CG81" i="26"/>
  <c r="CH81" i="26" s="1"/>
  <c r="CG82" i="26"/>
  <c r="CH82" i="26" s="1"/>
  <c r="CG83" i="26"/>
  <c r="CH83" i="26" s="1"/>
  <c r="CG84" i="26"/>
  <c r="CH84" i="26" s="1"/>
  <c r="CG85" i="26"/>
  <c r="CH85" i="26" s="1"/>
  <c r="CG86" i="26"/>
  <c r="CH86" i="26" s="1"/>
  <c r="CG87" i="26"/>
  <c r="CH87" i="26" s="1"/>
  <c r="CG88" i="26"/>
  <c r="CH88" i="26" s="1"/>
  <c r="CG89" i="26"/>
  <c r="CH89" i="26" s="1"/>
  <c r="CG90" i="26"/>
  <c r="CH90" i="26" s="1"/>
  <c r="CG91" i="26"/>
  <c r="CH91" i="26" s="1"/>
  <c r="CG92" i="26"/>
  <c r="CH92" i="26" s="1"/>
  <c r="CG93" i="26"/>
  <c r="CH93" i="26" s="1"/>
  <c r="CG94" i="26"/>
  <c r="CH94" i="26" s="1"/>
  <c r="CG95" i="26"/>
  <c r="CH95" i="26" s="1"/>
  <c r="CG96" i="26"/>
  <c r="CH96" i="26" s="1"/>
  <c r="CG97" i="26"/>
  <c r="CH97" i="26" s="1"/>
  <c r="CG98" i="26"/>
  <c r="CH98" i="26" s="1"/>
  <c r="CG99" i="26"/>
  <c r="CH99" i="26" s="1"/>
  <c r="CG100" i="26"/>
  <c r="CH100" i="26" s="1"/>
  <c r="CG101" i="26"/>
  <c r="CH101" i="26" s="1"/>
  <c r="CG102" i="26"/>
  <c r="CH102" i="26" s="1"/>
  <c r="CG103" i="26"/>
  <c r="CH103" i="26" s="1"/>
  <c r="CG20" i="26"/>
  <c r="CH20" i="26" s="1"/>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45" i="26"/>
  <c r="BW46" i="26"/>
  <c r="BW47" i="26"/>
  <c r="BW48" i="26"/>
  <c r="BW49" i="26"/>
  <c r="BW50" i="26"/>
  <c r="BW51" i="26"/>
  <c r="BW52" i="26"/>
  <c r="BW53" i="26"/>
  <c r="BW54" i="26"/>
  <c r="BW55" i="26"/>
  <c r="BW56" i="26"/>
  <c r="BW57" i="26"/>
  <c r="BW58" i="26"/>
  <c r="BW59" i="26"/>
  <c r="BW60" i="26"/>
  <c r="BW61" i="26"/>
  <c r="BW62" i="26"/>
  <c r="BW63" i="26"/>
  <c r="BW64" i="26"/>
  <c r="BW65" i="26"/>
  <c r="BW66" i="26"/>
  <c r="BW67" i="26"/>
  <c r="BW68" i="26"/>
  <c r="BW69" i="26"/>
  <c r="BW70" i="26"/>
  <c r="BW71" i="26"/>
  <c r="BW72" i="26"/>
  <c r="BW73" i="26"/>
  <c r="BW74" i="26"/>
  <c r="BW75" i="26"/>
  <c r="BW76" i="26"/>
  <c r="BW77" i="26"/>
  <c r="BW78" i="26"/>
  <c r="BW79" i="26"/>
  <c r="BW80" i="26"/>
  <c r="BW81" i="26"/>
  <c r="BW82" i="26"/>
  <c r="BW83" i="26"/>
  <c r="BW84" i="26"/>
  <c r="BW85" i="26"/>
  <c r="BW86" i="26"/>
  <c r="BW87" i="26"/>
  <c r="BW88" i="26"/>
  <c r="BW89" i="26"/>
  <c r="BW90" i="26"/>
  <c r="BW91" i="26"/>
  <c r="BW92" i="26"/>
  <c r="BW93" i="26"/>
  <c r="BW94" i="26"/>
  <c r="BW95" i="26"/>
  <c r="BW96" i="26"/>
  <c r="BW97" i="26"/>
  <c r="BW98" i="26"/>
  <c r="BW99" i="26"/>
  <c r="BW100" i="26"/>
  <c r="BW101" i="26"/>
  <c r="BW102" i="26"/>
  <c r="BW103" i="26"/>
  <c r="BW20" i="26"/>
  <c r="BX20" i="26" s="1"/>
  <c r="BO21" i="26"/>
  <c r="BP21" i="26" s="1"/>
  <c r="BO22" i="26"/>
  <c r="BP22" i="26" s="1"/>
  <c r="BO23" i="26"/>
  <c r="BP23" i="26" s="1"/>
  <c r="BO24" i="26"/>
  <c r="BP24" i="26" s="1"/>
  <c r="BO25" i="26"/>
  <c r="BP25" i="26" s="1"/>
  <c r="BO26" i="26"/>
  <c r="BP26" i="26" s="1"/>
  <c r="BO27" i="26"/>
  <c r="BP27" i="26" s="1"/>
  <c r="BO28" i="26"/>
  <c r="BP28" i="26" s="1"/>
  <c r="BO29" i="26"/>
  <c r="BP29" i="26" s="1"/>
  <c r="BO30" i="26"/>
  <c r="BP30" i="26" s="1"/>
  <c r="BO31" i="26"/>
  <c r="BP31" i="26" s="1"/>
  <c r="BO32" i="26"/>
  <c r="BP32" i="26" s="1"/>
  <c r="BO33" i="26"/>
  <c r="BP33" i="26" s="1"/>
  <c r="BO34" i="26"/>
  <c r="BP34" i="26" s="1"/>
  <c r="BO35" i="26"/>
  <c r="BP35" i="26" s="1"/>
  <c r="BO36" i="26"/>
  <c r="BP36" i="26" s="1"/>
  <c r="BO37" i="26"/>
  <c r="BP37" i="26" s="1"/>
  <c r="BO38" i="26"/>
  <c r="BP38" i="26" s="1"/>
  <c r="BO39" i="26"/>
  <c r="BP39" i="26" s="1"/>
  <c r="BO40" i="26"/>
  <c r="BP40" i="26" s="1"/>
  <c r="BO41" i="26"/>
  <c r="BP41" i="26" s="1"/>
  <c r="BO42" i="26"/>
  <c r="BP42" i="26" s="1"/>
  <c r="BO43" i="26"/>
  <c r="BP43" i="26" s="1"/>
  <c r="BO44" i="26"/>
  <c r="BP44" i="26" s="1"/>
  <c r="BO45" i="26"/>
  <c r="BP45" i="26" s="1"/>
  <c r="BO46" i="26"/>
  <c r="BP46" i="26" s="1"/>
  <c r="BO47" i="26"/>
  <c r="BP47" i="26" s="1"/>
  <c r="BO48" i="26"/>
  <c r="BP48" i="26" s="1"/>
  <c r="BO49" i="26"/>
  <c r="BP49" i="26" s="1"/>
  <c r="BO50" i="26"/>
  <c r="BP50" i="26" s="1"/>
  <c r="BO51" i="26"/>
  <c r="BP51" i="26" s="1"/>
  <c r="BO52" i="26"/>
  <c r="BP52" i="26" s="1"/>
  <c r="BO53" i="26"/>
  <c r="BP53" i="26" s="1"/>
  <c r="BO54" i="26"/>
  <c r="BP54" i="26" s="1"/>
  <c r="BO55" i="26"/>
  <c r="BP55" i="26" s="1"/>
  <c r="BO56" i="26"/>
  <c r="BP56" i="26" s="1"/>
  <c r="BO57" i="26"/>
  <c r="BP57" i="26" s="1"/>
  <c r="BO58" i="26"/>
  <c r="BP58" i="26" s="1"/>
  <c r="BO59" i="26"/>
  <c r="BP59" i="26" s="1"/>
  <c r="BO60" i="26"/>
  <c r="BP60" i="26" s="1"/>
  <c r="BO61" i="26"/>
  <c r="BP61" i="26" s="1"/>
  <c r="BO62" i="26"/>
  <c r="BP62" i="26" s="1"/>
  <c r="BO63" i="26"/>
  <c r="BP63" i="26" s="1"/>
  <c r="BO64" i="26"/>
  <c r="BP64" i="26" s="1"/>
  <c r="BO65" i="26"/>
  <c r="BP65" i="26" s="1"/>
  <c r="BO66" i="26"/>
  <c r="BP66" i="26" s="1"/>
  <c r="BO67" i="26"/>
  <c r="BP67" i="26" s="1"/>
  <c r="BO68" i="26"/>
  <c r="BP68" i="26" s="1"/>
  <c r="BO69" i="26"/>
  <c r="BP69" i="26" s="1"/>
  <c r="BO70" i="26"/>
  <c r="BP70" i="26" s="1"/>
  <c r="BO71" i="26"/>
  <c r="BP71" i="26" s="1"/>
  <c r="BO72" i="26"/>
  <c r="BP72" i="26" s="1"/>
  <c r="BO73" i="26"/>
  <c r="BP73" i="26" s="1"/>
  <c r="BO74" i="26"/>
  <c r="BP74" i="26" s="1"/>
  <c r="BO75" i="26"/>
  <c r="BP75" i="26" s="1"/>
  <c r="BO76" i="26"/>
  <c r="BP76" i="26" s="1"/>
  <c r="BO77" i="26"/>
  <c r="BP77" i="26" s="1"/>
  <c r="BO78" i="26"/>
  <c r="BP78" i="26" s="1"/>
  <c r="BO79" i="26"/>
  <c r="BP79" i="26" s="1"/>
  <c r="BO80" i="26"/>
  <c r="BP80" i="26" s="1"/>
  <c r="BO81" i="26"/>
  <c r="BP81" i="26" s="1"/>
  <c r="BO82" i="26"/>
  <c r="BP82" i="26" s="1"/>
  <c r="BO83" i="26"/>
  <c r="BP83" i="26" s="1"/>
  <c r="BO84" i="26"/>
  <c r="BP84" i="26" s="1"/>
  <c r="BO85" i="26"/>
  <c r="BP85" i="26" s="1"/>
  <c r="BO86" i="26"/>
  <c r="BP86" i="26" s="1"/>
  <c r="BO87" i="26"/>
  <c r="BP87" i="26" s="1"/>
  <c r="BO88" i="26"/>
  <c r="BP88" i="26" s="1"/>
  <c r="BO89" i="26"/>
  <c r="BP89" i="26" s="1"/>
  <c r="BO90" i="26"/>
  <c r="BP90" i="26" s="1"/>
  <c r="BO91" i="26"/>
  <c r="BP91" i="26" s="1"/>
  <c r="BO92" i="26"/>
  <c r="BP92" i="26" s="1"/>
  <c r="BO93" i="26"/>
  <c r="BP93" i="26" s="1"/>
  <c r="BO94" i="26"/>
  <c r="BP94" i="26" s="1"/>
  <c r="BO95" i="26"/>
  <c r="BP95" i="26" s="1"/>
  <c r="BO96" i="26"/>
  <c r="BP96" i="26" s="1"/>
  <c r="BO97" i="26"/>
  <c r="BP97" i="26" s="1"/>
  <c r="BO98" i="26"/>
  <c r="BP98" i="26" s="1"/>
  <c r="BO99" i="26"/>
  <c r="BP99" i="26" s="1"/>
  <c r="BO100" i="26"/>
  <c r="BP100" i="26" s="1"/>
  <c r="BO101" i="26"/>
  <c r="BP101" i="26" s="1"/>
  <c r="BO102" i="26"/>
  <c r="BP102" i="26" s="1"/>
  <c r="BO103" i="26"/>
  <c r="BP103" i="26" s="1"/>
  <c r="BP20" i="26"/>
  <c r="BR104" i="31" l="1"/>
  <c r="BQ104" i="31"/>
  <c r="CD20" i="31"/>
  <c r="CD104" i="31" s="1"/>
  <c r="BP104" i="31"/>
  <c r="CF104" i="31"/>
  <c r="BS90" i="31"/>
  <c r="CE90" i="31" s="1"/>
  <c r="BS62" i="31"/>
  <c r="CE62" i="31" s="1"/>
  <c r="BS45" i="31"/>
  <c r="CE45" i="31" s="1"/>
  <c r="BS101" i="31"/>
  <c r="CE101" i="31" s="1"/>
  <c r="BS75" i="31"/>
  <c r="CE75" i="31" s="1"/>
  <c r="BS83" i="31"/>
  <c r="CE83" i="31" s="1"/>
  <c r="BS65" i="31"/>
  <c r="CE65" i="31" s="1"/>
  <c r="BS86" i="31"/>
  <c r="CE86" i="31" s="1"/>
  <c r="BS56" i="31"/>
  <c r="CE56" i="31" s="1"/>
  <c r="BS70" i="31"/>
  <c r="CE70" i="31" s="1"/>
  <c r="BS69" i="31"/>
  <c r="CE69" i="31" s="1"/>
  <c r="BS77" i="31"/>
  <c r="CE77" i="31" s="1"/>
  <c r="BX85" i="26"/>
  <c r="BY85" i="26" s="1"/>
  <c r="BX45" i="26"/>
  <c r="BY45" i="26" s="1"/>
  <c r="BX84" i="26"/>
  <c r="BY84" i="26" s="1"/>
  <c r="BX52" i="26"/>
  <c r="BY52" i="26" s="1"/>
  <c r="BX99" i="26"/>
  <c r="BY99" i="26" s="1"/>
  <c r="BX91" i="26"/>
  <c r="BY91" i="26" s="1"/>
  <c r="BX83" i="26"/>
  <c r="BY83" i="26" s="1"/>
  <c r="BX75" i="26"/>
  <c r="BY75" i="26" s="1"/>
  <c r="BX67" i="26"/>
  <c r="BY67" i="26" s="1"/>
  <c r="BX59" i="26"/>
  <c r="BY59" i="26" s="1"/>
  <c r="BX51" i="26"/>
  <c r="BY51" i="26" s="1"/>
  <c r="BX43" i="26"/>
  <c r="BY43" i="26" s="1"/>
  <c r="BX35" i="26"/>
  <c r="BY35" i="26" s="1"/>
  <c r="BX27" i="26"/>
  <c r="BY27" i="26" s="1"/>
  <c r="BX93" i="26"/>
  <c r="BY93" i="26" s="1"/>
  <c r="BX53" i="26"/>
  <c r="BY53" i="26" s="1"/>
  <c r="BX60" i="26"/>
  <c r="BY60" i="26" s="1"/>
  <c r="BX44" i="26"/>
  <c r="BY44" i="26" s="1"/>
  <c r="BX28" i="26"/>
  <c r="BY28" i="26" s="1"/>
  <c r="BX98" i="26"/>
  <c r="BY98" i="26" s="1"/>
  <c r="BX90" i="26"/>
  <c r="BY90" i="26" s="1"/>
  <c r="BX82" i="26"/>
  <c r="BY82" i="26" s="1"/>
  <c r="BX74" i="26"/>
  <c r="BY74" i="26" s="1"/>
  <c r="BX66" i="26"/>
  <c r="BY66" i="26" s="1"/>
  <c r="BX58" i="26"/>
  <c r="BY58" i="26" s="1"/>
  <c r="BX50" i="26"/>
  <c r="BY50" i="26" s="1"/>
  <c r="BX42" i="26"/>
  <c r="BY42" i="26" s="1"/>
  <c r="BX34" i="26"/>
  <c r="BY34" i="26" s="1"/>
  <c r="BX26" i="26"/>
  <c r="BY26" i="26" s="1"/>
  <c r="BX77" i="26"/>
  <c r="BY77" i="26" s="1"/>
  <c r="BX29" i="26"/>
  <c r="BY29" i="26" s="1"/>
  <c r="BX21" i="26"/>
  <c r="BY21" i="26" s="1"/>
  <c r="BX100" i="26"/>
  <c r="BY100" i="26" s="1"/>
  <c r="BX97" i="26"/>
  <c r="BY97" i="26" s="1"/>
  <c r="BX89" i="26"/>
  <c r="BY89" i="26" s="1"/>
  <c r="BX81" i="26"/>
  <c r="BY81" i="26" s="1"/>
  <c r="BX73" i="26"/>
  <c r="BY73" i="26" s="1"/>
  <c r="BX65" i="26"/>
  <c r="BY65" i="26" s="1"/>
  <c r="BX57" i="26"/>
  <c r="BY57" i="26" s="1"/>
  <c r="BX49" i="26"/>
  <c r="BY49" i="26" s="1"/>
  <c r="BX41" i="26"/>
  <c r="BY41" i="26" s="1"/>
  <c r="BX33" i="26"/>
  <c r="BY33" i="26" s="1"/>
  <c r="BX25" i="26"/>
  <c r="BY25" i="26" s="1"/>
  <c r="BX101" i="26"/>
  <c r="BY101" i="26" s="1"/>
  <c r="BX37" i="26"/>
  <c r="BY37" i="26" s="1"/>
  <c r="BX92" i="26"/>
  <c r="BY92" i="26" s="1"/>
  <c r="BX36" i="26"/>
  <c r="BY36" i="26" s="1"/>
  <c r="BX96" i="26"/>
  <c r="BY96" i="26" s="1"/>
  <c r="BX88" i="26"/>
  <c r="BY88" i="26" s="1"/>
  <c r="BX80" i="26"/>
  <c r="BY80" i="26" s="1"/>
  <c r="BX72" i="26"/>
  <c r="BY72" i="26" s="1"/>
  <c r="BX64" i="26"/>
  <c r="BY64" i="26" s="1"/>
  <c r="BX56" i="26"/>
  <c r="BY56" i="26" s="1"/>
  <c r="BX48" i="26"/>
  <c r="BY48" i="26" s="1"/>
  <c r="BX40" i="26"/>
  <c r="BY40" i="26" s="1"/>
  <c r="BX32" i="26"/>
  <c r="BY32" i="26" s="1"/>
  <c r="BX24" i="26"/>
  <c r="BY24" i="26" s="1"/>
  <c r="BX61" i="26"/>
  <c r="BY61" i="26" s="1"/>
  <c r="BX76" i="26"/>
  <c r="BY76" i="26" s="1"/>
  <c r="BX103" i="26"/>
  <c r="BY103" i="26" s="1"/>
  <c r="BX95" i="26"/>
  <c r="BY95" i="26" s="1"/>
  <c r="BX87" i="26"/>
  <c r="BY87" i="26" s="1"/>
  <c r="BX79" i="26"/>
  <c r="BY79" i="26" s="1"/>
  <c r="BX71" i="26"/>
  <c r="BY71" i="26" s="1"/>
  <c r="BX63" i="26"/>
  <c r="BY63" i="26" s="1"/>
  <c r="BX55" i="26"/>
  <c r="BY55" i="26" s="1"/>
  <c r="BX47" i="26"/>
  <c r="BY47" i="26" s="1"/>
  <c r="BX39" i="26"/>
  <c r="BY39" i="26" s="1"/>
  <c r="BX31" i="26"/>
  <c r="BY31" i="26" s="1"/>
  <c r="BX23" i="26"/>
  <c r="BY23" i="26" s="1"/>
  <c r="BX69" i="26"/>
  <c r="BY69" i="26" s="1"/>
  <c r="BX68" i="26"/>
  <c r="BY68" i="26" s="1"/>
  <c r="BX102" i="26"/>
  <c r="BY102" i="26" s="1"/>
  <c r="BX94" i="26"/>
  <c r="BY94" i="26" s="1"/>
  <c r="BX86" i="26"/>
  <c r="BY86" i="26" s="1"/>
  <c r="BX78" i="26"/>
  <c r="BY78" i="26" s="1"/>
  <c r="BX70" i="26"/>
  <c r="BY70" i="26" s="1"/>
  <c r="BX62" i="26"/>
  <c r="BY62" i="26" s="1"/>
  <c r="BX54" i="26"/>
  <c r="BY54" i="26" s="1"/>
  <c r="BX46" i="26"/>
  <c r="BY46" i="26" s="1"/>
  <c r="BX38" i="26"/>
  <c r="BY38" i="26" s="1"/>
  <c r="BX30" i="26"/>
  <c r="BY30" i="26" s="1"/>
  <c r="BX22" i="26"/>
  <c r="BY22" i="26" s="1"/>
  <c r="BY20" i="26"/>
  <c r="BE21" i="26"/>
  <c r="BE22" i="26"/>
  <c r="BE23" i="26"/>
  <c r="BE24" i="26"/>
  <c r="BE25" i="26"/>
  <c r="BE26" i="26"/>
  <c r="BE27" i="26"/>
  <c r="BE28" i="26"/>
  <c r="BE29" i="26"/>
  <c r="BE30" i="26"/>
  <c r="BE31" i="26"/>
  <c r="BE32" i="26"/>
  <c r="BE33" i="26"/>
  <c r="BE34" i="26"/>
  <c r="BE35" i="26"/>
  <c r="BE36" i="26"/>
  <c r="BE37" i="26"/>
  <c r="BE38" i="26"/>
  <c r="BE39" i="26"/>
  <c r="BE40" i="26"/>
  <c r="BE41" i="26"/>
  <c r="BE42" i="26"/>
  <c r="BE43" i="26"/>
  <c r="BE44" i="26"/>
  <c r="BE45" i="26"/>
  <c r="BE46" i="26"/>
  <c r="BE47" i="26"/>
  <c r="BE48" i="26"/>
  <c r="BE49" i="26"/>
  <c r="BE50" i="26"/>
  <c r="BE51" i="26"/>
  <c r="BE52" i="26"/>
  <c r="BE53" i="26"/>
  <c r="BE54" i="26"/>
  <c r="BE55" i="26"/>
  <c r="BE56" i="26"/>
  <c r="BE57" i="26"/>
  <c r="BE58" i="26"/>
  <c r="BE59" i="26"/>
  <c r="BE60" i="26"/>
  <c r="BE61" i="26"/>
  <c r="BE62" i="26"/>
  <c r="BE63" i="26"/>
  <c r="BE64" i="26"/>
  <c r="BE65" i="26"/>
  <c r="BE66" i="26"/>
  <c r="BE67" i="26"/>
  <c r="BE68" i="26"/>
  <c r="BE69" i="26"/>
  <c r="BE70" i="26"/>
  <c r="BE71" i="26"/>
  <c r="BE72" i="26"/>
  <c r="BE73" i="26"/>
  <c r="BE74" i="26"/>
  <c r="BE75" i="26"/>
  <c r="BE76" i="26"/>
  <c r="BE77" i="26"/>
  <c r="BE78" i="26"/>
  <c r="BE79" i="26"/>
  <c r="BE80" i="26"/>
  <c r="BE81" i="26"/>
  <c r="BE82" i="26"/>
  <c r="BE83" i="26"/>
  <c r="BE84" i="26"/>
  <c r="BE85" i="26"/>
  <c r="BE86" i="26"/>
  <c r="BE87" i="26"/>
  <c r="BE88" i="26"/>
  <c r="BE89" i="26"/>
  <c r="BE90" i="26"/>
  <c r="BE91" i="26"/>
  <c r="BE92" i="26"/>
  <c r="BE93" i="26"/>
  <c r="BE94" i="26"/>
  <c r="BE95" i="26"/>
  <c r="BE96" i="26"/>
  <c r="BE97" i="26"/>
  <c r="BE98" i="26"/>
  <c r="BE99" i="26"/>
  <c r="BE100" i="26"/>
  <c r="BE101" i="26"/>
  <c r="BE102" i="26"/>
  <c r="BE103" i="26"/>
  <c r="BE20" i="26"/>
  <c r="BF20" i="26" s="1"/>
  <c r="AT21" i="26"/>
  <c r="AT22" i="26"/>
  <c r="AT23" i="26"/>
  <c r="AT24" i="26"/>
  <c r="AT25" i="26"/>
  <c r="AT26" i="26"/>
  <c r="AT27" i="26"/>
  <c r="AT28" i="26"/>
  <c r="AT29" i="26"/>
  <c r="AT30" i="26"/>
  <c r="AT31" i="26"/>
  <c r="AT32" i="26"/>
  <c r="AT33" i="26"/>
  <c r="AT34" i="26"/>
  <c r="AT35" i="26"/>
  <c r="AT36" i="26"/>
  <c r="AT37" i="26"/>
  <c r="AT38" i="26"/>
  <c r="AT39" i="26"/>
  <c r="AT40" i="26"/>
  <c r="AT41" i="26"/>
  <c r="AT42" i="26"/>
  <c r="AT43" i="26"/>
  <c r="AT44" i="26"/>
  <c r="AT45" i="26"/>
  <c r="AT46" i="26"/>
  <c r="AT47" i="26"/>
  <c r="AT48" i="26"/>
  <c r="AT49" i="26"/>
  <c r="AT50" i="26"/>
  <c r="AT51" i="26"/>
  <c r="AT52" i="26"/>
  <c r="AT53" i="26"/>
  <c r="AT54" i="26"/>
  <c r="AT55" i="26"/>
  <c r="AT56" i="26"/>
  <c r="AT57" i="26"/>
  <c r="AT58" i="26"/>
  <c r="AT59" i="26"/>
  <c r="AT60" i="26"/>
  <c r="AT61" i="26"/>
  <c r="AT62" i="26"/>
  <c r="AT63" i="26"/>
  <c r="AT64" i="26"/>
  <c r="AT65" i="26"/>
  <c r="AT66" i="26"/>
  <c r="AT67" i="26"/>
  <c r="AT68" i="26"/>
  <c r="AT69" i="26"/>
  <c r="AT70" i="26"/>
  <c r="AT71" i="26"/>
  <c r="AT72" i="26"/>
  <c r="AT73" i="26"/>
  <c r="AT74" i="26"/>
  <c r="AT75" i="26"/>
  <c r="AT76" i="26"/>
  <c r="AT77" i="26"/>
  <c r="AT78" i="26"/>
  <c r="AT79" i="26"/>
  <c r="AT80" i="26"/>
  <c r="AT81" i="26"/>
  <c r="AT82" i="26"/>
  <c r="AT83" i="26"/>
  <c r="AT84" i="26"/>
  <c r="AT85" i="26"/>
  <c r="AT86" i="26"/>
  <c r="AT87" i="26"/>
  <c r="AT88" i="26"/>
  <c r="AT89" i="26"/>
  <c r="AT90" i="26"/>
  <c r="AT91" i="26"/>
  <c r="AT92" i="26"/>
  <c r="AT93" i="26"/>
  <c r="AT94" i="26"/>
  <c r="AT95" i="26"/>
  <c r="AT96" i="26"/>
  <c r="AT97" i="26"/>
  <c r="AT98" i="26"/>
  <c r="AT99" i="26"/>
  <c r="AT100" i="26"/>
  <c r="AT101" i="26"/>
  <c r="AT102" i="26"/>
  <c r="AT103" i="26"/>
  <c r="AT20" i="26"/>
  <c r="E23" i="29"/>
  <c r="E22" i="29"/>
  <c r="E21" i="29"/>
  <c r="E20" i="29"/>
  <c r="E19" i="29"/>
  <c r="E18" i="29"/>
  <c r="E17" i="29"/>
  <c r="E16" i="29"/>
  <c r="E15" i="29"/>
  <c r="E14" i="29"/>
  <c r="E13" i="29"/>
  <c r="E12" i="29"/>
  <c r="C13" i="28"/>
  <c r="CE104" i="31" l="1"/>
  <c r="BS104" i="31"/>
  <c r="AW20" i="26"/>
  <c r="AQ20" i="26"/>
  <c r="BF85" i="26"/>
  <c r="BG85" i="26" s="1"/>
  <c r="BF37" i="26"/>
  <c r="BG37" i="26" s="1"/>
  <c r="BF68" i="26"/>
  <c r="BG68" i="26" s="1"/>
  <c r="BF36" i="26"/>
  <c r="BG36" i="26" s="1"/>
  <c r="BF99" i="26"/>
  <c r="BG99" i="26" s="1"/>
  <c r="BF91" i="26"/>
  <c r="BG91" i="26" s="1"/>
  <c r="BF83" i="26"/>
  <c r="BG83" i="26" s="1"/>
  <c r="BF75" i="26"/>
  <c r="BG75" i="26" s="1"/>
  <c r="BF67" i="26"/>
  <c r="BG67" i="26" s="1"/>
  <c r="BF59" i="26"/>
  <c r="BG59" i="26" s="1"/>
  <c r="BF51" i="26"/>
  <c r="BG51" i="26" s="1"/>
  <c r="BF43" i="26"/>
  <c r="BG43" i="26" s="1"/>
  <c r="BF35" i="26"/>
  <c r="BG35" i="26" s="1"/>
  <c r="BF27" i="26"/>
  <c r="BG27" i="26" s="1"/>
  <c r="BF69" i="26"/>
  <c r="BG69" i="26" s="1"/>
  <c r="BF98" i="26"/>
  <c r="BG98" i="26" s="1"/>
  <c r="BF90" i="26"/>
  <c r="BG90" i="26" s="1"/>
  <c r="BF82" i="26"/>
  <c r="BG82" i="26" s="1"/>
  <c r="BF74" i="26"/>
  <c r="BG74" i="26" s="1"/>
  <c r="BF66" i="26"/>
  <c r="BG66" i="26" s="1"/>
  <c r="BF58" i="26"/>
  <c r="BG58" i="26" s="1"/>
  <c r="BF50" i="26"/>
  <c r="BG50" i="26" s="1"/>
  <c r="BF42" i="26"/>
  <c r="BG42" i="26" s="1"/>
  <c r="BF34" i="26"/>
  <c r="BG34" i="26" s="1"/>
  <c r="BF26" i="26"/>
  <c r="BG26" i="26" s="1"/>
  <c r="BF93" i="26"/>
  <c r="BG93" i="26" s="1"/>
  <c r="BF53" i="26"/>
  <c r="BG53" i="26" s="1"/>
  <c r="BF100" i="26"/>
  <c r="BG100" i="26" s="1"/>
  <c r="BF60" i="26"/>
  <c r="BG60" i="26" s="1"/>
  <c r="BF52" i="26"/>
  <c r="BG52" i="26" s="1"/>
  <c r="BF28" i="26"/>
  <c r="BG28" i="26" s="1"/>
  <c r="BF92" i="26"/>
  <c r="BG92" i="26" s="1"/>
  <c r="BF97" i="26"/>
  <c r="BG97" i="26" s="1"/>
  <c r="BF89" i="26"/>
  <c r="BG89" i="26" s="1"/>
  <c r="BF81" i="26"/>
  <c r="BG81" i="26" s="1"/>
  <c r="BF73" i="26"/>
  <c r="BG73" i="26" s="1"/>
  <c r="BF65" i="26"/>
  <c r="BG65" i="26" s="1"/>
  <c r="BF57" i="26"/>
  <c r="BG57" i="26" s="1"/>
  <c r="BF49" i="26"/>
  <c r="BG49" i="26" s="1"/>
  <c r="BF41" i="26"/>
  <c r="BG41" i="26" s="1"/>
  <c r="BF33" i="26"/>
  <c r="BG33" i="26" s="1"/>
  <c r="BF25" i="26"/>
  <c r="BG25" i="26" s="1"/>
  <c r="BF96" i="26"/>
  <c r="BG96" i="26" s="1"/>
  <c r="BF88" i="26"/>
  <c r="BG88" i="26" s="1"/>
  <c r="BF80" i="26"/>
  <c r="BG80" i="26" s="1"/>
  <c r="BF72" i="26"/>
  <c r="BG72" i="26" s="1"/>
  <c r="BF64" i="26"/>
  <c r="BG64" i="26" s="1"/>
  <c r="BF56" i="26"/>
  <c r="BG56" i="26" s="1"/>
  <c r="BF48" i="26"/>
  <c r="BG48" i="26" s="1"/>
  <c r="BF40" i="26"/>
  <c r="BG40" i="26" s="1"/>
  <c r="BF32" i="26"/>
  <c r="BG32" i="26" s="1"/>
  <c r="BF24" i="26"/>
  <c r="BG24" i="26" s="1"/>
  <c r="BF76" i="26"/>
  <c r="BG76" i="26" s="1"/>
  <c r="BF44" i="26"/>
  <c r="BG44" i="26" s="1"/>
  <c r="BF101" i="26"/>
  <c r="BG101" i="26" s="1"/>
  <c r="BF77" i="26"/>
  <c r="BG77" i="26" s="1"/>
  <c r="BF61" i="26"/>
  <c r="BG61" i="26" s="1"/>
  <c r="BF45" i="26"/>
  <c r="BG45" i="26" s="1"/>
  <c r="BF29" i="26"/>
  <c r="BG29" i="26" s="1"/>
  <c r="BF21" i="26"/>
  <c r="BG21" i="26" s="1"/>
  <c r="BF84" i="26"/>
  <c r="BG84" i="26" s="1"/>
  <c r="BF103" i="26"/>
  <c r="BG103" i="26" s="1"/>
  <c r="BF95" i="26"/>
  <c r="BG95" i="26" s="1"/>
  <c r="BF87" i="26"/>
  <c r="BG87" i="26" s="1"/>
  <c r="BF79" i="26"/>
  <c r="BG79" i="26" s="1"/>
  <c r="BF71" i="26"/>
  <c r="BG71" i="26" s="1"/>
  <c r="BF63" i="26"/>
  <c r="BG63" i="26" s="1"/>
  <c r="BF55" i="26"/>
  <c r="BG55" i="26" s="1"/>
  <c r="BF47" i="26"/>
  <c r="BG47" i="26" s="1"/>
  <c r="BF39" i="26"/>
  <c r="BG39" i="26" s="1"/>
  <c r="BF31" i="26"/>
  <c r="BG31" i="26" s="1"/>
  <c r="BF23" i="26"/>
  <c r="BG23" i="26" s="1"/>
  <c r="BF102" i="26"/>
  <c r="BG102" i="26" s="1"/>
  <c r="BF94" i="26"/>
  <c r="BG94" i="26" s="1"/>
  <c r="BF86" i="26"/>
  <c r="BG86" i="26" s="1"/>
  <c r="BF78" i="26"/>
  <c r="BG78" i="26" s="1"/>
  <c r="BF70" i="26"/>
  <c r="BG70" i="26" s="1"/>
  <c r="BF62" i="26"/>
  <c r="BG62" i="26" s="1"/>
  <c r="BF54" i="26"/>
  <c r="BG54" i="26" s="1"/>
  <c r="BF46" i="26"/>
  <c r="BG46" i="26" s="1"/>
  <c r="BF38" i="26"/>
  <c r="BG38" i="26" s="1"/>
  <c r="BF30" i="26"/>
  <c r="BG30" i="26" s="1"/>
  <c r="BF22" i="26"/>
  <c r="BG22" i="26" s="1"/>
  <c r="BZ45" i="26"/>
  <c r="BZ95" i="26"/>
  <c r="BZ82" i="26"/>
  <c r="BZ76" i="26"/>
  <c r="CE76" i="26" s="1"/>
  <c r="BZ62" i="26"/>
  <c r="CC62" i="26" s="1"/>
  <c r="BZ47" i="26"/>
  <c r="BZ60" i="26"/>
  <c r="CD60" i="26" s="1"/>
  <c r="BZ77" i="26"/>
  <c r="CF77" i="26" s="1"/>
  <c r="BZ70" i="26"/>
  <c r="CB70" i="26" s="1"/>
  <c r="BZ87" i="26"/>
  <c r="CB87" i="26" s="1"/>
  <c r="BZ38" i="26"/>
  <c r="BZ102" i="26"/>
  <c r="BZ63" i="26"/>
  <c r="BZ61" i="26"/>
  <c r="BZ25" i="26"/>
  <c r="BZ101" i="26"/>
  <c r="CF101" i="26" s="1"/>
  <c r="BZ86" i="26"/>
  <c r="CB86" i="26" s="1"/>
  <c r="BZ37" i="26"/>
  <c r="BZ20" i="26"/>
  <c r="BZ36" i="26"/>
  <c r="CD36" i="26" s="1"/>
  <c r="BZ68" i="26"/>
  <c r="CE68" i="26" s="1"/>
  <c r="BZ52" i="26"/>
  <c r="CB52" i="26" s="1"/>
  <c r="BZ100" i="26"/>
  <c r="CD100" i="26" s="1"/>
  <c r="BZ35" i="26"/>
  <c r="BZ28" i="26"/>
  <c r="CA28" i="26" s="1"/>
  <c r="BZ84" i="26"/>
  <c r="BZ21" i="26"/>
  <c r="BZ85" i="26"/>
  <c r="CD85" i="26" s="1"/>
  <c r="BZ22" i="26"/>
  <c r="BZ46" i="26"/>
  <c r="CB46" i="26" s="1"/>
  <c r="BZ23" i="26"/>
  <c r="CD23" i="26" s="1"/>
  <c r="BZ71" i="26"/>
  <c r="CA71" i="26" s="1"/>
  <c r="BZ32" i="26"/>
  <c r="BZ64" i="26"/>
  <c r="BZ96" i="26"/>
  <c r="BZ41" i="26"/>
  <c r="CA41" i="26" s="1"/>
  <c r="BZ73" i="26"/>
  <c r="BZ26" i="26"/>
  <c r="BZ58" i="26"/>
  <c r="BZ90" i="26"/>
  <c r="BZ43" i="26"/>
  <c r="BZ75" i="26"/>
  <c r="CF75" i="26" s="1"/>
  <c r="BZ69" i="26"/>
  <c r="BZ94" i="26"/>
  <c r="BZ31" i="26"/>
  <c r="BZ55" i="26"/>
  <c r="BZ49" i="26"/>
  <c r="BZ81" i="26"/>
  <c r="BZ34" i="26"/>
  <c r="BZ66" i="26"/>
  <c r="BZ98" i="26"/>
  <c r="BZ92" i="26"/>
  <c r="CD92" i="26" s="1"/>
  <c r="BZ29" i="26"/>
  <c r="BZ93" i="26"/>
  <c r="BZ30" i="26"/>
  <c r="BZ54" i="26"/>
  <c r="BZ79" i="26"/>
  <c r="BZ40" i="26"/>
  <c r="BZ72" i="26"/>
  <c r="BZ51" i="26"/>
  <c r="BZ83" i="26"/>
  <c r="BZ44" i="26"/>
  <c r="CF44" i="26" s="1"/>
  <c r="BZ53" i="26"/>
  <c r="BZ78" i="26"/>
  <c r="BZ39" i="26"/>
  <c r="BZ103" i="26"/>
  <c r="BZ57" i="26"/>
  <c r="BZ89" i="26"/>
  <c r="BZ42" i="26"/>
  <c r="BZ74" i="26"/>
  <c r="BZ27" i="26"/>
  <c r="CF27" i="26" s="1"/>
  <c r="BZ48" i="26"/>
  <c r="BZ80" i="26"/>
  <c r="BZ59" i="26"/>
  <c r="BZ91" i="26"/>
  <c r="BZ33" i="26"/>
  <c r="BZ65" i="26"/>
  <c r="BZ97" i="26"/>
  <c r="BZ50" i="26"/>
  <c r="BZ24" i="26"/>
  <c r="BZ56" i="26"/>
  <c r="BZ88" i="26"/>
  <c r="BZ67" i="26"/>
  <c r="BZ99" i="26"/>
  <c r="BG20" i="26"/>
  <c r="DH103" i="26"/>
  <c r="DF103" i="26"/>
  <c r="DE103" i="26"/>
  <c r="BC103" i="26"/>
  <c r="AX103" i="26"/>
  <c r="AV103" i="26"/>
  <c r="AU103" i="26"/>
  <c r="AR103" i="26"/>
  <c r="AP103" i="26"/>
  <c r="AO103" i="26"/>
  <c r="DH102" i="26"/>
  <c r="DF102" i="26"/>
  <c r="DE102" i="26"/>
  <c r="BC102" i="26"/>
  <c r="AX102" i="26"/>
  <c r="AV102" i="26"/>
  <c r="AU102" i="26"/>
  <c r="AR102" i="26"/>
  <c r="AP102" i="26"/>
  <c r="AO102" i="26"/>
  <c r="DH101" i="26"/>
  <c r="DF101" i="26"/>
  <c r="DE101" i="26"/>
  <c r="BC101" i="26"/>
  <c r="AX101" i="26"/>
  <c r="AV101" i="26"/>
  <c r="AU101" i="26"/>
  <c r="AR101" i="26"/>
  <c r="AP101" i="26"/>
  <c r="AO101" i="26"/>
  <c r="DH100" i="26"/>
  <c r="DF100" i="26"/>
  <c r="DE100" i="26"/>
  <c r="BC100" i="26"/>
  <c r="AX100" i="26"/>
  <c r="AV100" i="26"/>
  <c r="AU100" i="26"/>
  <c r="AR100" i="26"/>
  <c r="AP100" i="26"/>
  <c r="AO100" i="26"/>
  <c r="DH99" i="26"/>
  <c r="DF99" i="26"/>
  <c r="DE99" i="26"/>
  <c r="BC99" i="26"/>
  <c r="AX99" i="26"/>
  <c r="AV99" i="26"/>
  <c r="AU99" i="26"/>
  <c r="AR99" i="26"/>
  <c r="AP99" i="26"/>
  <c r="AO99" i="26"/>
  <c r="DH98" i="26"/>
  <c r="DF98" i="26"/>
  <c r="DE98" i="26"/>
  <c r="BC98" i="26"/>
  <c r="AX98" i="26"/>
  <c r="AV98" i="26"/>
  <c r="AU98" i="26"/>
  <c r="AR98" i="26"/>
  <c r="AP98" i="26"/>
  <c r="AO98" i="26"/>
  <c r="DH97" i="26"/>
  <c r="DF97" i="26"/>
  <c r="DE97" i="26"/>
  <c r="BC97" i="26"/>
  <c r="AX97" i="26"/>
  <c r="AV97" i="26"/>
  <c r="AU97" i="26"/>
  <c r="AR97" i="26"/>
  <c r="AP97" i="26"/>
  <c r="AO97" i="26"/>
  <c r="DH96" i="26"/>
  <c r="DF96" i="26"/>
  <c r="DE96" i="26"/>
  <c r="BC96" i="26"/>
  <c r="AX96" i="26"/>
  <c r="AV96" i="26"/>
  <c r="AU96" i="26"/>
  <c r="AR96" i="26"/>
  <c r="AP96" i="26"/>
  <c r="AO96" i="26"/>
  <c r="DH95" i="26"/>
  <c r="DF95" i="26"/>
  <c r="DE95" i="26"/>
  <c r="BC95" i="26"/>
  <c r="AX95" i="26"/>
  <c r="AV95" i="26"/>
  <c r="AU95" i="26"/>
  <c r="AR95" i="26"/>
  <c r="AP95" i="26"/>
  <c r="AO95" i="26"/>
  <c r="DH94" i="26"/>
  <c r="DF94" i="26"/>
  <c r="DE94" i="26"/>
  <c r="BC94" i="26"/>
  <c r="AX94" i="26"/>
  <c r="AV94" i="26"/>
  <c r="AU94" i="26"/>
  <c r="AR94" i="26"/>
  <c r="AP94" i="26"/>
  <c r="AO94" i="26"/>
  <c r="DH93" i="26"/>
  <c r="DF93" i="26"/>
  <c r="DE93" i="26"/>
  <c r="BC93" i="26"/>
  <c r="AX93" i="26"/>
  <c r="AV93" i="26"/>
  <c r="AU93" i="26"/>
  <c r="AR93" i="26"/>
  <c r="AP93" i="26"/>
  <c r="AO93" i="26"/>
  <c r="DH92" i="26"/>
  <c r="DF92" i="26"/>
  <c r="DE92" i="26"/>
  <c r="BC92" i="26"/>
  <c r="AX92" i="26"/>
  <c r="AV92" i="26"/>
  <c r="AU92" i="26"/>
  <c r="AR92" i="26"/>
  <c r="AP92" i="26"/>
  <c r="AO92" i="26"/>
  <c r="DH91" i="26"/>
  <c r="DF91" i="26"/>
  <c r="DE91" i="26"/>
  <c r="BC91" i="26"/>
  <c r="AX91" i="26"/>
  <c r="AV91" i="26"/>
  <c r="AU91" i="26"/>
  <c r="AR91" i="26"/>
  <c r="AP91" i="26"/>
  <c r="AO91" i="26"/>
  <c r="DH90" i="26"/>
  <c r="DF90" i="26"/>
  <c r="DE90" i="26"/>
  <c r="BC90" i="26"/>
  <c r="AX90" i="26"/>
  <c r="AV90" i="26"/>
  <c r="AU90" i="26"/>
  <c r="AR90" i="26"/>
  <c r="AP90" i="26"/>
  <c r="AO90" i="26"/>
  <c r="DH89" i="26"/>
  <c r="DF89" i="26"/>
  <c r="DE89" i="26"/>
  <c r="BC89" i="26"/>
  <c r="AX89" i="26"/>
  <c r="AV89" i="26"/>
  <c r="AU89" i="26"/>
  <c r="AR89" i="26"/>
  <c r="AP89" i="26"/>
  <c r="AO89" i="26"/>
  <c r="DH88" i="26"/>
  <c r="DF88" i="26"/>
  <c r="DE88" i="26"/>
  <c r="BC88" i="26"/>
  <c r="AX88" i="26"/>
  <c r="AV88" i="26"/>
  <c r="AU88" i="26"/>
  <c r="AR88" i="26"/>
  <c r="AP88" i="26"/>
  <c r="AO88" i="26"/>
  <c r="DH87" i="26"/>
  <c r="DF87" i="26"/>
  <c r="DE87" i="26"/>
  <c r="BC87" i="26"/>
  <c r="AX87" i="26"/>
  <c r="AV87" i="26"/>
  <c r="AU87" i="26"/>
  <c r="AR87" i="26"/>
  <c r="AP87" i="26"/>
  <c r="AO87" i="26"/>
  <c r="DH86" i="26"/>
  <c r="DF86" i="26"/>
  <c r="DE86" i="26"/>
  <c r="BC86" i="26"/>
  <c r="AX86" i="26"/>
  <c r="AV86" i="26"/>
  <c r="AU86" i="26"/>
  <c r="AR86" i="26"/>
  <c r="AP86" i="26"/>
  <c r="AO86" i="26"/>
  <c r="DH85" i="26"/>
  <c r="DF85" i="26"/>
  <c r="DE85" i="26"/>
  <c r="BC85" i="26"/>
  <c r="AX85" i="26"/>
  <c r="AV85" i="26"/>
  <c r="AU85" i="26"/>
  <c r="AR85" i="26"/>
  <c r="AP85" i="26"/>
  <c r="AO85" i="26"/>
  <c r="DH84" i="26"/>
  <c r="DF84" i="26"/>
  <c r="DE84" i="26"/>
  <c r="BC84" i="26"/>
  <c r="AX84" i="26"/>
  <c r="AV84" i="26"/>
  <c r="AU84" i="26"/>
  <c r="AR84" i="26"/>
  <c r="AP84" i="26"/>
  <c r="AO84" i="26"/>
  <c r="DH83" i="26"/>
  <c r="DF83" i="26"/>
  <c r="DE83" i="26"/>
  <c r="BC83" i="26"/>
  <c r="AX83" i="26"/>
  <c r="AV83" i="26"/>
  <c r="AU83" i="26"/>
  <c r="AR83" i="26"/>
  <c r="AP83" i="26"/>
  <c r="AO83" i="26"/>
  <c r="DH82" i="26"/>
  <c r="DF82" i="26"/>
  <c r="DE82" i="26"/>
  <c r="BC82" i="26"/>
  <c r="AX82" i="26"/>
  <c r="AV82" i="26"/>
  <c r="AU82" i="26"/>
  <c r="AR82" i="26"/>
  <c r="AP82" i="26"/>
  <c r="AO82" i="26"/>
  <c r="DH81" i="26"/>
  <c r="DF81" i="26"/>
  <c r="DE81" i="26"/>
  <c r="BC81" i="26"/>
  <c r="AX81" i="26"/>
  <c r="AV81" i="26"/>
  <c r="AU81" i="26"/>
  <c r="AR81" i="26"/>
  <c r="AP81" i="26"/>
  <c r="AO81" i="26"/>
  <c r="DH80" i="26"/>
  <c r="DF80" i="26"/>
  <c r="DE80" i="26"/>
  <c r="BC80" i="26"/>
  <c r="AX80" i="26"/>
  <c r="AV80" i="26"/>
  <c r="AU80" i="26"/>
  <c r="AR80" i="26"/>
  <c r="AP80" i="26"/>
  <c r="AO80" i="26"/>
  <c r="DH79" i="26"/>
  <c r="DF79" i="26"/>
  <c r="DE79" i="26"/>
  <c r="BC79" i="26"/>
  <c r="AX79" i="26"/>
  <c r="AV79" i="26"/>
  <c r="AU79" i="26"/>
  <c r="AR79" i="26"/>
  <c r="AP79" i="26"/>
  <c r="AO79" i="26"/>
  <c r="DH78" i="26"/>
  <c r="DF78" i="26"/>
  <c r="DE78" i="26"/>
  <c r="BC78" i="26"/>
  <c r="AX78" i="26"/>
  <c r="AV78" i="26"/>
  <c r="AU78" i="26"/>
  <c r="AR78" i="26"/>
  <c r="AP78" i="26"/>
  <c r="AO78" i="26"/>
  <c r="DH77" i="26"/>
  <c r="DF77" i="26"/>
  <c r="DE77" i="26"/>
  <c r="BC77" i="26"/>
  <c r="AX77" i="26"/>
  <c r="AV77" i="26"/>
  <c r="AU77" i="26"/>
  <c r="AR77" i="26"/>
  <c r="AP77" i="26"/>
  <c r="AO77" i="26"/>
  <c r="DH76" i="26"/>
  <c r="DF76" i="26"/>
  <c r="DE76" i="26"/>
  <c r="BC76" i="26"/>
  <c r="AX76" i="26"/>
  <c r="AV76" i="26"/>
  <c r="AU76" i="26"/>
  <c r="AR76" i="26"/>
  <c r="AP76" i="26"/>
  <c r="AO76" i="26"/>
  <c r="DH75" i="26"/>
  <c r="DF75" i="26"/>
  <c r="DE75" i="26"/>
  <c r="BC75" i="26"/>
  <c r="AX75" i="26"/>
  <c r="AV75" i="26"/>
  <c r="AU75" i="26"/>
  <c r="AR75" i="26"/>
  <c r="AP75" i="26"/>
  <c r="AO75" i="26"/>
  <c r="DH74" i="26"/>
  <c r="DF74" i="26"/>
  <c r="DE74" i="26"/>
  <c r="BC74" i="26"/>
  <c r="AX74" i="26"/>
  <c r="AV74" i="26"/>
  <c r="AU74" i="26"/>
  <c r="AR74" i="26"/>
  <c r="AP74" i="26"/>
  <c r="AO74" i="26"/>
  <c r="DH73" i="26"/>
  <c r="DF73" i="26"/>
  <c r="DE73" i="26"/>
  <c r="BC73" i="26"/>
  <c r="AX73" i="26"/>
  <c r="AV73" i="26"/>
  <c r="AU73" i="26"/>
  <c r="AR73" i="26"/>
  <c r="AP73" i="26"/>
  <c r="AO73" i="26"/>
  <c r="DH72" i="26"/>
  <c r="DF72" i="26"/>
  <c r="DE72" i="26"/>
  <c r="BC72" i="26"/>
  <c r="AX72" i="26"/>
  <c r="AV72" i="26"/>
  <c r="AU72" i="26"/>
  <c r="AR72" i="26"/>
  <c r="AP72" i="26"/>
  <c r="AO72" i="26"/>
  <c r="DH71" i="26"/>
  <c r="DF71" i="26"/>
  <c r="DE71" i="26"/>
  <c r="BC71" i="26"/>
  <c r="AX71" i="26"/>
  <c r="AV71" i="26"/>
  <c r="AU71" i="26"/>
  <c r="AR71" i="26"/>
  <c r="AP71" i="26"/>
  <c r="AO71" i="26"/>
  <c r="DH70" i="26"/>
  <c r="DF70" i="26"/>
  <c r="DE70" i="26"/>
  <c r="BC70" i="26"/>
  <c r="AX70" i="26"/>
  <c r="AV70" i="26"/>
  <c r="AU70" i="26"/>
  <c r="AR70" i="26"/>
  <c r="AP70" i="26"/>
  <c r="AO70" i="26"/>
  <c r="DH69" i="26"/>
  <c r="DF69" i="26"/>
  <c r="DE69" i="26"/>
  <c r="BC69" i="26"/>
  <c r="AX69" i="26"/>
  <c r="AV69" i="26"/>
  <c r="AU69" i="26"/>
  <c r="AR69" i="26"/>
  <c r="AP69" i="26"/>
  <c r="AO69" i="26"/>
  <c r="DH68" i="26"/>
  <c r="DF68" i="26"/>
  <c r="DE68" i="26"/>
  <c r="BC68" i="26"/>
  <c r="AX68" i="26"/>
  <c r="AV68" i="26"/>
  <c r="AU68" i="26"/>
  <c r="AR68" i="26"/>
  <c r="AP68" i="26"/>
  <c r="AO68" i="26"/>
  <c r="DH67" i="26"/>
  <c r="DF67" i="26"/>
  <c r="DE67" i="26"/>
  <c r="BC67" i="26"/>
  <c r="AX67" i="26"/>
  <c r="AV67" i="26"/>
  <c r="AU67" i="26"/>
  <c r="AR67" i="26"/>
  <c r="AP67" i="26"/>
  <c r="AO67" i="26"/>
  <c r="DH66" i="26"/>
  <c r="DF66" i="26"/>
  <c r="DE66" i="26"/>
  <c r="BC66" i="26"/>
  <c r="AX66" i="26"/>
  <c r="AV66" i="26"/>
  <c r="AU66" i="26"/>
  <c r="AR66" i="26"/>
  <c r="AP66" i="26"/>
  <c r="AO66" i="26"/>
  <c r="DH65" i="26"/>
  <c r="DF65" i="26"/>
  <c r="DE65" i="26"/>
  <c r="BC65" i="26"/>
  <c r="AX65" i="26"/>
  <c r="AV65" i="26"/>
  <c r="AU65" i="26"/>
  <c r="AR65" i="26"/>
  <c r="AP65" i="26"/>
  <c r="AO65" i="26"/>
  <c r="DH64" i="26"/>
  <c r="DF64" i="26"/>
  <c r="DE64" i="26"/>
  <c r="BC64" i="26"/>
  <c r="AX64" i="26"/>
  <c r="AV64" i="26"/>
  <c r="AU64" i="26"/>
  <c r="AR64" i="26"/>
  <c r="AP64" i="26"/>
  <c r="AO64" i="26"/>
  <c r="DH63" i="26"/>
  <c r="DF63" i="26"/>
  <c r="DE63" i="26"/>
  <c r="BC63" i="26"/>
  <c r="AX63" i="26"/>
  <c r="AV63" i="26"/>
  <c r="AU63" i="26"/>
  <c r="AR63" i="26"/>
  <c r="AP63" i="26"/>
  <c r="AO63" i="26"/>
  <c r="DH62" i="26"/>
  <c r="DF62" i="26"/>
  <c r="DE62" i="26"/>
  <c r="BC62" i="26"/>
  <c r="AX62" i="26"/>
  <c r="AV62" i="26"/>
  <c r="AU62" i="26"/>
  <c r="AR62" i="26"/>
  <c r="AP62" i="26"/>
  <c r="AO62" i="26"/>
  <c r="DH61" i="26"/>
  <c r="DF61" i="26"/>
  <c r="DE61" i="26"/>
  <c r="BC61" i="26"/>
  <c r="AX61" i="26"/>
  <c r="AV61" i="26"/>
  <c r="AU61" i="26"/>
  <c r="AR61" i="26"/>
  <c r="AP61" i="26"/>
  <c r="AO61" i="26"/>
  <c r="DH60" i="26"/>
  <c r="DF60" i="26"/>
  <c r="DE60" i="26"/>
  <c r="BC60" i="26"/>
  <c r="AX60" i="26"/>
  <c r="AV60" i="26"/>
  <c r="AU60" i="26"/>
  <c r="AR60" i="26"/>
  <c r="AP60" i="26"/>
  <c r="AO60" i="26"/>
  <c r="DH59" i="26"/>
  <c r="DF59" i="26"/>
  <c r="DE59" i="26"/>
  <c r="BC59" i="26"/>
  <c r="AX59" i="26"/>
  <c r="AV59" i="26"/>
  <c r="AU59" i="26"/>
  <c r="AR59" i="26"/>
  <c r="AP59" i="26"/>
  <c r="AO59" i="26"/>
  <c r="DH58" i="26"/>
  <c r="DF58" i="26"/>
  <c r="DE58" i="26"/>
  <c r="BC58" i="26"/>
  <c r="AX58" i="26"/>
  <c r="AV58" i="26"/>
  <c r="AU58" i="26"/>
  <c r="AR58" i="26"/>
  <c r="AP58" i="26"/>
  <c r="AO58" i="26"/>
  <c r="DH57" i="26"/>
  <c r="DF57" i="26"/>
  <c r="DE57" i="26"/>
  <c r="BC57" i="26"/>
  <c r="AX57" i="26"/>
  <c r="AV57" i="26"/>
  <c r="AU57" i="26"/>
  <c r="AR57" i="26"/>
  <c r="AP57" i="26"/>
  <c r="AO57" i="26"/>
  <c r="DH56" i="26"/>
  <c r="DF56" i="26"/>
  <c r="DE56" i="26"/>
  <c r="BC56" i="26"/>
  <c r="AX56" i="26"/>
  <c r="AV56" i="26"/>
  <c r="AU56" i="26"/>
  <c r="AR56" i="26"/>
  <c r="AP56" i="26"/>
  <c r="AO56" i="26"/>
  <c r="DH55" i="26"/>
  <c r="DF55" i="26"/>
  <c r="DE55" i="26"/>
  <c r="BC55" i="26"/>
  <c r="AX55" i="26"/>
  <c r="AV55" i="26"/>
  <c r="AU55" i="26"/>
  <c r="AR55" i="26"/>
  <c r="AP55" i="26"/>
  <c r="AO55" i="26"/>
  <c r="DH54" i="26"/>
  <c r="DF54" i="26"/>
  <c r="DE54" i="26"/>
  <c r="BC54" i="26"/>
  <c r="AX54" i="26"/>
  <c r="AV54" i="26"/>
  <c r="AU54" i="26"/>
  <c r="AR54" i="26"/>
  <c r="AP54" i="26"/>
  <c r="DH53" i="26"/>
  <c r="DF53" i="26"/>
  <c r="DE53" i="26"/>
  <c r="BC53" i="26"/>
  <c r="AX53" i="26"/>
  <c r="AV53" i="26"/>
  <c r="AU53" i="26"/>
  <c r="AR53" i="26"/>
  <c r="AP53" i="26"/>
  <c r="AO53" i="26"/>
  <c r="DH52" i="26"/>
  <c r="DF52" i="26"/>
  <c r="DE52" i="26"/>
  <c r="BC52" i="26"/>
  <c r="AX52" i="26"/>
  <c r="AV52" i="26"/>
  <c r="AU52" i="26"/>
  <c r="AR52" i="26"/>
  <c r="AP52" i="26"/>
  <c r="AO52" i="26"/>
  <c r="DH51" i="26"/>
  <c r="DF51" i="26"/>
  <c r="DE51" i="26"/>
  <c r="BC51" i="26"/>
  <c r="AX51" i="26"/>
  <c r="AV51" i="26"/>
  <c r="AU51" i="26"/>
  <c r="AR51" i="26"/>
  <c r="AP51" i="26"/>
  <c r="AO51" i="26"/>
  <c r="DH50" i="26"/>
  <c r="DF50" i="26"/>
  <c r="DE50" i="26"/>
  <c r="BC50" i="26"/>
  <c r="AX50" i="26"/>
  <c r="AV50" i="26"/>
  <c r="AU50" i="26"/>
  <c r="AR50" i="26"/>
  <c r="AP50" i="26"/>
  <c r="AO50" i="26"/>
  <c r="DH49" i="26"/>
  <c r="DF49" i="26"/>
  <c r="DE49" i="26"/>
  <c r="BC49" i="26"/>
  <c r="AX49" i="26"/>
  <c r="AV49" i="26"/>
  <c r="AU49" i="26"/>
  <c r="AR49" i="26"/>
  <c r="AP49" i="26"/>
  <c r="AO49" i="26"/>
  <c r="DH48" i="26"/>
  <c r="DF48" i="26"/>
  <c r="DE48" i="26"/>
  <c r="BC48" i="26"/>
  <c r="AX48" i="26"/>
  <c r="AV48" i="26"/>
  <c r="AU48" i="26"/>
  <c r="AR48" i="26"/>
  <c r="AP48" i="26"/>
  <c r="DH47" i="26"/>
  <c r="DF47" i="26"/>
  <c r="DE47" i="26"/>
  <c r="BC47" i="26"/>
  <c r="AX47" i="26"/>
  <c r="AV47" i="26"/>
  <c r="AU47" i="26"/>
  <c r="AR47" i="26"/>
  <c r="AP47" i="26"/>
  <c r="AO47" i="26"/>
  <c r="DH46" i="26"/>
  <c r="DF46" i="26"/>
  <c r="DE46" i="26"/>
  <c r="BC46" i="26"/>
  <c r="AX46" i="26"/>
  <c r="AV46" i="26"/>
  <c r="AU46" i="26"/>
  <c r="AR46" i="26"/>
  <c r="AP46" i="26"/>
  <c r="AO46" i="26"/>
  <c r="DH45" i="26"/>
  <c r="DF45" i="26"/>
  <c r="DE45" i="26"/>
  <c r="BC45" i="26"/>
  <c r="AX45" i="26"/>
  <c r="AV45" i="26"/>
  <c r="AU45" i="26"/>
  <c r="AR45" i="26"/>
  <c r="AP45" i="26"/>
  <c r="AO45" i="26"/>
  <c r="DH44" i="26"/>
  <c r="DF44" i="26"/>
  <c r="DE44" i="26"/>
  <c r="BC44" i="26"/>
  <c r="AX44" i="26"/>
  <c r="AV44" i="26"/>
  <c r="AU44" i="26"/>
  <c r="AR44" i="26"/>
  <c r="AP44" i="26"/>
  <c r="AO44" i="26"/>
  <c r="DH43" i="26"/>
  <c r="DF43" i="26"/>
  <c r="DE43" i="26"/>
  <c r="BC43" i="26"/>
  <c r="AX43" i="26"/>
  <c r="AV43" i="26"/>
  <c r="AU43" i="26"/>
  <c r="AR43" i="26"/>
  <c r="AP43" i="26"/>
  <c r="AO43" i="26"/>
  <c r="DH42" i="26"/>
  <c r="DF42" i="26"/>
  <c r="DE42" i="26"/>
  <c r="BC42" i="26"/>
  <c r="AX42" i="26"/>
  <c r="AV42" i="26"/>
  <c r="AU42" i="26"/>
  <c r="AR42" i="26"/>
  <c r="AP42" i="26"/>
  <c r="AO42" i="26"/>
  <c r="DH41" i="26"/>
  <c r="DF41" i="26"/>
  <c r="DE41" i="26"/>
  <c r="BC41" i="26"/>
  <c r="AX41" i="26"/>
  <c r="AV41" i="26"/>
  <c r="AU41" i="26"/>
  <c r="AR41" i="26"/>
  <c r="AP41" i="26"/>
  <c r="AO41" i="26"/>
  <c r="DH40" i="26"/>
  <c r="DF40" i="26"/>
  <c r="DE40" i="26"/>
  <c r="BC40" i="26"/>
  <c r="AX40" i="26"/>
  <c r="AV40" i="26"/>
  <c r="AU40" i="26"/>
  <c r="AR40" i="26"/>
  <c r="AP40" i="26"/>
  <c r="AO40" i="26"/>
  <c r="DH39" i="26"/>
  <c r="DF39" i="26"/>
  <c r="DE39" i="26"/>
  <c r="BC39" i="26"/>
  <c r="AX39" i="26"/>
  <c r="AV39" i="26"/>
  <c r="AU39" i="26"/>
  <c r="AR39" i="26"/>
  <c r="AP39" i="26"/>
  <c r="AO39" i="26"/>
  <c r="DH38" i="26"/>
  <c r="DF38" i="26"/>
  <c r="DE38" i="26"/>
  <c r="BC38" i="26"/>
  <c r="AX38" i="26"/>
  <c r="AV38" i="26"/>
  <c r="AU38" i="26"/>
  <c r="AR38" i="26"/>
  <c r="AP38" i="26"/>
  <c r="AO38" i="26"/>
  <c r="DH37" i="26"/>
  <c r="DF37" i="26"/>
  <c r="DE37" i="26"/>
  <c r="BC37" i="26"/>
  <c r="AX37" i="26"/>
  <c r="AV37" i="26"/>
  <c r="AU37" i="26"/>
  <c r="AR37" i="26"/>
  <c r="AP37" i="26"/>
  <c r="AO37" i="26"/>
  <c r="DH36" i="26"/>
  <c r="DF36" i="26"/>
  <c r="DE36" i="26"/>
  <c r="BC36" i="26"/>
  <c r="AX36" i="26"/>
  <c r="AV36" i="26"/>
  <c r="AU36" i="26"/>
  <c r="AR36" i="26"/>
  <c r="AP36" i="26"/>
  <c r="AO36" i="26"/>
  <c r="DH35" i="26"/>
  <c r="DF35" i="26"/>
  <c r="DE35" i="26"/>
  <c r="BC35" i="26"/>
  <c r="AX35" i="26"/>
  <c r="AV35" i="26"/>
  <c r="AU35" i="26"/>
  <c r="AR35" i="26"/>
  <c r="AP35" i="26"/>
  <c r="AO35" i="26"/>
  <c r="DH34" i="26"/>
  <c r="DF34" i="26"/>
  <c r="DE34" i="26"/>
  <c r="BC34" i="26"/>
  <c r="AX34" i="26"/>
  <c r="AV34" i="26"/>
  <c r="AU34" i="26"/>
  <c r="AR34" i="26"/>
  <c r="AP34" i="26"/>
  <c r="AO34" i="26"/>
  <c r="DH33" i="26"/>
  <c r="DF33" i="26"/>
  <c r="DE33" i="26"/>
  <c r="BC33" i="26"/>
  <c r="AX33" i="26"/>
  <c r="AV33" i="26"/>
  <c r="AU33" i="26"/>
  <c r="AR33" i="26"/>
  <c r="AP33" i="26"/>
  <c r="AO33" i="26"/>
  <c r="DH32" i="26"/>
  <c r="DF32" i="26"/>
  <c r="DE32" i="26"/>
  <c r="BC32" i="26"/>
  <c r="AX32" i="26"/>
  <c r="AV32" i="26"/>
  <c r="AU32" i="26"/>
  <c r="AR32" i="26"/>
  <c r="AP32" i="26"/>
  <c r="AO32" i="26"/>
  <c r="DH31" i="26"/>
  <c r="DF31" i="26"/>
  <c r="DE31" i="26"/>
  <c r="BC31" i="26"/>
  <c r="AX31" i="26"/>
  <c r="AV31" i="26"/>
  <c r="AU31" i="26"/>
  <c r="AR31" i="26"/>
  <c r="AP31" i="26"/>
  <c r="AO31" i="26"/>
  <c r="DH30" i="26"/>
  <c r="DF30" i="26"/>
  <c r="DE30" i="26"/>
  <c r="BC30" i="26"/>
  <c r="AX30" i="26"/>
  <c r="AV30" i="26"/>
  <c r="AU30" i="26"/>
  <c r="AR30" i="26"/>
  <c r="AP30" i="26"/>
  <c r="AO30" i="26"/>
  <c r="DH29" i="26"/>
  <c r="DF29" i="26"/>
  <c r="DE29" i="26"/>
  <c r="BC29" i="26"/>
  <c r="AX29" i="26"/>
  <c r="AV29" i="26"/>
  <c r="AU29" i="26"/>
  <c r="AR29" i="26"/>
  <c r="AP29" i="26"/>
  <c r="AO29" i="26"/>
  <c r="DH28" i="26"/>
  <c r="DF28" i="26"/>
  <c r="DE28" i="26"/>
  <c r="BC28" i="26"/>
  <c r="AX28" i="26"/>
  <c r="AV28" i="26"/>
  <c r="AU28" i="26"/>
  <c r="AR28" i="26"/>
  <c r="AP28" i="26"/>
  <c r="AO28" i="26"/>
  <c r="DH27" i="26"/>
  <c r="DF27" i="26"/>
  <c r="DE27" i="26"/>
  <c r="BC27" i="26"/>
  <c r="AX27" i="26"/>
  <c r="AV27" i="26"/>
  <c r="AU27" i="26"/>
  <c r="AR27" i="26"/>
  <c r="AP27" i="26"/>
  <c r="AO27" i="26"/>
  <c r="DH26" i="26"/>
  <c r="DF26" i="26"/>
  <c r="DE26" i="26"/>
  <c r="BC26" i="26"/>
  <c r="AX26" i="26"/>
  <c r="AV26" i="26"/>
  <c r="AU26" i="26"/>
  <c r="AR26" i="26"/>
  <c r="AP26" i="26"/>
  <c r="AO26" i="26"/>
  <c r="DH25" i="26"/>
  <c r="DF25" i="26"/>
  <c r="DE25" i="26"/>
  <c r="BC25" i="26"/>
  <c r="AX25" i="26"/>
  <c r="AV25" i="26"/>
  <c r="AU25" i="26"/>
  <c r="AR25" i="26"/>
  <c r="AP25" i="26"/>
  <c r="AO25" i="26"/>
  <c r="DH24" i="26"/>
  <c r="DF24" i="26"/>
  <c r="DE24" i="26"/>
  <c r="BC24" i="26"/>
  <c r="AX24" i="26"/>
  <c r="AV24" i="26"/>
  <c r="AU24" i="26"/>
  <c r="AR24" i="26"/>
  <c r="AP24" i="26"/>
  <c r="AO24" i="26"/>
  <c r="DH23" i="26"/>
  <c r="DF23" i="26"/>
  <c r="DE23" i="26"/>
  <c r="BC23" i="26"/>
  <c r="AX23" i="26"/>
  <c r="AV23" i="26"/>
  <c r="AU23" i="26"/>
  <c r="AR23" i="26"/>
  <c r="AP23" i="26"/>
  <c r="AO23" i="26"/>
  <c r="DH22" i="26"/>
  <c r="DF22" i="26"/>
  <c r="DE22" i="26"/>
  <c r="BC22" i="26"/>
  <c r="AX22" i="26"/>
  <c r="AV22" i="26"/>
  <c r="AU22" i="26"/>
  <c r="AR22" i="26"/>
  <c r="AP22" i="26"/>
  <c r="AO22" i="26"/>
  <c r="DH21" i="26"/>
  <c r="DF21" i="26"/>
  <c r="DE21" i="26"/>
  <c r="BC21" i="26"/>
  <c r="AX21" i="26"/>
  <c r="AV21" i="26"/>
  <c r="AU21" i="26"/>
  <c r="AR21" i="26"/>
  <c r="AP21" i="26"/>
  <c r="AO21" i="26"/>
  <c r="BC20" i="26"/>
  <c r="AX20" i="26"/>
  <c r="AV20" i="26"/>
  <c r="AS20" i="26"/>
  <c r="AR20" i="26"/>
  <c r="AP20" i="26"/>
  <c r="AO20" i="26"/>
  <c r="AU20" i="26" l="1"/>
  <c r="DF20" i="26" s="1"/>
  <c r="CA100" i="26"/>
  <c r="CI100" i="26" s="1"/>
  <c r="CF86" i="26"/>
  <c r="CD77" i="26"/>
  <c r="CC71" i="26"/>
  <c r="CF62" i="26"/>
  <c r="CC70" i="26"/>
  <c r="CE70" i="26"/>
  <c r="CJ70" i="26" s="1"/>
  <c r="CD71" i="26"/>
  <c r="CI71" i="26" s="1"/>
  <c r="CC101" i="26"/>
  <c r="CE52" i="26"/>
  <c r="CJ52" i="26" s="1"/>
  <c r="CF52" i="26"/>
  <c r="CD101" i="26"/>
  <c r="CD52" i="26"/>
  <c r="CC86" i="26"/>
  <c r="CC46" i="26"/>
  <c r="CF100" i="26"/>
  <c r="CE46" i="26"/>
  <c r="CJ46" i="26" s="1"/>
  <c r="CA77" i="26"/>
  <c r="CF71" i="26"/>
  <c r="CB77" i="26"/>
  <c r="CB71" i="26"/>
  <c r="CC52" i="26"/>
  <c r="CF46" i="26"/>
  <c r="CA101" i="26"/>
  <c r="CA52" i="26"/>
  <c r="CA87" i="26"/>
  <c r="CB101" i="26"/>
  <c r="CB68" i="26"/>
  <c r="CJ68" i="26" s="1"/>
  <c r="CC68" i="26"/>
  <c r="CF68" i="26"/>
  <c r="CA62" i="26"/>
  <c r="CD62" i="26"/>
  <c r="CB62" i="26"/>
  <c r="CE62" i="26"/>
  <c r="CA36" i="26"/>
  <c r="CI36" i="26" s="1"/>
  <c r="CB85" i="26"/>
  <c r="CC87" i="26"/>
  <c r="CA86" i="26"/>
  <c r="CD86" i="26"/>
  <c r="CF87" i="26"/>
  <c r="CA46" i="26"/>
  <c r="CE86" i="26"/>
  <c r="CJ86" i="26" s="1"/>
  <c r="CA70" i="26"/>
  <c r="CE77" i="26"/>
  <c r="CD46" i="26"/>
  <c r="CE87" i="26"/>
  <c r="CJ87" i="26" s="1"/>
  <c r="CE101" i="26"/>
  <c r="CA68" i="26"/>
  <c r="CD70" i="26"/>
  <c r="CC76" i="26"/>
  <c r="CD87" i="26"/>
  <c r="CE71" i="26"/>
  <c r="CF70" i="26"/>
  <c r="CC77" i="26"/>
  <c r="CD68" i="26"/>
  <c r="CC100" i="26"/>
  <c r="CC63" i="26"/>
  <c r="CA63" i="26"/>
  <c r="CF63" i="26"/>
  <c r="CE63" i="26"/>
  <c r="CB63" i="26"/>
  <c r="CD63" i="26"/>
  <c r="CE102" i="26"/>
  <c r="CB102" i="26"/>
  <c r="CD102" i="26"/>
  <c r="CA102" i="26"/>
  <c r="CC102" i="26"/>
  <c r="CF102" i="26"/>
  <c r="CB61" i="26"/>
  <c r="CD61" i="26"/>
  <c r="CA61" i="26"/>
  <c r="CF61" i="26"/>
  <c r="CC61" i="26"/>
  <c r="CE61" i="26"/>
  <c r="CA38" i="26"/>
  <c r="CF38" i="26"/>
  <c r="CC38" i="26"/>
  <c r="CD38" i="26"/>
  <c r="CE38" i="26"/>
  <c r="CB38" i="26"/>
  <c r="CB37" i="26"/>
  <c r="CD37" i="26"/>
  <c r="CE37" i="26"/>
  <c r="CA37" i="26"/>
  <c r="CF37" i="26"/>
  <c r="CC37" i="26"/>
  <c r="CC95" i="26"/>
  <c r="CA95" i="26"/>
  <c r="CE95" i="26"/>
  <c r="CB95" i="26"/>
  <c r="CF95" i="26"/>
  <c r="CD95" i="26"/>
  <c r="CA47" i="26"/>
  <c r="CC47" i="26"/>
  <c r="CE47" i="26"/>
  <c r="CB47" i="26"/>
  <c r="CD47" i="26"/>
  <c r="CF47" i="26"/>
  <c r="CB45" i="26"/>
  <c r="CD45" i="26"/>
  <c r="CA45" i="26"/>
  <c r="CF45" i="26"/>
  <c r="CE45" i="26"/>
  <c r="CC45" i="26"/>
  <c r="CB60" i="26"/>
  <c r="CA92" i="26"/>
  <c r="CI92" i="26" s="1"/>
  <c r="CF76" i="26"/>
  <c r="CE60" i="26"/>
  <c r="CA76" i="26"/>
  <c r="CC60" i="26"/>
  <c r="CD76" i="26"/>
  <c r="CE41" i="26"/>
  <c r="CF60" i="26"/>
  <c r="CC41" i="26"/>
  <c r="CB36" i="26"/>
  <c r="CA60" i="26"/>
  <c r="CI60" i="26" s="1"/>
  <c r="CE36" i="26"/>
  <c r="CC85" i="26"/>
  <c r="CB76" i="26"/>
  <c r="CJ76" i="26" s="1"/>
  <c r="CC36" i="26"/>
  <c r="CF85" i="26"/>
  <c r="CF36" i="26"/>
  <c r="CE23" i="26"/>
  <c r="CE85" i="26"/>
  <c r="CA85" i="26"/>
  <c r="CI85" i="26" s="1"/>
  <c r="CD28" i="26"/>
  <c r="CI28" i="26" s="1"/>
  <c r="CB75" i="26"/>
  <c r="CE92" i="26"/>
  <c r="CC92" i="26"/>
  <c r="CF92" i="26"/>
  <c r="CB92" i="26"/>
  <c r="CB44" i="26"/>
  <c r="CB23" i="26"/>
  <c r="BH49" i="26"/>
  <c r="BH34" i="26"/>
  <c r="BH98" i="26"/>
  <c r="BH84" i="26"/>
  <c r="BI84" i="26" s="1"/>
  <c r="BH53" i="26"/>
  <c r="BI53" i="26" s="1"/>
  <c r="BH30" i="26"/>
  <c r="BJ30" i="26" s="1"/>
  <c r="BH94" i="26"/>
  <c r="BL94" i="26" s="1"/>
  <c r="BH75" i="26"/>
  <c r="BH72" i="26"/>
  <c r="BK72" i="26" s="1"/>
  <c r="BH57" i="26"/>
  <c r="BH42" i="26"/>
  <c r="BH92" i="26"/>
  <c r="BN92" i="26" s="1"/>
  <c r="BH61" i="26"/>
  <c r="BJ61" i="26" s="1"/>
  <c r="BH38" i="26"/>
  <c r="BK38" i="26" s="1"/>
  <c r="BH102" i="26"/>
  <c r="BL102" i="26" s="1"/>
  <c r="BH83" i="26"/>
  <c r="BH95" i="26"/>
  <c r="BH65" i="26"/>
  <c r="BL65" i="26" s="1"/>
  <c r="BH50" i="26"/>
  <c r="BH36" i="26"/>
  <c r="BJ36" i="26" s="1"/>
  <c r="BH100" i="26"/>
  <c r="BH69" i="26"/>
  <c r="BL69" i="26" s="1"/>
  <c r="BH46" i="26"/>
  <c r="BM46" i="26" s="1"/>
  <c r="BH47" i="26"/>
  <c r="BL47" i="26" s="1"/>
  <c r="BH23" i="26"/>
  <c r="BH24" i="26"/>
  <c r="BH88" i="26"/>
  <c r="BH73" i="26"/>
  <c r="BJ73" i="26" s="1"/>
  <c r="BH58" i="26"/>
  <c r="BI58" i="26" s="1"/>
  <c r="BH44" i="26"/>
  <c r="BJ44" i="26" s="1"/>
  <c r="BH77" i="26"/>
  <c r="BI77" i="26" s="1"/>
  <c r="BH54" i="26"/>
  <c r="BI54" i="26" s="1"/>
  <c r="BH31" i="26"/>
  <c r="BH32" i="26"/>
  <c r="BH96" i="26"/>
  <c r="BH81" i="26"/>
  <c r="BH66" i="26"/>
  <c r="BJ66" i="26" s="1"/>
  <c r="BH52" i="26"/>
  <c r="BI52" i="26" s="1"/>
  <c r="BH21" i="26"/>
  <c r="BI21" i="26" s="1"/>
  <c r="BH85" i="26"/>
  <c r="BJ85" i="26" s="1"/>
  <c r="BH62" i="26"/>
  <c r="BJ62" i="26" s="1"/>
  <c r="BH103" i="26"/>
  <c r="BH39" i="26"/>
  <c r="BH40" i="26"/>
  <c r="BL40" i="26" s="1"/>
  <c r="BH35" i="26"/>
  <c r="BH25" i="26"/>
  <c r="BH89" i="26"/>
  <c r="BH74" i="26"/>
  <c r="BH60" i="26"/>
  <c r="BN60" i="26" s="1"/>
  <c r="BH29" i="26"/>
  <c r="BI29" i="26" s="1"/>
  <c r="BH93" i="26"/>
  <c r="BM93" i="26" s="1"/>
  <c r="BH70" i="26"/>
  <c r="BN70" i="26" s="1"/>
  <c r="BH48" i="26"/>
  <c r="BH51" i="26"/>
  <c r="BH33" i="26"/>
  <c r="BI33" i="26" s="1"/>
  <c r="BH97" i="26"/>
  <c r="BN97" i="26" s="1"/>
  <c r="BH82" i="26"/>
  <c r="BN82" i="26" s="1"/>
  <c r="BH68" i="26"/>
  <c r="BJ68" i="26" s="1"/>
  <c r="BH37" i="26"/>
  <c r="BJ37" i="26" s="1"/>
  <c r="BH101" i="26"/>
  <c r="BJ101" i="26" s="1"/>
  <c r="BH78" i="26"/>
  <c r="BL78" i="26" s="1"/>
  <c r="BH43" i="26"/>
  <c r="BH63" i="26"/>
  <c r="BH56" i="26"/>
  <c r="BH67" i="26"/>
  <c r="CA23" i="26"/>
  <c r="CI23" i="26" s="1"/>
  <c r="BH41" i="26"/>
  <c r="BH26" i="26"/>
  <c r="BJ26" i="26" s="1"/>
  <c r="BH90" i="26"/>
  <c r="BJ90" i="26" s="1"/>
  <c r="BH76" i="26"/>
  <c r="BM76" i="26" s="1"/>
  <c r="BH45" i="26"/>
  <c r="BI45" i="26" s="1"/>
  <c r="BH22" i="26"/>
  <c r="BL22" i="26" s="1"/>
  <c r="BH86" i="26"/>
  <c r="BK86" i="26" s="1"/>
  <c r="BH59" i="26"/>
  <c r="BL59" i="26" s="1"/>
  <c r="BH71" i="26"/>
  <c r="BH64" i="26"/>
  <c r="BH99" i="26"/>
  <c r="CA75" i="26"/>
  <c r="CB27" i="26"/>
  <c r="CD75" i="26"/>
  <c r="CE44" i="26"/>
  <c r="CB28" i="26"/>
  <c r="CE27" i="26"/>
  <c r="CC44" i="26"/>
  <c r="CE28" i="26"/>
  <c r="CA27" i="26"/>
  <c r="CA44" i="26"/>
  <c r="CC28" i="26"/>
  <c r="CD27" i="26"/>
  <c r="CD44" i="26"/>
  <c r="CF28" i="26"/>
  <c r="CC23" i="26"/>
  <c r="CB100" i="26"/>
  <c r="CF23" i="26"/>
  <c r="CE100" i="26"/>
  <c r="CE75" i="26"/>
  <c r="CC27" i="26"/>
  <c r="CK27" i="26" s="1"/>
  <c r="CC75" i="26"/>
  <c r="CK75" i="26" s="1"/>
  <c r="CB32" i="26"/>
  <c r="CD32" i="26"/>
  <c r="CA32" i="26"/>
  <c r="CF32" i="26"/>
  <c r="CC32" i="26"/>
  <c r="CE32" i="26"/>
  <c r="CF103" i="26"/>
  <c r="CC103" i="26"/>
  <c r="CA103" i="26"/>
  <c r="CE103" i="26"/>
  <c r="CB103" i="26"/>
  <c r="CD103" i="26"/>
  <c r="CA54" i="26"/>
  <c r="CF54" i="26"/>
  <c r="CC54" i="26"/>
  <c r="CE54" i="26"/>
  <c r="CB54" i="26"/>
  <c r="CD54" i="26"/>
  <c r="CF39" i="26"/>
  <c r="CC39" i="26"/>
  <c r="CA39" i="26"/>
  <c r="CE39" i="26"/>
  <c r="CB39" i="26"/>
  <c r="CD39" i="26"/>
  <c r="CC78" i="26"/>
  <c r="CE78" i="26"/>
  <c r="CB78" i="26"/>
  <c r="CD78" i="26"/>
  <c r="CA78" i="26"/>
  <c r="CF78" i="26"/>
  <c r="CB93" i="26"/>
  <c r="CD93" i="26"/>
  <c r="CA93" i="26"/>
  <c r="CF93" i="26"/>
  <c r="CE93" i="26"/>
  <c r="CC93" i="26"/>
  <c r="CB55" i="26"/>
  <c r="CD55" i="26"/>
  <c r="CF55" i="26"/>
  <c r="CC55" i="26"/>
  <c r="CA55" i="26"/>
  <c r="CE55" i="26"/>
  <c r="CA26" i="26"/>
  <c r="CF26" i="26"/>
  <c r="CC26" i="26"/>
  <c r="CE26" i="26"/>
  <c r="CD26" i="26"/>
  <c r="CB26" i="26"/>
  <c r="CF53" i="26"/>
  <c r="CC53" i="26"/>
  <c r="CE53" i="26"/>
  <c r="CB53" i="26"/>
  <c r="CD53" i="26"/>
  <c r="CA53" i="26"/>
  <c r="CF29" i="26"/>
  <c r="CC29" i="26"/>
  <c r="CE29" i="26"/>
  <c r="CB29" i="26"/>
  <c r="CD29" i="26"/>
  <c r="CA29" i="26"/>
  <c r="CB22" i="26"/>
  <c r="CD22" i="26"/>
  <c r="CA22" i="26"/>
  <c r="CF22" i="26"/>
  <c r="CC22" i="26"/>
  <c r="CE22" i="26"/>
  <c r="CC94" i="26"/>
  <c r="CE94" i="26"/>
  <c r="CB94" i="26"/>
  <c r="CD94" i="26"/>
  <c r="CA94" i="26"/>
  <c r="CF94" i="26"/>
  <c r="CA97" i="26"/>
  <c r="CF97" i="26"/>
  <c r="CC97" i="26"/>
  <c r="CE97" i="26"/>
  <c r="CB97" i="26"/>
  <c r="CD97" i="26"/>
  <c r="CF69" i="26"/>
  <c r="CE69" i="26"/>
  <c r="CC69" i="26"/>
  <c r="CB69" i="26"/>
  <c r="CD69" i="26"/>
  <c r="CA69" i="26"/>
  <c r="CF21" i="26"/>
  <c r="CC21" i="26"/>
  <c r="CE21" i="26"/>
  <c r="CB21" i="26"/>
  <c r="CD21" i="26"/>
  <c r="CA21" i="26"/>
  <c r="CC33" i="26"/>
  <c r="CE33" i="26"/>
  <c r="CB33" i="26"/>
  <c r="CD33" i="26"/>
  <c r="CA33" i="26"/>
  <c r="CF33" i="26"/>
  <c r="CB79" i="26"/>
  <c r="CD79" i="26"/>
  <c r="CF79" i="26"/>
  <c r="CC79" i="26"/>
  <c r="CA79" i="26"/>
  <c r="CE79" i="26"/>
  <c r="CC43" i="26"/>
  <c r="CE43" i="26"/>
  <c r="CB43" i="26"/>
  <c r="CD43" i="26"/>
  <c r="CA43" i="26"/>
  <c r="CF43" i="26"/>
  <c r="BH20" i="26"/>
  <c r="BH55" i="26"/>
  <c r="BH28" i="26"/>
  <c r="BH27" i="26"/>
  <c r="BH91" i="26"/>
  <c r="BH79" i="26"/>
  <c r="BH80" i="26"/>
  <c r="BH87" i="26"/>
  <c r="DE20" i="26"/>
  <c r="CD41" i="26"/>
  <c r="CI41" i="26" s="1"/>
  <c r="CB41" i="26"/>
  <c r="CJ41" i="26" s="1"/>
  <c r="CF41" i="26"/>
  <c r="CC72" i="26"/>
  <c r="CE72" i="26"/>
  <c r="CB72" i="26"/>
  <c r="CD72" i="26"/>
  <c r="CA72" i="26"/>
  <c r="CF72" i="26"/>
  <c r="CD35" i="26"/>
  <c r="CA35" i="26"/>
  <c r="CF35" i="26"/>
  <c r="CC35" i="26"/>
  <c r="CE35" i="26"/>
  <c r="CB35" i="26"/>
  <c r="CC56" i="26"/>
  <c r="CE56" i="26"/>
  <c r="CB56" i="26"/>
  <c r="CD56" i="26"/>
  <c r="CA56" i="26"/>
  <c r="CF56" i="26"/>
  <c r="CD59" i="26"/>
  <c r="CA59" i="26"/>
  <c r="CF59" i="26"/>
  <c r="CC59" i="26"/>
  <c r="CE59" i="26"/>
  <c r="CB59" i="26"/>
  <c r="CC40" i="26"/>
  <c r="CE40" i="26"/>
  <c r="CB40" i="26"/>
  <c r="CD40" i="26"/>
  <c r="CA40" i="26"/>
  <c r="CF40" i="26"/>
  <c r="CD51" i="26"/>
  <c r="CA51" i="26"/>
  <c r="CF51" i="26"/>
  <c r="CC51" i="26"/>
  <c r="CE51" i="26"/>
  <c r="CB51" i="26"/>
  <c r="CA74" i="26"/>
  <c r="CF74" i="26"/>
  <c r="CC74" i="26"/>
  <c r="CE74" i="26"/>
  <c r="CD74" i="26"/>
  <c r="CB74" i="26"/>
  <c r="CA98" i="26"/>
  <c r="CF98" i="26"/>
  <c r="CC98" i="26"/>
  <c r="CE98" i="26"/>
  <c r="CD98" i="26"/>
  <c r="CB98" i="26"/>
  <c r="CA34" i="26"/>
  <c r="CF34" i="26"/>
  <c r="CC34" i="26"/>
  <c r="CE34" i="26"/>
  <c r="CD34" i="26"/>
  <c r="CB34" i="26"/>
  <c r="CF73" i="26"/>
  <c r="CC73" i="26"/>
  <c r="CE73" i="26"/>
  <c r="CB73" i="26"/>
  <c r="CD73" i="26"/>
  <c r="CA73" i="26"/>
  <c r="CA42" i="26"/>
  <c r="CF42" i="26"/>
  <c r="CC42" i="26"/>
  <c r="CE42" i="26"/>
  <c r="CD42" i="26"/>
  <c r="CB42" i="26"/>
  <c r="CA66" i="26"/>
  <c r="CF66" i="26"/>
  <c r="CC66" i="26"/>
  <c r="CE66" i="26"/>
  <c r="CD66" i="26"/>
  <c r="CB66" i="26"/>
  <c r="CC80" i="26"/>
  <c r="CE80" i="26"/>
  <c r="CB80" i="26"/>
  <c r="CD80" i="26"/>
  <c r="CA80" i="26"/>
  <c r="CF80" i="26"/>
  <c r="CD91" i="26"/>
  <c r="CA91" i="26"/>
  <c r="CF91" i="26"/>
  <c r="CC91" i="26"/>
  <c r="CE91" i="26"/>
  <c r="CB91" i="26"/>
  <c r="CD83" i="26"/>
  <c r="CA83" i="26"/>
  <c r="CF83" i="26"/>
  <c r="CC83" i="26"/>
  <c r="CE83" i="26"/>
  <c r="CB83" i="26"/>
  <c r="CD84" i="26"/>
  <c r="CA84" i="26"/>
  <c r="CF84" i="26"/>
  <c r="CC84" i="26"/>
  <c r="CE84" i="26"/>
  <c r="CB84" i="26"/>
  <c r="CC48" i="26"/>
  <c r="CE48" i="26"/>
  <c r="CB48" i="26"/>
  <c r="CD48" i="26"/>
  <c r="CA48" i="26"/>
  <c r="CF48" i="26"/>
  <c r="CC96" i="26"/>
  <c r="CE96" i="26"/>
  <c r="CB96" i="26"/>
  <c r="CD96" i="26"/>
  <c r="CA96" i="26"/>
  <c r="CF96" i="26"/>
  <c r="CD99" i="26"/>
  <c r="CA99" i="26"/>
  <c r="CF99" i="26"/>
  <c r="CC99" i="26"/>
  <c r="CE99" i="26"/>
  <c r="CB99" i="26"/>
  <c r="CA82" i="26"/>
  <c r="CF82" i="26"/>
  <c r="CC82" i="26"/>
  <c r="CE82" i="26"/>
  <c r="CD82" i="26"/>
  <c r="CB82" i="26"/>
  <c r="CC64" i="26"/>
  <c r="CE64" i="26"/>
  <c r="CB64" i="26"/>
  <c r="CD64" i="26"/>
  <c r="CA64" i="26"/>
  <c r="CF64" i="26"/>
  <c r="CD67" i="26"/>
  <c r="CA67" i="26"/>
  <c r="CF67" i="26"/>
  <c r="CC67" i="26"/>
  <c r="CE67" i="26"/>
  <c r="CB67" i="26"/>
  <c r="CA90" i="26"/>
  <c r="CF90" i="26"/>
  <c r="CC90" i="26"/>
  <c r="CE90" i="26"/>
  <c r="CD90" i="26"/>
  <c r="CB90" i="26"/>
  <c r="CE31" i="26"/>
  <c r="CB31" i="26"/>
  <c r="CD31" i="26"/>
  <c r="CF31" i="26"/>
  <c r="CC31" i="26"/>
  <c r="CA31" i="26"/>
  <c r="CA50" i="26"/>
  <c r="CF50" i="26"/>
  <c r="CC50" i="26"/>
  <c r="CE50" i="26"/>
  <c r="CD50" i="26"/>
  <c r="CB50" i="26"/>
  <c r="CC88" i="26"/>
  <c r="CE88" i="26"/>
  <c r="CB88" i="26"/>
  <c r="CD88" i="26"/>
  <c r="CA88" i="26"/>
  <c r="CF88" i="26"/>
  <c r="CA58" i="26"/>
  <c r="CF58" i="26"/>
  <c r="CC58" i="26"/>
  <c r="CE58" i="26"/>
  <c r="CD58" i="26"/>
  <c r="CB58" i="26"/>
  <c r="CE30" i="26"/>
  <c r="CB30" i="26"/>
  <c r="CD30" i="26"/>
  <c r="CA30" i="26"/>
  <c r="CF30" i="26"/>
  <c r="CC30" i="26"/>
  <c r="CF81" i="26"/>
  <c r="CC81" i="26"/>
  <c r="CE81" i="26"/>
  <c r="CB81" i="26"/>
  <c r="CD81" i="26"/>
  <c r="CA81" i="26"/>
  <c r="CC24" i="26"/>
  <c r="CE24" i="26"/>
  <c r="CB24" i="26"/>
  <c r="CD24" i="26"/>
  <c r="CA24" i="26"/>
  <c r="CF24" i="26"/>
  <c r="CF49" i="26"/>
  <c r="CC49" i="26"/>
  <c r="CE49" i="26"/>
  <c r="CB49" i="26"/>
  <c r="CD49" i="26"/>
  <c r="CA49" i="26"/>
  <c r="CF65" i="26"/>
  <c r="CC65" i="26"/>
  <c r="CE65" i="26"/>
  <c r="CB65" i="26"/>
  <c r="CD65" i="26"/>
  <c r="CA65" i="26"/>
  <c r="CF57" i="26"/>
  <c r="CC57" i="26"/>
  <c r="CE57" i="26"/>
  <c r="CB57" i="26"/>
  <c r="CD57" i="26"/>
  <c r="CA57" i="26"/>
  <c r="CF89" i="26"/>
  <c r="CC89" i="26"/>
  <c r="CE89" i="26"/>
  <c r="CB89" i="26"/>
  <c r="CD89" i="26"/>
  <c r="CA89" i="26"/>
  <c r="CF25" i="26"/>
  <c r="CC25" i="26"/>
  <c r="CE25" i="26"/>
  <c r="CB25" i="26"/>
  <c r="CD25" i="26"/>
  <c r="CA25" i="26"/>
  <c r="CE20" i="26"/>
  <c r="CF20" i="26"/>
  <c r="CD20" i="26"/>
  <c r="CC20" i="26"/>
  <c r="CB20" i="26"/>
  <c r="CA20" i="26"/>
  <c r="BL37" i="26"/>
  <c r="DG22" i="26"/>
  <c r="DW22" i="26"/>
  <c r="DG26" i="26"/>
  <c r="DW26" i="26"/>
  <c r="DG30" i="26"/>
  <c r="DW30" i="26"/>
  <c r="DG34" i="26"/>
  <c r="DW34" i="26"/>
  <c r="DG38" i="26"/>
  <c r="DW38" i="26"/>
  <c r="DG42" i="26"/>
  <c r="DW42" i="26"/>
  <c r="DG46" i="26"/>
  <c r="DW46" i="26"/>
  <c r="DG50" i="26"/>
  <c r="DW50" i="26"/>
  <c r="DG54" i="26"/>
  <c r="DW54" i="26"/>
  <c r="DG58" i="26"/>
  <c r="DW58" i="26"/>
  <c r="DG62" i="26"/>
  <c r="DW62" i="26"/>
  <c r="DG66" i="26"/>
  <c r="DW66" i="26"/>
  <c r="DG70" i="26"/>
  <c r="DW70" i="26"/>
  <c r="DG74" i="26"/>
  <c r="DW74" i="26"/>
  <c r="DG78" i="26"/>
  <c r="DW78" i="26"/>
  <c r="DG82" i="26"/>
  <c r="DW82" i="26"/>
  <c r="DG86" i="26"/>
  <c r="DW86" i="26"/>
  <c r="DG90" i="26"/>
  <c r="DW90" i="26"/>
  <c r="DG94" i="26"/>
  <c r="DW94" i="26"/>
  <c r="DG98" i="26"/>
  <c r="DW98" i="26"/>
  <c r="DG102" i="26"/>
  <c r="DW102" i="26"/>
  <c r="DG21" i="26"/>
  <c r="DW21" i="26"/>
  <c r="DG25" i="26"/>
  <c r="DW25" i="26"/>
  <c r="DG29" i="26"/>
  <c r="DW29" i="26"/>
  <c r="DG33" i="26"/>
  <c r="DW33" i="26"/>
  <c r="DG37" i="26"/>
  <c r="DW37" i="26"/>
  <c r="DG41" i="26"/>
  <c r="DW41" i="26"/>
  <c r="DG45" i="26"/>
  <c r="DW45" i="26"/>
  <c r="DG49" i="26"/>
  <c r="DW49" i="26"/>
  <c r="DG53" i="26"/>
  <c r="DW53" i="26"/>
  <c r="DG57" i="26"/>
  <c r="DW57" i="26"/>
  <c r="DG61" i="26"/>
  <c r="DW61" i="26"/>
  <c r="DG65" i="26"/>
  <c r="DW65" i="26"/>
  <c r="DG69" i="26"/>
  <c r="DW69" i="26"/>
  <c r="DG73" i="26"/>
  <c r="DW73" i="26"/>
  <c r="DG77" i="26"/>
  <c r="DW77" i="26"/>
  <c r="DG81" i="26"/>
  <c r="DW81" i="26"/>
  <c r="DG85" i="26"/>
  <c r="DW85" i="26"/>
  <c r="DG89" i="26"/>
  <c r="DW89" i="26"/>
  <c r="DG93" i="26"/>
  <c r="DW93" i="26"/>
  <c r="DG97" i="26"/>
  <c r="DW97" i="26"/>
  <c r="DG101" i="26"/>
  <c r="DW101" i="26"/>
  <c r="DG24" i="26"/>
  <c r="DW24" i="26"/>
  <c r="DG28" i="26"/>
  <c r="DW28" i="26"/>
  <c r="DG32" i="26"/>
  <c r="DW32" i="26"/>
  <c r="DG36" i="26"/>
  <c r="DW36" i="26"/>
  <c r="DG40" i="26"/>
  <c r="DW40" i="26"/>
  <c r="DG44" i="26"/>
  <c r="DW44" i="26"/>
  <c r="DG48" i="26"/>
  <c r="DW48" i="26"/>
  <c r="DG52" i="26"/>
  <c r="DW52" i="26"/>
  <c r="DG56" i="26"/>
  <c r="DW56" i="26"/>
  <c r="DG60" i="26"/>
  <c r="DW60" i="26"/>
  <c r="DG64" i="26"/>
  <c r="DW64" i="26"/>
  <c r="DG68" i="26"/>
  <c r="DW68" i="26"/>
  <c r="DG72" i="26"/>
  <c r="DW72" i="26"/>
  <c r="DG76" i="26"/>
  <c r="DW76" i="26"/>
  <c r="DG80" i="26"/>
  <c r="DW80" i="26"/>
  <c r="DG84" i="26"/>
  <c r="DW84" i="26"/>
  <c r="DG88" i="26"/>
  <c r="DW88" i="26"/>
  <c r="DG92" i="26"/>
  <c r="DW92" i="26"/>
  <c r="DG96" i="26"/>
  <c r="DW96" i="26"/>
  <c r="DG100" i="26"/>
  <c r="DW100" i="26"/>
  <c r="DG23" i="26"/>
  <c r="DW23" i="26"/>
  <c r="DG27" i="26"/>
  <c r="DW27" i="26"/>
  <c r="DG31" i="26"/>
  <c r="DW31" i="26"/>
  <c r="DG35" i="26"/>
  <c r="DW35" i="26"/>
  <c r="DG39" i="26"/>
  <c r="DW39" i="26"/>
  <c r="DG43" i="26"/>
  <c r="DW43" i="26"/>
  <c r="DG47" i="26"/>
  <c r="DW47" i="26"/>
  <c r="DG51" i="26"/>
  <c r="DW51" i="26"/>
  <c r="DG55" i="26"/>
  <c r="DW55" i="26"/>
  <c r="DG59" i="26"/>
  <c r="DW59" i="26"/>
  <c r="DG63" i="26"/>
  <c r="DW63" i="26"/>
  <c r="DG67" i="26"/>
  <c r="DW67" i="26"/>
  <c r="DG71" i="26"/>
  <c r="DW71" i="26"/>
  <c r="DG75" i="26"/>
  <c r="DW75" i="26"/>
  <c r="DG79" i="26"/>
  <c r="DW79" i="26"/>
  <c r="DG83" i="26"/>
  <c r="DW83" i="26"/>
  <c r="DG87" i="26"/>
  <c r="DW87" i="26"/>
  <c r="DG91" i="26"/>
  <c r="DW91" i="26"/>
  <c r="DG95" i="26"/>
  <c r="DW95" i="26"/>
  <c r="DG99" i="26"/>
  <c r="DW99" i="26"/>
  <c r="DG103" i="26"/>
  <c r="DW103" i="26"/>
  <c r="DJ44" i="26"/>
  <c r="AO48" i="26"/>
  <c r="DI48" i="26" s="1"/>
  <c r="AO54" i="26"/>
  <c r="DI54" i="26" s="1"/>
  <c r="DJ42" i="26"/>
  <c r="DJ26" i="26"/>
  <c r="DJ27" i="26"/>
  <c r="DJ43" i="26"/>
  <c r="DJ66" i="26"/>
  <c r="DJ28" i="26"/>
  <c r="DJ36" i="26"/>
  <c r="AZ52" i="26"/>
  <c r="DJ59" i="26"/>
  <c r="DJ67" i="26"/>
  <c r="DJ75" i="26"/>
  <c r="DJ83" i="26"/>
  <c r="DJ91" i="26"/>
  <c r="DJ99" i="26"/>
  <c r="DJ34" i="26"/>
  <c r="DJ50" i="26"/>
  <c r="DJ35" i="26"/>
  <c r="DJ51" i="26"/>
  <c r="DJ98" i="26"/>
  <c r="DJ29" i="26"/>
  <c r="DJ37" i="26"/>
  <c r="DJ45" i="26"/>
  <c r="DJ53" i="26"/>
  <c r="DJ60" i="26"/>
  <c r="DJ68" i="26"/>
  <c r="DJ76" i="26"/>
  <c r="DJ84" i="26"/>
  <c r="DJ92" i="26"/>
  <c r="DJ100" i="26"/>
  <c r="DJ73" i="26"/>
  <c r="DJ97" i="26"/>
  <c r="DJ74" i="26"/>
  <c r="DJ22" i="26"/>
  <c r="DJ30" i="26"/>
  <c r="DJ38" i="26"/>
  <c r="DJ46" i="26"/>
  <c r="DJ61" i="26"/>
  <c r="DJ69" i="26"/>
  <c r="AZ77" i="26"/>
  <c r="DJ85" i="26"/>
  <c r="DJ93" i="26"/>
  <c r="AZ101" i="26"/>
  <c r="DJ82" i="26"/>
  <c r="DJ90" i="26"/>
  <c r="DJ21" i="26"/>
  <c r="DJ23" i="26"/>
  <c r="DJ31" i="26"/>
  <c r="DJ39" i="26"/>
  <c r="DJ47" i="26"/>
  <c r="DJ54" i="26"/>
  <c r="DJ62" i="26"/>
  <c r="DJ70" i="26"/>
  <c r="DJ78" i="26"/>
  <c r="DJ86" i="26"/>
  <c r="AZ94" i="26"/>
  <c r="DJ102" i="26"/>
  <c r="DJ81" i="26"/>
  <c r="DJ89" i="26"/>
  <c r="AZ58" i="26"/>
  <c r="DJ24" i="26"/>
  <c r="DJ32" i="26"/>
  <c r="DJ40" i="26"/>
  <c r="AZ48" i="26"/>
  <c r="DJ55" i="26"/>
  <c r="DJ63" i="26"/>
  <c r="DJ71" i="26"/>
  <c r="DJ79" i="26"/>
  <c r="DJ87" i="26"/>
  <c r="DJ95" i="26"/>
  <c r="DJ103" i="26"/>
  <c r="DJ57" i="26"/>
  <c r="DJ65" i="26"/>
  <c r="DJ25" i="26"/>
  <c r="DJ33" i="26"/>
  <c r="DJ41" i="26"/>
  <c r="DJ49" i="26"/>
  <c r="DJ56" i="26"/>
  <c r="DJ64" i="26"/>
  <c r="DJ72" i="26"/>
  <c r="DJ80" i="26"/>
  <c r="DJ88" i="26"/>
  <c r="DJ96" i="26"/>
  <c r="DI25" i="26"/>
  <c r="DI77" i="26"/>
  <c r="DI71" i="26"/>
  <c r="DI79" i="26"/>
  <c r="DI101" i="26"/>
  <c r="DI57" i="26"/>
  <c r="DI83" i="26"/>
  <c r="DI67" i="26"/>
  <c r="DI33" i="26"/>
  <c r="DI42" i="26"/>
  <c r="DI32" i="26"/>
  <c r="DI50" i="26"/>
  <c r="DI61" i="26"/>
  <c r="DI62" i="26"/>
  <c r="DI63" i="26"/>
  <c r="DI84" i="26"/>
  <c r="DI75" i="26"/>
  <c r="DI94" i="26"/>
  <c r="DI38" i="26"/>
  <c r="DI98" i="26"/>
  <c r="DI23" i="26"/>
  <c r="DI24" i="26"/>
  <c r="DI26" i="26"/>
  <c r="DI40" i="26"/>
  <c r="DI68" i="26"/>
  <c r="DI78" i="26"/>
  <c r="DI46" i="26"/>
  <c r="DI96" i="26"/>
  <c r="DI52" i="26"/>
  <c r="DI53" i="26"/>
  <c r="DI86" i="26"/>
  <c r="DI88" i="26"/>
  <c r="DI89" i="26"/>
  <c r="DI92" i="26"/>
  <c r="DI58" i="26"/>
  <c r="DI22" i="26"/>
  <c r="DI30" i="26"/>
  <c r="DI41" i="26"/>
  <c r="DI76" i="26"/>
  <c r="DI93" i="26"/>
  <c r="DI95" i="26"/>
  <c r="DI31" i="26"/>
  <c r="DI34" i="26"/>
  <c r="DI39" i="26"/>
  <c r="DI51" i="26"/>
  <c r="DI55" i="26"/>
  <c r="DI99" i="26"/>
  <c r="DI100" i="26"/>
  <c r="DI60" i="26"/>
  <c r="DI47" i="26"/>
  <c r="DI66" i="26"/>
  <c r="DI69" i="26"/>
  <c r="AZ21" i="26"/>
  <c r="DI49" i="26"/>
  <c r="DI97" i="26"/>
  <c r="AY30" i="26"/>
  <c r="DI28" i="26"/>
  <c r="DI36" i="26"/>
  <c r="DI44" i="26"/>
  <c r="DI59" i="26"/>
  <c r="DI64" i="26"/>
  <c r="DI72" i="26"/>
  <c r="DI73" i="26"/>
  <c r="DI74" i="26"/>
  <c r="DI43" i="26"/>
  <c r="DI56" i="26"/>
  <c r="DI65" i="26"/>
  <c r="AZ66" i="26"/>
  <c r="DI70" i="26"/>
  <c r="DI21" i="26"/>
  <c r="DI29" i="26"/>
  <c r="DI37" i="26"/>
  <c r="DI45" i="26"/>
  <c r="AY62" i="26"/>
  <c r="DI90" i="26"/>
  <c r="AY101" i="26"/>
  <c r="DI102" i="26"/>
  <c r="DI80" i="26"/>
  <c r="DI91" i="26"/>
  <c r="DI82" i="26"/>
  <c r="DI85" i="26"/>
  <c r="DI87" i="26"/>
  <c r="DI103" i="26"/>
  <c r="AY28" i="26"/>
  <c r="AZ25" i="26"/>
  <c r="DI35" i="26"/>
  <c r="DI27" i="26"/>
  <c r="AZ45" i="26"/>
  <c r="AZ54" i="26"/>
  <c r="AZ56" i="26"/>
  <c r="AY44" i="26"/>
  <c r="AY33" i="26"/>
  <c r="DI20" i="26"/>
  <c r="AZ57" i="26"/>
  <c r="AZ23" i="26"/>
  <c r="AY32" i="26"/>
  <c r="AZ39" i="26"/>
  <c r="AY51" i="26"/>
  <c r="AY26" i="26"/>
  <c r="AY34" i="26"/>
  <c r="AY57" i="26"/>
  <c r="AZ55" i="26"/>
  <c r="AZ67" i="26"/>
  <c r="AZ100" i="26"/>
  <c r="AZ65" i="26"/>
  <c r="AZ68" i="26"/>
  <c r="AY69" i="26"/>
  <c r="AZ69" i="26"/>
  <c r="AZ98" i="26"/>
  <c r="AY79" i="26"/>
  <c r="AY67" i="26"/>
  <c r="DI81" i="26"/>
  <c r="AY70" i="26"/>
  <c r="AY76" i="26"/>
  <c r="AZ76" i="26"/>
  <c r="AY87" i="26"/>
  <c r="AY88" i="26"/>
  <c r="AZ96" i="26"/>
  <c r="AZ84" i="26"/>
  <c r="AY94" i="26"/>
  <c r="AZ86" i="26"/>
  <c r="AY91" i="26"/>
  <c r="AZ99" i="26"/>
  <c r="AZ93" i="26"/>
  <c r="AZ102" i="26"/>
  <c r="CK24" i="26" l="1"/>
  <c r="CK88" i="26"/>
  <c r="CK96" i="26"/>
  <c r="CI58" i="26"/>
  <c r="CI90" i="26"/>
  <c r="CI42" i="26"/>
  <c r="CI74" i="26"/>
  <c r="CI64" i="26"/>
  <c r="CK82" i="26"/>
  <c r="CL82" i="26" s="1"/>
  <c r="CI48" i="26"/>
  <c r="CI80" i="26"/>
  <c r="CK66" i="26"/>
  <c r="CK98" i="26"/>
  <c r="CM98" i="26" s="1"/>
  <c r="CJ95" i="26"/>
  <c r="CI102" i="26"/>
  <c r="CI77" i="26"/>
  <c r="CJ23" i="26"/>
  <c r="CJ56" i="26"/>
  <c r="CI40" i="26"/>
  <c r="CI72" i="26"/>
  <c r="CI79" i="26"/>
  <c r="CJ33" i="26"/>
  <c r="CJ97" i="26"/>
  <c r="CJ94" i="26"/>
  <c r="CJ22" i="26"/>
  <c r="CI78" i="26"/>
  <c r="CI43" i="26"/>
  <c r="CJ78" i="26"/>
  <c r="CJ103" i="26"/>
  <c r="CI32" i="26"/>
  <c r="CJ28" i="26"/>
  <c r="CK95" i="26"/>
  <c r="CM95" i="26" s="1"/>
  <c r="CK85" i="26"/>
  <c r="CM85" i="26" s="1"/>
  <c r="CK60" i="26"/>
  <c r="CI45" i="26"/>
  <c r="CI47" i="26"/>
  <c r="CJ55" i="26"/>
  <c r="CI54" i="26"/>
  <c r="CI103" i="26"/>
  <c r="CK36" i="26"/>
  <c r="CM36" i="26" s="1"/>
  <c r="CI68" i="26"/>
  <c r="DJ20" i="26"/>
  <c r="CJ26" i="26"/>
  <c r="CJ50" i="26"/>
  <c r="CJ34" i="26"/>
  <c r="CI33" i="26"/>
  <c r="CI94" i="26"/>
  <c r="CI22" i="26"/>
  <c r="CJ93" i="26"/>
  <c r="CJ39" i="26"/>
  <c r="CK54" i="26"/>
  <c r="CM54" i="26" s="1"/>
  <c r="CK47" i="26"/>
  <c r="CM47" i="26" s="1"/>
  <c r="CI86" i="26"/>
  <c r="CK70" i="26"/>
  <c r="CM70" i="26" s="1"/>
  <c r="CI24" i="26"/>
  <c r="CI88" i="26"/>
  <c r="CJ64" i="26"/>
  <c r="CI96" i="26"/>
  <c r="CJ48" i="26"/>
  <c r="CJ80" i="26"/>
  <c r="CJ40" i="26"/>
  <c r="CJ72" i="26"/>
  <c r="CK93" i="26"/>
  <c r="CM93" i="26" s="1"/>
  <c r="CK102" i="26"/>
  <c r="CM102" i="26" s="1"/>
  <c r="CI70" i="26"/>
  <c r="CJ58" i="26"/>
  <c r="CJ90" i="26"/>
  <c r="CJ42" i="26"/>
  <c r="CJ74" i="26"/>
  <c r="CJ100" i="26"/>
  <c r="CJ24" i="26"/>
  <c r="CJ88" i="26"/>
  <c r="CJ96" i="26"/>
  <c r="CI56" i="26"/>
  <c r="CI52" i="26"/>
  <c r="CJ43" i="26"/>
  <c r="CJ79" i="26"/>
  <c r="CI97" i="26"/>
  <c r="CI55" i="26"/>
  <c r="CI93" i="26"/>
  <c r="CK78" i="26"/>
  <c r="CM78" i="26" s="1"/>
  <c r="CJ54" i="26"/>
  <c r="CJ32" i="26"/>
  <c r="CJ47" i="26"/>
  <c r="CI95" i="26"/>
  <c r="CJ38" i="26"/>
  <c r="CJ102" i="26"/>
  <c r="CI101" i="26"/>
  <c r="CK58" i="26"/>
  <c r="CM58" i="26" s="1"/>
  <c r="CK42" i="26"/>
  <c r="CM42" i="26" s="1"/>
  <c r="CK74" i="26"/>
  <c r="CM74" i="26" s="1"/>
  <c r="CK69" i="26"/>
  <c r="CM69" i="26" s="1"/>
  <c r="CK45" i="26"/>
  <c r="CM45" i="26" s="1"/>
  <c r="CK100" i="26"/>
  <c r="CM100" i="26" s="1"/>
  <c r="CK31" i="26"/>
  <c r="CM31" i="26" s="1"/>
  <c r="CK90" i="26"/>
  <c r="CM90" i="26" s="1"/>
  <c r="CK25" i="26"/>
  <c r="CM25" i="26" s="1"/>
  <c r="CI57" i="26"/>
  <c r="CJ65" i="26"/>
  <c r="CK49" i="26"/>
  <c r="CM49" i="26" s="1"/>
  <c r="CI81" i="26"/>
  <c r="CI30" i="26"/>
  <c r="CI99" i="26"/>
  <c r="CK84" i="26"/>
  <c r="CM84" i="26" s="1"/>
  <c r="CI83" i="26"/>
  <c r="CK59" i="26"/>
  <c r="CM59" i="26" s="1"/>
  <c r="CK29" i="26"/>
  <c r="CK55" i="26"/>
  <c r="CM55" i="26" s="1"/>
  <c r="CK103" i="26"/>
  <c r="CM103" i="26" s="1"/>
  <c r="CJ75" i="26"/>
  <c r="CI61" i="26"/>
  <c r="CI62" i="26"/>
  <c r="CK46" i="26"/>
  <c r="CM46" i="26" s="1"/>
  <c r="CK37" i="26"/>
  <c r="CM37" i="26" s="1"/>
  <c r="CK77" i="26"/>
  <c r="CM77" i="26" s="1"/>
  <c r="CK52" i="26"/>
  <c r="CL52" i="26" s="1"/>
  <c r="CI89" i="26"/>
  <c r="CJ57" i="26"/>
  <c r="CK65" i="26"/>
  <c r="CM65" i="26" s="1"/>
  <c r="CJ81" i="26"/>
  <c r="CJ30" i="26"/>
  <c r="CJ31" i="26"/>
  <c r="CJ67" i="26"/>
  <c r="CI84" i="26"/>
  <c r="CJ91" i="26"/>
  <c r="CI73" i="26"/>
  <c r="CJ51" i="26"/>
  <c r="CI59" i="26"/>
  <c r="CJ35" i="26"/>
  <c r="DH20" i="26"/>
  <c r="DG20" i="26" s="1"/>
  <c r="DE104" i="26"/>
  <c r="CI53" i="26"/>
  <c r="CK28" i="26"/>
  <c r="CL28" i="26" s="1"/>
  <c r="CI76" i="26"/>
  <c r="CK38" i="26"/>
  <c r="CM38" i="26" s="1"/>
  <c r="CJ61" i="26"/>
  <c r="CJ63" i="26"/>
  <c r="CK87" i="26"/>
  <c r="CM87" i="26" s="1"/>
  <c r="CK68" i="26"/>
  <c r="CM68" i="26" s="1"/>
  <c r="CJ71" i="26"/>
  <c r="CK43" i="26"/>
  <c r="CL43" i="26" s="1"/>
  <c r="CK86" i="26"/>
  <c r="CM86" i="26" s="1"/>
  <c r="CK50" i="26"/>
  <c r="CM50" i="26" s="1"/>
  <c r="CI82" i="26"/>
  <c r="CI66" i="26"/>
  <c r="CK34" i="26"/>
  <c r="CM34" i="26" s="1"/>
  <c r="CI98" i="26"/>
  <c r="CK26" i="26"/>
  <c r="CM26" i="26" s="1"/>
  <c r="CI39" i="26"/>
  <c r="CK32" i="26"/>
  <c r="CM32" i="26" s="1"/>
  <c r="CI44" i="26"/>
  <c r="CJ27" i="26"/>
  <c r="CJ44" i="26"/>
  <c r="CI37" i="26"/>
  <c r="CJ85" i="26"/>
  <c r="CJ77" i="26"/>
  <c r="CK71" i="26"/>
  <c r="CM71" i="26" s="1"/>
  <c r="CK56" i="26"/>
  <c r="CM56" i="26" s="1"/>
  <c r="CI25" i="26"/>
  <c r="CJ89" i="26"/>
  <c r="CK57" i="26"/>
  <c r="CI49" i="26"/>
  <c r="CK81" i="26"/>
  <c r="CM81" i="26" s="1"/>
  <c r="CK67" i="26"/>
  <c r="CM67" i="26" s="1"/>
  <c r="CJ99" i="26"/>
  <c r="CJ83" i="26"/>
  <c r="CK91" i="26"/>
  <c r="CM91" i="26" s="1"/>
  <c r="CJ73" i="26"/>
  <c r="CK51" i="26"/>
  <c r="CM51" i="26" s="1"/>
  <c r="CK35" i="26"/>
  <c r="CK79" i="26"/>
  <c r="CI69" i="26"/>
  <c r="CI29" i="26"/>
  <c r="CJ53" i="26"/>
  <c r="CK39" i="26"/>
  <c r="CM39" i="26" s="1"/>
  <c r="CI27" i="26"/>
  <c r="CI75" i="26"/>
  <c r="CJ92" i="26"/>
  <c r="CJ36" i="26"/>
  <c r="CJ45" i="26"/>
  <c r="CI38" i="26"/>
  <c r="CJ101" i="26"/>
  <c r="CI50" i="26"/>
  <c r="CK64" i="26"/>
  <c r="CM64" i="26" s="1"/>
  <c r="CK48" i="26"/>
  <c r="CM48" i="26" s="1"/>
  <c r="CK80" i="26"/>
  <c r="CM80" i="26" s="1"/>
  <c r="CI34" i="26"/>
  <c r="CK40" i="26"/>
  <c r="CM40" i="26" s="1"/>
  <c r="CK72" i="26"/>
  <c r="CM72" i="26" s="1"/>
  <c r="CK33" i="26"/>
  <c r="CM33" i="26" s="1"/>
  <c r="CK97" i="26"/>
  <c r="CM97" i="26" s="1"/>
  <c r="CK94" i="26"/>
  <c r="CM94" i="26" s="1"/>
  <c r="CI26" i="26"/>
  <c r="CK41" i="26"/>
  <c r="CL41" i="26" s="1"/>
  <c r="CI63" i="26"/>
  <c r="CK76" i="26"/>
  <c r="CM76" i="26" s="1"/>
  <c r="CI87" i="26"/>
  <c r="CJ25" i="26"/>
  <c r="CK89" i="26"/>
  <c r="CM89" i="26" s="1"/>
  <c r="CI65" i="26"/>
  <c r="CJ49" i="26"/>
  <c r="CK30" i="26"/>
  <c r="CI31" i="26"/>
  <c r="CI67" i="26"/>
  <c r="CJ82" i="26"/>
  <c r="CK99" i="26"/>
  <c r="CM99" i="26" s="1"/>
  <c r="CJ84" i="26"/>
  <c r="CK83" i="26"/>
  <c r="CM83" i="26" s="1"/>
  <c r="CI91" i="26"/>
  <c r="CJ66" i="26"/>
  <c r="CK73" i="26"/>
  <c r="CM73" i="26" s="1"/>
  <c r="CJ98" i="26"/>
  <c r="CI51" i="26"/>
  <c r="CJ59" i="26"/>
  <c r="CI35" i="26"/>
  <c r="CJ69" i="26"/>
  <c r="CJ29" i="26"/>
  <c r="CK53" i="26"/>
  <c r="CM53" i="26" s="1"/>
  <c r="CK44" i="26"/>
  <c r="CM44" i="26" s="1"/>
  <c r="CK92" i="26"/>
  <c r="CL92" i="26" s="1"/>
  <c r="CJ60" i="26"/>
  <c r="CJ37" i="26"/>
  <c r="CK61" i="26"/>
  <c r="CM61" i="26" s="1"/>
  <c r="CK63" i="26"/>
  <c r="CM63" i="26" s="1"/>
  <c r="CI46" i="26"/>
  <c r="CJ62" i="26"/>
  <c r="CK101" i="26"/>
  <c r="CL101" i="26" s="1"/>
  <c r="CK62" i="26"/>
  <c r="CM62" i="26" s="1"/>
  <c r="CI20" i="26"/>
  <c r="CN20" i="26" s="1"/>
  <c r="DS20" i="26" s="1"/>
  <c r="DS104" i="26" s="1"/>
  <c r="CI21" i="26"/>
  <c r="CK23" i="26"/>
  <c r="CM23" i="26" s="1"/>
  <c r="CJ20" i="26"/>
  <c r="CO20" i="26" s="1"/>
  <c r="DU20" i="26" s="1"/>
  <c r="DU104" i="26" s="1"/>
  <c r="CK22" i="26"/>
  <c r="CM22" i="26" s="1"/>
  <c r="CJ21" i="26"/>
  <c r="CK21" i="26"/>
  <c r="CM21" i="26" s="1"/>
  <c r="CK20" i="26"/>
  <c r="CM20" i="26" s="1"/>
  <c r="CM24" i="26"/>
  <c r="CM88" i="26"/>
  <c r="CM96" i="26"/>
  <c r="CM82" i="26"/>
  <c r="CM66" i="26"/>
  <c r="CM30" i="26"/>
  <c r="CM29" i="26"/>
  <c r="CM75" i="26"/>
  <c r="CL27" i="26"/>
  <c r="CM27" i="26"/>
  <c r="CM60" i="26"/>
  <c r="BI93" i="26"/>
  <c r="CM35" i="26"/>
  <c r="CM79" i="26"/>
  <c r="BM30" i="26"/>
  <c r="BR30" i="26" s="1"/>
  <c r="BM70" i="26"/>
  <c r="CL60" i="26"/>
  <c r="BK44" i="26"/>
  <c r="BL52" i="26"/>
  <c r="BQ52" i="26" s="1"/>
  <c r="BM53" i="26"/>
  <c r="BN38" i="26"/>
  <c r="BS38" i="26" s="1"/>
  <c r="BI37" i="26"/>
  <c r="BQ37" i="26" s="1"/>
  <c r="BN93" i="26"/>
  <c r="BK37" i="26"/>
  <c r="BK93" i="26"/>
  <c r="BN37" i="26"/>
  <c r="BL93" i="26"/>
  <c r="BM37" i="26"/>
  <c r="BR37" i="26" s="1"/>
  <c r="BJ93" i="26"/>
  <c r="BR93" i="26" s="1"/>
  <c r="BN65" i="26"/>
  <c r="BN29" i="26"/>
  <c r="BK65" i="26"/>
  <c r="BJ29" i="26"/>
  <c r="BI65" i="26"/>
  <c r="BQ65" i="26" s="1"/>
  <c r="BM52" i="26"/>
  <c r="BM29" i="26"/>
  <c r="BN59" i="26"/>
  <c r="BK68" i="26"/>
  <c r="BJ65" i="26"/>
  <c r="BN68" i="26"/>
  <c r="BM65" i="26"/>
  <c r="BM68" i="26"/>
  <c r="BR68" i="26" s="1"/>
  <c r="BN77" i="26"/>
  <c r="BK90" i="26"/>
  <c r="BK58" i="26"/>
  <c r="BM61" i="26"/>
  <c r="BR61" i="26" s="1"/>
  <c r="BL70" i="26"/>
  <c r="BJ84" i="26"/>
  <c r="BK73" i="26"/>
  <c r="BI92" i="26"/>
  <c r="BM26" i="26"/>
  <c r="BR26" i="26" s="1"/>
  <c r="BL73" i="26"/>
  <c r="BL92" i="26"/>
  <c r="BN26" i="26"/>
  <c r="BL68" i="26"/>
  <c r="BK29" i="26"/>
  <c r="BJ69" i="26"/>
  <c r="BI68" i="26"/>
  <c r="BL29" i="26"/>
  <c r="BQ29" i="26" s="1"/>
  <c r="BL30" i="26"/>
  <c r="BM69" i="26"/>
  <c r="BM72" i="26"/>
  <c r="BM62" i="26"/>
  <c r="BR62" i="26" s="1"/>
  <c r="BL86" i="26"/>
  <c r="BJ60" i="26"/>
  <c r="BN76" i="26"/>
  <c r="BN36" i="26"/>
  <c r="BN78" i="26"/>
  <c r="BI76" i="26"/>
  <c r="BI62" i="26"/>
  <c r="BN86" i="26"/>
  <c r="BS86" i="26" s="1"/>
  <c r="BL72" i="26"/>
  <c r="BI60" i="26"/>
  <c r="BL62" i="26"/>
  <c r="BJ86" i="26"/>
  <c r="BN72" i="26"/>
  <c r="BS72" i="26" s="1"/>
  <c r="BL60" i="26"/>
  <c r="BK62" i="26"/>
  <c r="BM60" i="26"/>
  <c r="BN62" i="26"/>
  <c r="BK60" i="26"/>
  <c r="BS60" i="26" s="1"/>
  <c r="BM86" i="26"/>
  <c r="BI72" i="26"/>
  <c r="BI86" i="26"/>
  <c r="BJ72" i="26"/>
  <c r="BM54" i="26"/>
  <c r="BK85" i="26"/>
  <c r="BK22" i="26"/>
  <c r="BM90" i="26"/>
  <c r="BR90" i="26" s="1"/>
  <c r="BJ78" i="26"/>
  <c r="BM58" i="26"/>
  <c r="BL61" i="26"/>
  <c r="BK53" i="26"/>
  <c r="BL90" i="26"/>
  <c r="BI78" i="26"/>
  <c r="BQ78" i="26" s="1"/>
  <c r="BJ58" i="26"/>
  <c r="BK61" i="26"/>
  <c r="BK78" i="26"/>
  <c r="BL58" i="26"/>
  <c r="BQ58" i="26" s="1"/>
  <c r="BM78" i="26"/>
  <c r="BN58" i="26"/>
  <c r="BJ53" i="26"/>
  <c r="BI90" i="26"/>
  <c r="BN61" i="26"/>
  <c r="BL53" i="26"/>
  <c r="BQ53" i="26" s="1"/>
  <c r="BN66" i="26"/>
  <c r="BN90" i="26"/>
  <c r="BI61" i="26"/>
  <c r="BN53" i="26"/>
  <c r="BK92" i="26"/>
  <c r="BS92" i="26" s="1"/>
  <c r="BK70" i="26"/>
  <c r="BS70" i="26" s="1"/>
  <c r="BN30" i="26"/>
  <c r="BL26" i="26"/>
  <c r="BJ52" i="26"/>
  <c r="BM73" i="26"/>
  <c r="BR73" i="26" s="1"/>
  <c r="BN44" i="26"/>
  <c r="BI69" i="26"/>
  <c r="BQ69" i="26" s="1"/>
  <c r="BL76" i="26"/>
  <c r="BM36" i="26"/>
  <c r="BR36" i="26" s="1"/>
  <c r="BM92" i="26"/>
  <c r="BJ38" i="26"/>
  <c r="BI30" i="26"/>
  <c r="BN52" i="26"/>
  <c r="BN73" i="26"/>
  <c r="BN69" i="26"/>
  <c r="BK84" i="26"/>
  <c r="BJ76" i="26"/>
  <c r="BR76" i="26" s="1"/>
  <c r="BL38" i="26"/>
  <c r="BK30" i="26"/>
  <c r="BK52" i="26"/>
  <c r="BM44" i="26"/>
  <c r="BR44" i="26" s="1"/>
  <c r="BK69" i="26"/>
  <c r="BM84" i="26"/>
  <c r="BL36" i="26"/>
  <c r="BI70" i="26"/>
  <c r="BQ70" i="26" s="1"/>
  <c r="BM38" i="26"/>
  <c r="BK26" i="26"/>
  <c r="BI44" i="26"/>
  <c r="BL84" i="26"/>
  <c r="BQ84" i="26" s="1"/>
  <c r="BI36" i="26"/>
  <c r="BJ92" i="26"/>
  <c r="BJ70" i="26"/>
  <c r="BI38" i="26"/>
  <c r="BI26" i="26"/>
  <c r="BI73" i="26"/>
  <c r="BL44" i="26"/>
  <c r="BN84" i="26"/>
  <c r="BK76" i="26"/>
  <c r="BK36" i="26"/>
  <c r="BI94" i="26"/>
  <c r="BQ94" i="26" s="1"/>
  <c r="BK33" i="26"/>
  <c r="BJ46" i="26"/>
  <c r="BR46" i="26" s="1"/>
  <c r="BJ21" i="26"/>
  <c r="BM45" i="26"/>
  <c r="BI102" i="26"/>
  <c r="BQ102" i="26" s="1"/>
  <c r="BK46" i="26"/>
  <c r="BK45" i="26"/>
  <c r="BJ94" i="26"/>
  <c r="BN21" i="26"/>
  <c r="BJ77" i="26"/>
  <c r="BL33" i="26"/>
  <c r="BQ33" i="26" s="1"/>
  <c r="BI46" i="26"/>
  <c r="BJ45" i="26"/>
  <c r="BN94" i="26"/>
  <c r="BN33" i="26"/>
  <c r="BL46" i="26"/>
  <c r="BN45" i="26"/>
  <c r="BJ102" i="26"/>
  <c r="BN46" i="26"/>
  <c r="BK102" i="26"/>
  <c r="BM21" i="26"/>
  <c r="BK77" i="26"/>
  <c r="BN102" i="26"/>
  <c r="BK94" i="26"/>
  <c r="BL21" i="26"/>
  <c r="BQ21" i="26" s="1"/>
  <c r="BL77" i="26"/>
  <c r="BQ77" i="26" s="1"/>
  <c r="BM33" i="26"/>
  <c r="BL45" i="26"/>
  <c r="BQ45" i="26" s="1"/>
  <c r="BM102" i="26"/>
  <c r="BM94" i="26"/>
  <c r="BK21" i="26"/>
  <c r="BM77" i="26"/>
  <c r="BJ33" i="26"/>
  <c r="BJ22" i="26"/>
  <c r="BJ54" i="26"/>
  <c r="BM85" i="26"/>
  <c r="BR85" i="26" s="1"/>
  <c r="BJ97" i="26"/>
  <c r="BJ47" i="26"/>
  <c r="BN22" i="26"/>
  <c r="BK54" i="26"/>
  <c r="BL85" i="26"/>
  <c r="BM97" i="26"/>
  <c r="BL54" i="26"/>
  <c r="BQ54" i="26" s="1"/>
  <c r="BN85" i="26"/>
  <c r="BI97" i="26"/>
  <c r="BN54" i="26"/>
  <c r="BI85" i="26"/>
  <c r="BI47" i="26"/>
  <c r="BQ47" i="26" s="1"/>
  <c r="BL97" i="26"/>
  <c r="BM22" i="26"/>
  <c r="BK97" i="26"/>
  <c r="BS97" i="26" s="1"/>
  <c r="BI22" i="26"/>
  <c r="BQ22" i="26" s="1"/>
  <c r="BM66" i="26"/>
  <c r="BR66" i="26" s="1"/>
  <c r="BL66" i="26"/>
  <c r="BK66" i="26"/>
  <c r="BI66" i="26"/>
  <c r="BK40" i="26"/>
  <c r="BJ40" i="26"/>
  <c r="BN40" i="26"/>
  <c r="BI40" i="26"/>
  <c r="BQ40" i="26" s="1"/>
  <c r="BM40" i="26"/>
  <c r="BN47" i="26"/>
  <c r="BJ59" i="26"/>
  <c r="BK47" i="26"/>
  <c r="BI59" i="26"/>
  <c r="BQ59" i="26" s="1"/>
  <c r="BM47" i="26"/>
  <c r="BK59" i="26"/>
  <c r="BM59" i="26"/>
  <c r="BM28" i="26"/>
  <c r="BK28" i="26"/>
  <c r="BL28" i="26"/>
  <c r="BI28" i="26"/>
  <c r="BJ28" i="26"/>
  <c r="BN28" i="26"/>
  <c r="BM101" i="26"/>
  <c r="BR101" i="26" s="1"/>
  <c r="BN80" i="26"/>
  <c r="BL80" i="26"/>
  <c r="BM80" i="26"/>
  <c r="BK80" i="26"/>
  <c r="BJ80" i="26"/>
  <c r="BI80" i="26"/>
  <c r="BI87" i="26"/>
  <c r="BM87" i="26"/>
  <c r="BN87" i="26"/>
  <c r="BL87" i="26"/>
  <c r="BJ87" i="26"/>
  <c r="BK87" i="26"/>
  <c r="BN79" i="26"/>
  <c r="BL79" i="26"/>
  <c r="BJ79" i="26"/>
  <c r="BK79" i="26"/>
  <c r="BI79" i="26"/>
  <c r="BM79" i="26"/>
  <c r="BI55" i="26"/>
  <c r="BM55" i="26"/>
  <c r="BK55" i="26"/>
  <c r="BN55" i="26"/>
  <c r="BL55" i="26"/>
  <c r="BJ55" i="26"/>
  <c r="BL91" i="26"/>
  <c r="BM91" i="26"/>
  <c r="BK91" i="26"/>
  <c r="BI91" i="26"/>
  <c r="BJ91" i="26"/>
  <c r="BN91" i="26"/>
  <c r="BN27" i="26"/>
  <c r="BL27" i="26"/>
  <c r="BM27" i="26"/>
  <c r="BK27" i="26"/>
  <c r="BI27" i="26"/>
  <c r="BJ27" i="26"/>
  <c r="CL24" i="26"/>
  <c r="CL88" i="26"/>
  <c r="CL42" i="26"/>
  <c r="CL66" i="26"/>
  <c r="CL59" i="26"/>
  <c r="CL34" i="26"/>
  <c r="CL35" i="26"/>
  <c r="BI82" i="26"/>
  <c r="BK82" i="26"/>
  <c r="BS82" i="26" s="1"/>
  <c r="BJ82" i="26"/>
  <c r="BM82" i="26"/>
  <c r="BL82" i="26"/>
  <c r="BK101" i="26"/>
  <c r="BN101" i="26"/>
  <c r="BL101" i="26"/>
  <c r="BI101" i="26"/>
  <c r="BM35" i="26"/>
  <c r="BK35" i="26"/>
  <c r="BL35" i="26"/>
  <c r="BI35" i="26"/>
  <c r="BJ35" i="26"/>
  <c r="BN35" i="26"/>
  <c r="BM99" i="26"/>
  <c r="BK99" i="26"/>
  <c r="BI99" i="26"/>
  <c r="BJ99" i="26"/>
  <c r="BN99" i="26"/>
  <c r="BL99" i="26"/>
  <c r="BM39" i="26"/>
  <c r="BK39" i="26"/>
  <c r="BN39" i="26"/>
  <c r="BL39" i="26"/>
  <c r="BJ39" i="26"/>
  <c r="BI39" i="26"/>
  <c r="BN51" i="26"/>
  <c r="BL51" i="26"/>
  <c r="BM51" i="26"/>
  <c r="BK51" i="26"/>
  <c r="BI51" i="26"/>
  <c r="BJ51" i="26"/>
  <c r="BM89" i="26"/>
  <c r="BK89" i="26"/>
  <c r="BJ89" i="26"/>
  <c r="BN89" i="26"/>
  <c r="BI89" i="26"/>
  <c r="BL89" i="26"/>
  <c r="BN43" i="26"/>
  <c r="BL43" i="26"/>
  <c r="BM43" i="26"/>
  <c r="BK43" i="26"/>
  <c r="BI43" i="26"/>
  <c r="BJ43" i="26"/>
  <c r="BN25" i="26"/>
  <c r="BM25" i="26"/>
  <c r="BJ25" i="26"/>
  <c r="BI25" i="26"/>
  <c r="BK25" i="26"/>
  <c r="BL25" i="26"/>
  <c r="BM81" i="26"/>
  <c r="BL81" i="26"/>
  <c r="BK81" i="26"/>
  <c r="BJ81" i="26"/>
  <c r="BN81" i="26"/>
  <c r="BI81" i="26"/>
  <c r="BN88" i="26"/>
  <c r="BK88" i="26"/>
  <c r="BI88" i="26"/>
  <c r="BM88" i="26"/>
  <c r="BJ88" i="26"/>
  <c r="BL88" i="26"/>
  <c r="BN24" i="26"/>
  <c r="BM24" i="26"/>
  <c r="BI24" i="26"/>
  <c r="BK24" i="26"/>
  <c r="BL24" i="26"/>
  <c r="BJ24" i="26"/>
  <c r="BN83" i="26"/>
  <c r="BL83" i="26"/>
  <c r="BM83" i="26"/>
  <c r="BK83" i="26"/>
  <c r="BI83" i="26"/>
  <c r="BJ83" i="26"/>
  <c r="BN75" i="26"/>
  <c r="BL75" i="26"/>
  <c r="BM75" i="26"/>
  <c r="BK75" i="26"/>
  <c r="BI75" i="26"/>
  <c r="BJ75" i="26"/>
  <c r="BN67" i="26"/>
  <c r="BL67" i="26"/>
  <c r="BM67" i="26"/>
  <c r="BK67" i="26"/>
  <c r="BI67" i="26"/>
  <c r="BJ67" i="26"/>
  <c r="BN96" i="26"/>
  <c r="BK96" i="26"/>
  <c r="BJ96" i="26"/>
  <c r="BI96" i="26"/>
  <c r="BM96" i="26"/>
  <c r="BL96" i="26"/>
  <c r="BM23" i="26"/>
  <c r="BK23" i="26"/>
  <c r="BN23" i="26"/>
  <c r="BL23" i="26"/>
  <c r="BJ23" i="26"/>
  <c r="BI23" i="26"/>
  <c r="BN32" i="26"/>
  <c r="BJ32" i="26"/>
  <c r="BK32" i="26"/>
  <c r="BI32" i="26"/>
  <c r="BL32" i="26"/>
  <c r="BM32" i="26"/>
  <c r="BM95" i="26"/>
  <c r="BN95" i="26"/>
  <c r="BL95" i="26"/>
  <c r="BJ95" i="26"/>
  <c r="BI95" i="26"/>
  <c r="BK95" i="26"/>
  <c r="BM31" i="26"/>
  <c r="BK31" i="26"/>
  <c r="BN31" i="26"/>
  <c r="BL31" i="26"/>
  <c r="BJ31" i="26"/>
  <c r="BI31" i="26"/>
  <c r="BM100" i="26"/>
  <c r="BN100" i="26"/>
  <c r="BK100" i="26"/>
  <c r="BJ100" i="26"/>
  <c r="BL100" i="26"/>
  <c r="BI100" i="26"/>
  <c r="BN64" i="26"/>
  <c r="BM64" i="26"/>
  <c r="BJ64" i="26"/>
  <c r="BL64" i="26"/>
  <c r="BK64" i="26"/>
  <c r="BI64" i="26"/>
  <c r="BN49" i="26"/>
  <c r="BK49" i="26"/>
  <c r="BJ49" i="26"/>
  <c r="BL49" i="26"/>
  <c r="BM49" i="26"/>
  <c r="BI49" i="26"/>
  <c r="BM63" i="26"/>
  <c r="BN63" i="26"/>
  <c r="BL63" i="26"/>
  <c r="BJ63" i="26"/>
  <c r="BK63" i="26"/>
  <c r="BI63" i="26"/>
  <c r="BN57" i="26"/>
  <c r="BM57" i="26"/>
  <c r="BI57" i="26"/>
  <c r="BK57" i="26"/>
  <c r="BJ57" i="26"/>
  <c r="BL57" i="26"/>
  <c r="BM71" i="26"/>
  <c r="BN71" i="26"/>
  <c r="BL71" i="26"/>
  <c r="BJ71" i="26"/>
  <c r="BK71" i="26"/>
  <c r="BI71" i="26"/>
  <c r="BN98" i="26"/>
  <c r="BJ98" i="26"/>
  <c r="BI98" i="26"/>
  <c r="BL98" i="26"/>
  <c r="BM98" i="26"/>
  <c r="BK98" i="26"/>
  <c r="BN20" i="26"/>
  <c r="BJ20" i="26"/>
  <c r="BL20" i="26"/>
  <c r="BM20" i="26"/>
  <c r="BI20" i="26"/>
  <c r="BK20" i="26"/>
  <c r="BM103" i="26"/>
  <c r="BN103" i="26"/>
  <c r="BL103" i="26"/>
  <c r="BJ103" i="26"/>
  <c r="BI103" i="26"/>
  <c r="BK103" i="26"/>
  <c r="BN34" i="26"/>
  <c r="BJ34" i="26"/>
  <c r="BK34" i="26"/>
  <c r="BI34" i="26"/>
  <c r="BL34" i="26"/>
  <c r="BM34" i="26"/>
  <c r="BN42" i="26"/>
  <c r="BK42" i="26"/>
  <c r="BL42" i="26"/>
  <c r="BI42" i="26"/>
  <c r="BM42" i="26"/>
  <c r="BJ42" i="26"/>
  <c r="BN48" i="26"/>
  <c r="BL48" i="26"/>
  <c r="BM48" i="26"/>
  <c r="BI48" i="26"/>
  <c r="BK48" i="26"/>
  <c r="BJ48" i="26"/>
  <c r="BN74" i="26"/>
  <c r="BI74" i="26"/>
  <c r="BM74" i="26"/>
  <c r="BK74" i="26"/>
  <c r="BL74" i="26"/>
  <c r="BJ74" i="26"/>
  <c r="BN41" i="26"/>
  <c r="BJ41" i="26"/>
  <c r="BK41" i="26"/>
  <c r="BL41" i="26"/>
  <c r="BI41" i="26"/>
  <c r="BM41" i="26"/>
  <c r="BN50" i="26"/>
  <c r="BL50" i="26"/>
  <c r="BK50" i="26"/>
  <c r="BJ50" i="26"/>
  <c r="BM50" i="26"/>
  <c r="BI50" i="26"/>
  <c r="BN56" i="26"/>
  <c r="BI56" i="26"/>
  <c r="BK56" i="26"/>
  <c r="BJ56" i="26"/>
  <c r="BL56" i="26"/>
  <c r="BM56" i="26"/>
  <c r="DL54" i="26"/>
  <c r="AY54" i="26"/>
  <c r="BA54" i="26" s="1"/>
  <c r="AY48" i="26"/>
  <c r="BA48" i="26" s="1"/>
  <c r="BA101" i="26"/>
  <c r="DL84" i="26"/>
  <c r="AZ88" i="26"/>
  <c r="BA88" i="26" s="1"/>
  <c r="AZ46" i="26"/>
  <c r="DJ101" i="26"/>
  <c r="DL101" i="26" s="1"/>
  <c r="DL67" i="26"/>
  <c r="DL57" i="26"/>
  <c r="AZ47" i="26"/>
  <c r="DJ48" i="26"/>
  <c r="DL48" i="26" s="1"/>
  <c r="DJ58" i="26"/>
  <c r="DL58" i="26" s="1"/>
  <c r="DJ94" i="26"/>
  <c r="DL94" i="26" s="1"/>
  <c r="DJ77" i="26"/>
  <c r="DL77" i="26" s="1"/>
  <c r="DJ52" i="26"/>
  <c r="DL52" i="26" s="1"/>
  <c r="AY84" i="26"/>
  <c r="BA84" i="26" s="1"/>
  <c r="AY64" i="26"/>
  <c r="AY25" i="26"/>
  <c r="BA25" i="26" s="1"/>
  <c r="AZ63" i="26"/>
  <c r="AY93" i="26"/>
  <c r="BA93" i="26" s="1"/>
  <c r="DL95" i="26"/>
  <c r="AY83" i="26"/>
  <c r="AY24" i="26"/>
  <c r="AY56" i="26"/>
  <c r="BA56" i="26" s="1"/>
  <c r="AY41" i="26"/>
  <c r="AY89" i="26"/>
  <c r="AY43" i="26"/>
  <c r="DL31" i="26"/>
  <c r="AY63" i="26"/>
  <c r="AY36" i="26"/>
  <c r="AY29" i="26"/>
  <c r="AY65" i="26"/>
  <c r="BA65" i="26" s="1"/>
  <c r="AY75" i="26"/>
  <c r="AY50" i="26"/>
  <c r="AY77" i="26"/>
  <c r="BA77" i="26" s="1"/>
  <c r="AY80" i="26"/>
  <c r="DL80" i="26"/>
  <c r="DL74" i="26"/>
  <c r="AY60" i="26"/>
  <c r="AY52" i="26"/>
  <c r="BA52" i="26" s="1"/>
  <c r="AY78" i="26"/>
  <c r="DL78" i="26"/>
  <c r="AY98" i="26"/>
  <c r="BA98" i="26" s="1"/>
  <c r="DL98" i="26"/>
  <c r="AY47" i="26"/>
  <c r="AY37" i="26"/>
  <c r="AY38" i="26"/>
  <c r="AY97" i="26"/>
  <c r="AY92" i="26"/>
  <c r="DL71" i="26"/>
  <c r="DL39" i="26"/>
  <c r="AZ62" i="26"/>
  <c r="BA62" i="26" s="1"/>
  <c r="DL34" i="26"/>
  <c r="AY95" i="26"/>
  <c r="AY46" i="26"/>
  <c r="AZ95" i="26"/>
  <c r="AY42" i="26"/>
  <c r="AZ30" i="26"/>
  <c r="BA30" i="26" s="1"/>
  <c r="AY71" i="26"/>
  <c r="AZ34" i="26"/>
  <c r="BA34" i="26" s="1"/>
  <c r="AY40" i="26"/>
  <c r="AY100" i="26"/>
  <c r="BA100" i="26" s="1"/>
  <c r="DL42" i="26"/>
  <c r="AZ71" i="26"/>
  <c r="AZ83" i="26"/>
  <c r="AZ40" i="26"/>
  <c r="DL100" i="26"/>
  <c r="DL50" i="26"/>
  <c r="DL26" i="26"/>
  <c r="DL32" i="26"/>
  <c r="AY59" i="26"/>
  <c r="AZ33" i="26"/>
  <c r="BA33" i="26" s="1"/>
  <c r="DL83" i="26"/>
  <c r="AZ92" i="26"/>
  <c r="AZ72" i="26"/>
  <c r="AY49" i="26"/>
  <c r="AY66" i="26"/>
  <c r="BA66" i="26" s="1"/>
  <c r="AZ29" i="26"/>
  <c r="DL63" i="26"/>
  <c r="AZ87" i="26"/>
  <c r="BA87" i="26" s="1"/>
  <c r="DL92" i="26"/>
  <c r="AZ80" i="26"/>
  <c r="AY82" i="26"/>
  <c r="AY74" i="26"/>
  <c r="AY73" i="26"/>
  <c r="AY68" i="26"/>
  <c r="BA68" i="26" s="1"/>
  <c r="AY53" i="26"/>
  <c r="AZ50" i="26"/>
  <c r="AZ27" i="26"/>
  <c r="BA76" i="26"/>
  <c r="AZ42" i="26"/>
  <c r="AZ32" i="26"/>
  <c r="BA32" i="26" s="1"/>
  <c r="DL62" i="26"/>
  <c r="AY103" i="26"/>
  <c r="AZ74" i="26"/>
  <c r="AZ26" i="26"/>
  <c r="BA26" i="26" s="1"/>
  <c r="AY96" i="26"/>
  <c r="BA96" i="26" s="1"/>
  <c r="AY86" i="26"/>
  <c r="BA86" i="26" s="1"/>
  <c r="AY61" i="26"/>
  <c r="DL86" i="26"/>
  <c r="AY55" i="26"/>
  <c r="BA55" i="26" s="1"/>
  <c r="AZ41" i="26"/>
  <c r="AZ35" i="26"/>
  <c r="DL23" i="26"/>
  <c r="AZ81" i="26"/>
  <c r="DL75" i="26"/>
  <c r="AZ103" i="26"/>
  <c r="DL46" i="26"/>
  <c r="AZ24" i="26"/>
  <c r="AZ31" i="26"/>
  <c r="AY23" i="26"/>
  <c r="BA23" i="26" s="1"/>
  <c r="DL40" i="26"/>
  <c r="AZ22" i="26"/>
  <c r="DL103" i="26"/>
  <c r="DL38" i="26"/>
  <c r="AY31" i="26"/>
  <c r="DL24" i="26"/>
  <c r="DL30" i="26"/>
  <c r="DL37" i="26"/>
  <c r="DL47" i="26"/>
  <c r="DL96" i="26"/>
  <c r="AY90" i="26"/>
  <c r="AZ78" i="26"/>
  <c r="AZ37" i="26"/>
  <c r="DL87" i="26"/>
  <c r="AZ79" i="26"/>
  <c r="BA79" i="26" s="1"/>
  <c r="AZ75" i="26"/>
  <c r="AY39" i="26"/>
  <c r="BA39" i="26" s="1"/>
  <c r="AY99" i="26"/>
  <c r="BA99" i="26" s="1"/>
  <c r="AZ38" i="26"/>
  <c r="AY58" i="26"/>
  <c r="BA58" i="26" s="1"/>
  <c r="AZ64" i="26"/>
  <c r="DL55" i="26"/>
  <c r="DL76" i="26"/>
  <c r="AY22" i="26"/>
  <c r="DL22" i="26"/>
  <c r="DL56" i="26"/>
  <c r="DL41" i="26"/>
  <c r="BA57" i="26"/>
  <c r="DL79" i="26"/>
  <c r="BA69" i="26"/>
  <c r="DL82" i="26"/>
  <c r="AZ82" i="26"/>
  <c r="DL69" i="26"/>
  <c r="DL97" i="26"/>
  <c r="AZ97" i="26"/>
  <c r="AY21" i="26"/>
  <c r="BA21" i="26" s="1"/>
  <c r="DL21" i="26"/>
  <c r="DL72" i="26"/>
  <c r="AY72" i="26"/>
  <c r="AY85" i="26"/>
  <c r="AY45" i="26"/>
  <c r="BA45" i="26" s="1"/>
  <c r="DL45" i="26"/>
  <c r="DL25" i="26"/>
  <c r="DL102" i="26"/>
  <c r="AY102" i="26"/>
  <c r="BA102" i="26" s="1"/>
  <c r="AZ89" i="26"/>
  <c r="DL66" i="26"/>
  <c r="DL68" i="26"/>
  <c r="DL64" i="26"/>
  <c r="DL43" i="26"/>
  <c r="AZ43" i="26"/>
  <c r="DL93" i="26"/>
  <c r="DL81" i="26"/>
  <c r="AY81" i="26"/>
  <c r="AZ51" i="26"/>
  <c r="BA51" i="26" s="1"/>
  <c r="DL51" i="26"/>
  <c r="AZ20" i="26"/>
  <c r="DL27" i="26"/>
  <c r="AY27" i="26"/>
  <c r="DL90" i="26"/>
  <c r="AZ90" i="26"/>
  <c r="AZ53" i="26"/>
  <c r="DL53" i="26"/>
  <c r="DL49" i="26"/>
  <c r="AZ49" i="26"/>
  <c r="DL36" i="26"/>
  <c r="AZ36" i="26"/>
  <c r="AZ85" i="26"/>
  <c r="DL85" i="26"/>
  <c r="DL89" i="26"/>
  <c r="BA94" i="26"/>
  <c r="DL61" i="26"/>
  <c r="AZ61" i="26"/>
  <c r="DL29" i="26"/>
  <c r="DL88" i="26"/>
  <c r="DL70" i="26"/>
  <c r="AZ70" i="26"/>
  <c r="BA70" i="26" s="1"/>
  <c r="DL99" i="26"/>
  <c r="DL59" i="26"/>
  <c r="AZ59" i="26"/>
  <c r="DL60" i="26"/>
  <c r="AZ60" i="26"/>
  <c r="DL65" i="26"/>
  <c r="AY20" i="26"/>
  <c r="DL44" i="26"/>
  <c r="AZ44" i="26"/>
  <c r="BA44" i="26" s="1"/>
  <c r="DL91" i="26"/>
  <c r="AZ91" i="26"/>
  <c r="BA91" i="26" s="1"/>
  <c r="BA67" i="26"/>
  <c r="DL73" i="26"/>
  <c r="AZ73" i="26"/>
  <c r="DL28" i="26"/>
  <c r="AZ28" i="26"/>
  <c r="BA28" i="26" s="1"/>
  <c r="DL33" i="26"/>
  <c r="DL35" i="26"/>
  <c r="AY35" i="26"/>
  <c r="BQ61" i="26" l="1"/>
  <c r="CL98" i="26"/>
  <c r="CL37" i="26"/>
  <c r="CL91" i="26"/>
  <c r="CL50" i="26"/>
  <c r="BR45" i="26"/>
  <c r="CX45" i="26" s="1"/>
  <c r="DC45" i="26" s="1"/>
  <c r="CL86" i="26"/>
  <c r="CL70" i="26"/>
  <c r="CL32" i="26"/>
  <c r="CL61" i="26"/>
  <c r="CL100" i="26"/>
  <c r="BR70" i="26"/>
  <c r="BS48" i="26"/>
  <c r="BQ38" i="26"/>
  <c r="CW38" i="26" s="1"/>
  <c r="DB38" i="26" s="1"/>
  <c r="BR92" i="26"/>
  <c r="CX92" i="26" s="1"/>
  <c r="DC92" i="26" s="1"/>
  <c r="BQ86" i="26"/>
  <c r="CW86" i="26" s="1"/>
  <c r="DP86" i="26" s="1"/>
  <c r="BS30" i="26"/>
  <c r="BT30" i="26" s="1"/>
  <c r="BR38" i="26"/>
  <c r="CX38" i="26" s="1"/>
  <c r="DC38" i="26" s="1"/>
  <c r="BS61" i="26"/>
  <c r="CY61" i="26" s="1"/>
  <c r="DD61" i="26" s="1"/>
  <c r="BR54" i="26"/>
  <c r="CX54" i="26" s="1"/>
  <c r="DC54" i="26" s="1"/>
  <c r="BS26" i="26"/>
  <c r="BS91" i="26"/>
  <c r="CY91" i="26" s="1"/>
  <c r="BS66" i="26"/>
  <c r="BS76" i="26"/>
  <c r="CY76" i="26" s="1"/>
  <c r="BS63" i="26"/>
  <c r="CY63" i="26" s="1"/>
  <c r="BR49" i="26"/>
  <c r="CX49" i="26" s="1"/>
  <c r="BQ43" i="26"/>
  <c r="CW43" i="26" s="1"/>
  <c r="BQ66" i="26"/>
  <c r="CW66" i="26" s="1"/>
  <c r="DP66" i="26" s="1"/>
  <c r="BS54" i="26"/>
  <c r="BR53" i="26"/>
  <c r="CX53" i="26" s="1"/>
  <c r="DC53" i="26" s="1"/>
  <c r="BS62" i="26"/>
  <c r="CY62" i="26" s="1"/>
  <c r="DD62" i="26" s="1"/>
  <c r="BS68" i="26"/>
  <c r="CY68" i="26" s="1"/>
  <c r="DD68" i="26" s="1"/>
  <c r="BQ79" i="26"/>
  <c r="CW79" i="26" s="1"/>
  <c r="BQ72" i="26"/>
  <c r="CW72" i="26" s="1"/>
  <c r="DB72" i="26" s="1"/>
  <c r="BQ31" i="26"/>
  <c r="CW31" i="26" s="1"/>
  <c r="BQ30" i="26"/>
  <c r="CW30" i="26" s="1"/>
  <c r="DP30" i="26" s="1"/>
  <c r="BR79" i="26"/>
  <c r="BQ87" i="26"/>
  <c r="CW87" i="26" s="1"/>
  <c r="DP87" i="26" s="1"/>
  <c r="BQ73" i="26"/>
  <c r="CW73" i="26" s="1"/>
  <c r="DB73" i="26" s="1"/>
  <c r="CM28" i="26"/>
  <c r="BR91" i="26"/>
  <c r="CX91" i="26" s="1"/>
  <c r="DC91" i="26" s="1"/>
  <c r="BS55" i="26"/>
  <c r="CY55" i="26" s="1"/>
  <c r="BQ27" i="26"/>
  <c r="CW27" i="26" s="1"/>
  <c r="DB27" i="26" s="1"/>
  <c r="BR87" i="26"/>
  <c r="CX87" i="26" s="1"/>
  <c r="DC87" i="26" s="1"/>
  <c r="BS28" i="26"/>
  <c r="BQ85" i="26"/>
  <c r="CW85" i="26" s="1"/>
  <c r="BR72" i="26"/>
  <c r="CX72" i="26" s="1"/>
  <c r="DR72" i="26" s="1"/>
  <c r="BR50" i="26"/>
  <c r="CX50" i="26" s="1"/>
  <c r="BR41" i="26"/>
  <c r="CX41" i="26" s="1"/>
  <c r="BR34" i="26"/>
  <c r="CX34" i="26" s="1"/>
  <c r="BR32" i="26"/>
  <c r="CX32" i="26" s="1"/>
  <c r="BR24" i="26"/>
  <c r="CX24" i="26" s="1"/>
  <c r="BQ67" i="26"/>
  <c r="BQ98" i="26"/>
  <c r="CW98" i="26" s="1"/>
  <c r="BR31" i="26"/>
  <c r="BQ88" i="26"/>
  <c r="CL90" i="26"/>
  <c r="BS56" i="26"/>
  <c r="CY56" i="26" s="1"/>
  <c r="BQ103" i="26"/>
  <c r="CW103" i="26" s="1"/>
  <c r="BR57" i="26"/>
  <c r="CX57" i="26" s="1"/>
  <c r="BQ83" i="26"/>
  <c r="BQ90" i="26"/>
  <c r="CW90" i="26" s="1"/>
  <c r="DB90" i="26" s="1"/>
  <c r="BQ41" i="26"/>
  <c r="CW41" i="26" s="1"/>
  <c r="DB41" i="26" s="1"/>
  <c r="BQ57" i="26"/>
  <c r="CW57" i="26" s="1"/>
  <c r="DP57" i="26" s="1"/>
  <c r="BS100" i="26"/>
  <c r="CY100" i="26" s="1"/>
  <c r="DD100" i="26" s="1"/>
  <c r="BR25" i="26"/>
  <c r="CX25" i="26" s="1"/>
  <c r="DC25" i="26" s="1"/>
  <c r="BR59" i="26"/>
  <c r="CX59" i="26" s="1"/>
  <c r="DR59" i="26" s="1"/>
  <c r="BQ48" i="26"/>
  <c r="CW48" i="26" s="1"/>
  <c r="DB48" i="26" s="1"/>
  <c r="BQ23" i="26"/>
  <c r="BQ39" i="26"/>
  <c r="CW39" i="26" s="1"/>
  <c r="DB39" i="26" s="1"/>
  <c r="CL68" i="26"/>
  <c r="BQ36" i="26"/>
  <c r="CW36" i="26" s="1"/>
  <c r="DB36" i="26" s="1"/>
  <c r="BS69" i="26"/>
  <c r="BR23" i="26"/>
  <c r="CX23" i="26" s="1"/>
  <c r="BR96" i="26"/>
  <c r="CX96" i="26" s="1"/>
  <c r="DR96" i="26" s="1"/>
  <c r="BQ24" i="26"/>
  <c r="CW24" i="26" s="1"/>
  <c r="DB24" i="26" s="1"/>
  <c r="BS25" i="26"/>
  <c r="BT25" i="26" s="1"/>
  <c r="BR39" i="26"/>
  <c r="CX39" i="26" s="1"/>
  <c r="BQ99" i="26"/>
  <c r="CW99" i="26" s="1"/>
  <c r="DP99" i="26" s="1"/>
  <c r="BQ97" i="26"/>
  <c r="CW97" i="26" s="1"/>
  <c r="DP97" i="26" s="1"/>
  <c r="BR86" i="26"/>
  <c r="CX86" i="26" s="1"/>
  <c r="DC86" i="26" s="1"/>
  <c r="BR55" i="26"/>
  <c r="CX55" i="26" s="1"/>
  <c r="DC55" i="26" s="1"/>
  <c r="BS59" i="26"/>
  <c r="BT59" i="26" s="1"/>
  <c r="CZ59" i="26" s="1"/>
  <c r="DO59" i="26" s="1"/>
  <c r="BS71" i="26"/>
  <c r="CY71" i="26" s="1"/>
  <c r="DD71" i="26" s="1"/>
  <c r="BQ75" i="26"/>
  <c r="BQ51" i="26"/>
  <c r="CW51" i="26" s="1"/>
  <c r="DB51" i="26" s="1"/>
  <c r="CL77" i="26"/>
  <c r="BR21" i="26"/>
  <c r="CX21" i="26" s="1"/>
  <c r="DC21" i="26" s="1"/>
  <c r="BQ60" i="26"/>
  <c r="CW60" i="26" s="1"/>
  <c r="DB60" i="26" s="1"/>
  <c r="BR60" i="26"/>
  <c r="CX60" i="26" s="1"/>
  <c r="DC60" i="26" s="1"/>
  <c r="BR69" i="26"/>
  <c r="CX69" i="26" s="1"/>
  <c r="DC69" i="26" s="1"/>
  <c r="BS73" i="26"/>
  <c r="CY73" i="26" s="1"/>
  <c r="BR29" i="26"/>
  <c r="BS93" i="26"/>
  <c r="BT93" i="26" s="1"/>
  <c r="BQ50" i="26"/>
  <c r="CW50" i="26" s="1"/>
  <c r="BR42" i="26"/>
  <c r="CX42" i="26" s="1"/>
  <c r="DC42" i="26" s="1"/>
  <c r="BS95" i="26"/>
  <c r="CY95" i="26" s="1"/>
  <c r="CL44" i="26"/>
  <c r="BR28" i="26"/>
  <c r="CX28" i="26" s="1"/>
  <c r="DR28" i="26" s="1"/>
  <c r="BR40" i="26"/>
  <c r="CX40" i="26" s="1"/>
  <c r="DC40" i="26" s="1"/>
  <c r="BS37" i="26"/>
  <c r="BR80" i="26"/>
  <c r="CX80" i="26" s="1"/>
  <c r="DR80" i="26" s="1"/>
  <c r="BS33" i="26"/>
  <c r="BU33" i="26" s="1"/>
  <c r="BQ62" i="26"/>
  <c r="CW62" i="26" s="1"/>
  <c r="DB62" i="26" s="1"/>
  <c r="CM92" i="26"/>
  <c r="CL67" i="26"/>
  <c r="CL21" i="26"/>
  <c r="CL62" i="26"/>
  <c r="BQ20" i="26"/>
  <c r="CW20" i="26" s="1"/>
  <c r="BR89" i="26"/>
  <c r="CX89" i="26" s="1"/>
  <c r="BS50" i="26"/>
  <c r="CY50" i="26" s="1"/>
  <c r="DD50" i="26" s="1"/>
  <c r="BR56" i="26"/>
  <c r="CX56" i="26" s="1"/>
  <c r="DC56" i="26" s="1"/>
  <c r="BR74" i="26"/>
  <c r="CX74" i="26" s="1"/>
  <c r="BS42" i="26"/>
  <c r="CY42" i="26" s="1"/>
  <c r="DD42" i="26" s="1"/>
  <c r="BS103" i="26"/>
  <c r="CY103" i="26" s="1"/>
  <c r="DD103" i="26" s="1"/>
  <c r="BR98" i="26"/>
  <c r="CX98" i="26" s="1"/>
  <c r="DC98" i="26" s="1"/>
  <c r="BR63" i="26"/>
  <c r="BS49" i="26"/>
  <c r="BU49" i="26" s="1"/>
  <c r="BQ100" i="26"/>
  <c r="CW100" i="26" s="1"/>
  <c r="BQ96" i="26"/>
  <c r="CW96" i="26" s="1"/>
  <c r="DB96" i="26" s="1"/>
  <c r="BR83" i="26"/>
  <c r="CX83" i="26" s="1"/>
  <c r="BS24" i="26"/>
  <c r="CY24" i="26" s="1"/>
  <c r="DD24" i="26" s="1"/>
  <c r="BS88" i="26"/>
  <c r="BS43" i="26"/>
  <c r="CY43" i="26" s="1"/>
  <c r="DD43" i="26" s="1"/>
  <c r="BS89" i="26"/>
  <c r="BR99" i="26"/>
  <c r="CX99" i="26" s="1"/>
  <c r="BS35" i="26"/>
  <c r="CY35" i="26" s="1"/>
  <c r="DD35" i="26" s="1"/>
  <c r="BR82" i="26"/>
  <c r="CL45" i="26"/>
  <c r="BQ80" i="26"/>
  <c r="CW80" i="26" s="1"/>
  <c r="DB80" i="26" s="1"/>
  <c r="BS102" i="26"/>
  <c r="BU102" i="26" s="1"/>
  <c r="BQ46" i="26"/>
  <c r="CW46" i="26" s="1"/>
  <c r="DB46" i="26" s="1"/>
  <c r="BQ44" i="26"/>
  <c r="BS52" i="26"/>
  <c r="BT52" i="26" s="1"/>
  <c r="BR52" i="26"/>
  <c r="CX52" i="26" s="1"/>
  <c r="DC52" i="26" s="1"/>
  <c r="BS78" i="26"/>
  <c r="CY78" i="26" s="1"/>
  <c r="DD78" i="26" s="1"/>
  <c r="BR78" i="26"/>
  <c r="CX78" i="26" s="1"/>
  <c r="DC78" i="26" s="1"/>
  <c r="BQ68" i="26"/>
  <c r="CW68" i="26" s="1"/>
  <c r="DB68" i="26" s="1"/>
  <c r="BQ92" i="26"/>
  <c r="CW92" i="26" s="1"/>
  <c r="DB92" i="26" s="1"/>
  <c r="BS44" i="26"/>
  <c r="CY44" i="26" s="1"/>
  <c r="BR22" i="26"/>
  <c r="BQ56" i="26"/>
  <c r="CW56" i="26" s="1"/>
  <c r="BS74" i="26"/>
  <c r="BT74" i="26" s="1"/>
  <c r="BR103" i="26"/>
  <c r="CX103" i="26" s="1"/>
  <c r="BR20" i="26"/>
  <c r="CX20" i="26" s="1"/>
  <c r="BQ71" i="26"/>
  <c r="CW71" i="26" s="1"/>
  <c r="BS57" i="26"/>
  <c r="CY57" i="26" s="1"/>
  <c r="DD57" i="26" s="1"/>
  <c r="BQ64" i="26"/>
  <c r="CW64" i="26" s="1"/>
  <c r="BR100" i="26"/>
  <c r="BS31" i="26"/>
  <c r="CY31" i="26" s="1"/>
  <c r="DD31" i="26" s="1"/>
  <c r="BS96" i="26"/>
  <c r="CY96" i="26" s="1"/>
  <c r="DD96" i="26" s="1"/>
  <c r="BR75" i="26"/>
  <c r="CX75" i="26" s="1"/>
  <c r="BS83" i="26"/>
  <c r="BU83" i="26" s="1"/>
  <c r="BQ81" i="26"/>
  <c r="CW81" i="26" s="1"/>
  <c r="BQ25" i="26"/>
  <c r="CW25" i="26" s="1"/>
  <c r="BR51" i="26"/>
  <c r="CX51" i="26" s="1"/>
  <c r="BS99" i="26"/>
  <c r="BQ101" i="26"/>
  <c r="CW101" i="26" s="1"/>
  <c r="DB101" i="26" s="1"/>
  <c r="BQ82" i="26"/>
  <c r="CW82" i="26" s="1"/>
  <c r="BR27" i="26"/>
  <c r="CX27" i="26" s="1"/>
  <c r="DC27" i="26" s="1"/>
  <c r="BQ91" i="26"/>
  <c r="CW91" i="26" s="1"/>
  <c r="DB91" i="26" s="1"/>
  <c r="BS87" i="26"/>
  <c r="CY87" i="26" s="1"/>
  <c r="BS80" i="26"/>
  <c r="CY80" i="26" s="1"/>
  <c r="BQ28" i="26"/>
  <c r="CW28" i="26" s="1"/>
  <c r="DB28" i="26" s="1"/>
  <c r="BS47" i="26"/>
  <c r="BS40" i="26"/>
  <c r="CY40" i="26" s="1"/>
  <c r="BR102" i="26"/>
  <c r="CX102" i="26" s="1"/>
  <c r="DC102" i="26" s="1"/>
  <c r="BR77" i="26"/>
  <c r="CX77" i="26" s="1"/>
  <c r="DC77" i="26" s="1"/>
  <c r="BQ26" i="26"/>
  <c r="CW26" i="26" s="1"/>
  <c r="DP26" i="26" s="1"/>
  <c r="BR58" i="26"/>
  <c r="CX58" i="26" s="1"/>
  <c r="BS22" i="26"/>
  <c r="CY22" i="26" s="1"/>
  <c r="BS29" i="26"/>
  <c r="CY29" i="26" s="1"/>
  <c r="BR84" i="26"/>
  <c r="BS65" i="26"/>
  <c r="CY65" i="26" s="1"/>
  <c r="BS64" i="26"/>
  <c r="CY64" i="26" s="1"/>
  <c r="BQ55" i="26"/>
  <c r="CW55" i="26" s="1"/>
  <c r="DB55" i="26" s="1"/>
  <c r="BR33" i="26"/>
  <c r="CX33" i="26" s="1"/>
  <c r="DC33" i="26" s="1"/>
  <c r="BS85" i="26"/>
  <c r="CY85" i="26" s="1"/>
  <c r="DD85" i="26" s="1"/>
  <c r="BR65" i="26"/>
  <c r="CX65" i="26" s="1"/>
  <c r="DC65" i="26" s="1"/>
  <c r="BQ74" i="26"/>
  <c r="CW74" i="26" s="1"/>
  <c r="BQ34" i="26"/>
  <c r="BS98" i="26"/>
  <c r="CY98" i="26" s="1"/>
  <c r="DD98" i="26" s="1"/>
  <c r="BR71" i="26"/>
  <c r="CX71" i="26" s="1"/>
  <c r="DC71" i="26" s="1"/>
  <c r="BQ49" i="26"/>
  <c r="CW49" i="26" s="1"/>
  <c r="DB49" i="26" s="1"/>
  <c r="BQ32" i="26"/>
  <c r="CW32" i="26" s="1"/>
  <c r="BS23" i="26"/>
  <c r="CY23" i="26" s="1"/>
  <c r="BR67" i="26"/>
  <c r="CX67" i="26" s="1"/>
  <c r="DC67" i="26" s="1"/>
  <c r="BS75" i="26"/>
  <c r="CY75" i="26" s="1"/>
  <c r="BR81" i="26"/>
  <c r="BS51" i="26"/>
  <c r="CY51" i="26" s="1"/>
  <c r="BS39" i="26"/>
  <c r="CY39" i="26" s="1"/>
  <c r="BS27" i="26"/>
  <c r="CY27" i="26" s="1"/>
  <c r="BS94" i="26"/>
  <c r="CY94" i="26" s="1"/>
  <c r="BR94" i="26"/>
  <c r="CX94" i="26" s="1"/>
  <c r="DR94" i="26" s="1"/>
  <c r="BS84" i="26"/>
  <c r="CY84" i="26" s="1"/>
  <c r="BQ93" i="26"/>
  <c r="CW93" i="26" s="1"/>
  <c r="DB93" i="26" s="1"/>
  <c r="BS41" i="26"/>
  <c r="BS34" i="26"/>
  <c r="CY34" i="26" s="1"/>
  <c r="BR64" i="26"/>
  <c r="CX64" i="26" s="1"/>
  <c r="DC64" i="26" s="1"/>
  <c r="BQ95" i="26"/>
  <c r="CW95" i="26" s="1"/>
  <c r="DB95" i="26" s="1"/>
  <c r="BS32" i="26"/>
  <c r="CY32" i="26" s="1"/>
  <c r="BR88" i="26"/>
  <c r="CX88" i="26" s="1"/>
  <c r="BS81" i="26"/>
  <c r="CY81" i="26" s="1"/>
  <c r="BQ89" i="26"/>
  <c r="CW89" i="26" s="1"/>
  <c r="BR35" i="26"/>
  <c r="BS101" i="26"/>
  <c r="CY101" i="26" s="1"/>
  <c r="DD101" i="26" s="1"/>
  <c r="BR47" i="26"/>
  <c r="CX47" i="26" s="1"/>
  <c r="DR47" i="26" s="1"/>
  <c r="BS21" i="26"/>
  <c r="CY21" i="26" s="1"/>
  <c r="BS45" i="26"/>
  <c r="CY45" i="26" s="1"/>
  <c r="BS36" i="26"/>
  <c r="BU36" i="26" s="1"/>
  <c r="BS53" i="26"/>
  <c r="CY53" i="26" s="1"/>
  <c r="BQ76" i="26"/>
  <c r="CW76" i="26" s="1"/>
  <c r="DP76" i="26" s="1"/>
  <c r="BS58" i="26"/>
  <c r="BR48" i="26"/>
  <c r="CX48" i="26" s="1"/>
  <c r="BQ42" i="26"/>
  <c r="CW42" i="26" s="1"/>
  <c r="BS20" i="26"/>
  <c r="BU20" i="26" s="1"/>
  <c r="BQ63" i="26"/>
  <c r="CW63" i="26" s="1"/>
  <c r="BR95" i="26"/>
  <c r="CX95" i="26" s="1"/>
  <c r="BS67" i="26"/>
  <c r="CY67" i="26" s="1"/>
  <c r="BR43" i="26"/>
  <c r="CX43" i="26" s="1"/>
  <c r="BQ35" i="26"/>
  <c r="BS79" i="26"/>
  <c r="BU79" i="26" s="1"/>
  <c r="BR97" i="26"/>
  <c r="CX97" i="26" s="1"/>
  <c r="DR97" i="26" s="1"/>
  <c r="BS77" i="26"/>
  <c r="CY77" i="26" s="1"/>
  <c r="DD77" i="26" s="1"/>
  <c r="BS46" i="26"/>
  <c r="CY46" i="26" s="1"/>
  <c r="BS90" i="26"/>
  <c r="CY90" i="26" s="1"/>
  <c r="BT88" i="26"/>
  <c r="CM101" i="26"/>
  <c r="DW20" i="26"/>
  <c r="DW104" i="26" s="1"/>
  <c r="CM43" i="26"/>
  <c r="CL76" i="26"/>
  <c r="CX82" i="26"/>
  <c r="DC82" i="26" s="1"/>
  <c r="CP20" i="26"/>
  <c r="CY66" i="26"/>
  <c r="DD66" i="26" s="1"/>
  <c r="BB94" i="26"/>
  <c r="DN94" i="26" s="1"/>
  <c r="DM94" i="26" s="1"/>
  <c r="CX30" i="26"/>
  <c r="DR30" i="26" s="1"/>
  <c r="CM41" i="26"/>
  <c r="CM52" i="26"/>
  <c r="BB55" i="26"/>
  <c r="DN55" i="26" s="1"/>
  <c r="DM55" i="26" s="1"/>
  <c r="BB66" i="26"/>
  <c r="DN66" i="26" s="1"/>
  <c r="DM66" i="26" s="1"/>
  <c r="BB88" i="26"/>
  <c r="DN88" i="26" s="1"/>
  <c r="DM88" i="26" s="1"/>
  <c r="BU89" i="26"/>
  <c r="CX37" i="26"/>
  <c r="DC37" i="26" s="1"/>
  <c r="CY38" i="26"/>
  <c r="DD38" i="26" s="1"/>
  <c r="BB68" i="26"/>
  <c r="DN68" i="26" s="1"/>
  <c r="DM68" i="26" s="1"/>
  <c r="BB69" i="26"/>
  <c r="DN69" i="26" s="1"/>
  <c r="DM69" i="26" s="1"/>
  <c r="BB28" i="26"/>
  <c r="DN28" i="26" s="1"/>
  <c r="DM28" i="26" s="1"/>
  <c r="BB70" i="26"/>
  <c r="DN70" i="26" s="1"/>
  <c r="DM70" i="26" s="1"/>
  <c r="BB102" i="26"/>
  <c r="DN102" i="26" s="1"/>
  <c r="DM102" i="26" s="1"/>
  <c r="BB32" i="26"/>
  <c r="DN32" i="26" s="1"/>
  <c r="DM32" i="26" s="1"/>
  <c r="BB34" i="26"/>
  <c r="DN34" i="26" s="1"/>
  <c r="DM34" i="26" s="1"/>
  <c r="BB62" i="26"/>
  <c r="DN62" i="26" s="1"/>
  <c r="DM62" i="26" s="1"/>
  <c r="BB93" i="26"/>
  <c r="DN93" i="26" s="1"/>
  <c r="DM93" i="26" s="1"/>
  <c r="CW40" i="26"/>
  <c r="CW102" i="26"/>
  <c r="DB102" i="26" s="1"/>
  <c r="CW84" i="26"/>
  <c r="DB84" i="26" s="1"/>
  <c r="CX44" i="26"/>
  <c r="DC44" i="26" s="1"/>
  <c r="CX73" i="26"/>
  <c r="DC73" i="26" s="1"/>
  <c r="CW29" i="26"/>
  <c r="DB29" i="26" s="1"/>
  <c r="CX101" i="26"/>
  <c r="CX61" i="26"/>
  <c r="CW37" i="26"/>
  <c r="DB37" i="26" s="1"/>
  <c r="BB79" i="26"/>
  <c r="DN79" i="26" s="1"/>
  <c r="DM79" i="26" s="1"/>
  <c r="BB100" i="26"/>
  <c r="DN100" i="26" s="1"/>
  <c r="DM100" i="26" s="1"/>
  <c r="BB57" i="26"/>
  <c r="DN57" i="26" s="1"/>
  <c r="DM57" i="26" s="1"/>
  <c r="BB58" i="26"/>
  <c r="DN58" i="26" s="1"/>
  <c r="DM58" i="26" s="1"/>
  <c r="BB98" i="26"/>
  <c r="DN98" i="26" s="1"/>
  <c r="DM98" i="26" s="1"/>
  <c r="BB77" i="26"/>
  <c r="DN77" i="26" s="1"/>
  <c r="DM77" i="26" s="1"/>
  <c r="BB101" i="26"/>
  <c r="DN101" i="26" s="1"/>
  <c r="DM101" i="26" s="1"/>
  <c r="CY97" i="26"/>
  <c r="DD97" i="26" s="1"/>
  <c r="CW45" i="26"/>
  <c r="CX68" i="26"/>
  <c r="DC68" i="26" s="1"/>
  <c r="CW65" i="26"/>
  <c r="DB65" i="26" s="1"/>
  <c r="CW52" i="26"/>
  <c r="DP52" i="26" s="1"/>
  <c r="CX26" i="26"/>
  <c r="DC26" i="26" s="1"/>
  <c r="CW58" i="26"/>
  <c r="BB91" i="26"/>
  <c r="DN91" i="26" s="1"/>
  <c r="DM91" i="26" s="1"/>
  <c r="BB51" i="26"/>
  <c r="DN51" i="26" s="1"/>
  <c r="DM51" i="26" s="1"/>
  <c r="BB44" i="26"/>
  <c r="DN44" i="26" s="1"/>
  <c r="DM44" i="26" s="1"/>
  <c r="BB86" i="26"/>
  <c r="DN86" i="26" s="1"/>
  <c r="DM86" i="26" s="1"/>
  <c r="BB76" i="26"/>
  <c r="DN76" i="26" s="1"/>
  <c r="DM76" i="26" s="1"/>
  <c r="BB30" i="26"/>
  <c r="DN30" i="26" s="1"/>
  <c r="DM30" i="26" s="1"/>
  <c r="BB25" i="26"/>
  <c r="DN25" i="26" s="1"/>
  <c r="DM25" i="26" s="1"/>
  <c r="BB48" i="26"/>
  <c r="DN48" i="26" s="1"/>
  <c r="DM48" i="26" s="1"/>
  <c r="CW59" i="26"/>
  <c r="DB59" i="26" s="1"/>
  <c r="CW33" i="26"/>
  <c r="DP33" i="26" s="1"/>
  <c r="CY26" i="26"/>
  <c r="DD26" i="26" s="1"/>
  <c r="CW53" i="26"/>
  <c r="DP53" i="26" s="1"/>
  <c r="CY60" i="26"/>
  <c r="DD60" i="26" s="1"/>
  <c r="CX66" i="26"/>
  <c r="DC66" i="26" s="1"/>
  <c r="CW54" i="26"/>
  <c r="DP54" i="26" s="1"/>
  <c r="CY92" i="26"/>
  <c r="DD92" i="26" s="1"/>
  <c r="BB96" i="26"/>
  <c r="DN96" i="26" s="1"/>
  <c r="DM96" i="26" s="1"/>
  <c r="BB54" i="26"/>
  <c r="DN54" i="26" s="1"/>
  <c r="DM54" i="26" s="1"/>
  <c r="BU47" i="26"/>
  <c r="CW77" i="26"/>
  <c r="CX46" i="26"/>
  <c r="CY37" i="26"/>
  <c r="CX85" i="26"/>
  <c r="CW94" i="26"/>
  <c r="DP94" i="26" s="1"/>
  <c r="BB99" i="26"/>
  <c r="DN99" i="26" s="1"/>
  <c r="DM99" i="26" s="1"/>
  <c r="BB67" i="26"/>
  <c r="DN67" i="26" s="1"/>
  <c r="DM67" i="26" s="1"/>
  <c r="BB45" i="26"/>
  <c r="DN45" i="26" s="1"/>
  <c r="DM45" i="26" s="1"/>
  <c r="BB39" i="26"/>
  <c r="DN39" i="26" s="1"/>
  <c r="DM39" i="26" s="1"/>
  <c r="BB26" i="26"/>
  <c r="DN26" i="26" s="1"/>
  <c r="DM26" i="26" s="1"/>
  <c r="BB87" i="26"/>
  <c r="DN87" i="26" s="1"/>
  <c r="DM87" i="26" s="1"/>
  <c r="BB33" i="26"/>
  <c r="DN33" i="26" s="1"/>
  <c r="DM33" i="26" s="1"/>
  <c r="BB52" i="26"/>
  <c r="DN52" i="26" s="1"/>
  <c r="DM52" i="26" s="1"/>
  <c r="BB65" i="26"/>
  <c r="DN65" i="26" s="1"/>
  <c r="DM65" i="26" s="1"/>
  <c r="BB56" i="26"/>
  <c r="DN56" i="26" s="1"/>
  <c r="DM56" i="26" s="1"/>
  <c r="BB84" i="26"/>
  <c r="DN84" i="26" s="1"/>
  <c r="DM84" i="26" s="1"/>
  <c r="CY82" i="26"/>
  <c r="DD82" i="26" s="1"/>
  <c r="CW47" i="26"/>
  <c r="CY54" i="26"/>
  <c r="DD54" i="26" s="1"/>
  <c r="CW70" i="26"/>
  <c r="DB70" i="26" s="1"/>
  <c r="CX76" i="26"/>
  <c r="CX36" i="26"/>
  <c r="DC36" i="26" s="1"/>
  <c r="CY70" i="26"/>
  <c r="DD70" i="26" s="1"/>
  <c r="BU70" i="26"/>
  <c r="CW78" i="26"/>
  <c r="DB78" i="26" s="1"/>
  <c r="CY86" i="26"/>
  <c r="DD86" i="26" s="1"/>
  <c r="CX62" i="26"/>
  <c r="BT72" i="26"/>
  <c r="CW22" i="26"/>
  <c r="DP22" i="26" s="1"/>
  <c r="BB21" i="26"/>
  <c r="DN21" i="26" s="1"/>
  <c r="DM21" i="26" s="1"/>
  <c r="BB23" i="26"/>
  <c r="DN23" i="26" s="1"/>
  <c r="DM23" i="26" s="1"/>
  <c r="CW21" i="26"/>
  <c r="DP21" i="26" s="1"/>
  <c r="CX63" i="26"/>
  <c r="CX100" i="26"/>
  <c r="CY99" i="26"/>
  <c r="DD99" i="26" s="1"/>
  <c r="CX90" i="26"/>
  <c r="CY28" i="26"/>
  <c r="DD28" i="26" s="1"/>
  <c r="CL75" i="26"/>
  <c r="CY48" i="26"/>
  <c r="DD48" i="26" s="1"/>
  <c r="CX31" i="26"/>
  <c r="CW88" i="26"/>
  <c r="CX35" i="26"/>
  <c r="CL55" i="26"/>
  <c r="CX70" i="26"/>
  <c r="CW23" i="26"/>
  <c r="DB23" i="26" s="1"/>
  <c r="CW35" i="26"/>
  <c r="DB35" i="26" s="1"/>
  <c r="CX79" i="26"/>
  <c r="DC79" i="26" s="1"/>
  <c r="CW69" i="26"/>
  <c r="DB69" i="26" s="1"/>
  <c r="CY25" i="26"/>
  <c r="DD25" i="26" s="1"/>
  <c r="CW75" i="26"/>
  <c r="DB75" i="26" s="1"/>
  <c r="CX29" i="26"/>
  <c r="DR29" i="26" s="1"/>
  <c r="BU86" i="26"/>
  <c r="BT86" i="26"/>
  <c r="BU38" i="26"/>
  <c r="BT38" i="26"/>
  <c r="CX22" i="26"/>
  <c r="DR22" i="26" s="1"/>
  <c r="BU60" i="26"/>
  <c r="CW83" i="26"/>
  <c r="BU25" i="26"/>
  <c r="CX84" i="26"/>
  <c r="DC84" i="26" s="1"/>
  <c r="BT26" i="26"/>
  <c r="BU26" i="26"/>
  <c r="BU28" i="26"/>
  <c r="BT28" i="26"/>
  <c r="BT66" i="26"/>
  <c r="CZ66" i="26" s="1"/>
  <c r="DO66" i="26" s="1"/>
  <c r="BU66" i="26"/>
  <c r="DA66" i="26" s="1"/>
  <c r="BU92" i="26"/>
  <c r="BT92" i="26"/>
  <c r="CZ92" i="26" s="1"/>
  <c r="DO92" i="26" s="1"/>
  <c r="CW34" i="26"/>
  <c r="CX81" i="26"/>
  <c r="DC81" i="26" s="1"/>
  <c r="CL47" i="26"/>
  <c r="CL85" i="26"/>
  <c r="CY58" i="26"/>
  <c r="CX93" i="26"/>
  <c r="DC93" i="26" s="1"/>
  <c r="CL36" i="26"/>
  <c r="CY41" i="26"/>
  <c r="CW67" i="26"/>
  <c r="CY69" i="26"/>
  <c r="CW61" i="26"/>
  <c r="DB61" i="26" s="1"/>
  <c r="BT99" i="26"/>
  <c r="BU99" i="26"/>
  <c r="CL51" i="26"/>
  <c r="CL84" i="26"/>
  <c r="CL71" i="26"/>
  <c r="CM57" i="26"/>
  <c r="BT48" i="26"/>
  <c r="BU48" i="26"/>
  <c r="BU97" i="26"/>
  <c r="BT97" i="26"/>
  <c r="CW44" i="26"/>
  <c r="DB44" i="26" s="1"/>
  <c r="CL46" i="26"/>
  <c r="CL95" i="26"/>
  <c r="CL63" i="26"/>
  <c r="CL87" i="26"/>
  <c r="CL38" i="26"/>
  <c r="CL102" i="26"/>
  <c r="CL54" i="26"/>
  <c r="CL23" i="26"/>
  <c r="CL103" i="26"/>
  <c r="CL39" i="26"/>
  <c r="CL22" i="26"/>
  <c r="CL78" i="26"/>
  <c r="CL74" i="26"/>
  <c r="CL97" i="26"/>
  <c r="CL58" i="26"/>
  <c r="CL29" i="26"/>
  <c r="CL57" i="26"/>
  <c r="CL49" i="26"/>
  <c r="CL33" i="26"/>
  <c r="CL93" i="26"/>
  <c r="CL69" i="26"/>
  <c r="CL31" i="26"/>
  <c r="CL53" i="26"/>
  <c r="CL96" i="26"/>
  <c r="CL26" i="26"/>
  <c r="CL94" i="26"/>
  <c r="CL79" i="26"/>
  <c r="CL65" i="26"/>
  <c r="CL81" i="26"/>
  <c r="CL25" i="26"/>
  <c r="CL89" i="26"/>
  <c r="CL73" i="26"/>
  <c r="CL72" i="26"/>
  <c r="CL56" i="26"/>
  <c r="CL30" i="26"/>
  <c r="CL40" i="26"/>
  <c r="CL64" i="26"/>
  <c r="CL83" i="26"/>
  <c r="CL20" i="26"/>
  <c r="CL80" i="26"/>
  <c r="CL99" i="26"/>
  <c r="CL48" i="26"/>
  <c r="DK61" i="26"/>
  <c r="DV61" i="26"/>
  <c r="DK52" i="26"/>
  <c r="DV52" i="26"/>
  <c r="DK53" i="26"/>
  <c r="DV53" i="26"/>
  <c r="DK77" i="26"/>
  <c r="DV77" i="26"/>
  <c r="DK72" i="26"/>
  <c r="DV72" i="26"/>
  <c r="DK55" i="26"/>
  <c r="DV55" i="26"/>
  <c r="DK87" i="26"/>
  <c r="DV87" i="26"/>
  <c r="DK24" i="26"/>
  <c r="DV24" i="26"/>
  <c r="DK62" i="26"/>
  <c r="DV62" i="26"/>
  <c r="DK26" i="26"/>
  <c r="DV26" i="26"/>
  <c r="DK34" i="26"/>
  <c r="DV34" i="26"/>
  <c r="DK80" i="26"/>
  <c r="DV80" i="26"/>
  <c r="DK95" i="26"/>
  <c r="DV95" i="26"/>
  <c r="DK94" i="26"/>
  <c r="DV94" i="26"/>
  <c r="DK51" i="26"/>
  <c r="DV51" i="26"/>
  <c r="DK74" i="26"/>
  <c r="DV74" i="26"/>
  <c r="DK33" i="26"/>
  <c r="DV33" i="26"/>
  <c r="DK99" i="26"/>
  <c r="DV99" i="26"/>
  <c r="DK89" i="26"/>
  <c r="DV89" i="26"/>
  <c r="DK44" i="26"/>
  <c r="DV44" i="26"/>
  <c r="DK85" i="26"/>
  <c r="DV85" i="26"/>
  <c r="DK81" i="26"/>
  <c r="DV81" i="26"/>
  <c r="DK21" i="26"/>
  <c r="DV21" i="26"/>
  <c r="DK79" i="26"/>
  <c r="DV79" i="26"/>
  <c r="DK46" i="26"/>
  <c r="DV46" i="26"/>
  <c r="DK86" i="26"/>
  <c r="DV86" i="26"/>
  <c r="DK50" i="26"/>
  <c r="DV50" i="26"/>
  <c r="DK98" i="26"/>
  <c r="DV98" i="26"/>
  <c r="DK31" i="26"/>
  <c r="DV31" i="26"/>
  <c r="DK58" i="26"/>
  <c r="DV58" i="26"/>
  <c r="DK84" i="26"/>
  <c r="DV84" i="26"/>
  <c r="DK68" i="26"/>
  <c r="DV68" i="26"/>
  <c r="DK37" i="26"/>
  <c r="DV37" i="26"/>
  <c r="DK63" i="26"/>
  <c r="DV63" i="26"/>
  <c r="DK35" i="26"/>
  <c r="DV35" i="26"/>
  <c r="DK59" i="26"/>
  <c r="DV59" i="26"/>
  <c r="DK70" i="26"/>
  <c r="DV70" i="26"/>
  <c r="DK90" i="26"/>
  <c r="DV90" i="26"/>
  <c r="DK102" i="26"/>
  <c r="DV102" i="26"/>
  <c r="DK100" i="26"/>
  <c r="DV100" i="26"/>
  <c r="DK39" i="26"/>
  <c r="DV39" i="26"/>
  <c r="DK48" i="26"/>
  <c r="DV48" i="26"/>
  <c r="DK65" i="26"/>
  <c r="DV65" i="26"/>
  <c r="DK88" i="26"/>
  <c r="DV88" i="26"/>
  <c r="DK25" i="26"/>
  <c r="DV25" i="26"/>
  <c r="DK41" i="26"/>
  <c r="DV41" i="26"/>
  <c r="DK103" i="26"/>
  <c r="DV103" i="26"/>
  <c r="DK75" i="26"/>
  <c r="DV75" i="26"/>
  <c r="DK71" i="26"/>
  <c r="DV71" i="26"/>
  <c r="DK78" i="26"/>
  <c r="DV78" i="26"/>
  <c r="DK42" i="26"/>
  <c r="DV42" i="26"/>
  <c r="DK101" i="26"/>
  <c r="DV101" i="26"/>
  <c r="DK91" i="26"/>
  <c r="DV91" i="26"/>
  <c r="DK66" i="26"/>
  <c r="DV66" i="26"/>
  <c r="DK76" i="26"/>
  <c r="DV76" i="26"/>
  <c r="DK32" i="26"/>
  <c r="DV32" i="26"/>
  <c r="DK28" i="26"/>
  <c r="DV28" i="26"/>
  <c r="DK93" i="26"/>
  <c r="DV93" i="26"/>
  <c r="DK38" i="26"/>
  <c r="DV38" i="26"/>
  <c r="DK73" i="26"/>
  <c r="DV73" i="26"/>
  <c r="DK29" i="26"/>
  <c r="DV29" i="26"/>
  <c r="DK36" i="26"/>
  <c r="DV36" i="26"/>
  <c r="DK27" i="26"/>
  <c r="DV27" i="26"/>
  <c r="DK43" i="26"/>
  <c r="DV43" i="26"/>
  <c r="DK45" i="26"/>
  <c r="DV45" i="26"/>
  <c r="DK97" i="26"/>
  <c r="DV97" i="26"/>
  <c r="DK56" i="26"/>
  <c r="DV56" i="26"/>
  <c r="DK96" i="26"/>
  <c r="DV96" i="26"/>
  <c r="DK92" i="26"/>
  <c r="DV92" i="26"/>
  <c r="DK83" i="26"/>
  <c r="DV83" i="26"/>
  <c r="DK57" i="26"/>
  <c r="DV57" i="26"/>
  <c r="DK49" i="26"/>
  <c r="DV49" i="26"/>
  <c r="DK82" i="26"/>
  <c r="DV82" i="26"/>
  <c r="DK30" i="26"/>
  <c r="DV30" i="26"/>
  <c r="DK60" i="26"/>
  <c r="DV60" i="26"/>
  <c r="DK64" i="26"/>
  <c r="DV64" i="26"/>
  <c r="DK69" i="26"/>
  <c r="DV69" i="26"/>
  <c r="DK22" i="26"/>
  <c r="DV22" i="26"/>
  <c r="DK47" i="26"/>
  <c r="DV47" i="26"/>
  <c r="DK40" i="26"/>
  <c r="DV40" i="26"/>
  <c r="DK23" i="26"/>
  <c r="DV23" i="26"/>
  <c r="DK67" i="26"/>
  <c r="DV67" i="26"/>
  <c r="DK54" i="26"/>
  <c r="DV54" i="26"/>
  <c r="BA41" i="26"/>
  <c r="BA60" i="26"/>
  <c r="BA64" i="26"/>
  <c r="BA38" i="26"/>
  <c r="BA50" i="26"/>
  <c r="BA29" i="26"/>
  <c r="BA90" i="26"/>
  <c r="BA49" i="26"/>
  <c r="BA24" i="26"/>
  <c r="BA27" i="26"/>
  <c r="BA47" i="26"/>
  <c r="BA83" i="26"/>
  <c r="BA46" i="26"/>
  <c r="BA89" i="26"/>
  <c r="BA63" i="26"/>
  <c r="BA78" i="26"/>
  <c r="BA42" i="26"/>
  <c r="BA97" i="26"/>
  <c r="BA75" i="26"/>
  <c r="BA71" i="26"/>
  <c r="BA72" i="26"/>
  <c r="BA80" i="26"/>
  <c r="BA36" i="26"/>
  <c r="BA82" i="26"/>
  <c r="BA43" i="26"/>
  <c r="BA37" i="26"/>
  <c r="BA92" i="26"/>
  <c r="BA95" i="26"/>
  <c r="BA53" i="26"/>
  <c r="BA40" i="26"/>
  <c r="BA73" i="26"/>
  <c r="DL20" i="26"/>
  <c r="DL104" i="26" s="1"/>
  <c r="BA103" i="26"/>
  <c r="BA81" i="26"/>
  <c r="BA22" i="26"/>
  <c r="BA59" i="26"/>
  <c r="BA74" i="26"/>
  <c r="BA31" i="26"/>
  <c r="BA35" i="26"/>
  <c r="BA61" i="26"/>
  <c r="BA20" i="26"/>
  <c r="BB20" i="26" s="1"/>
  <c r="BA85" i="26"/>
  <c r="BT50" i="26" l="1"/>
  <c r="BU50" i="26"/>
  <c r="BU78" i="26"/>
  <c r="BT78" i="26"/>
  <c r="BU30" i="26"/>
  <c r="CY83" i="26"/>
  <c r="DD83" i="26" s="1"/>
  <c r="BT83" i="26"/>
  <c r="CZ83" i="26" s="1"/>
  <c r="DO83" i="26" s="1"/>
  <c r="BU57" i="26"/>
  <c r="CZ86" i="26"/>
  <c r="DO86" i="26" s="1"/>
  <c r="CY30" i="26"/>
  <c r="DD30" i="26" s="1"/>
  <c r="BT62" i="26"/>
  <c r="CZ62" i="26" s="1"/>
  <c r="DO62" i="26" s="1"/>
  <c r="BU62" i="26"/>
  <c r="BU74" i="26"/>
  <c r="BU52" i="26"/>
  <c r="CY59" i="26"/>
  <c r="DD59" i="26" s="1"/>
  <c r="BT103" i="26"/>
  <c r="CZ103" i="26" s="1"/>
  <c r="DO103" i="26" s="1"/>
  <c r="BU103" i="26"/>
  <c r="BU59" i="26"/>
  <c r="DA59" i="26" s="1"/>
  <c r="DQ59" i="26" s="1"/>
  <c r="BT42" i="26"/>
  <c r="CZ42" i="26" s="1"/>
  <c r="DO42" i="26" s="1"/>
  <c r="BT31" i="26"/>
  <c r="CZ31" i="26" s="1"/>
  <c r="DO31" i="26" s="1"/>
  <c r="BU31" i="26"/>
  <c r="CY79" i="26"/>
  <c r="DD79" i="26" s="1"/>
  <c r="BU98" i="26"/>
  <c r="CY52" i="26"/>
  <c r="DD52" i="26" s="1"/>
  <c r="BT98" i="26"/>
  <c r="CY49" i="26"/>
  <c r="DD49" i="26" s="1"/>
  <c r="BU91" i="26"/>
  <c r="DA91" i="26" s="1"/>
  <c r="DQ91" i="26" s="1"/>
  <c r="BT91" i="26"/>
  <c r="CZ91" i="26" s="1"/>
  <c r="DO91" i="26" s="1"/>
  <c r="BT79" i="26"/>
  <c r="CZ79" i="26" s="1"/>
  <c r="DO79" i="26" s="1"/>
  <c r="BT49" i="26"/>
  <c r="CZ49" i="26" s="1"/>
  <c r="DO49" i="26" s="1"/>
  <c r="BT102" i="26"/>
  <c r="CZ102" i="26" s="1"/>
  <c r="DO102" i="26" s="1"/>
  <c r="BT84" i="26"/>
  <c r="CZ84" i="26" s="1"/>
  <c r="DO84" i="26" s="1"/>
  <c r="CY102" i="26"/>
  <c r="DD102" i="26" s="1"/>
  <c r="DR37" i="26"/>
  <c r="BU84" i="26"/>
  <c r="DA84" i="26" s="1"/>
  <c r="DQ84" i="26" s="1"/>
  <c r="BU43" i="26"/>
  <c r="BT43" i="26"/>
  <c r="CZ43" i="26" s="1"/>
  <c r="DO43" i="26" s="1"/>
  <c r="BT94" i="26"/>
  <c r="CZ94" i="26" s="1"/>
  <c r="DO94" i="26" s="1"/>
  <c r="BU94" i="26"/>
  <c r="BT57" i="26"/>
  <c r="CZ57" i="26" s="1"/>
  <c r="DO57" i="26" s="1"/>
  <c r="BT85" i="26"/>
  <c r="CZ85" i="26" s="1"/>
  <c r="DO85" i="26" s="1"/>
  <c r="BU85" i="26"/>
  <c r="DA85" i="26" s="1"/>
  <c r="DQ85" i="26" s="1"/>
  <c r="BU42" i="26"/>
  <c r="BT36" i="26"/>
  <c r="CZ36" i="26" s="1"/>
  <c r="DO36" i="26" s="1"/>
  <c r="CY36" i="26"/>
  <c r="DD36" i="26" s="1"/>
  <c r="DR68" i="26"/>
  <c r="DB52" i="26"/>
  <c r="BU88" i="26"/>
  <c r="CY88" i="26"/>
  <c r="DD88" i="26" s="1"/>
  <c r="BT77" i="26"/>
  <c r="CZ77" i="26" s="1"/>
  <c r="DO77" i="26" s="1"/>
  <c r="BU77" i="26"/>
  <c r="DC85" i="26"/>
  <c r="DR85" i="26"/>
  <c r="BT82" i="26"/>
  <c r="CZ82" i="26" s="1"/>
  <c r="DO82" i="26" s="1"/>
  <c r="CY74" i="26"/>
  <c r="DD74" i="26" s="1"/>
  <c r="BU96" i="26"/>
  <c r="CY47" i="26"/>
  <c r="DD47" i="26" s="1"/>
  <c r="CY72" i="26"/>
  <c r="DD72" i="26" s="1"/>
  <c r="BU24" i="26"/>
  <c r="BT47" i="26"/>
  <c r="CZ47" i="26" s="1"/>
  <c r="DO47" i="26" s="1"/>
  <c r="BU72" i="26"/>
  <c r="DA72" i="26" s="1"/>
  <c r="DQ72" i="26" s="1"/>
  <c r="BT100" i="26"/>
  <c r="CZ100" i="26" s="1"/>
  <c r="DO100" i="26" s="1"/>
  <c r="BT96" i="26"/>
  <c r="CZ96" i="26" s="1"/>
  <c r="DO96" i="26" s="1"/>
  <c r="BT70" i="26"/>
  <c r="CZ70" i="26" s="1"/>
  <c r="DO70" i="26" s="1"/>
  <c r="BU100" i="26"/>
  <c r="BT60" i="26"/>
  <c r="CZ60" i="26" s="1"/>
  <c r="DO60" i="26" s="1"/>
  <c r="BU82" i="26"/>
  <c r="DA82" i="26" s="1"/>
  <c r="DQ82" i="26" s="1"/>
  <c r="DC101" i="26"/>
  <c r="DR101" i="26"/>
  <c r="DC61" i="26"/>
  <c r="DR61" i="26"/>
  <c r="BB72" i="26"/>
  <c r="DN72" i="26" s="1"/>
  <c r="DM72" i="26" s="1"/>
  <c r="BB50" i="26"/>
  <c r="CW104" i="26"/>
  <c r="BB95" i="26"/>
  <c r="DN95" i="26" s="1"/>
  <c r="DM95" i="26" s="1"/>
  <c r="BB38" i="26"/>
  <c r="DN38" i="26" s="1"/>
  <c r="DM38" i="26" s="1"/>
  <c r="BU93" i="26"/>
  <c r="CY93" i="26"/>
  <c r="DD93" i="26" s="1"/>
  <c r="CY89" i="26"/>
  <c r="DD89" i="26" s="1"/>
  <c r="CY33" i="26"/>
  <c r="DD33" i="26" s="1"/>
  <c r="BB74" i="26"/>
  <c r="DN74" i="26" s="1"/>
  <c r="DM74" i="26" s="1"/>
  <c r="BB59" i="26"/>
  <c r="DN59" i="26" s="1"/>
  <c r="DM59" i="26" s="1"/>
  <c r="BB71" i="26"/>
  <c r="DN71" i="26" s="1"/>
  <c r="DM71" i="26" s="1"/>
  <c r="BB83" i="26"/>
  <c r="DN83" i="26" s="1"/>
  <c r="DM83" i="26" s="1"/>
  <c r="BB92" i="26"/>
  <c r="DN92" i="26" s="1"/>
  <c r="DM92" i="26" s="1"/>
  <c r="BB75" i="26"/>
  <c r="DN75" i="26" s="1"/>
  <c r="DM75" i="26" s="1"/>
  <c r="BB47" i="26"/>
  <c r="DN47" i="26" s="1"/>
  <c r="DM47" i="26" s="1"/>
  <c r="BB64" i="26"/>
  <c r="DN64" i="26" s="1"/>
  <c r="DM64" i="26" s="1"/>
  <c r="BB53" i="26"/>
  <c r="DN53" i="26" s="1"/>
  <c r="DM53" i="26" s="1"/>
  <c r="BB85" i="26"/>
  <c r="DN85" i="26" s="1"/>
  <c r="DM85" i="26" s="1"/>
  <c r="BB81" i="26"/>
  <c r="DN81" i="26" s="1"/>
  <c r="DM81" i="26" s="1"/>
  <c r="BB37" i="26"/>
  <c r="DN37" i="26" s="1"/>
  <c r="DM37" i="26" s="1"/>
  <c r="BB97" i="26"/>
  <c r="DN97" i="26" s="1"/>
  <c r="DM97" i="26" s="1"/>
  <c r="BB27" i="26"/>
  <c r="DN27" i="26" s="1"/>
  <c r="DM27" i="26" s="1"/>
  <c r="BB60" i="26"/>
  <c r="DN60" i="26" s="1"/>
  <c r="DM60" i="26" s="1"/>
  <c r="BB42" i="26"/>
  <c r="DN42" i="26" s="1"/>
  <c r="DM42" i="26" s="1"/>
  <c r="CX104" i="26"/>
  <c r="BB46" i="26"/>
  <c r="DN46" i="26" s="1"/>
  <c r="DM46" i="26" s="1"/>
  <c r="BB43" i="26"/>
  <c r="DN43" i="26" s="1"/>
  <c r="DM43" i="26" s="1"/>
  <c r="BB61" i="26"/>
  <c r="DN61" i="26" s="1"/>
  <c r="DM61" i="26" s="1"/>
  <c r="BB82" i="26"/>
  <c r="DN82" i="26" s="1"/>
  <c r="DM82" i="26" s="1"/>
  <c r="BB49" i="26"/>
  <c r="DN49" i="26" s="1"/>
  <c r="DM49" i="26" s="1"/>
  <c r="BT33" i="26"/>
  <c r="CZ33" i="26" s="1"/>
  <c r="DO33" i="26" s="1"/>
  <c r="BB103" i="26"/>
  <c r="DN103" i="26" s="1"/>
  <c r="DM103" i="26" s="1"/>
  <c r="BB41" i="26"/>
  <c r="DN41" i="26" s="1"/>
  <c r="DM41" i="26" s="1"/>
  <c r="EA104" i="26"/>
  <c r="DK104" i="26"/>
  <c r="BB78" i="26"/>
  <c r="DN78" i="26" s="1"/>
  <c r="DM78" i="26" s="1"/>
  <c r="BB35" i="26"/>
  <c r="DN35" i="26" s="1"/>
  <c r="DM35" i="26" s="1"/>
  <c r="BB73" i="26"/>
  <c r="DN73" i="26" s="1"/>
  <c r="DM73" i="26" s="1"/>
  <c r="BB36" i="26"/>
  <c r="DN36" i="26" s="1"/>
  <c r="DM36" i="26" s="1"/>
  <c r="BB63" i="26"/>
  <c r="DN63" i="26" s="1"/>
  <c r="DM63" i="26" s="1"/>
  <c r="BB90" i="26"/>
  <c r="DN90" i="26" s="1"/>
  <c r="DM90" i="26" s="1"/>
  <c r="BT89" i="26"/>
  <c r="CZ89" i="26" s="1"/>
  <c r="DO89" i="26" s="1"/>
  <c r="BB31" i="26"/>
  <c r="DN31" i="26" s="1"/>
  <c r="DM31" i="26" s="1"/>
  <c r="BB40" i="26"/>
  <c r="DN40" i="26" s="1"/>
  <c r="DM40" i="26" s="1"/>
  <c r="BB80" i="26"/>
  <c r="DN80" i="26" s="1"/>
  <c r="DM80" i="26" s="1"/>
  <c r="BB89" i="26"/>
  <c r="DN89" i="26" s="1"/>
  <c r="DM89" i="26" s="1"/>
  <c r="BB29" i="26"/>
  <c r="DN29" i="26" s="1"/>
  <c r="DM29" i="26" s="1"/>
  <c r="CY20" i="26"/>
  <c r="BB24" i="26"/>
  <c r="DN24" i="26" s="1"/>
  <c r="DM24" i="26" s="1"/>
  <c r="BB22" i="26"/>
  <c r="DN22" i="26" s="1"/>
  <c r="DM22" i="26" s="1"/>
  <c r="BT24" i="26"/>
  <c r="CZ24" i="26" s="1"/>
  <c r="DO24" i="26" s="1"/>
  <c r="BU35" i="26"/>
  <c r="BT68" i="26"/>
  <c r="CZ68" i="26" s="1"/>
  <c r="DO68" i="26" s="1"/>
  <c r="BT35" i="26"/>
  <c r="CZ35" i="26" s="1"/>
  <c r="DO35" i="26" s="1"/>
  <c r="BU68" i="26"/>
  <c r="BT54" i="26"/>
  <c r="CZ54" i="26" s="1"/>
  <c r="DO54" i="26" s="1"/>
  <c r="BU61" i="26"/>
  <c r="BU54" i="26"/>
  <c r="BT61" i="26"/>
  <c r="CZ61" i="26" s="1"/>
  <c r="DO61" i="26" s="1"/>
  <c r="BT71" i="26"/>
  <c r="CZ71" i="26" s="1"/>
  <c r="DO71" i="26" s="1"/>
  <c r="BT73" i="26"/>
  <c r="CZ73" i="26" s="1"/>
  <c r="DO73" i="26" s="1"/>
  <c r="BU71" i="26"/>
  <c r="BU73" i="26"/>
  <c r="DA73" i="26" s="1"/>
  <c r="DQ73" i="26" s="1"/>
  <c r="BU101" i="26"/>
  <c r="BT101" i="26"/>
  <c r="CZ101" i="26" s="1"/>
  <c r="DO101" i="26" s="1"/>
  <c r="BU81" i="26"/>
  <c r="BT81" i="26"/>
  <c r="CZ81" i="26" s="1"/>
  <c r="DO81" i="26" s="1"/>
  <c r="DD81" i="26"/>
  <c r="BT67" i="26"/>
  <c r="CZ67" i="26" s="1"/>
  <c r="DO67" i="26" s="1"/>
  <c r="BU67" i="26"/>
  <c r="DD67" i="26"/>
  <c r="BU76" i="26"/>
  <c r="DA76" i="26" s="1"/>
  <c r="DQ76" i="26" s="1"/>
  <c r="BT76" i="26"/>
  <c r="CZ76" i="26" s="1"/>
  <c r="DO76" i="26" s="1"/>
  <c r="DD76" i="26"/>
  <c r="BT53" i="26"/>
  <c r="CZ53" i="26" s="1"/>
  <c r="DO53" i="26" s="1"/>
  <c r="BU53" i="26"/>
  <c r="DA53" i="26" s="1"/>
  <c r="DQ53" i="26" s="1"/>
  <c r="DD53" i="26"/>
  <c r="DD95" i="26"/>
  <c r="BU95" i="26"/>
  <c r="BT95" i="26"/>
  <c r="CZ95" i="26" s="1"/>
  <c r="DO95" i="26" s="1"/>
  <c r="BT64" i="26"/>
  <c r="CZ64" i="26" s="1"/>
  <c r="DO64" i="26" s="1"/>
  <c r="BU64" i="26"/>
  <c r="DD64" i="26"/>
  <c r="DD55" i="26"/>
  <c r="BU55" i="26"/>
  <c r="BT55" i="26"/>
  <c r="CZ55" i="26" s="1"/>
  <c r="DO55" i="26" s="1"/>
  <c r="DD39" i="26"/>
  <c r="BU39" i="26"/>
  <c r="BT39" i="26"/>
  <c r="CZ39" i="26" s="1"/>
  <c r="DO39" i="26" s="1"/>
  <c r="BT80" i="26"/>
  <c r="CZ80" i="26" s="1"/>
  <c r="DO80" i="26" s="1"/>
  <c r="BU80" i="26"/>
  <c r="DA80" i="26" s="1"/>
  <c r="DQ80" i="26" s="1"/>
  <c r="BT51" i="26"/>
  <c r="CZ51" i="26" s="1"/>
  <c r="DO51" i="26" s="1"/>
  <c r="DD51" i="26"/>
  <c r="BU51" i="26"/>
  <c r="DD37" i="26"/>
  <c r="BT37" i="26"/>
  <c r="CZ37" i="26" s="1"/>
  <c r="DO37" i="26" s="1"/>
  <c r="BU37" i="26"/>
  <c r="BT40" i="26"/>
  <c r="CZ40" i="26" s="1"/>
  <c r="DO40" i="26" s="1"/>
  <c r="BU40" i="26"/>
  <c r="DA40" i="26" s="1"/>
  <c r="DQ40" i="26" s="1"/>
  <c r="DD87" i="26"/>
  <c r="BU87" i="26"/>
  <c r="BT87" i="26"/>
  <c r="CZ87" i="26" s="1"/>
  <c r="DO87" i="26" s="1"/>
  <c r="BT90" i="26"/>
  <c r="CZ90" i="26" s="1"/>
  <c r="DO90" i="26" s="1"/>
  <c r="BU90" i="26"/>
  <c r="DA90" i="26" s="1"/>
  <c r="DQ90" i="26" s="1"/>
  <c r="BT34" i="26"/>
  <c r="CZ34" i="26" s="1"/>
  <c r="DO34" i="26" s="1"/>
  <c r="BU34" i="26"/>
  <c r="DD34" i="26"/>
  <c r="BU65" i="26"/>
  <c r="DA65" i="26" s="1"/>
  <c r="DQ65" i="26" s="1"/>
  <c r="BT65" i="26"/>
  <c r="CZ65" i="26" s="1"/>
  <c r="DO65" i="26" s="1"/>
  <c r="DD65" i="26"/>
  <c r="BT32" i="26"/>
  <c r="CZ32" i="26" s="1"/>
  <c r="DO32" i="26" s="1"/>
  <c r="BU32" i="26"/>
  <c r="DD32" i="26"/>
  <c r="BU44" i="26"/>
  <c r="DA44" i="26" s="1"/>
  <c r="DQ44" i="26" s="1"/>
  <c r="BT44" i="26"/>
  <c r="CZ44" i="26" s="1"/>
  <c r="DO44" i="26" s="1"/>
  <c r="DD44" i="26"/>
  <c r="DD63" i="26"/>
  <c r="BU63" i="26"/>
  <c r="BT63" i="26"/>
  <c r="CZ63" i="26" s="1"/>
  <c r="DO63" i="26" s="1"/>
  <c r="DD41" i="26"/>
  <c r="BU41" i="26"/>
  <c r="BT41" i="26"/>
  <c r="CZ41" i="26" s="1"/>
  <c r="DO41" i="26" s="1"/>
  <c r="BT45" i="26"/>
  <c r="CZ45" i="26" s="1"/>
  <c r="DO45" i="26" s="1"/>
  <c r="BU45" i="26"/>
  <c r="DD45" i="26"/>
  <c r="BT75" i="26"/>
  <c r="CZ75" i="26" s="1"/>
  <c r="DO75" i="26" s="1"/>
  <c r="DD75" i="26"/>
  <c r="BU75" i="26"/>
  <c r="BT27" i="26"/>
  <c r="CZ27" i="26" s="1"/>
  <c r="DO27" i="26" s="1"/>
  <c r="DD27" i="26"/>
  <c r="BU27" i="26"/>
  <c r="DA20" i="26"/>
  <c r="BT20" i="26"/>
  <c r="CZ20" i="26" s="1"/>
  <c r="BT58" i="26"/>
  <c r="CZ58" i="26" s="1"/>
  <c r="DO58" i="26" s="1"/>
  <c r="BU58" i="26"/>
  <c r="DA58" i="26" s="1"/>
  <c r="DQ58" i="26" s="1"/>
  <c r="DD58" i="26"/>
  <c r="BU21" i="26"/>
  <c r="DD21" i="26"/>
  <c r="BT21" i="26"/>
  <c r="CZ21" i="26" s="1"/>
  <c r="DO21" i="26" s="1"/>
  <c r="BT29" i="26"/>
  <c r="CZ29" i="26" s="1"/>
  <c r="DO29" i="26" s="1"/>
  <c r="DD29" i="26"/>
  <c r="BU29" i="26"/>
  <c r="BT56" i="26"/>
  <c r="CZ56" i="26" s="1"/>
  <c r="DO56" i="26" s="1"/>
  <c r="BU56" i="26"/>
  <c r="DD56" i="26"/>
  <c r="BU46" i="26"/>
  <c r="BT46" i="26"/>
  <c r="CZ46" i="26" s="1"/>
  <c r="DO46" i="26" s="1"/>
  <c r="BT69" i="26"/>
  <c r="CZ69" i="26" s="1"/>
  <c r="DO69" i="26" s="1"/>
  <c r="BU69" i="26"/>
  <c r="DA69" i="26" s="1"/>
  <c r="DQ69" i="26" s="1"/>
  <c r="DD69" i="26"/>
  <c r="DD23" i="26"/>
  <c r="BU23" i="26"/>
  <c r="BT23" i="26"/>
  <c r="CZ23" i="26" s="1"/>
  <c r="DO23" i="26" s="1"/>
  <c r="DD22" i="26"/>
  <c r="BU22" i="26"/>
  <c r="BT22" i="26"/>
  <c r="CZ22" i="26" s="1"/>
  <c r="DO22" i="26" s="1"/>
  <c r="DA78" i="26"/>
  <c r="DQ78" i="26" s="1"/>
  <c r="DA38" i="26"/>
  <c r="DQ38" i="26" s="1"/>
  <c r="DA92" i="26"/>
  <c r="DQ92" i="26" s="1"/>
  <c r="DA60" i="26"/>
  <c r="DQ60" i="26" s="1"/>
  <c r="DA86" i="26"/>
  <c r="DQ86" i="26" s="1"/>
  <c r="DA97" i="26"/>
  <c r="DQ97" i="26" s="1"/>
  <c r="CQ20" i="26"/>
  <c r="CZ93" i="26"/>
  <c r="DO93" i="26" s="1"/>
  <c r="DR52" i="26"/>
  <c r="DD46" i="26"/>
  <c r="DB85" i="26"/>
  <c r="DP85" i="26"/>
  <c r="DD73" i="26"/>
  <c r="DR46" i="26"/>
  <c r="DC46" i="26"/>
  <c r="DC62" i="26"/>
  <c r="DR62" i="26"/>
  <c r="DB47" i="26"/>
  <c r="DP47" i="26"/>
  <c r="DB45" i="26"/>
  <c r="DP45" i="26"/>
  <c r="DR76" i="26"/>
  <c r="DC76" i="26"/>
  <c r="DB77" i="26"/>
  <c r="DP77" i="26"/>
  <c r="DR70" i="26"/>
  <c r="DC70" i="26"/>
  <c r="DP37" i="26"/>
  <c r="DP102" i="26"/>
  <c r="DR36" i="26"/>
  <c r="DP38" i="26"/>
  <c r="CZ38" i="26"/>
  <c r="DO38" i="26" s="1"/>
  <c r="DP70" i="26"/>
  <c r="DB86" i="26"/>
  <c r="DR77" i="26"/>
  <c r="DR44" i="26"/>
  <c r="DR86" i="26"/>
  <c r="DB76" i="26"/>
  <c r="DR60" i="26"/>
  <c r="DP68" i="26"/>
  <c r="DP60" i="26"/>
  <c r="DD84" i="26"/>
  <c r="DR53" i="26"/>
  <c r="DD90" i="26"/>
  <c r="DP92" i="26"/>
  <c r="CZ30" i="26"/>
  <c r="DO30" i="26" s="1"/>
  <c r="DP61" i="26"/>
  <c r="DP78" i="26"/>
  <c r="DR92" i="26"/>
  <c r="DR33" i="26"/>
  <c r="DC47" i="26"/>
  <c r="DP44" i="26"/>
  <c r="DP62" i="26"/>
  <c r="DD94" i="26"/>
  <c r="DB22" i="26"/>
  <c r="DR26" i="26"/>
  <c r="DR38" i="26"/>
  <c r="DB97" i="26"/>
  <c r="DR102" i="26"/>
  <c r="DR93" i="26"/>
  <c r="DP29" i="26"/>
  <c r="DR45" i="26"/>
  <c r="DP36" i="26"/>
  <c r="CZ78" i="26"/>
  <c r="DO78" i="26" s="1"/>
  <c r="DP46" i="26"/>
  <c r="CZ52" i="26"/>
  <c r="DO52" i="26" s="1"/>
  <c r="DD40" i="26"/>
  <c r="DB54" i="26"/>
  <c r="DR78" i="26"/>
  <c r="DC28" i="26"/>
  <c r="DQ66" i="26"/>
  <c r="DB30" i="26"/>
  <c r="DC22" i="26"/>
  <c r="DR21" i="26"/>
  <c r="DC97" i="26"/>
  <c r="DC29" i="26"/>
  <c r="DP72" i="26"/>
  <c r="DB33" i="26"/>
  <c r="DB94" i="26"/>
  <c r="DB21" i="26"/>
  <c r="DD80" i="26"/>
  <c r="DR69" i="26"/>
  <c r="DR27" i="26"/>
  <c r="DB26" i="26"/>
  <c r="DP55" i="26"/>
  <c r="CZ28" i="26"/>
  <c r="DO28" i="26" s="1"/>
  <c r="DD91" i="26"/>
  <c r="DP93" i="26"/>
  <c r="DB53" i="26"/>
  <c r="DR54" i="26"/>
  <c r="DP65" i="26"/>
  <c r="DP59" i="26"/>
  <c r="DP73" i="26"/>
  <c r="CZ97" i="26"/>
  <c r="DO97" i="26" s="1"/>
  <c r="DR40" i="26"/>
  <c r="DP28" i="26"/>
  <c r="DR79" i="26"/>
  <c r="DP90" i="26"/>
  <c r="DR55" i="26"/>
  <c r="DR65" i="26"/>
  <c r="DB79" i="26"/>
  <c r="DP79" i="26"/>
  <c r="DP69" i="26"/>
  <c r="DP27" i="26"/>
  <c r="DR87" i="26"/>
  <c r="DP91" i="26"/>
  <c r="DC30" i="26"/>
  <c r="DR66" i="26"/>
  <c r="DC94" i="26"/>
  <c r="DB87" i="26"/>
  <c r="DR73" i="26"/>
  <c r="CZ26" i="26"/>
  <c r="DO26" i="26" s="1"/>
  <c r="DB82" i="26"/>
  <c r="DP82" i="26"/>
  <c r="DC59" i="26"/>
  <c r="CZ99" i="26"/>
  <c r="DO99" i="26" s="1"/>
  <c r="DR84" i="26"/>
  <c r="CZ72" i="26"/>
  <c r="DO72" i="26" s="1"/>
  <c r="DP101" i="26"/>
  <c r="DP75" i="26"/>
  <c r="DB66" i="26"/>
  <c r="DP24" i="26"/>
  <c r="DC72" i="26"/>
  <c r="CZ98" i="26"/>
  <c r="DO98" i="26" s="1"/>
  <c r="DP35" i="26"/>
  <c r="DC96" i="26"/>
  <c r="DP80" i="26"/>
  <c r="DB57" i="26"/>
  <c r="DR91" i="26"/>
  <c r="DC99" i="26"/>
  <c r="DR99" i="26"/>
  <c r="DR81" i="26"/>
  <c r="DP39" i="26"/>
  <c r="DR71" i="26"/>
  <c r="DR64" i="26"/>
  <c r="DR25" i="26"/>
  <c r="DP84" i="26"/>
  <c r="DP48" i="26"/>
  <c r="DP51" i="26"/>
  <c r="DP40" i="26"/>
  <c r="DB40" i="26"/>
  <c r="DP96" i="26"/>
  <c r="DC80" i="26"/>
  <c r="DC90" i="26"/>
  <c r="DR90" i="26"/>
  <c r="DB58" i="26"/>
  <c r="DP58" i="26"/>
  <c r="DP41" i="26"/>
  <c r="DR82" i="26"/>
  <c r="DP49" i="26"/>
  <c r="DR58" i="26"/>
  <c r="DC58" i="26"/>
  <c r="DB99" i="26"/>
  <c r="DR67" i="26"/>
  <c r="DC35" i="26"/>
  <c r="DR35" i="26"/>
  <c r="CZ88" i="26"/>
  <c r="DO88" i="26" s="1"/>
  <c r="DR56" i="26"/>
  <c r="DR98" i="26"/>
  <c r="CZ50" i="26"/>
  <c r="DO50" i="26" s="1"/>
  <c r="DP95" i="26"/>
  <c r="DP23" i="26"/>
  <c r="DR42" i="26"/>
  <c r="DC20" i="26"/>
  <c r="DR20" i="26"/>
  <c r="DB67" i="26"/>
  <c r="DP67" i="26"/>
  <c r="DB83" i="26"/>
  <c r="DP83" i="26"/>
  <c r="DB88" i="26"/>
  <c r="DP88" i="26"/>
  <c r="DB31" i="26"/>
  <c r="DP31" i="26"/>
  <c r="DB32" i="26"/>
  <c r="DP32" i="26"/>
  <c r="DB98" i="26"/>
  <c r="DP98" i="26"/>
  <c r="DC75" i="26"/>
  <c r="DR75" i="26"/>
  <c r="DC74" i="26"/>
  <c r="DR74" i="26"/>
  <c r="DB56" i="26"/>
  <c r="DP56" i="26"/>
  <c r="DC23" i="26"/>
  <c r="DR23" i="26"/>
  <c r="DC31" i="26"/>
  <c r="DR31" i="26"/>
  <c r="DB63" i="26"/>
  <c r="DP63" i="26"/>
  <c r="DB20" i="26"/>
  <c r="DP20" i="26"/>
  <c r="DC88" i="26"/>
  <c r="DR88" i="26"/>
  <c r="DC39" i="26"/>
  <c r="DR39" i="26"/>
  <c r="DC50" i="26"/>
  <c r="DR50" i="26"/>
  <c r="DB43" i="26"/>
  <c r="DP43" i="26"/>
  <c r="DC100" i="26"/>
  <c r="DR100" i="26"/>
  <c r="DC57" i="26"/>
  <c r="DR57" i="26"/>
  <c r="DC63" i="26"/>
  <c r="DR63" i="26"/>
  <c r="DC49" i="26"/>
  <c r="DR49" i="26"/>
  <c r="DC32" i="26"/>
  <c r="DR32" i="26"/>
  <c r="DC103" i="26"/>
  <c r="DR103" i="26"/>
  <c r="DC95" i="26"/>
  <c r="DR95" i="26"/>
  <c r="DN20" i="26"/>
  <c r="DC51" i="26"/>
  <c r="DR51" i="26"/>
  <c r="DB64" i="26"/>
  <c r="DP64" i="26"/>
  <c r="DB103" i="26"/>
  <c r="DP103" i="26"/>
  <c r="DC43" i="26"/>
  <c r="DR43" i="26"/>
  <c r="DC34" i="26"/>
  <c r="DR34" i="26"/>
  <c r="DC83" i="26"/>
  <c r="DR83" i="26"/>
  <c r="DB25" i="26"/>
  <c r="DP25" i="26"/>
  <c r="DC24" i="26"/>
  <c r="DR24" i="26"/>
  <c r="DB42" i="26"/>
  <c r="DP42" i="26"/>
  <c r="DB34" i="26"/>
  <c r="DP34" i="26"/>
  <c r="DC48" i="26"/>
  <c r="DR48" i="26"/>
  <c r="DB81" i="26"/>
  <c r="DP81" i="26"/>
  <c r="DC89" i="26"/>
  <c r="DR89" i="26"/>
  <c r="DB71" i="26"/>
  <c r="DP71" i="26"/>
  <c r="DC41" i="26"/>
  <c r="DR41" i="26"/>
  <c r="DB89" i="26"/>
  <c r="DP89" i="26"/>
  <c r="DB50" i="26"/>
  <c r="DP50" i="26"/>
  <c r="DB100" i="26"/>
  <c r="DP100" i="26"/>
  <c r="DB74" i="26"/>
  <c r="DP74" i="26"/>
  <c r="CZ25" i="26"/>
  <c r="DO25" i="26" s="1"/>
  <c r="CZ74" i="26"/>
  <c r="DO74" i="26" s="1"/>
  <c r="CZ48" i="26"/>
  <c r="DO48" i="26" s="1"/>
  <c r="DK20" i="26"/>
  <c r="DV20" i="26"/>
  <c r="DV104" i="26" s="1"/>
  <c r="K13" i="25"/>
  <c r="K14" i="25"/>
  <c r="K15" i="25"/>
  <c r="K16" i="25"/>
  <c r="K17" i="25"/>
  <c r="K18" i="25"/>
  <c r="K19" i="25"/>
  <c r="K20" i="25"/>
  <c r="K21" i="25"/>
  <c r="K22" i="25"/>
  <c r="K23" i="25"/>
  <c r="K12" i="25"/>
  <c r="M19" i="24"/>
  <c r="M20" i="24"/>
  <c r="M21" i="24"/>
  <c r="M22" i="24"/>
  <c r="M23" i="24"/>
  <c r="M24" i="24"/>
  <c r="M25" i="24"/>
  <c r="M26" i="24"/>
  <c r="M27" i="24"/>
  <c r="M28" i="24"/>
  <c r="M29" i="24"/>
  <c r="M30" i="24"/>
  <c r="BF104" i="26" l="1"/>
  <c r="DN50" i="26"/>
  <c r="DM50" i="26" s="1"/>
  <c r="DR104" i="26"/>
  <c r="DC104" i="26"/>
  <c r="DM20" i="26"/>
  <c r="DD20" i="26"/>
  <c r="DD104" i="26" s="1"/>
  <c r="CY104" i="26"/>
  <c r="CZ104" i="26"/>
  <c r="DB104" i="26"/>
  <c r="DP104" i="26"/>
  <c r="DT20" i="26"/>
  <c r="DT104" i="26" s="1"/>
  <c r="DA63" i="26"/>
  <c r="DQ63" i="26" s="1"/>
  <c r="DA41" i="26"/>
  <c r="DQ41" i="26" s="1"/>
  <c r="DA36" i="26"/>
  <c r="DQ36" i="26" s="1"/>
  <c r="DA43" i="26"/>
  <c r="DQ43" i="26" s="1"/>
  <c r="DA83" i="26"/>
  <c r="DQ83" i="26" s="1"/>
  <c r="DA32" i="26"/>
  <c r="DQ32" i="26" s="1"/>
  <c r="DA35" i="26"/>
  <c r="DQ35" i="26" s="1"/>
  <c r="DA62" i="26"/>
  <c r="DQ62" i="26" s="1"/>
  <c r="DA33" i="26"/>
  <c r="DQ33" i="26" s="1"/>
  <c r="DA37" i="26"/>
  <c r="DQ37" i="26" s="1"/>
  <c r="DA48" i="26"/>
  <c r="DQ48" i="26" s="1"/>
  <c r="DA96" i="26"/>
  <c r="DQ96" i="26" s="1"/>
  <c r="DA50" i="26"/>
  <c r="DQ50" i="26" s="1"/>
  <c r="DA26" i="26"/>
  <c r="DQ26" i="26" s="1"/>
  <c r="DA25" i="26"/>
  <c r="DQ25" i="26" s="1"/>
  <c r="DA42" i="26"/>
  <c r="DQ42" i="26" s="1"/>
  <c r="DA21" i="26"/>
  <c r="DQ21" i="26" s="1"/>
  <c r="DA68" i="26"/>
  <c r="DQ68" i="26" s="1"/>
  <c r="DA49" i="26"/>
  <c r="DQ49" i="26" s="1"/>
  <c r="DA100" i="26"/>
  <c r="DQ100" i="26" s="1"/>
  <c r="DA71" i="26"/>
  <c r="DQ71" i="26" s="1"/>
  <c r="DA34" i="26"/>
  <c r="DQ34" i="26" s="1"/>
  <c r="DA56" i="26"/>
  <c r="DQ56" i="26" s="1"/>
  <c r="DA39" i="26"/>
  <c r="DQ39" i="26" s="1"/>
  <c r="DA74" i="26"/>
  <c r="DQ74" i="26" s="1"/>
  <c r="DA81" i="26"/>
  <c r="DQ81" i="26" s="1"/>
  <c r="DA31" i="26"/>
  <c r="DQ31" i="26" s="1"/>
  <c r="DA51" i="26"/>
  <c r="DQ51" i="26" s="1"/>
  <c r="DA87" i="26"/>
  <c r="DQ87" i="26" s="1"/>
  <c r="DA79" i="26"/>
  <c r="DQ79" i="26" s="1"/>
  <c r="DA55" i="26"/>
  <c r="DQ55" i="26" s="1"/>
  <c r="DA45" i="26"/>
  <c r="DQ45" i="26" s="1"/>
  <c r="DA70" i="26"/>
  <c r="DQ70" i="26" s="1"/>
  <c r="DA93" i="26"/>
  <c r="DQ93" i="26" s="1"/>
  <c r="DA101" i="26"/>
  <c r="DQ101" i="26" s="1"/>
  <c r="DA64" i="26"/>
  <c r="DQ64" i="26" s="1"/>
  <c r="DA28" i="26"/>
  <c r="DQ28" i="26" s="1"/>
  <c r="DA27" i="26"/>
  <c r="DQ27" i="26" s="1"/>
  <c r="DA75" i="26"/>
  <c r="DQ75" i="26" s="1"/>
  <c r="DA102" i="26"/>
  <c r="DQ102" i="26" s="1"/>
  <c r="DA52" i="26"/>
  <c r="DQ52" i="26" s="1"/>
  <c r="DA30" i="26"/>
  <c r="DQ30" i="26" s="1"/>
  <c r="DA54" i="26"/>
  <c r="DQ54" i="26" s="1"/>
  <c r="DA29" i="26"/>
  <c r="DQ29" i="26" s="1"/>
  <c r="DA95" i="26"/>
  <c r="DQ95" i="26" s="1"/>
  <c r="DA88" i="26"/>
  <c r="DQ88" i="26" s="1"/>
  <c r="DA103" i="26"/>
  <c r="DQ103" i="26" s="1"/>
  <c r="DA57" i="26"/>
  <c r="DQ57" i="26" s="1"/>
  <c r="DA23" i="26"/>
  <c r="DQ23" i="26" s="1"/>
  <c r="DA24" i="26"/>
  <c r="DQ24" i="26" s="1"/>
  <c r="DA89" i="26"/>
  <c r="DQ89" i="26" s="1"/>
  <c r="DA99" i="26"/>
  <c r="DQ99" i="26" s="1"/>
  <c r="DA61" i="26"/>
  <c r="DQ61" i="26" s="1"/>
  <c r="DA77" i="26"/>
  <c r="DQ77" i="26" s="1"/>
  <c r="DA46" i="26"/>
  <c r="DQ46" i="26" s="1"/>
  <c r="DA67" i="26"/>
  <c r="DQ67" i="26" s="1"/>
  <c r="DA98" i="26"/>
  <c r="DQ98" i="26" s="1"/>
  <c r="DA47" i="26"/>
  <c r="DQ47" i="26" s="1"/>
  <c r="DA94" i="26"/>
  <c r="DQ94" i="26" s="1"/>
  <c r="DA22" i="26"/>
  <c r="DQ22" i="26" s="1"/>
  <c r="DO20" i="26"/>
  <c r="DO104" i="26" s="1"/>
  <c r="DQ20" i="26"/>
  <c r="F36" i="19"/>
  <c r="AA36" i="19" s="1"/>
  <c r="AB36" i="19" s="1"/>
  <c r="AC36" i="19" s="1"/>
  <c r="F37" i="19"/>
  <c r="AA37" i="19" s="1"/>
  <c r="AB37" i="19" s="1"/>
  <c r="AC37" i="19" s="1"/>
  <c r="B37" i="19"/>
  <c r="G37" i="19" l="1"/>
  <c r="H37" i="19" s="1"/>
  <c r="I37" i="19" s="1"/>
  <c r="J37" i="19"/>
  <c r="K37" i="19" s="1"/>
  <c r="L37" i="19" s="1"/>
  <c r="P37" i="19"/>
  <c r="Q37" i="19" s="1"/>
  <c r="R37" i="19" s="1"/>
  <c r="S37" i="19"/>
  <c r="T37" i="19" s="1"/>
  <c r="U37" i="19" s="1"/>
  <c r="W37" i="19"/>
  <c r="Y37" i="19" s="1"/>
  <c r="M37" i="19"/>
  <c r="N37" i="19" s="1"/>
  <c r="O37" i="19" s="1"/>
  <c r="V37" i="19"/>
  <c r="AU37" i="19"/>
  <c r="AD37" i="19"/>
  <c r="AE37" i="19" s="1"/>
  <c r="AV37" i="19"/>
  <c r="AP37" i="19"/>
  <c r="AQ37" i="19"/>
  <c r="AT37" i="19"/>
  <c r="AS37" i="19"/>
  <c r="AR37" i="19"/>
  <c r="Z37" i="19"/>
  <c r="AF37" i="19"/>
  <c r="AG37" i="19" s="1"/>
  <c r="AK37" i="19"/>
  <c r="AO37" i="19" s="1"/>
  <c r="AJ37" i="19"/>
  <c r="AN37" i="19" s="1"/>
  <c r="AI37" i="19"/>
  <c r="AM37" i="19" s="1"/>
  <c r="AH37" i="19"/>
  <c r="AL37" i="19" s="1"/>
  <c r="DQ104" i="26"/>
  <c r="DA104" i="26"/>
  <c r="DN104" i="26"/>
  <c r="DZ104" i="26"/>
  <c r="E46" i="3" l="1"/>
  <c r="C46" i="3"/>
  <c r="E45" i="3"/>
  <c r="C45" i="3"/>
  <c r="E44" i="3"/>
  <c r="C44" i="3"/>
  <c r="E43" i="3"/>
  <c r="C43" i="3"/>
  <c r="E42" i="3"/>
  <c r="C42" i="3"/>
  <c r="E41" i="3"/>
  <c r="C41" i="3"/>
  <c r="E40" i="3"/>
  <c r="C40" i="3"/>
  <c r="E39" i="3"/>
  <c r="C39" i="3"/>
  <c r="E38" i="3"/>
  <c r="C38" i="3"/>
  <c r="E37" i="3"/>
  <c r="C37" i="3"/>
  <c r="E36" i="3"/>
  <c r="C36" i="3"/>
  <c r="E35" i="3"/>
  <c r="C35" i="3"/>
  <c r="E34" i="3"/>
  <c r="C34" i="3"/>
  <c r="E33" i="3"/>
  <c r="C33" i="3"/>
  <c r="E32" i="3"/>
  <c r="C32" i="3"/>
  <c r="E31" i="3"/>
  <c r="C31" i="3"/>
  <c r="C50" i="3"/>
  <c r="C49" i="3"/>
  <c r="C48" i="3"/>
  <c r="C47" i="3"/>
  <c r="G45" i="3"/>
  <c r="M45" i="3"/>
  <c r="G46" i="3"/>
  <c r="M46" i="3"/>
  <c r="E47" i="3"/>
  <c r="G47" i="3"/>
  <c r="M47" i="3"/>
  <c r="E48" i="3"/>
  <c r="G48" i="3"/>
  <c r="M48" i="3"/>
  <c r="E49" i="3"/>
  <c r="G49" i="3"/>
  <c r="M49" i="3"/>
  <c r="F20" i="19" l="1"/>
  <c r="AA20" i="19" s="1"/>
  <c r="AB20" i="19" s="1"/>
  <c r="AC20" i="19" s="1"/>
  <c r="F21" i="19"/>
  <c r="AA21" i="19" s="1"/>
  <c r="AB21" i="19" s="1"/>
  <c r="AC21" i="19" s="1"/>
  <c r="F22" i="19"/>
  <c r="AA22" i="19" s="1"/>
  <c r="AB22" i="19" s="1"/>
  <c r="AC22" i="19" s="1"/>
  <c r="F23" i="19"/>
  <c r="AA23" i="19" s="1"/>
  <c r="AB23" i="19" s="1"/>
  <c r="AC23" i="19" s="1"/>
  <c r="F24" i="19"/>
  <c r="AA24" i="19" s="1"/>
  <c r="AB24" i="19" s="1"/>
  <c r="AC24" i="19" s="1"/>
  <c r="F25" i="19"/>
  <c r="AA25" i="19" s="1"/>
  <c r="AB25" i="19" s="1"/>
  <c r="AC25" i="19" s="1"/>
  <c r="F26" i="19"/>
  <c r="AA26" i="19" s="1"/>
  <c r="AB26" i="19" s="1"/>
  <c r="AC26" i="19" s="1"/>
  <c r="F27" i="19"/>
  <c r="AA27" i="19" s="1"/>
  <c r="AB27" i="19" s="1"/>
  <c r="AC27" i="19" s="1"/>
  <c r="F28" i="19"/>
  <c r="AA28" i="19" s="1"/>
  <c r="AB28" i="19" s="1"/>
  <c r="AC28" i="19" s="1"/>
  <c r="F29" i="19"/>
  <c r="AA29" i="19" s="1"/>
  <c r="AB29" i="19" s="1"/>
  <c r="AC29" i="19" s="1"/>
  <c r="F30" i="19"/>
  <c r="AA30" i="19" s="1"/>
  <c r="AB30" i="19" s="1"/>
  <c r="AC30" i="19" s="1"/>
  <c r="F31" i="19"/>
  <c r="AA31" i="19" s="1"/>
  <c r="AB31" i="19" s="1"/>
  <c r="AC31" i="19" s="1"/>
  <c r="F32" i="19"/>
  <c r="AA32" i="19" s="1"/>
  <c r="AB32" i="19" s="1"/>
  <c r="AC32" i="19" s="1"/>
  <c r="F33" i="19"/>
  <c r="AA33" i="19" s="1"/>
  <c r="AB33" i="19" s="1"/>
  <c r="AC33" i="19" s="1"/>
  <c r="F34" i="19"/>
  <c r="AA34" i="19" s="1"/>
  <c r="AB34" i="19" s="1"/>
  <c r="AC34" i="19" s="1"/>
  <c r="F35" i="19"/>
  <c r="AA35" i="19" s="1"/>
  <c r="AB35" i="19" s="1"/>
  <c r="AC35" i="19" s="1"/>
  <c r="B20" i="19"/>
  <c r="B21" i="19"/>
  <c r="B22" i="19"/>
  <c r="B23" i="19"/>
  <c r="B24" i="19"/>
  <c r="B25" i="19"/>
  <c r="B26" i="19"/>
  <c r="B27" i="19"/>
  <c r="B28" i="19"/>
  <c r="B29" i="19"/>
  <c r="B30" i="19"/>
  <c r="B31" i="19"/>
  <c r="B32" i="19"/>
  <c r="B33" i="19"/>
  <c r="B34" i="19"/>
  <c r="B35" i="19"/>
  <c r="B36" i="19"/>
  <c r="G37" i="3"/>
  <c r="M37" i="3"/>
  <c r="G38" i="3"/>
  <c r="M38" i="3"/>
  <c r="G39" i="3"/>
  <c r="M39" i="3"/>
  <c r="G40" i="3"/>
  <c r="M40" i="3"/>
  <c r="G41" i="3"/>
  <c r="M41" i="3"/>
  <c r="G42" i="3"/>
  <c r="M42" i="3"/>
  <c r="G43" i="3"/>
  <c r="M43" i="3"/>
  <c r="C27" i="3"/>
  <c r="E27" i="3"/>
  <c r="G27" i="3"/>
  <c r="M27" i="3"/>
  <c r="C28" i="3"/>
  <c r="E28" i="3"/>
  <c r="G28" i="3"/>
  <c r="M28" i="3"/>
  <c r="C29" i="3"/>
  <c r="E29" i="3"/>
  <c r="G29" i="3"/>
  <c r="M29" i="3"/>
  <c r="C30" i="3"/>
  <c r="E30" i="3"/>
  <c r="G30" i="3"/>
  <c r="M30" i="3"/>
  <c r="G31" i="3"/>
  <c r="M31" i="3"/>
  <c r="G32" i="3"/>
  <c r="M32" i="3"/>
  <c r="G33" i="3"/>
  <c r="M33" i="3"/>
  <c r="G34" i="3"/>
  <c r="M34" i="3"/>
  <c r="G35" i="3"/>
  <c r="M35" i="3"/>
  <c r="S24" i="19" l="1"/>
  <c r="T24" i="19" s="1"/>
  <c r="U24" i="19" s="1"/>
  <c r="W24" i="19"/>
  <c r="Y24" i="19" s="1"/>
  <c r="M24" i="19"/>
  <c r="N24" i="19" s="1"/>
  <c r="O24" i="19" s="1"/>
  <c r="G24" i="19"/>
  <c r="H24" i="19" s="1"/>
  <c r="I24" i="19" s="1"/>
  <c r="P24" i="19"/>
  <c r="Q24" i="19" s="1"/>
  <c r="R24" i="19" s="1"/>
  <c r="J24" i="19"/>
  <c r="K24" i="19" s="1"/>
  <c r="L24" i="19" s="1"/>
  <c r="V24" i="19"/>
  <c r="J34" i="19"/>
  <c r="K34" i="19" s="1"/>
  <c r="L34" i="19" s="1"/>
  <c r="S34" i="19"/>
  <c r="T34" i="19" s="1"/>
  <c r="U34" i="19" s="1"/>
  <c r="W34" i="19"/>
  <c r="Y34" i="19" s="1"/>
  <c r="M34" i="19"/>
  <c r="N34" i="19" s="1"/>
  <c r="O34" i="19" s="1"/>
  <c r="G34" i="19"/>
  <c r="H34" i="19" s="1"/>
  <c r="I34" i="19" s="1"/>
  <c r="P34" i="19"/>
  <c r="Q34" i="19" s="1"/>
  <c r="R34" i="19" s="1"/>
  <c r="V34" i="19"/>
  <c r="S32" i="19"/>
  <c r="T32" i="19" s="1"/>
  <c r="U32" i="19" s="1"/>
  <c r="W32" i="19"/>
  <c r="Y32" i="19" s="1"/>
  <c r="P32" i="19"/>
  <c r="Q32" i="19" s="1"/>
  <c r="R32" i="19" s="1"/>
  <c r="M32" i="19"/>
  <c r="N32" i="19" s="1"/>
  <c r="O32" i="19" s="1"/>
  <c r="G32" i="19"/>
  <c r="H32" i="19" s="1"/>
  <c r="I32" i="19" s="1"/>
  <c r="J32" i="19"/>
  <c r="K32" i="19" s="1"/>
  <c r="L32" i="19" s="1"/>
  <c r="V32" i="19"/>
  <c r="W31" i="19"/>
  <c r="Y31" i="19" s="1"/>
  <c r="M31" i="19"/>
  <c r="N31" i="19" s="1"/>
  <c r="O31" i="19" s="1"/>
  <c r="P31" i="19"/>
  <c r="Q31" i="19" s="1"/>
  <c r="R31" i="19" s="1"/>
  <c r="G31" i="19"/>
  <c r="H31" i="19" s="1"/>
  <c r="I31" i="19" s="1"/>
  <c r="J31" i="19"/>
  <c r="K31" i="19" s="1"/>
  <c r="L31" i="19" s="1"/>
  <c r="S31" i="19"/>
  <c r="T31" i="19" s="1"/>
  <c r="U31" i="19" s="1"/>
  <c r="V31" i="19"/>
  <c r="W23" i="19"/>
  <c r="Y23" i="19" s="1"/>
  <c r="P23" i="19"/>
  <c r="Q23" i="19" s="1"/>
  <c r="R23" i="19" s="1"/>
  <c r="M23" i="19"/>
  <c r="N23" i="19" s="1"/>
  <c r="O23" i="19" s="1"/>
  <c r="G23" i="19"/>
  <c r="H23" i="19" s="1"/>
  <c r="I23" i="19" s="1"/>
  <c r="J23" i="19"/>
  <c r="K23" i="19" s="1"/>
  <c r="L23" i="19" s="1"/>
  <c r="S23" i="19"/>
  <c r="T23" i="19" s="1"/>
  <c r="U23" i="19" s="1"/>
  <c r="V23" i="19"/>
  <c r="P35" i="19"/>
  <c r="Q35" i="19" s="1"/>
  <c r="R35" i="19" s="1"/>
  <c r="W35" i="19"/>
  <c r="Y35" i="19" s="1"/>
  <c r="M35" i="19"/>
  <c r="N35" i="19" s="1"/>
  <c r="O35" i="19" s="1"/>
  <c r="J35" i="19"/>
  <c r="K35" i="19" s="1"/>
  <c r="L35" i="19" s="1"/>
  <c r="S35" i="19"/>
  <c r="T35" i="19" s="1"/>
  <c r="U35" i="19" s="1"/>
  <c r="G35" i="19"/>
  <c r="H35" i="19" s="1"/>
  <c r="I35" i="19" s="1"/>
  <c r="V35" i="19"/>
  <c r="J26" i="19"/>
  <c r="K26" i="19" s="1"/>
  <c r="L26" i="19" s="1"/>
  <c r="S26" i="19"/>
  <c r="T26" i="19" s="1"/>
  <c r="U26" i="19" s="1"/>
  <c r="M26" i="19"/>
  <c r="N26" i="19" s="1"/>
  <c r="O26" i="19" s="1"/>
  <c r="W26" i="19"/>
  <c r="Y26" i="19" s="1"/>
  <c r="G26" i="19"/>
  <c r="H26" i="19" s="1"/>
  <c r="I26" i="19" s="1"/>
  <c r="P26" i="19"/>
  <c r="Q26" i="19" s="1"/>
  <c r="R26" i="19" s="1"/>
  <c r="V26" i="19"/>
  <c r="J25" i="19"/>
  <c r="K25" i="19" s="1"/>
  <c r="L25" i="19" s="1"/>
  <c r="G25" i="19"/>
  <c r="H25" i="19" s="1"/>
  <c r="I25" i="19" s="1"/>
  <c r="S25" i="19"/>
  <c r="T25" i="19" s="1"/>
  <c r="U25" i="19" s="1"/>
  <c r="W25" i="19"/>
  <c r="Y25" i="19" s="1"/>
  <c r="M25" i="19"/>
  <c r="N25" i="19" s="1"/>
  <c r="O25" i="19" s="1"/>
  <c r="P25" i="19"/>
  <c r="Q25" i="19" s="1"/>
  <c r="R25" i="19" s="1"/>
  <c r="V25" i="19"/>
  <c r="M30" i="19"/>
  <c r="N30" i="19" s="1"/>
  <c r="O30" i="19" s="1"/>
  <c r="W30" i="19"/>
  <c r="Y30" i="19" s="1"/>
  <c r="G30" i="19"/>
  <c r="H30" i="19" s="1"/>
  <c r="I30" i="19" s="1"/>
  <c r="J30" i="19"/>
  <c r="K30" i="19" s="1"/>
  <c r="L30" i="19" s="1"/>
  <c r="P30" i="19"/>
  <c r="Q30" i="19" s="1"/>
  <c r="R30" i="19" s="1"/>
  <c r="S30" i="19"/>
  <c r="T30" i="19" s="1"/>
  <c r="U30" i="19" s="1"/>
  <c r="V30" i="19"/>
  <c r="M22" i="19"/>
  <c r="N22" i="19" s="1"/>
  <c r="O22" i="19" s="1"/>
  <c r="J22" i="19"/>
  <c r="K22" i="19" s="1"/>
  <c r="L22" i="19" s="1"/>
  <c r="W22" i="19"/>
  <c r="Y22" i="19" s="1"/>
  <c r="G22" i="19"/>
  <c r="H22" i="19" s="1"/>
  <c r="I22" i="19" s="1"/>
  <c r="P22" i="19"/>
  <c r="Q22" i="19" s="1"/>
  <c r="R22" i="19" s="1"/>
  <c r="S22" i="19"/>
  <c r="T22" i="19" s="1"/>
  <c r="U22" i="19" s="1"/>
  <c r="V22" i="19"/>
  <c r="J33" i="19"/>
  <c r="K33" i="19" s="1"/>
  <c r="L33" i="19" s="1"/>
  <c r="S33" i="19"/>
  <c r="T33" i="19" s="1"/>
  <c r="U33" i="19" s="1"/>
  <c r="W33" i="19"/>
  <c r="Y33" i="19" s="1"/>
  <c r="G33" i="19"/>
  <c r="H33" i="19" s="1"/>
  <c r="I33" i="19" s="1"/>
  <c r="M33" i="19"/>
  <c r="N33" i="19" s="1"/>
  <c r="O33" i="19" s="1"/>
  <c r="P33" i="19"/>
  <c r="Q33" i="19" s="1"/>
  <c r="R33" i="19" s="1"/>
  <c r="V33" i="19"/>
  <c r="G29" i="19"/>
  <c r="H29" i="19" s="1"/>
  <c r="I29" i="19" s="1"/>
  <c r="S29" i="19"/>
  <c r="T29" i="19" s="1"/>
  <c r="U29" i="19" s="1"/>
  <c r="P29" i="19"/>
  <c r="Q29" i="19" s="1"/>
  <c r="R29" i="19" s="1"/>
  <c r="J29" i="19"/>
  <c r="K29" i="19" s="1"/>
  <c r="L29" i="19" s="1"/>
  <c r="W29" i="19"/>
  <c r="Y29" i="19" s="1"/>
  <c r="M29" i="19"/>
  <c r="N29" i="19" s="1"/>
  <c r="O29" i="19" s="1"/>
  <c r="V29" i="19"/>
  <c r="J21" i="19"/>
  <c r="K21" i="19" s="1"/>
  <c r="L21" i="19" s="1"/>
  <c r="G21" i="19"/>
  <c r="H21" i="19" s="1"/>
  <c r="I21" i="19" s="1"/>
  <c r="P21" i="19"/>
  <c r="Q21" i="19" s="1"/>
  <c r="R21" i="19" s="1"/>
  <c r="S21" i="19"/>
  <c r="T21" i="19" s="1"/>
  <c r="U21" i="19" s="1"/>
  <c r="W21" i="19"/>
  <c r="Y21" i="19" s="1"/>
  <c r="M21" i="19"/>
  <c r="N21" i="19" s="1"/>
  <c r="O21" i="19" s="1"/>
  <c r="V21" i="19"/>
  <c r="P27" i="19"/>
  <c r="Q27" i="19" s="1"/>
  <c r="R27" i="19" s="1"/>
  <c r="W27" i="19"/>
  <c r="Y27" i="19" s="1"/>
  <c r="J27" i="19"/>
  <c r="K27" i="19" s="1"/>
  <c r="L27" i="19" s="1"/>
  <c r="M27" i="19"/>
  <c r="N27" i="19" s="1"/>
  <c r="O27" i="19" s="1"/>
  <c r="S27" i="19"/>
  <c r="T27" i="19" s="1"/>
  <c r="U27" i="19" s="1"/>
  <c r="G27" i="19"/>
  <c r="H27" i="19" s="1"/>
  <c r="I27" i="19" s="1"/>
  <c r="V27" i="19"/>
  <c r="G36" i="19"/>
  <c r="H36" i="19" s="1"/>
  <c r="I36" i="19" s="1"/>
  <c r="P36" i="19"/>
  <c r="Q36" i="19" s="1"/>
  <c r="R36" i="19" s="1"/>
  <c r="S36" i="19"/>
  <c r="T36" i="19" s="1"/>
  <c r="U36" i="19" s="1"/>
  <c r="J36" i="19"/>
  <c r="K36" i="19" s="1"/>
  <c r="L36" i="19" s="1"/>
  <c r="W36" i="19"/>
  <c r="Y36" i="19" s="1"/>
  <c r="M36" i="19"/>
  <c r="N36" i="19" s="1"/>
  <c r="O36" i="19" s="1"/>
  <c r="V36" i="19"/>
  <c r="G28" i="19"/>
  <c r="H28" i="19" s="1"/>
  <c r="I28" i="19" s="1"/>
  <c r="S28" i="19"/>
  <c r="T28" i="19" s="1"/>
  <c r="U28" i="19" s="1"/>
  <c r="W28" i="19"/>
  <c r="Y28" i="19" s="1"/>
  <c r="P28" i="19"/>
  <c r="Q28" i="19" s="1"/>
  <c r="R28" i="19" s="1"/>
  <c r="J28" i="19"/>
  <c r="K28" i="19" s="1"/>
  <c r="L28" i="19" s="1"/>
  <c r="M28" i="19"/>
  <c r="N28" i="19" s="1"/>
  <c r="O28" i="19" s="1"/>
  <c r="V28" i="19"/>
  <c r="G20" i="19"/>
  <c r="H20" i="19" s="1"/>
  <c r="I20" i="19" s="1"/>
  <c r="P20" i="19"/>
  <c r="Q20" i="19" s="1"/>
  <c r="R20" i="19" s="1"/>
  <c r="W20" i="19"/>
  <c r="Y20" i="19" s="1"/>
  <c r="S20" i="19"/>
  <c r="T20" i="19" s="1"/>
  <c r="U20" i="19" s="1"/>
  <c r="J20" i="19"/>
  <c r="K20" i="19" s="1"/>
  <c r="L20" i="19" s="1"/>
  <c r="M20" i="19"/>
  <c r="N20" i="19" s="1"/>
  <c r="O20" i="19" s="1"/>
  <c r="V20" i="19"/>
  <c r="AP34" i="19"/>
  <c r="AU34" i="19"/>
  <c r="AD34" i="19"/>
  <c r="AE34" i="19" s="1"/>
  <c r="AV34" i="19"/>
  <c r="AP26" i="19"/>
  <c r="AV26" i="19"/>
  <c r="AU26" i="19"/>
  <c r="AD26" i="19"/>
  <c r="AE26" i="19" s="1"/>
  <c r="AP33" i="19"/>
  <c r="AU33" i="19"/>
  <c r="AD33" i="19"/>
  <c r="AE33" i="19" s="1"/>
  <c r="AV33" i="19"/>
  <c r="AU25" i="19"/>
  <c r="AD25" i="19"/>
  <c r="AE25" i="19" s="1"/>
  <c r="AV25" i="19"/>
  <c r="AP25" i="19"/>
  <c r="AP27" i="19"/>
  <c r="AD27" i="19"/>
  <c r="AE27" i="19" s="1"/>
  <c r="AU27" i="19"/>
  <c r="AV27" i="19"/>
  <c r="AU32" i="19"/>
  <c r="AD32" i="19"/>
  <c r="AE32" i="19" s="1"/>
  <c r="AV32" i="19"/>
  <c r="AP32" i="19"/>
  <c r="AU24" i="19"/>
  <c r="AD24" i="19"/>
  <c r="AE24" i="19" s="1"/>
  <c r="AV24" i="19"/>
  <c r="AP24" i="19"/>
  <c r="AU31" i="19"/>
  <c r="AD31" i="19"/>
  <c r="AE31" i="19" s="1"/>
  <c r="AV31" i="19"/>
  <c r="AP31" i="19"/>
  <c r="AU23" i="19"/>
  <c r="AD23" i="19"/>
  <c r="AE23" i="19" s="1"/>
  <c r="AV23" i="19"/>
  <c r="AP23" i="19"/>
  <c r="AV30" i="19"/>
  <c r="AP30" i="19"/>
  <c r="AU30" i="19"/>
  <c r="AD30" i="19"/>
  <c r="AE30" i="19" s="1"/>
  <c r="AV22" i="19"/>
  <c r="AP22" i="19"/>
  <c r="AU22" i="19"/>
  <c r="AD22" i="19"/>
  <c r="AE22" i="19" s="1"/>
  <c r="AP35" i="19"/>
  <c r="AV35" i="19"/>
  <c r="AD35" i="19"/>
  <c r="AE35" i="19" s="1"/>
  <c r="AU35" i="19"/>
  <c r="AP29" i="19"/>
  <c r="AU29" i="19"/>
  <c r="AD29" i="19"/>
  <c r="AE29" i="19" s="1"/>
  <c r="AV29" i="19"/>
  <c r="AU21" i="19"/>
  <c r="AD21" i="19"/>
  <c r="AE21" i="19" s="1"/>
  <c r="AV21" i="19"/>
  <c r="AP21" i="19"/>
  <c r="AU36" i="19"/>
  <c r="AD36" i="19"/>
  <c r="AE36" i="19" s="1"/>
  <c r="AP36" i="19"/>
  <c r="AV36" i="19"/>
  <c r="AU28" i="19"/>
  <c r="AP28" i="19"/>
  <c r="AV28" i="19"/>
  <c r="AD28" i="19"/>
  <c r="AE28" i="19" s="1"/>
  <c r="AU20" i="19"/>
  <c r="AP20" i="19"/>
  <c r="AD20" i="19"/>
  <c r="AE20" i="19" s="1"/>
  <c r="AV20" i="19"/>
  <c r="AT28" i="19"/>
  <c r="AS28" i="19"/>
  <c r="AR28" i="19"/>
  <c r="AQ28" i="19"/>
  <c r="AT27" i="19"/>
  <c r="AS27" i="19"/>
  <c r="AR27" i="19"/>
  <c r="AQ27" i="19"/>
  <c r="AT34" i="19"/>
  <c r="AS34" i="19"/>
  <c r="AR34" i="19"/>
  <c r="AQ34" i="19"/>
  <c r="AT26" i="19"/>
  <c r="AS26" i="19"/>
  <c r="AR26" i="19"/>
  <c r="AQ26" i="19"/>
  <c r="AT36" i="19"/>
  <c r="AS36" i="19"/>
  <c r="AR36" i="19"/>
  <c r="AQ36" i="19"/>
  <c r="AT25" i="19"/>
  <c r="AS25" i="19"/>
  <c r="AR25" i="19"/>
  <c r="AQ25" i="19"/>
  <c r="AT20" i="19"/>
  <c r="AS20" i="19"/>
  <c r="AR20" i="19"/>
  <c r="AQ20" i="19"/>
  <c r="AT35" i="19"/>
  <c r="AS35" i="19"/>
  <c r="AR35" i="19"/>
  <c r="AQ35" i="19"/>
  <c r="AT32" i="19"/>
  <c r="AS32" i="19"/>
  <c r="AR32" i="19"/>
  <c r="AQ32" i="19"/>
  <c r="AT24" i="19"/>
  <c r="AS24" i="19"/>
  <c r="AR24" i="19"/>
  <c r="AQ24" i="19"/>
  <c r="AT31" i="19"/>
  <c r="AS31" i="19"/>
  <c r="AR31" i="19"/>
  <c r="AQ31" i="19"/>
  <c r="AT23" i="19"/>
  <c r="AS23" i="19"/>
  <c r="AR23" i="19"/>
  <c r="AQ23" i="19"/>
  <c r="AT30" i="19"/>
  <c r="AR30" i="19"/>
  <c r="AQ30" i="19"/>
  <c r="AS30" i="19"/>
  <c r="AT22" i="19"/>
  <c r="AS22" i="19"/>
  <c r="AQ22" i="19"/>
  <c r="AR22" i="19"/>
  <c r="AS33" i="19"/>
  <c r="AR33" i="19"/>
  <c r="AQ33" i="19"/>
  <c r="AT33" i="19"/>
  <c r="AS29" i="19"/>
  <c r="AR29" i="19"/>
  <c r="AT29" i="19"/>
  <c r="AQ29" i="19"/>
  <c r="AT21" i="19"/>
  <c r="AS21" i="19"/>
  <c r="AR21" i="19"/>
  <c r="AQ21" i="19"/>
  <c r="AF27" i="19"/>
  <c r="AG27" i="19" s="1"/>
  <c r="AK27" i="19"/>
  <c r="AO27" i="19" s="1"/>
  <c r="AJ27" i="19"/>
  <c r="AN27" i="19" s="1"/>
  <c r="AI27" i="19"/>
  <c r="AM27" i="19" s="1"/>
  <c r="AH27" i="19"/>
  <c r="AL27" i="19" s="1"/>
  <c r="Z27" i="19"/>
  <c r="AJ34" i="19"/>
  <c r="AN34" i="19" s="1"/>
  <c r="AI34" i="19"/>
  <c r="AM34" i="19" s="1"/>
  <c r="AH34" i="19"/>
  <c r="AL34" i="19" s="1"/>
  <c r="AF34" i="19"/>
  <c r="AG34" i="19" s="1"/>
  <c r="Z34" i="19"/>
  <c r="AK34" i="19"/>
  <c r="AO34" i="19" s="1"/>
  <c r="AJ26" i="19"/>
  <c r="AN26" i="19" s="1"/>
  <c r="AI26" i="19"/>
  <c r="AM26" i="19" s="1"/>
  <c r="AH26" i="19"/>
  <c r="AL26" i="19" s="1"/>
  <c r="Z26" i="19"/>
  <c r="AF26" i="19"/>
  <c r="AG26" i="19" s="1"/>
  <c r="AK26" i="19"/>
  <c r="AO26" i="19" s="1"/>
  <c r="Z28" i="19"/>
  <c r="AF28" i="19"/>
  <c r="AG28" i="19" s="1"/>
  <c r="AK28" i="19"/>
  <c r="AO28" i="19" s="1"/>
  <c r="AJ28" i="19"/>
  <c r="AN28" i="19" s="1"/>
  <c r="AI28" i="19"/>
  <c r="AM28" i="19" s="1"/>
  <c r="AH28" i="19"/>
  <c r="AL28" i="19" s="1"/>
  <c r="Z20" i="19"/>
  <c r="AF20" i="19"/>
  <c r="AG20" i="19" s="1"/>
  <c r="AK20" i="19"/>
  <c r="AO20" i="19" s="1"/>
  <c r="AJ20" i="19"/>
  <c r="AN20" i="19" s="1"/>
  <c r="AI20" i="19"/>
  <c r="AM20" i="19" s="1"/>
  <c r="AH20" i="19"/>
  <c r="AL20" i="19" s="1"/>
  <c r="AF35" i="19"/>
  <c r="AG35" i="19" s="1"/>
  <c r="AK35" i="19"/>
  <c r="AO35" i="19" s="1"/>
  <c r="AJ35" i="19"/>
  <c r="AN35" i="19" s="1"/>
  <c r="AI35" i="19"/>
  <c r="AM35" i="19" s="1"/>
  <c r="AH35" i="19"/>
  <c r="AL35" i="19" s="1"/>
  <c r="Z35" i="19"/>
  <c r="AJ25" i="19"/>
  <c r="AN25" i="19" s="1"/>
  <c r="AH25" i="19"/>
  <c r="AL25" i="19" s="1"/>
  <c r="AK25" i="19"/>
  <c r="AO25" i="19" s="1"/>
  <c r="AI25" i="19"/>
  <c r="AM25" i="19" s="1"/>
  <c r="Z25" i="19"/>
  <c r="AF25" i="19"/>
  <c r="AG25" i="19" s="1"/>
  <c r="Z31" i="19"/>
  <c r="AF31" i="19"/>
  <c r="AG31" i="19" s="1"/>
  <c r="AK31" i="19"/>
  <c r="AO31" i="19" s="1"/>
  <c r="AJ31" i="19"/>
  <c r="AN31" i="19" s="1"/>
  <c r="AI31" i="19"/>
  <c r="AM31" i="19" s="1"/>
  <c r="AH31" i="19"/>
  <c r="AL31" i="19" s="1"/>
  <c r="Z36" i="19"/>
  <c r="AF36" i="19"/>
  <c r="AG36" i="19" s="1"/>
  <c r="AK36" i="19"/>
  <c r="AO36" i="19" s="1"/>
  <c r="AJ36" i="19"/>
  <c r="AN36" i="19" s="1"/>
  <c r="AI36" i="19"/>
  <c r="AM36" i="19" s="1"/>
  <c r="AH36" i="19"/>
  <c r="AL36" i="19" s="1"/>
  <c r="AF33" i="19"/>
  <c r="AG33" i="19" s="1"/>
  <c r="AJ33" i="19"/>
  <c r="AN33" i="19" s="1"/>
  <c r="Z33" i="19"/>
  <c r="AK33" i="19"/>
  <c r="AO33" i="19" s="1"/>
  <c r="AI33" i="19"/>
  <c r="AM33" i="19" s="1"/>
  <c r="AH33" i="19"/>
  <c r="AL33" i="19" s="1"/>
  <c r="Z32" i="19"/>
  <c r="AI32" i="19"/>
  <c r="AM32" i="19" s="1"/>
  <c r="AH32" i="19"/>
  <c r="AL32" i="19" s="1"/>
  <c r="AF32" i="19"/>
  <c r="AG32" i="19" s="1"/>
  <c r="AK32" i="19"/>
  <c r="AO32" i="19" s="1"/>
  <c r="AJ32" i="19"/>
  <c r="AN32" i="19" s="1"/>
  <c r="AH24" i="19"/>
  <c r="AL24" i="19" s="1"/>
  <c r="Z24" i="19"/>
  <c r="AJ24" i="19"/>
  <c r="AN24" i="19" s="1"/>
  <c r="AF24" i="19"/>
  <c r="AG24" i="19" s="1"/>
  <c r="AK24" i="19"/>
  <c r="AO24" i="19" s="1"/>
  <c r="AI24" i="19"/>
  <c r="AM24" i="19" s="1"/>
  <c r="Z23" i="19"/>
  <c r="AF23" i="19"/>
  <c r="AG23" i="19" s="1"/>
  <c r="AK23" i="19"/>
  <c r="AO23" i="19" s="1"/>
  <c r="AJ23" i="19"/>
  <c r="AN23" i="19" s="1"/>
  <c r="AI23" i="19"/>
  <c r="AM23" i="19" s="1"/>
  <c r="AH23" i="19"/>
  <c r="AL23" i="19" s="1"/>
  <c r="Z30" i="19"/>
  <c r="AF30" i="19"/>
  <c r="AG30" i="19" s="1"/>
  <c r="AK30" i="19"/>
  <c r="AO30" i="19" s="1"/>
  <c r="AJ30" i="19"/>
  <c r="AN30" i="19" s="1"/>
  <c r="AI30" i="19"/>
  <c r="AM30" i="19" s="1"/>
  <c r="AH30" i="19"/>
  <c r="AL30" i="19" s="1"/>
  <c r="Z22" i="19"/>
  <c r="AF22" i="19"/>
  <c r="AG22" i="19" s="1"/>
  <c r="AK22" i="19"/>
  <c r="AO22" i="19" s="1"/>
  <c r="AJ22" i="19"/>
  <c r="AN22" i="19" s="1"/>
  <c r="AI22" i="19"/>
  <c r="AM22" i="19" s="1"/>
  <c r="AH22" i="19"/>
  <c r="AL22" i="19" s="1"/>
  <c r="Z29" i="19"/>
  <c r="AF29" i="19"/>
  <c r="AG29" i="19" s="1"/>
  <c r="AK29" i="19"/>
  <c r="AO29" i="19" s="1"/>
  <c r="AJ29" i="19"/>
  <c r="AN29" i="19" s="1"/>
  <c r="AI29" i="19"/>
  <c r="AM29" i="19" s="1"/>
  <c r="AH29" i="19"/>
  <c r="AL29" i="19" s="1"/>
  <c r="Z21" i="19"/>
  <c r="AF21" i="19"/>
  <c r="AG21" i="19" s="1"/>
  <c r="AK21" i="19"/>
  <c r="AO21" i="19" s="1"/>
  <c r="AJ21" i="19"/>
  <c r="AN21" i="19" s="1"/>
  <c r="AI21" i="19"/>
  <c r="AM21" i="19" s="1"/>
  <c r="AH21" i="19"/>
  <c r="AL21" i="19" s="1"/>
  <c r="B12" i="19" l="1"/>
  <c r="V12" i="19" s="1"/>
  <c r="F12" i="19"/>
  <c r="AA12" i="19" s="1"/>
  <c r="AB12" i="19" s="1"/>
  <c r="AC12" i="19" s="1"/>
  <c r="B13" i="19"/>
  <c r="F13" i="19"/>
  <c r="AA13" i="19" s="1"/>
  <c r="AB13" i="19" s="1"/>
  <c r="AC13" i="19" s="1"/>
  <c r="B14" i="19"/>
  <c r="V14" i="19" s="1"/>
  <c r="F14" i="19"/>
  <c r="AA14" i="19" s="1"/>
  <c r="AB14" i="19" s="1"/>
  <c r="AC14" i="19" s="1"/>
  <c r="B15" i="19"/>
  <c r="F15" i="19"/>
  <c r="AA15" i="19" s="1"/>
  <c r="AB15" i="19" s="1"/>
  <c r="AC15" i="19" s="1"/>
  <c r="B16" i="19"/>
  <c r="F16" i="19"/>
  <c r="AA16" i="19" s="1"/>
  <c r="AB16" i="19" s="1"/>
  <c r="AC16" i="19" s="1"/>
  <c r="B17" i="19"/>
  <c r="F17" i="19"/>
  <c r="AA17" i="19" s="1"/>
  <c r="AB17" i="19" s="1"/>
  <c r="AC17" i="19" s="1"/>
  <c r="B18" i="19"/>
  <c r="F18" i="19"/>
  <c r="AA18" i="19" s="1"/>
  <c r="AB18" i="19" s="1"/>
  <c r="AC18" i="19" s="1"/>
  <c r="B19" i="19"/>
  <c r="F19" i="19"/>
  <c r="AA19" i="19" s="1"/>
  <c r="AB19" i="19" s="1"/>
  <c r="AC19" i="19" s="1"/>
  <c r="I12" i="25"/>
  <c r="J12" i="25"/>
  <c r="L12" i="25"/>
  <c r="I13" i="25"/>
  <c r="J13" i="25"/>
  <c r="L13" i="25"/>
  <c r="I14" i="25"/>
  <c r="J14" i="25"/>
  <c r="L14" i="25"/>
  <c r="I15" i="25"/>
  <c r="J15" i="25"/>
  <c r="L15" i="25"/>
  <c r="I16" i="25"/>
  <c r="J16" i="25"/>
  <c r="L16" i="25"/>
  <c r="I17" i="25"/>
  <c r="J17" i="25"/>
  <c r="L17" i="25"/>
  <c r="I18" i="25"/>
  <c r="J18" i="25"/>
  <c r="L18" i="25"/>
  <c r="I19" i="25"/>
  <c r="J19" i="25"/>
  <c r="L19" i="25"/>
  <c r="I20" i="25"/>
  <c r="J20" i="25"/>
  <c r="L20" i="25"/>
  <c r="I21" i="25"/>
  <c r="J21" i="25"/>
  <c r="L21" i="25"/>
  <c r="I22" i="25"/>
  <c r="J22" i="25"/>
  <c r="L22" i="25"/>
  <c r="I23" i="25"/>
  <c r="J23" i="25"/>
  <c r="L23" i="25"/>
  <c r="B12" i="25"/>
  <c r="C12" i="25"/>
  <c r="B13" i="25"/>
  <c r="C13" i="25"/>
  <c r="B14" i="25"/>
  <c r="C14" i="25"/>
  <c r="B15" i="25"/>
  <c r="C15" i="25"/>
  <c r="B16" i="25"/>
  <c r="C16" i="25"/>
  <c r="B17" i="25"/>
  <c r="C17" i="25"/>
  <c r="B18" i="25"/>
  <c r="C18" i="25"/>
  <c r="B19" i="25"/>
  <c r="C19" i="25"/>
  <c r="B20" i="25"/>
  <c r="C20" i="25"/>
  <c r="B21" i="25"/>
  <c r="C21" i="25"/>
  <c r="B22" i="25"/>
  <c r="C22" i="25"/>
  <c r="B23" i="25"/>
  <c r="C23" i="25"/>
  <c r="M19" i="3"/>
  <c r="G19" i="3"/>
  <c r="E19" i="3"/>
  <c r="C19" i="3"/>
  <c r="C16" i="4"/>
  <c r="D7" i="25"/>
  <c r="D5" i="25"/>
  <c r="D4" i="25"/>
  <c r="D3" i="25"/>
  <c r="D1" i="25"/>
  <c r="K19" i="24"/>
  <c r="O19" i="24"/>
  <c r="K20" i="24"/>
  <c r="O20" i="24"/>
  <c r="K21" i="24"/>
  <c r="O21" i="24"/>
  <c r="K22" i="24"/>
  <c r="O22" i="24"/>
  <c r="K23" i="24"/>
  <c r="O23" i="24"/>
  <c r="K24" i="24"/>
  <c r="O24" i="24"/>
  <c r="K25" i="24"/>
  <c r="O25" i="24"/>
  <c r="K26" i="24"/>
  <c r="O26" i="24"/>
  <c r="K27" i="24"/>
  <c r="O27" i="24"/>
  <c r="K28" i="24"/>
  <c r="O28" i="24"/>
  <c r="K29" i="24"/>
  <c r="O29" i="24"/>
  <c r="K30" i="24"/>
  <c r="O30" i="24"/>
  <c r="I30" i="24"/>
  <c r="I29" i="24"/>
  <c r="I28" i="24"/>
  <c r="I27" i="24"/>
  <c r="I26" i="24"/>
  <c r="I25" i="24"/>
  <c r="I24" i="24"/>
  <c r="I23" i="24"/>
  <c r="I22" i="24"/>
  <c r="I21" i="24"/>
  <c r="I20" i="24"/>
  <c r="I19" i="24"/>
  <c r="C19" i="24"/>
  <c r="E19" i="24"/>
  <c r="G19" i="24"/>
  <c r="C20" i="24"/>
  <c r="E20" i="24"/>
  <c r="G20" i="24"/>
  <c r="C21" i="24"/>
  <c r="E21" i="24"/>
  <c r="G21" i="24"/>
  <c r="C22" i="24"/>
  <c r="E22" i="24"/>
  <c r="G22" i="24"/>
  <c r="C23" i="24"/>
  <c r="E23" i="24"/>
  <c r="G23" i="24"/>
  <c r="C24" i="24"/>
  <c r="E24" i="24"/>
  <c r="G24" i="24"/>
  <c r="C25" i="24"/>
  <c r="E25" i="24"/>
  <c r="G25" i="24"/>
  <c r="C26" i="24"/>
  <c r="E26" i="24"/>
  <c r="G26" i="24"/>
  <c r="C27" i="24"/>
  <c r="E27" i="24"/>
  <c r="G27" i="24"/>
  <c r="C28" i="24"/>
  <c r="E28" i="24"/>
  <c r="G28" i="24"/>
  <c r="C29" i="24"/>
  <c r="E29" i="24"/>
  <c r="G29" i="24"/>
  <c r="C30" i="24"/>
  <c r="E30" i="24"/>
  <c r="G30" i="24"/>
  <c r="B8" i="24"/>
  <c r="B5" i="24"/>
  <c r="B4" i="24"/>
  <c r="B3" i="24"/>
  <c r="B1" i="24"/>
  <c r="C11" i="4"/>
  <c r="C17" i="4"/>
  <c r="C18" i="4"/>
  <c r="B8" i="22"/>
  <c r="B5" i="22"/>
  <c r="B4" i="22"/>
  <c r="B3" i="22"/>
  <c r="B1" i="22"/>
  <c r="G44" i="3"/>
  <c r="M44" i="3"/>
  <c r="E50" i="3"/>
  <c r="G50" i="3"/>
  <c r="M50" i="3"/>
  <c r="M51" i="3"/>
  <c r="M36" i="3"/>
  <c r="M26" i="3"/>
  <c r="M25" i="3"/>
  <c r="M24" i="3"/>
  <c r="M23" i="3"/>
  <c r="M22" i="3"/>
  <c r="M21" i="3"/>
  <c r="M20" i="3"/>
  <c r="C20" i="3"/>
  <c r="C21" i="3"/>
  <c r="C22" i="3"/>
  <c r="C23" i="3"/>
  <c r="C24" i="3"/>
  <c r="C25" i="3"/>
  <c r="C26" i="3"/>
  <c r="C51" i="3"/>
  <c r="E20" i="3"/>
  <c r="E21" i="3"/>
  <c r="E22" i="3"/>
  <c r="E23" i="3"/>
  <c r="E24" i="3"/>
  <c r="E25" i="3"/>
  <c r="E26" i="3"/>
  <c r="E51" i="3"/>
  <c r="G20" i="3"/>
  <c r="G21" i="3"/>
  <c r="G22" i="3"/>
  <c r="G23" i="3"/>
  <c r="G24" i="3"/>
  <c r="G25" i="3"/>
  <c r="G26" i="3"/>
  <c r="G36" i="3"/>
  <c r="G51" i="3"/>
  <c r="D36" i="2"/>
  <c r="D30" i="2"/>
  <c r="D31" i="2"/>
  <c r="D32" i="2"/>
  <c r="D35" i="2"/>
  <c r="D28" i="2"/>
  <c r="C11" i="5"/>
  <c r="B5" i="5"/>
  <c r="B5" i="4"/>
  <c r="C5" i="3"/>
  <c r="C5" i="2"/>
  <c r="B8" i="5"/>
  <c r="B4" i="5"/>
  <c r="B3" i="5"/>
  <c r="B1" i="5"/>
  <c r="C1" i="2"/>
  <c r="C3" i="2"/>
  <c r="C4" i="2"/>
  <c r="C8" i="2"/>
  <c r="B3" i="4"/>
  <c r="B4" i="4"/>
  <c r="B8" i="4"/>
  <c r="B1" i="4"/>
  <c r="C8" i="3"/>
  <c r="C4" i="3"/>
  <c r="C3" i="3"/>
  <c r="C1" i="3"/>
  <c r="M18" i="19" l="1"/>
  <c r="N18" i="19" s="1"/>
  <c r="O18" i="19" s="1"/>
  <c r="J18" i="19"/>
  <c r="K18" i="19" s="1"/>
  <c r="L18" i="19" s="1"/>
  <c r="S18" i="19"/>
  <c r="T18" i="19" s="1"/>
  <c r="U18" i="19" s="1"/>
  <c r="W18" i="19"/>
  <c r="Y18" i="19" s="1"/>
  <c r="G18" i="19"/>
  <c r="H18" i="19" s="1"/>
  <c r="I18" i="19" s="1"/>
  <c r="P18" i="19"/>
  <c r="Q18" i="19" s="1"/>
  <c r="R18" i="19" s="1"/>
  <c r="V18" i="19"/>
  <c r="J17" i="19"/>
  <c r="K17" i="19" s="1"/>
  <c r="L17" i="19" s="1"/>
  <c r="S17" i="19"/>
  <c r="T17" i="19" s="1"/>
  <c r="U17" i="19" s="1"/>
  <c r="W17" i="19"/>
  <c r="Y17" i="19" s="1"/>
  <c r="M17" i="19"/>
  <c r="N17" i="19" s="1"/>
  <c r="O17" i="19" s="1"/>
  <c r="G17" i="19"/>
  <c r="H17" i="19" s="1"/>
  <c r="I17" i="19" s="1"/>
  <c r="P17" i="19"/>
  <c r="Q17" i="19" s="1"/>
  <c r="R17" i="19" s="1"/>
  <c r="V17" i="19"/>
  <c r="P19" i="19"/>
  <c r="Q19" i="19" s="1"/>
  <c r="R19" i="19" s="1"/>
  <c r="J19" i="19"/>
  <c r="K19" i="19" s="1"/>
  <c r="L19" i="19" s="1"/>
  <c r="S19" i="19"/>
  <c r="T19" i="19" s="1"/>
  <c r="U19" i="19" s="1"/>
  <c r="W19" i="19"/>
  <c r="Y19" i="19" s="1"/>
  <c r="M19" i="19"/>
  <c r="N19" i="19" s="1"/>
  <c r="O19" i="19" s="1"/>
  <c r="G19" i="19"/>
  <c r="H19" i="19" s="1"/>
  <c r="I19" i="19" s="1"/>
  <c r="V19" i="19"/>
  <c r="S16" i="19"/>
  <c r="T16" i="19" s="1"/>
  <c r="U16" i="19" s="1"/>
  <c r="G16" i="19"/>
  <c r="H16" i="19" s="1"/>
  <c r="I16" i="19" s="1"/>
  <c r="P16" i="19"/>
  <c r="Q16" i="19" s="1"/>
  <c r="R16" i="19" s="1"/>
  <c r="W16" i="19"/>
  <c r="Y16" i="19" s="1"/>
  <c r="M16" i="19"/>
  <c r="N16" i="19" s="1"/>
  <c r="O16" i="19" s="1"/>
  <c r="J16" i="19"/>
  <c r="K16" i="19" s="1"/>
  <c r="L16" i="19" s="1"/>
  <c r="V16" i="19"/>
  <c r="P15" i="19"/>
  <c r="Q15" i="19" s="1"/>
  <c r="R15" i="19" s="1"/>
  <c r="W15" i="19"/>
  <c r="Y15" i="19" s="1"/>
  <c r="G15" i="19"/>
  <c r="H15" i="19" s="1"/>
  <c r="I15" i="19" s="1"/>
  <c r="S15" i="19"/>
  <c r="T15" i="19" s="1"/>
  <c r="U15" i="19" s="1"/>
  <c r="J15" i="19"/>
  <c r="K15" i="19" s="1"/>
  <c r="L15" i="19" s="1"/>
  <c r="M15" i="19"/>
  <c r="N15" i="19" s="1"/>
  <c r="O15" i="19" s="1"/>
  <c r="V15" i="19"/>
  <c r="S14" i="19"/>
  <c r="T14" i="19" s="1"/>
  <c r="U14" i="19" s="1"/>
  <c r="M14" i="19"/>
  <c r="N14" i="19" s="1"/>
  <c r="O14" i="19" s="1"/>
  <c r="J14" i="19"/>
  <c r="K14" i="19" s="1"/>
  <c r="L14" i="19" s="1"/>
  <c r="G14" i="19"/>
  <c r="H14" i="19" s="1"/>
  <c r="I14" i="19" s="1"/>
  <c r="P14" i="19"/>
  <c r="Q14" i="19" s="1"/>
  <c r="R14" i="19" s="1"/>
  <c r="J13" i="19"/>
  <c r="K13" i="19" s="1"/>
  <c r="L13" i="19" s="1"/>
  <c r="G13" i="19"/>
  <c r="H13" i="19" s="1"/>
  <c r="I13" i="19" s="1"/>
  <c r="S13" i="19"/>
  <c r="T13" i="19" s="1"/>
  <c r="U13" i="19" s="1"/>
  <c r="P13" i="19"/>
  <c r="Q13" i="19" s="1"/>
  <c r="R13" i="19" s="1"/>
  <c r="M13" i="19"/>
  <c r="N13" i="19" s="1"/>
  <c r="O13" i="19" s="1"/>
  <c r="V13" i="19"/>
  <c r="P12" i="19"/>
  <c r="Q12" i="19" s="1"/>
  <c r="M12" i="19"/>
  <c r="N12" i="19" s="1"/>
  <c r="J12" i="19"/>
  <c r="K12" i="19" s="1"/>
  <c r="S12" i="19"/>
  <c r="T12" i="19" s="1"/>
  <c r="G12" i="19"/>
  <c r="H12" i="19" s="1"/>
  <c r="W14" i="19"/>
  <c r="W13" i="19"/>
  <c r="AU16" i="19"/>
  <c r="AD16" i="19"/>
  <c r="AE16" i="19" s="1"/>
  <c r="AV16" i="19"/>
  <c r="AP16" i="19"/>
  <c r="AU19" i="19"/>
  <c r="AP19" i="19"/>
  <c r="AD19" i="19"/>
  <c r="AE19" i="19" s="1"/>
  <c r="AV19" i="19"/>
  <c r="AU15" i="19"/>
  <c r="AD15" i="19"/>
  <c r="AE15" i="19" s="1"/>
  <c r="AV15" i="19"/>
  <c r="AP15" i="19"/>
  <c r="AP17" i="19"/>
  <c r="AU17" i="19"/>
  <c r="AD17" i="19"/>
  <c r="AE17" i="19" s="1"/>
  <c r="AV17" i="19"/>
  <c r="AP18" i="19"/>
  <c r="AV18" i="19"/>
  <c r="AU18" i="19"/>
  <c r="AD18" i="19"/>
  <c r="AE18" i="19" s="1"/>
  <c r="AA45" i="19"/>
  <c r="AS17" i="19"/>
  <c r="AR17" i="19"/>
  <c r="AQ17" i="19"/>
  <c r="AT17" i="19"/>
  <c r="AT16" i="19"/>
  <c r="AS16" i="19"/>
  <c r="AR16" i="19"/>
  <c r="AQ16" i="19"/>
  <c r="AT19" i="19"/>
  <c r="AS19" i="19"/>
  <c r="AR19" i="19"/>
  <c r="AQ19" i="19"/>
  <c r="AT15" i="19"/>
  <c r="AS15" i="19"/>
  <c r="AR15" i="19"/>
  <c r="AQ15" i="19"/>
  <c r="AT18" i="19"/>
  <c r="AS18" i="19"/>
  <c r="AR18" i="19"/>
  <c r="AQ18" i="19"/>
  <c r="AJ16" i="19"/>
  <c r="AN16" i="19" s="1"/>
  <c r="AI16" i="19"/>
  <c r="AM16" i="19" s="1"/>
  <c r="Z16" i="19"/>
  <c r="AF16" i="19"/>
  <c r="AG16" i="19" s="1"/>
  <c r="AK16" i="19"/>
  <c r="AO16" i="19" s="1"/>
  <c r="AH16" i="19"/>
  <c r="AL16" i="19" s="1"/>
  <c r="AF19" i="19"/>
  <c r="AG19" i="19" s="1"/>
  <c r="AK19" i="19"/>
  <c r="AO19" i="19" s="1"/>
  <c r="AJ19" i="19"/>
  <c r="AN19" i="19" s="1"/>
  <c r="AI19" i="19"/>
  <c r="AM19" i="19" s="1"/>
  <c r="AH19" i="19"/>
  <c r="AL19" i="19" s="1"/>
  <c r="Z19" i="19"/>
  <c r="Z14" i="19"/>
  <c r="AI14" i="19" s="1"/>
  <c r="AM14" i="19" s="1"/>
  <c r="AF17" i="19"/>
  <c r="AG17" i="19" s="1"/>
  <c r="AI17" i="19"/>
  <c r="AM17" i="19" s="1"/>
  <c r="AH17" i="19"/>
  <c r="AL17" i="19" s="1"/>
  <c r="Z17" i="19"/>
  <c r="AK17" i="19"/>
  <c r="AO17" i="19" s="1"/>
  <c r="AJ17" i="19"/>
  <c r="AN17" i="19" s="1"/>
  <c r="Z12" i="19"/>
  <c r="AD12" i="19" s="1"/>
  <c r="Z15" i="19"/>
  <c r="AF15" i="19"/>
  <c r="AG15" i="19" s="1"/>
  <c r="AK15" i="19"/>
  <c r="AO15" i="19" s="1"/>
  <c r="AJ15" i="19"/>
  <c r="AN15" i="19" s="1"/>
  <c r="AI15" i="19"/>
  <c r="AM15" i="19" s="1"/>
  <c r="AH15" i="19"/>
  <c r="AL15" i="19" s="1"/>
  <c r="AJ18" i="19"/>
  <c r="AN18" i="19" s="1"/>
  <c r="AI18" i="19"/>
  <c r="AM18" i="19" s="1"/>
  <c r="AH18" i="19"/>
  <c r="AL18" i="19" s="1"/>
  <c r="Z18" i="19"/>
  <c r="AF18" i="19"/>
  <c r="AG18" i="19" s="1"/>
  <c r="AK18" i="19"/>
  <c r="AO18" i="19" s="1"/>
  <c r="Z13" i="19"/>
  <c r="AH13" i="19" s="1"/>
  <c r="AL13" i="19" s="1"/>
  <c r="W12" i="19"/>
  <c r="M19" i="25"/>
  <c r="D13" i="25"/>
  <c r="D21" i="25"/>
  <c r="G21" i="25" s="1"/>
  <c r="D20" i="25"/>
  <c r="D22" i="25"/>
  <c r="D14" i="25"/>
  <c r="M12" i="25"/>
  <c r="E45" i="19"/>
  <c r="M21" i="25"/>
  <c r="D19" i="25"/>
  <c r="M15" i="25"/>
  <c r="M13" i="25"/>
  <c r="M23" i="25"/>
  <c r="M17" i="25"/>
  <c r="M22" i="25"/>
  <c r="D16" i="25"/>
  <c r="D12" i="25"/>
  <c r="D15" i="25"/>
  <c r="D18" i="25"/>
  <c r="D17" i="25"/>
  <c r="M14" i="25"/>
  <c r="M16" i="25"/>
  <c r="M18" i="25"/>
  <c r="M20" i="25"/>
  <c r="D23" i="25"/>
  <c r="X12" i="19" l="1"/>
  <c r="Y12" i="19"/>
  <c r="Y14" i="19"/>
  <c r="X14" i="19"/>
  <c r="X13" i="19"/>
  <c r="Y13" i="19"/>
  <c r="AJ14" i="19"/>
  <c r="AN14" i="19" s="1"/>
  <c r="AS14" i="19" s="1"/>
  <c r="AK14" i="19"/>
  <c r="AO14" i="19" s="1"/>
  <c r="AT14" i="19" s="1"/>
  <c r="AR14" i="19"/>
  <c r="AF14" i="19"/>
  <c r="AG14" i="19" s="1"/>
  <c r="AP14" i="19" s="1"/>
  <c r="AD14" i="19"/>
  <c r="AE14" i="19" s="1"/>
  <c r="AH14" i="19"/>
  <c r="AL14" i="19" s="1"/>
  <c r="AQ14" i="19" s="1"/>
  <c r="AI13" i="19"/>
  <c r="AM13" i="19" s="1"/>
  <c r="AR13" i="19" s="1"/>
  <c r="AJ13" i="19"/>
  <c r="AN13" i="19" s="1"/>
  <c r="AS13" i="19" s="1"/>
  <c r="AK13" i="19"/>
  <c r="AO13" i="19" s="1"/>
  <c r="AU12" i="19"/>
  <c r="AQ13" i="19"/>
  <c r="AT13" i="19"/>
  <c r="AF13" i="19"/>
  <c r="AG13" i="19" s="1"/>
  <c r="AP13" i="19" s="1"/>
  <c r="AD13" i="19"/>
  <c r="AE13" i="19" s="1"/>
  <c r="AB45" i="19"/>
  <c r="AK12" i="19"/>
  <c r="AO12" i="19" s="1"/>
  <c r="Z45" i="19"/>
  <c r="AH12" i="19"/>
  <c r="AL12" i="19" s="1"/>
  <c r="AI12" i="19"/>
  <c r="AM12" i="19" s="1"/>
  <c r="AJ12" i="19"/>
  <c r="AN12" i="19" s="1"/>
  <c r="AF12" i="19"/>
  <c r="AG12" i="19" s="1"/>
  <c r="R17" i="25"/>
  <c r="R15" i="25"/>
  <c r="R20" i="25"/>
  <c r="R14" i="25"/>
  <c r="R23" i="25"/>
  <c r="R13" i="25"/>
  <c r="R21" i="25"/>
  <c r="R19" i="25"/>
  <c r="R18" i="25"/>
  <c r="R22" i="25"/>
  <c r="R12" i="25"/>
  <c r="R16" i="25"/>
  <c r="L12" i="19"/>
  <c r="P19" i="25"/>
  <c r="P21" i="25"/>
  <c r="U21" i="25" s="1"/>
  <c r="P16" i="25"/>
  <c r="E15" i="25"/>
  <c r="G17" i="25"/>
  <c r="P13" i="25"/>
  <c r="G20" i="25"/>
  <c r="G13" i="25"/>
  <c r="E14" i="25"/>
  <c r="F20" i="25"/>
  <c r="P15" i="25"/>
  <c r="G22" i="25"/>
  <c r="E21" i="25"/>
  <c r="N15" i="25"/>
  <c r="G14" i="25"/>
  <c r="E22" i="25"/>
  <c r="G12" i="25"/>
  <c r="G18" i="25"/>
  <c r="P17" i="25"/>
  <c r="G23" i="25"/>
  <c r="G19" i="25"/>
  <c r="E18" i="25"/>
  <c r="E20" i="25"/>
  <c r="E16" i="25"/>
  <c r="N16" i="25"/>
  <c r="N20" i="25"/>
  <c r="N14" i="25"/>
  <c r="P20" i="25"/>
  <c r="N19" i="25"/>
  <c r="N22" i="25"/>
  <c r="N23" i="25"/>
  <c r="N17" i="25"/>
  <c r="P23" i="25"/>
  <c r="E19" i="25"/>
  <c r="E13" i="25"/>
  <c r="D24" i="25"/>
  <c r="E17" i="25"/>
  <c r="E12" i="25"/>
  <c r="N21" i="25"/>
  <c r="P22" i="25"/>
  <c r="P12" i="25"/>
  <c r="N12" i="25"/>
  <c r="N13" i="25"/>
  <c r="G16" i="25"/>
  <c r="M24" i="25"/>
  <c r="N18" i="25"/>
  <c r="P18" i="25"/>
  <c r="P14" i="25"/>
  <c r="G15" i="25"/>
  <c r="O12" i="19"/>
  <c r="H19" i="25"/>
  <c r="Q16" i="25"/>
  <c r="H12" i="25"/>
  <c r="H20" i="25"/>
  <c r="Q17" i="25"/>
  <c r="H14" i="25"/>
  <c r="H22" i="25"/>
  <c r="Q19" i="25"/>
  <c r="H16" i="25"/>
  <c r="Q15" i="25"/>
  <c r="Q21" i="25"/>
  <c r="H17" i="25"/>
  <c r="Q18" i="25"/>
  <c r="Q12" i="25"/>
  <c r="H18" i="25"/>
  <c r="Q20" i="25"/>
  <c r="H21" i="25"/>
  <c r="H23" i="25"/>
  <c r="Q22" i="25"/>
  <c r="H13" i="25"/>
  <c r="Q13" i="25"/>
  <c r="H15" i="25"/>
  <c r="Q14" i="25"/>
  <c r="Q23" i="25"/>
  <c r="U12" i="19"/>
  <c r="R12" i="19"/>
  <c r="I12" i="19"/>
  <c r="E23" i="25"/>
  <c r="AV14" i="19" l="1"/>
  <c r="AU14" i="19"/>
  <c r="AV13" i="19"/>
  <c r="AU13" i="19"/>
  <c r="AC45" i="19"/>
  <c r="AF45" i="19"/>
  <c r="AP12" i="19"/>
  <c r="AJ45" i="19"/>
  <c r="AH45" i="19"/>
  <c r="AI45" i="19"/>
  <c r="AK45" i="19"/>
  <c r="R24" i="25"/>
  <c r="D27" i="5" s="1"/>
  <c r="T45" i="19"/>
  <c r="L45" i="19"/>
  <c r="H45" i="19"/>
  <c r="K45" i="19"/>
  <c r="Q45" i="19"/>
  <c r="N45" i="19"/>
  <c r="R45" i="19"/>
  <c r="U45" i="19"/>
  <c r="O45" i="19"/>
  <c r="U13" i="25"/>
  <c r="U15" i="25"/>
  <c r="S15" i="25"/>
  <c r="X45" i="19"/>
  <c r="O22" i="25"/>
  <c r="F14" i="25"/>
  <c r="F12" i="25"/>
  <c r="F15" i="25"/>
  <c r="O17" i="25"/>
  <c r="F22" i="25"/>
  <c r="S19" i="25"/>
  <c r="O15" i="25"/>
  <c r="S21" i="25"/>
  <c r="F21" i="25"/>
  <c r="O12" i="25"/>
  <c r="O16" i="25"/>
  <c r="F16" i="25"/>
  <c r="F19" i="25"/>
  <c r="O20" i="25"/>
  <c r="T20" i="25" s="1"/>
  <c r="F17" i="25"/>
  <c r="F13" i="25"/>
  <c r="F23" i="25"/>
  <c r="O14" i="25"/>
  <c r="O18" i="25"/>
  <c r="O13" i="25"/>
  <c r="S12" i="25"/>
  <c r="S20" i="25"/>
  <c r="F18" i="25"/>
  <c r="O19" i="25"/>
  <c r="O23" i="25"/>
  <c r="S23" i="25"/>
  <c r="S17" i="25"/>
  <c r="S18" i="25"/>
  <c r="S22" i="25"/>
  <c r="S13" i="25"/>
  <c r="U20" i="25"/>
  <c r="U19" i="25"/>
  <c r="S16" i="25"/>
  <c r="U16" i="25"/>
  <c r="S14" i="25"/>
  <c r="U17" i="25"/>
  <c r="O21" i="25"/>
  <c r="V21" i="25"/>
  <c r="V19" i="25"/>
  <c r="V22" i="25"/>
  <c r="V20" i="25"/>
  <c r="V23" i="25"/>
  <c r="U23" i="25"/>
  <c r="V17" i="25"/>
  <c r="U18" i="25"/>
  <c r="V13" i="25"/>
  <c r="V12" i="25"/>
  <c r="U12" i="25"/>
  <c r="V18" i="25"/>
  <c r="U22" i="25"/>
  <c r="V16" i="25"/>
  <c r="V15" i="25"/>
  <c r="V14" i="25"/>
  <c r="U14" i="25"/>
  <c r="G24" i="25"/>
  <c r="P24" i="25"/>
  <c r="U24" i="25"/>
  <c r="H24" i="25"/>
  <c r="Q24" i="25"/>
  <c r="V24" i="25"/>
  <c r="E24" i="25"/>
  <c r="S24" i="25"/>
  <c r="N24" i="25"/>
  <c r="I45" i="19"/>
  <c r="AE12" i="19" l="1"/>
  <c r="AV12" i="19" s="1"/>
  <c r="AD45" i="19"/>
  <c r="AU45" i="19"/>
  <c r="AL45" i="19"/>
  <c r="AQ12" i="19"/>
  <c r="AQ45" i="19" s="1"/>
  <c r="AM45" i="19"/>
  <c r="AR12" i="19"/>
  <c r="AR45" i="19" s="1"/>
  <c r="AG45" i="19"/>
  <c r="AP45" i="19"/>
  <c r="AN45" i="19"/>
  <c r="AS12" i="19"/>
  <c r="AS45" i="19" s="1"/>
  <c r="AO45" i="19"/>
  <c r="AT12" i="19"/>
  <c r="AT45" i="19" s="1"/>
  <c r="C27" i="5"/>
  <c r="T12" i="25"/>
  <c r="T23" i="25"/>
  <c r="T21" i="25"/>
  <c r="T14" i="25"/>
  <c r="T18" i="25"/>
  <c r="T19" i="25"/>
  <c r="T22" i="25"/>
  <c r="T13" i="25"/>
  <c r="T16" i="25"/>
  <c r="O24" i="25"/>
  <c r="T17" i="25"/>
  <c r="T15" i="25"/>
  <c r="F24" i="25"/>
  <c r="T24" i="25"/>
  <c r="Y45" i="19"/>
  <c r="D19" i="22"/>
  <c r="D20" i="22"/>
  <c r="C28" i="5" l="1"/>
  <c r="D28" i="5"/>
  <c r="AE45" i="19"/>
  <c r="AV45" i="19"/>
  <c r="D15" i="5"/>
  <c r="C15" i="5"/>
  <c r="D16" i="5"/>
  <c r="C16" i="5"/>
  <c r="D17" i="5"/>
  <c r="C17" i="5"/>
  <c r="D18" i="5"/>
  <c r="D25" i="5" s="1"/>
  <c r="C18" i="5"/>
  <c r="C25" i="5" s="1"/>
  <c r="C28" i="22"/>
  <c r="C25" i="22"/>
  <c r="C23" i="4" s="1"/>
  <c r="C26" i="22"/>
  <c r="D23" i="5" s="1"/>
  <c r="C27" i="22"/>
  <c r="C29" i="5" l="1"/>
  <c r="D29" i="5"/>
  <c r="C24" i="5"/>
  <c r="D24" i="5"/>
  <c r="C23" i="5"/>
  <c r="C22" i="5"/>
  <c r="D22" i="5"/>
  <c r="C22" i="4"/>
  <c r="C24" i="4" s="1"/>
  <c r="C20" i="5"/>
  <c r="C19" i="5"/>
  <c r="C21" i="5"/>
  <c r="D19" i="5"/>
  <c r="D26" i="5"/>
  <c r="D20" i="5"/>
  <c r="D21" i="5"/>
  <c r="C25" i="4"/>
</calcChain>
</file>

<file path=xl/sharedStrings.xml><?xml version="1.0" encoding="utf-8"?>
<sst xmlns="http://schemas.openxmlformats.org/spreadsheetml/2006/main" count="10017" uniqueCount="3651">
  <si>
    <t>California Air Resources Board</t>
  </si>
  <si>
    <t xml:space="preserve">California Climate Investments </t>
  </si>
  <si>
    <t>ABOUT:</t>
  </si>
  <si>
    <t>More information:</t>
  </si>
  <si>
    <t>GGRFProgram@arb.ca.gov</t>
  </si>
  <si>
    <t>www.arb.ca.gov/cci-resources</t>
  </si>
  <si>
    <t>www.arb.ca.gov/cci-cobenefits</t>
  </si>
  <si>
    <t>· Questions on this Benefits Calculator Tool should be sent to:</t>
  </si>
  <si>
    <t>Note to applicants:</t>
  </si>
  <si>
    <t>Third-party tools:</t>
  </si>
  <si>
    <t>Project Name:</t>
  </si>
  <si>
    <t>Contact Name:</t>
  </si>
  <si>
    <t>Contact Phone Number:</t>
  </si>
  <si>
    <t>Contact Email:</t>
  </si>
  <si>
    <t>Date Calculator Completed:</t>
  </si>
  <si>
    <t>Total Funds ($):</t>
  </si>
  <si>
    <t>Green</t>
  </si>
  <si>
    <t>Grey</t>
  </si>
  <si>
    <t>Yellow</t>
  </si>
  <si>
    <t>Required input</t>
  </si>
  <si>
    <t>Output field (not modifiable)</t>
  </si>
  <si>
    <t>Key for color-coded fields:</t>
  </si>
  <si>
    <t xml:space="preserve">Project Name </t>
  </si>
  <si>
    <t>Project Information</t>
  </si>
  <si>
    <t>Co-benefits and Key Variables Summary</t>
  </si>
  <si>
    <t>Yes</t>
  </si>
  <si>
    <t>No</t>
  </si>
  <si>
    <t>Input</t>
  </si>
  <si>
    <t>Category</t>
  </si>
  <si>
    <t>Required?</t>
  </si>
  <si>
    <t>Required_1?</t>
  </si>
  <si>
    <t>Required_2?</t>
  </si>
  <si>
    <t>Required_3?</t>
  </si>
  <si>
    <t>Result</t>
  </si>
  <si>
    <t>Step 1: Identify and input basic project information</t>
  </si>
  <si>
    <t>Step 2: Input detailed project information</t>
  </si>
  <si>
    <t>Local NOx emission reductions (lbs)</t>
  </si>
  <si>
    <t>Local ROG emission reductions (lbs)</t>
  </si>
  <si>
    <t>Local PM2.5 emission reductions (lbs)</t>
  </si>
  <si>
    <t>Remote NOx emission reductions (lbs)</t>
  </si>
  <si>
    <t>Remote ROG emission reductions (lbs)</t>
  </si>
  <si>
    <t>Remote PM2.5 emission reductions (lbs)</t>
  </si>
  <si>
    <t>Per Total Funds</t>
  </si>
  <si>
    <t>Value</t>
  </si>
  <si>
    <t>Total Funds</t>
  </si>
  <si>
    <t>GHG Emission Reductions</t>
  </si>
  <si>
    <t>Additional California Climate Investments Funds ($):</t>
  </si>
  <si>
    <t>Non-California Climate Investments Funds ($):</t>
  </si>
  <si>
    <t>www.caclimateinvestments.ca.gov</t>
  </si>
  <si>
    <t xml:space="preserve">· For more information on California Climate Investments, see: </t>
  </si>
  <si>
    <t>SAFER@waterboards.ca.gov</t>
  </si>
  <si>
    <t>This Benefits Calculator Tool requires data inputs obtained from the following third-party tool:</t>
  </si>
  <si>
    <t>National Renewable Energy Laboratory PVWatts® Calculator</t>
  </si>
  <si>
    <t>Required for projects including grid-connected solar photovoltaic systems</t>
  </si>
  <si>
    <t>Information for using this tool is available in the user guide (see above).</t>
  </si>
  <si>
    <t>Vehicle Type</t>
  </si>
  <si>
    <t>Project Type</t>
  </si>
  <si>
    <t>Dropdown Option (Y/N)</t>
  </si>
  <si>
    <t>Interim Water Delivery Project Types</t>
  </si>
  <si>
    <t>Bottled Water Delivery</t>
  </si>
  <si>
    <t>Hauled Water</t>
  </si>
  <si>
    <t>Delivery Vehicle Types</t>
  </si>
  <si>
    <t>Heavy Duty Truck</t>
  </si>
  <si>
    <t>Battery Electric</t>
  </si>
  <si>
    <t>Fuel Cell Electric</t>
  </si>
  <si>
    <t>Hybrid</t>
  </si>
  <si>
    <t>Diesel</t>
  </si>
  <si>
    <t>Gasoline</t>
  </si>
  <si>
    <t>Fuel Type</t>
  </si>
  <si>
    <t>Required_4?</t>
  </si>
  <si>
    <t>Quantification Methodology Emission Factor Database</t>
  </si>
  <si>
    <t>Well-to-Wheel GHG emission factors for various fuel types</t>
  </si>
  <si>
    <t>Fuel Specific Factors</t>
  </si>
  <si>
    <t>Fuels (units)</t>
  </si>
  <si>
    <t>Biodiesel (gal)</t>
  </si>
  <si>
    <t>CNG (scf)</t>
  </si>
  <si>
    <t>Diesel (gal)</t>
  </si>
  <si>
    <t>Electric (kWh)</t>
  </si>
  <si>
    <t>Gasoline (gal)</t>
  </si>
  <si>
    <t>Hydrogen (kg)</t>
  </si>
  <si>
    <t>LNG (gal)</t>
  </si>
  <si>
    <t>LPG / Propane (gal)</t>
  </si>
  <si>
    <t>Ethanol (gal)</t>
  </si>
  <si>
    <t>Renewable Diesel (gal)</t>
  </si>
  <si>
    <t>Renewable Electricity (kWh)</t>
  </si>
  <si>
    <t>Renewable Natural Gas (scf)</t>
  </si>
  <si>
    <t>* Energy densities provided at 60°F and 1 atm.</t>
  </si>
  <si>
    <t>Energy Economy Ratios</t>
  </si>
  <si>
    <t>EER Values Relative to Diesel</t>
  </si>
  <si>
    <t>EER Values Relative to Gas</t>
  </si>
  <si>
    <t>--</t>
  </si>
  <si>
    <t>Gas (gal)</t>
  </si>
  <si>
    <t>References</t>
  </si>
  <si>
    <t>Low Carbon Fuel Standard (LCFS) GHG emission factors for Gasoline, Diesel, CNG, Electric,</t>
  </si>
  <si>
    <t>Renewable Electricity, LPG / Propane, and Hydrogen are derived from Lookup Table 7-1 in:</t>
  </si>
  <si>
    <t>https://www.arb.ca.gov/regact/2018/lcfs18/frolcfs.pdf</t>
  </si>
  <si>
    <t>Hydrogen is volume-weighted based upon an assumption of 33.3% renewable content.</t>
  </si>
  <si>
    <t>LCFS GHG emission factors for Biodiesel, Ethanol, LNG, Renewable Diesel, and Renewable</t>
  </si>
  <si>
    <t>EMFAC2017 (v1.0.2) Emission Rates</t>
  </si>
  <si>
    <t>Region:  California</t>
  </si>
  <si>
    <t>Season:  Annual</t>
  </si>
  <si>
    <t>Speed:  Aggregated</t>
  </si>
  <si>
    <t xml:space="preserve">Data is derived from EMFAC. Available online at: 
</t>
  </si>
  <si>
    <t>https://www.arb.ca.gov/emfac/2017/</t>
  </si>
  <si>
    <t>Region Type:  Statewide</t>
  </si>
  <si>
    <t>New Vehicle Type 
(select from options)</t>
  </si>
  <si>
    <t>Number of Identical Vehicles</t>
  </si>
  <si>
    <t>Average Miles per Year for a Delivery Truck</t>
  </si>
  <si>
    <r>
      <t xml:space="preserve">Source: </t>
    </r>
    <r>
      <rPr>
        <sz val="12"/>
        <color theme="1"/>
        <rFont val="Avenir LT Std 55 Roman"/>
        <family val="2"/>
      </rPr>
      <t>US Department of Transportation</t>
    </r>
  </si>
  <si>
    <t xml:space="preserve">in Miles and Related Data - 2014 </t>
  </si>
  <si>
    <t>by Highway Category and Vehicle Type</t>
  </si>
  <si>
    <t xml:space="preserve">Table VM-1 Annual Vehicle Distance Traveled </t>
  </si>
  <si>
    <t xml:space="preserve">Agricultural Worker Vanpool Emission Factors </t>
  </si>
  <si>
    <t>Vehicle Class</t>
  </si>
  <si>
    <t>(g/mi)</t>
  </si>
  <si>
    <t>LHD1</t>
  </si>
  <si>
    <r>
      <t>GHG (CO</t>
    </r>
    <r>
      <rPr>
        <vertAlign val="subscript"/>
        <sz val="12"/>
        <color theme="1"/>
        <rFont val="Avenir LT Std 55 Roman"/>
        <family val="2"/>
      </rPr>
      <t>2</t>
    </r>
    <r>
      <rPr>
        <sz val="12"/>
        <color theme="1"/>
        <rFont val="Avenir LT Std 55 Roman"/>
        <family val="2"/>
      </rPr>
      <t>e)</t>
    </r>
  </si>
  <si>
    <t>ROG</t>
  </si>
  <si>
    <r>
      <t>NO</t>
    </r>
    <r>
      <rPr>
        <vertAlign val="subscript"/>
        <sz val="12"/>
        <color theme="1"/>
        <rFont val="Avenir LT Std 55 Roman"/>
        <family val="2"/>
      </rPr>
      <t>x</t>
    </r>
  </si>
  <si>
    <r>
      <t>PM</t>
    </r>
    <r>
      <rPr>
        <vertAlign val="subscript"/>
        <sz val="12"/>
        <color theme="1"/>
        <rFont val="Avenir LT Std 55 Roman"/>
        <family val="2"/>
      </rPr>
      <t>2.5</t>
    </r>
  </si>
  <si>
    <t>Diesel PM</t>
  </si>
  <si>
    <t>LHD2</t>
  </si>
  <si>
    <t xml:space="preserve">CVRP Emission Factors </t>
  </si>
  <si>
    <t>LDA</t>
  </si>
  <si>
    <t>Agricultural Worker Vanpools</t>
  </si>
  <si>
    <t>Calendar Year:  2022</t>
  </si>
  <si>
    <t>Vehicle Classification:  EMFAC2011 Categories</t>
  </si>
  <si>
    <t>Fuel:  Gasoline</t>
  </si>
  <si>
    <t xml:space="preserve">Units:  miles/day for VMT, trips/day for Trips, g/mile for RUNEX, PMBW and PMTW, g/trip for STREX, HTSK and RUNLS, </t>
  </si>
  <si>
    <t>g/vehicle/day for IDLEX, RESTL and DIURN</t>
  </si>
  <si>
    <t>CVRP</t>
  </si>
  <si>
    <t>Units:  miles/day for VMT, trips/day for Trips, g/mile for RUNEX, PMBW and PMTW, g/trip for STREX, HTSK and RUNLS,</t>
  </si>
  <si>
    <t xml:space="preserve">HVIP Emission Factors </t>
  </si>
  <si>
    <t>MHD</t>
  </si>
  <si>
    <t>HHD</t>
  </si>
  <si>
    <t>Urban Bus</t>
  </si>
  <si>
    <t>School Bus</t>
  </si>
  <si>
    <t xml:space="preserve">Low-NOx Engine Incentives Emission Factors </t>
  </si>
  <si>
    <t>GHGs</t>
  </si>
  <si>
    <t>Fuel:  Diesel</t>
  </si>
  <si>
    <t xml:space="preserve">Units:  miles/day for VMT, trips/day for Trips, g/mile for RUNEX, PMBW and PMTW, g/trip for STREX, HTSK and </t>
  </si>
  <si>
    <t>RUNLS, g/vehicle/day for IDLEX, RESTL and DIURN</t>
  </si>
  <si>
    <t>Criteria and Toxic Air Pollutant References</t>
  </si>
  <si>
    <t>Van</t>
  </si>
  <si>
    <t>Required_5?</t>
  </si>
  <si>
    <t>Required_6?</t>
  </si>
  <si>
    <t>Project Life
(Years)</t>
  </si>
  <si>
    <t>Box Truck</t>
  </si>
  <si>
    <t>Plug-in Hybrid</t>
  </si>
  <si>
    <t xml:space="preserve">New Vehicle Type </t>
  </si>
  <si>
    <t>Annual Transportation GHG Emissions 
(MTCO2e/Year)</t>
  </si>
  <si>
    <t>Total Transportation GHG Emissions 
(MTCO2e)</t>
  </si>
  <si>
    <t>GHG Emission Factor 
(g CO2e/mi)</t>
  </si>
  <si>
    <t>Total ROG Emissions 
(lbs)</t>
  </si>
  <si>
    <t>Annual ROG Emissions 
(lbs/year)</t>
  </si>
  <si>
    <t>Annual NOx Emissions 
(lbs/year)</t>
  </si>
  <si>
    <t>Total NOx Emissions 
(lbs)</t>
  </si>
  <si>
    <t>Annual PM2.5 Emissions 
(lbs/year)</t>
  </si>
  <si>
    <t>Total PM2.5 Emissions 
(lbs)</t>
  </si>
  <si>
    <t>Annual Diesel PM Emissions 
(lbs/year)</t>
  </si>
  <si>
    <t>Total Diesel PM Emissions 
(lbs)</t>
  </si>
  <si>
    <t>Total GHG Emissions 
(MTCO2e)</t>
  </si>
  <si>
    <t>Annual GHG Emissions 
(MTCO2e/Year)</t>
  </si>
  <si>
    <t>SubTotal</t>
  </si>
  <si>
    <t>Solar Photovoltaic Electricity Generation</t>
  </si>
  <si>
    <t>Emission Reductions</t>
  </si>
  <si>
    <t>Annual Solar PV Electricity Generation (kWh/year)</t>
  </si>
  <si>
    <t>Primary Use of Electricity Generated</t>
  </si>
  <si>
    <t>Remote ROG Emission Reductions (lbs)</t>
  </si>
  <si>
    <t>Total Solar PV Electricity Generation (kWh)</t>
  </si>
  <si>
    <t>Solar PV Sectors</t>
  </si>
  <si>
    <t>Residential</t>
  </si>
  <si>
    <t>Commercial</t>
  </si>
  <si>
    <r>
      <t>In-State (million MTCO</t>
    </r>
    <r>
      <rPr>
        <vertAlign val="subscript"/>
        <sz val="12"/>
        <color theme="1"/>
        <rFont val="Avenir LT Std 55 Roman"/>
        <family val="2"/>
      </rPr>
      <t>2</t>
    </r>
    <r>
      <rPr>
        <sz val="12"/>
        <color theme="1"/>
        <rFont val="Avenir LT Std 55 Roman"/>
        <family val="2"/>
      </rPr>
      <t>e)</t>
    </r>
  </si>
  <si>
    <r>
      <t>Import (million MTCO</t>
    </r>
    <r>
      <rPr>
        <vertAlign val="subscript"/>
        <sz val="12"/>
        <color theme="1"/>
        <rFont val="Avenir LT Std 55 Roman"/>
        <family val="2"/>
      </rPr>
      <t>2</t>
    </r>
    <r>
      <rPr>
        <sz val="12"/>
        <color theme="1"/>
        <rFont val="Avenir LT Std 55 Roman"/>
        <family val="2"/>
      </rPr>
      <t>e)</t>
    </r>
  </si>
  <si>
    <r>
      <t>Total (MTCO</t>
    </r>
    <r>
      <rPr>
        <vertAlign val="subscript"/>
        <sz val="12"/>
        <color theme="1"/>
        <rFont val="Avenir LT Std 55 Roman"/>
        <family val="2"/>
      </rPr>
      <t>2</t>
    </r>
    <r>
      <rPr>
        <sz val="12"/>
        <color theme="1"/>
        <rFont val="Avenir LT Std 55 Roman"/>
        <family val="2"/>
      </rPr>
      <t>e)</t>
    </r>
  </si>
  <si>
    <t>Generation (GWh)</t>
  </si>
  <si>
    <t>Generation (MWh)</t>
  </si>
  <si>
    <r>
      <t>(MTCO</t>
    </r>
    <r>
      <rPr>
        <vertAlign val="subscript"/>
        <sz val="12"/>
        <color theme="1"/>
        <rFont val="Avenir LT Std 55 Roman"/>
        <family val="2"/>
      </rPr>
      <t>2</t>
    </r>
    <r>
      <rPr>
        <sz val="12"/>
        <color theme="1"/>
        <rFont val="Avenir LT Std 55 Roman"/>
        <family val="2"/>
      </rPr>
      <t>e/MWh)</t>
    </r>
  </si>
  <si>
    <r>
      <t>(MTCO</t>
    </r>
    <r>
      <rPr>
        <vertAlign val="subscript"/>
        <sz val="12"/>
        <color theme="1"/>
        <rFont val="Avenir LT Std 55 Roman"/>
        <family val="2"/>
      </rPr>
      <t>2</t>
    </r>
    <r>
      <rPr>
        <sz val="12"/>
        <color theme="1"/>
        <rFont val="Avenir LT Std 55 Roman"/>
        <family val="2"/>
      </rPr>
      <t>e/kWh)</t>
    </r>
  </si>
  <si>
    <t>(lbs/MWh)</t>
  </si>
  <si>
    <t>(lbs/kWh)</t>
  </si>
  <si>
    <t>In-State Criteria Pollutants - Tons per Day</t>
  </si>
  <si>
    <t>Year</t>
  </si>
  <si>
    <t>Subcategory</t>
  </si>
  <si>
    <r>
      <t>NO</t>
    </r>
    <r>
      <rPr>
        <b/>
        <vertAlign val="subscript"/>
        <sz val="12"/>
        <color theme="1"/>
        <rFont val="Avenir LT Std 55 Roman"/>
        <family val="2"/>
      </rPr>
      <t>X</t>
    </r>
  </si>
  <si>
    <t>PM</t>
  </si>
  <si>
    <r>
      <t>PM</t>
    </r>
    <r>
      <rPr>
        <b/>
        <vertAlign val="subscript"/>
        <sz val="12"/>
        <color theme="1"/>
        <rFont val="Avenir LT Std 55 Roman"/>
        <family val="2"/>
      </rPr>
      <t>10</t>
    </r>
  </si>
  <si>
    <r>
      <t>PM</t>
    </r>
    <r>
      <rPr>
        <b/>
        <vertAlign val="subscript"/>
        <sz val="12"/>
        <color theme="1"/>
        <rFont val="Avenir LT Std 55 Roman"/>
        <family val="2"/>
      </rPr>
      <t>2.5</t>
    </r>
  </si>
  <si>
    <t>Electric Utilities</t>
  </si>
  <si>
    <t>Cogeneration</t>
  </si>
  <si>
    <t>In-State Criteria Pollutants - Tons per Year</t>
  </si>
  <si>
    <t>Total</t>
  </si>
  <si>
    <t>Total Generation-2012 (MWh)</t>
  </si>
  <si>
    <t xml:space="preserve"> </t>
  </si>
  <si>
    <t>In-State Generation-2012 (MWh)</t>
  </si>
  <si>
    <t>(MT/MWh)</t>
  </si>
  <si>
    <t>(MT/kWh)</t>
  </si>
  <si>
    <t>Greenhouse Gases</t>
  </si>
  <si>
    <t>For the purposes of GGRF quantification methodologies, CARB developed a California grid electricity emission factor based on total in-state and imported electricity emissions divided by total</t>
  </si>
  <si>
    <t>http://www.energy.ca.gov/almanac/electricity_data/electricity_generation.html</t>
  </si>
  <si>
    <t>Criteria Pollutants</t>
  </si>
  <si>
    <t>Criteria pollutant data is derived from CARB's criteria pollutant emissions inventory for statewide stationary sources of fuel combustion for electric utilities and cogeneration. The latest update is based</t>
  </si>
  <si>
    <t>https://www.arb.ca.gov/app/emsinv/2017/emssumcat_query.php?F_YR=2012&amp;F_DIV=-4&amp;F_SEASON=A&amp;SP=SIP105ADJ&amp;F_AREA=CA#0</t>
  </si>
  <si>
    <t xml:space="preserve">Consumption data for in-state generation were obtained from the CEC Energy Almanac, last updated May 2018 available online at: </t>
  </si>
  <si>
    <t>Renewable Energy Generation (kWh)</t>
  </si>
  <si>
    <t>Not required</t>
  </si>
  <si>
    <t>Heading Name</t>
  </si>
  <si>
    <t>Grant ID:</t>
  </si>
  <si>
    <t>Local Diesel PM emission reductions (lbs)</t>
  </si>
  <si>
    <t>Energy Efficiency Measure Type</t>
  </si>
  <si>
    <t>Quantity</t>
  </si>
  <si>
    <t>Baseline Equipment Energy Use 
(kWh/yr)</t>
  </si>
  <si>
    <t>Baseline Equipment Watts 
(Watts)</t>
  </si>
  <si>
    <t>Project Equipment Energy Use 
(kWh/yr)</t>
  </si>
  <si>
    <t>Project Equipment Watts 
(Watts)</t>
  </si>
  <si>
    <t>Baseline Equipment Hours
(hr/yr)</t>
  </si>
  <si>
    <t>Baseline GHG Emissions 
(MTCO2e/Year)</t>
  </si>
  <si>
    <t>Baseline ROG Emissions 
(lbs/year)</t>
  </si>
  <si>
    <t>Baseline NOx Emissions 
(lbs/year)</t>
  </si>
  <si>
    <t>Baseline PM2.5 Emissions 
(lbs/year)</t>
  </si>
  <si>
    <t>Subtotal</t>
  </si>
  <si>
    <t>Project Equipment Hours
(hr/yr)</t>
  </si>
  <si>
    <t>Baseline Equipment Operation Hours
(hr/yr)</t>
  </si>
  <si>
    <t>Project Equipment Operation Hours
(hr/yr)</t>
  </si>
  <si>
    <t>Project GHG Emissions 
(MTCO2e/Year)</t>
  </si>
  <si>
    <t>Project ROG Emissions 
(lbs/year)</t>
  </si>
  <si>
    <t>Project NOx Emissions 
(lbs/year)</t>
  </si>
  <si>
    <t>Project PM2.5 Emissions 
(lbs/year)</t>
  </si>
  <si>
    <t>Total NOx emission reductions (lbs)</t>
  </si>
  <si>
    <t>Total ROG emission reductions (lbs)</t>
  </si>
  <si>
    <t>Total PM2.5 emission reductions (lbs)</t>
  </si>
  <si>
    <t>Use</t>
  </si>
  <si>
    <t>$ per kWh</t>
  </si>
  <si>
    <t>Fuel Prices</t>
  </si>
  <si>
    <t>Electricity Prices</t>
  </si>
  <si>
    <t xml:space="preserve">Co-benefit Assessment Methodology:  </t>
  </si>
  <si>
    <r>
      <rPr>
        <b/>
        <sz val="12"/>
        <color theme="1"/>
        <rFont val="Avenir LT Std 55 Roman"/>
        <family val="2"/>
      </rPr>
      <t xml:space="preserve">Source: </t>
    </r>
    <r>
      <rPr>
        <sz val="12"/>
        <color theme="1"/>
        <rFont val="Avenir LT Std 55 Roman"/>
        <family val="2"/>
      </rPr>
      <t>Electricity and fuel prices are from the</t>
    </r>
  </si>
  <si>
    <t xml:space="preserve">CARB Energy and Fuel Cost Savings </t>
  </si>
  <si>
    <t>Fuel</t>
  </si>
  <si>
    <t>Energy and Fuel Cost Savings ($)</t>
  </si>
  <si>
    <t>Fuel Cost ($)</t>
  </si>
  <si>
    <t>Sedan</t>
  </si>
  <si>
    <t>Heavy Duty (HHD)</t>
  </si>
  <si>
    <t>Source:</t>
  </si>
  <si>
    <t>Box Truck (LHD2)</t>
  </si>
  <si>
    <t>Van (LHD1)</t>
  </si>
  <si>
    <t>Sedan (LDA)</t>
  </si>
  <si>
    <t>(mi/gal)</t>
  </si>
  <si>
    <t>PHEV</t>
  </si>
  <si>
    <t>BEV</t>
  </si>
  <si>
    <t>FCEV</t>
  </si>
  <si>
    <t>Average Fuel Economy (mi/gal or mi/kWh)</t>
  </si>
  <si>
    <t>eVMT %</t>
  </si>
  <si>
    <t>(mi/kWh)</t>
  </si>
  <si>
    <t>(mi/kg)</t>
  </si>
  <si>
    <t>Fuel Use 
(gal, Kwh, or kg)</t>
  </si>
  <si>
    <t>$ per gal or kWh</t>
  </si>
  <si>
    <t>Vehicle / Fuel Type</t>
  </si>
  <si>
    <t>(EMFAC category / units)</t>
  </si>
  <si>
    <t>Electric (Commercial Rate)</t>
  </si>
  <si>
    <t>Fuel Use 
(gal, kWh, or kg)</t>
  </si>
  <si>
    <t>Fuel Cost 
($)</t>
  </si>
  <si>
    <t>Fuel Use 
(gal)</t>
  </si>
  <si>
    <t>Fossil Fuel Use Reductions (gal)</t>
  </si>
  <si>
    <t>Fuel Economy
( mi /
gal, kWh, or kg )</t>
  </si>
  <si>
    <t>ROG Emission Factor
(g/mi)</t>
  </si>
  <si>
    <t>NOx Emission Factor
(g/mi)</t>
  </si>
  <si>
    <t>PM2.5 Emission Factor
(g/mi)</t>
  </si>
  <si>
    <t>Diesel PM Emission Factor
(g/mi)</t>
  </si>
  <si>
    <t>Project Useful Life
(yr)</t>
  </si>
  <si>
    <t>Project Equipment Useful Life
(yr)</t>
  </si>
  <si>
    <t>Required_7?</t>
  </si>
  <si>
    <t>Project Equipment Useful Life*
(yr)</t>
  </si>
  <si>
    <t xml:space="preserve">*Useful Life must reflect project equipment quantification period, from a CARB-approved method. </t>
  </si>
  <si>
    <t>· Questions pertaining to the SADW Fund or SAFER program should be sent to:</t>
  </si>
  <si>
    <t>Safe and Affordable Drinking Water</t>
  </si>
  <si>
    <t>(SADW) Fund</t>
  </si>
  <si>
    <t>SADW applicants must enter the applicable information in the table below before proceeding with the project-specific data on the Inputs tab.</t>
  </si>
  <si>
    <t>Total SADW California Climate Investments Funds ($):</t>
  </si>
  <si>
    <t>Per SADW Fund California 
Climate Investments Funds</t>
  </si>
  <si>
    <t>To be completed by State Water Board staff</t>
  </si>
  <si>
    <t>Baseline Engine Information</t>
  </si>
  <si>
    <t>Replacement Engine Information</t>
  </si>
  <si>
    <t>Co-benefits</t>
  </si>
  <si>
    <t>CCIRTS Results</t>
  </si>
  <si>
    <t>Model Year</t>
  </si>
  <si>
    <t>Horsepower</t>
  </si>
  <si>
    <t>Load Factor</t>
  </si>
  <si>
    <t>Annual ROG
(short tons/year)</t>
  </si>
  <si>
    <t>Annual Fuel Use</t>
  </si>
  <si>
    <t>Fuel Unit</t>
  </si>
  <si>
    <t>Fuel Carbon Content</t>
  </si>
  <si>
    <t>Carbon Content Unit</t>
  </si>
  <si>
    <t>PM Conversion</t>
  </si>
  <si>
    <t>Annual Diesel/Gas Fuel Savings (gal/yr)</t>
  </si>
  <si>
    <t>Quantification Period (years)</t>
  </si>
  <si>
    <t>Fossil Fuel Based Transportation Fuel Use Reductions (gallons)</t>
  </si>
  <si>
    <r>
      <t>West Coast average retail fuel prices</t>
    </r>
    <r>
      <rPr>
        <b/>
        <vertAlign val="superscript"/>
        <sz val="12"/>
        <color theme="1"/>
        <rFont val="Avenir LT Std 55 Roman"/>
        <family val="2"/>
      </rPr>
      <t>[1]</t>
    </r>
  </si>
  <si>
    <t>Price</t>
  </si>
  <si>
    <t>Units</t>
  </si>
  <si>
    <t>per gallon</t>
  </si>
  <si>
    <t>Compressed Natural Gas (CNG)</t>
  </si>
  <si>
    <t>per cubic foot</t>
  </si>
  <si>
    <t>Liquefied Natural Gas (LNG)</t>
  </si>
  <si>
    <t>Ethanol (E85)</t>
  </si>
  <si>
    <t>Propane</t>
  </si>
  <si>
    <t>Biodiesel (B5/B20)</t>
  </si>
  <si>
    <r>
      <t xml:space="preserve">Hydrogen </t>
    </r>
    <r>
      <rPr>
        <vertAlign val="superscript"/>
        <sz val="12"/>
        <color rgb="FF000000"/>
        <rFont val="Avenir LT Std 55 Roman"/>
        <family val="2"/>
      </rPr>
      <t>[2]</t>
    </r>
  </si>
  <si>
    <t>per kilogram</t>
  </si>
  <si>
    <t>Energy Type</t>
  </si>
  <si>
    <t>Electricity</t>
  </si>
  <si>
    <t>per kWh</t>
  </si>
  <si>
    <t>Natural Gas</t>
  </si>
  <si>
    <t>Reference</t>
  </si>
  <si>
    <t>Fuel Density</t>
  </si>
  <si>
    <t>Density</t>
  </si>
  <si>
    <t>CA Gasoline</t>
  </si>
  <si>
    <t>lb/gal</t>
  </si>
  <si>
    <t>lb/scf</t>
  </si>
  <si>
    <t>Liquefied Petroleum Gas (LPG)</t>
  </si>
  <si>
    <t>CARB (2018). CA-GREET3.0 Model</t>
  </si>
  <si>
    <t>https://www.arb.ca.gov/fuels/lcfs/ca-greet/ca-greet.htm</t>
  </si>
  <si>
    <t>Energy Density*
(MJ/unit)</t>
  </si>
  <si>
    <r>
      <t>Carbon Intensity
(gCO</t>
    </r>
    <r>
      <rPr>
        <vertAlign val="subscript"/>
        <sz val="12"/>
        <color theme="1"/>
        <rFont val="Avenir LT Std 55 Roman"/>
        <family val="2"/>
      </rPr>
      <t>2</t>
    </r>
    <r>
      <rPr>
        <sz val="12"/>
        <color theme="1"/>
        <rFont val="Avenir LT Std 55 Roman"/>
        <family val="2"/>
      </rPr>
      <t>e/MJ)</t>
    </r>
  </si>
  <si>
    <r>
      <t>Carbon Content**
(gCO</t>
    </r>
    <r>
      <rPr>
        <vertAlign val="subscript"/>
        <sz val="12"/>
        <color theme="1"/>
        <rFont val="Avenir LT Std 55 Roman"/>
        <family val="2"/>
      </rPr>
      <t>2</t>
    </r>
    <r>
      <rPr>
        <sz val="12"/>
        <color theme="1"/>
        <rFont val="Avenir LT Std 55 Roman"/>
        <family val="2"/>
      </rPr>
      <t>e/unit)</t>
    </r>
  </si>
  <si>
    <t>**Carbon Content Emission Factors were calculated using fuel type Energy Density (megajoules</t>
  </si>
  <si>
    <t>(MJ) per unit of fuel) and the fuel type Carbon Intensity (grams of carbon dioxide equivalents</t>
  </si>
  <si>
    <t>(CO2e) per MJ).  Carbon Content values are derived from unrounded energy density and carbon</t>
  </si>
  <si>
    <t>intensity values. The Carbon Content values are then rounded to two decimals.</t>
  </si>
  <si>
    <t>5.0 (Bus)
4.6 (Heavy Rail)
3.3 (Light Rail)
3.1 (Street Car)
3.8 (Forklift)
3.4 (TRU)
2.7 (CHE)
2.6 (OGV)</t>
  </si>
  <si>
    <t>Load Factor for Pump Motor Engines</t>
  </si>
  <si>
    <t>www.arb.ca.gov/guidelines-carl-moyer</t>
  </si>
  <si>
    <t>Source: Load Factor for Agricultural Irrigation</t>
  </si>
  <si>
    <t>Pumps, Appendix D, Carl Moyer Program</t>
  </si>
  <si>
    <t>Guidelines</t>
  </si>
  <si>
    <t>Total Energy and Fuel Cost Savings ($)</t>
  </si>
  <si>
    <t>25-49</t>
  </si>
  <si>
    <t>Pre-1988</t>
  </si>
  <si>
    <t>1988+</t>
  </si>
  <si>
    <t>120+</t>
  </si>
  <si>
    <t>Pre-1970</t>
  </si>
  <si>
    <t>1970-1979</t>
  </si>
  <si>
    <t>1980-1987</t>
  </si>
  <si>
    <t>Tier</t>
  </si>
  <si>
    <t>4 (Interim)</t>
  </si>
  <si>
    <t>4 (Final)</t>
  </si>
  <si>
    <t>50-74</t>
  </si>
  <si>
    <t>75-99</t>
  </si>
  <si>
    <t>4 (Phase-In or Alt. NOx)</t>
  </si>
  <si>
    <t>100-174</t>
  </si>
  <si>
    <r>
      <t xml:space="preserve">CARB. (2017). </t>
    </r>
    <r>
      <rPr>
        <i/>
        <sz val="12"/>
        <color theme="1"/>
        <rFont val="Avenir LT Std 55 Roman"/>
        <family val="2"/>
      </rPr>
      <t>Appendix D, Carl Moyer Program Guidelines.</t>
    </r>
  </si>
  <si>
    <t>https://ww2.arb.ca.gov/sites/default/files/classic/msprog/moyer/guidelines/2017/2017_cmpgl.pdf</t>
  </si>
  <si>
    <t>NOx EF
(g/bhp-hr)</t>
  </si>
  <si>
    <t>NOx DR
(g/bhp-hr-hr)</t>
  </si>
  <si>
    <t>ROG EF
(g/bhp-hr)</t>
  </si>
  <si>
    <t>ROG DR
(g/bhp-hr-hr)</t>
  </si>
  <si>
    <t>PM10 EF
(g/bhp-hr)</t>
  </si>
  <si>
    <t>PM10 DR
(g/bhp-hr-hr)</t>
  </si>
  <si>
    <t>175-299</t>
  </si>
  <si>
    <t>4 (Phase-Out)</t>
  </si>
  <si>
    <t>300-750</t>
  </si>
  <si>
    <t>751+</t>
  </si>
  <si>
    <t>25-50</t>
  </si>
  <si>
    <t>Uncontrolled pre-2004</t>
  </si>
  <si>
    <t>Controlled 2001 - 2006</t>
  </si>
  <si>
    <t>Controlled 2007 - 2009</t>
  </si>
  <si>
    <t>Controlled 2010+</t>
  </si>
  <si>
    <t>51-120</t>
  </si>
  <si>
    <t>Uncontrolled Pre-2004</t>
  </si>
  <si>
    <t>Controlled 2001 – 2006</t>
  </si>
  <si>
    <t>121+</t>
  </si>
  <si>
    <t>Controlled 2001-2006</t>
  </si>
  <si>
    <t>Controlled 2007-2009</t>
  </si>
  <si>
    <t>Off-road Alternative Fuels Large Spark Ignition Engines</t>
  </si>
  <si>
    <t>Off-road Gasoline Large Spark Ignition Engines</t>
  </si>
  <si>
    <t>Off-road Controlled Diesel Engines</t>
  </si>
  <si>
    <t>Off-road Uncontrolled Diesel Engines</t>
  </si>
  <si>
    <t>50-119</t>
  </si>
  <si>
    <t>Project ID</t>
  </si>
  <si>
    <t>Usage 
(hours/year)</t>
  </si>
  <si>
    <t>Project Life 
(years)</t>
  </si>
  <si>
    <t>Fuel Density 
(lb/gal, lb/scf for CNG)</t>
  </si>
  <si>
    <t>BSFC 
(lbs/hp-hr)</t>
  </si>
  <si>
    <t>Energy Density 
(MJ/gal, MJ/scf for CNG)</t>
  </si>
  <si>
    <t>Engine Tier</t>
  </si>
  <si>
    <t>DESL</t>
  </si>
  <si>
    <t>GAS</t>
  </si>
  <si>
    <t>CNG</t>
  </si>
  <si>
    <t>LNG</t>
  </si>
  <si>
    <t>LPG</t>
  </si>
  <si>
    <t>PROP</t>
  </si>
  <si>
    <t>ELEC</t>
  </si>
  <si>
    <t>Pump Fuel Types</t>
  </si>
  <si>
    <t>Vehicle Fuel Types</t>
  </si>
  <si>
    <t>1988-2000</t>
  </si>
  <si>
    <t>2001-2006</t>
  </si>
  <si>
    <t>2007-2009</t>
  </si>
  <si>
    <t>2010+</t>
  </si>
  <si>
    <t>Pump Model Year</t>
  </si>
  <si>
    <t>Pump Engine Tier</t>
  </si>
  <si>
    <t>Baseline Engine Emission Factors</t>
  </si>
  <si>
    <t>Replacement Engine Emission Factors</t>
  </si>
  <si>
    <t>NOx EF 
(g/bhp-hr)</t>
  </si>
  <si>
    <t>ROG EF 
(g/bhp-hr)</t>
  </si>
  <si>
    <t>PM10 EF 
(g/bhp-hr)</t>
  </si>
  <si>
    <t>PM10 DR EF 
(g/bhp-hr-hr)</t>
  </si>
  <si>
    <t>ROG DR EF 
(g/bhp-hr-hr)</t>
  </si>
  <si>
    <t>NOx DR EF 
(g/bhp-hr-hr)</t>
  </si>
  <si>
    <t>Deterioration Life
(years)</t>
  </si>
  <si>
    <t>Criteria Pollutant Emission Reductions (short tons/year)</t>
  </si>
  <si>
    <t>Criteria Pollutant Emission Reductions (lbs)</t>
  </si>
  <si>
    <t>Replacement Engine Emissions (lbs)</t>
  </si>
  <si>
    <t>Total ROG 
(lbs)</t>
  </si>
  <si>
    <t>Total Diesel PM 
(lbs)</t>
  </si>
  <si>
    <t>Baseline Diesel/Gas 
(gal)</t>
  </si>
  <si>
    <t>Replacement Diesel/Gas 
(gal)</t>
  </si>
  <si>
    <t>Total Diesel/Gas Fuel Savings 
(gal)</t>
  </si>
  <si>
    <t>Total Baseline Fuel Costs 
($)</t>
  </si>
  <si>
    <t>Total Replacement Fuel Costs 
($)</t>
  </si>
  <si>
    <t>Annual Energy and Fuel Cost Savings 
($/year)</t>
  </si>
  <si>
    <t>Baseline Engine Emissions (lbs)</t>
  </si>
  <si>
    <t>Code</t>
  </si>
  <si>
    <t>Baseline Engine Emission Factor Codes</t>
  </si>
  <si>
    <t>Replacement Engine Emission Factor Codes</t>
  </si>
  <si>
    <t>EF Code</t>
  </si>
  <si>
    <t>Controlled/ Uncontrolled</t>
  </si>
  <si>
    <t>Dropdown Option (Controlled/Uncontrolled)</t>
  </si>
  <si>
    <t>Controlled</t>
  </si>
  <si>
    <t>Uncontrolled</t>
  </si>
  <si>
    <t>Fuel Type Code</t>
  </si>
  <si>
    <t>Horsepower Code</t>
  </si>
  <si>
    <t>Tier/Model Year Code</t>
  </si>
  <si>
    <t>Deterioration Product (years)</t>
  </si>
  <si>
    <t>First Year of Replacement Equipment Operation
(Expected)</t>
  </si>
  <si>
    <t>Dropdown Option (Years)</t>
  </si>
  <si>
    <t>GHG Emissions</t>
  </si>
  <si>
    <t>SADW California Climate Investments Funds</t>
  </si>
  <si>
    <t>Additional California Climate Investments Funds</t>
  </si>
  <si>
    <t>Non-California Climate Investments Funds</t>
  </si>
  <si>
    <t>Per SADW California Climate Investments Funds (MTCO2e)</t>
  </si>
  <si>
    <t>Total GHG Emission Reductions per SADW 
California Climate Investments Funds (MTCO2e/$)</t>
  </si>
  <si>
    <t>Remote NOx Emissions
(lbs)</t>
  </si>
  <si>
    <t>Remote ROG Emissions
(lbs)</t>
  </si>
  <si>
    <t>Remote PM10 Emissions
(lbs)</t>
  </si>
  <si>
    <t>Remote PM2.5 Emissions
(lbs)</t>
  </si>
  <si>
    <t>Total Diesel PM emission reductions (lbs)</t>
  </si>
  <si>
    <t>Model Year Range</t>
  </si>
  <si>
    <t>Total
Diesel PM Reductions (lbs)</t>
  </si>
  <si>
    <t>Total
PM 2.5 Reductions (lbs)</t>
  </si>
  <si>
    <t>Total
Reactive Organic Gases Reductions (lbs)</t>
  </si>
  <si>
    <t>Remote
PM 2.5 Reductions (lbs)</t>
  </si>
  <si>
    <t>Remote
Reactive Organic Gases Reductions (lbs)</t>
  </si>
  <si>
    <t>Fuel Type2</t>
  </si>
  <si>
    <t>Model Year3</t>
  </si>
  <si>
    <t>Engine Tier4</t>
  </si>
  <si>
    <t>Controlled/ Uncontrolled5</t>
  </si>
  <si>
    <t>Horsepower6</t>
  </si>
  <si>
    <t>Load Factor7</t>
  </si>
  <si>
    <t>Usage 
(hours/year)8</t>
  </si>
  <si>
    <t>BSFC 
(lbs/hp-hr)9</t>
  </si>
  <si>
    <t>Fuel Density 
(lb/gal, lb/scf for CNG)10</t>
  </si>
  <si>
    <t>Annual Fuel Use11</t>
  </si>
  <si>
    <t>Fuel Unit12</t>
  </si>
  <si>
    <t>Fuel Carbon Content13</t>
  </si>
  <si>
    <t>Carbon Content Unit14</t>
  </si>
  <si>
    <t>Model Year Range15</t>
  </si>
  <si>
    <t>Fuel Type Code16</t>
  </si>
  <si>
    <t>Horsepower Code17</t>
  </si>
  <si>
    <t>Tier/Model Year Code18</t>
  </si>
  <si>
    <t>EF Code19</t>
  </si>
  <si>
    <t>NOx EF 
(g/bhp-hr)20</t>
  </si>
  <si>
    <t>ROG EF 
(g/bhp-hr)21</t>
  </si>
  <si>
    <t>PM10 EF 
(g/bhp-hr)22</t>
  </si>
  <si>
    <t>NOx DR EF 
(g/bhp-hr-hr)23</t>
  </si>
  <si>
    <t>ROG DR EF 
(g/bhp-hr-hr)24</t>
  </si>
  <si>
    <t>PM10 DR EF 
(g/bhp-hr-hr)25</t>
  </si>
  <si>
    <t>Deterioration Life
(years)26</t>
  </si>
  <si>
    <t>Total NOX 
(lbs)27</t>
  </si>
  <si>
    <t>Total ROG 
(lbs)28</t>
  </si>
  <si>
    <t>Total PM10 
(lbs)29</t>
  </si>
  <si>
    <t>Total Diesel PM 
(lbs)30</t>
  </si>
  <si>
    <t>Total PM2.5 
(lbs)31</t>
  </si>
  <si>
    <t>Total NOX 
(lbs)32</t>
  </si>
  <si>
    <t>Total ROG 
(lbs)33</t>
  </si>
  <si>
    <t>Total PM10 
(lbs)34</t>
  </si>
  <si>
    <t>Total Diesel PM 
(lbs)35</t>
  </si>
  <si>
    <t>Total PM2.5 
(lbs)36</t>
  </si>
  <si>
    <t>Required_1?2</t>
  </si>
  <si>
    <t>Required_1?3</t>
  </si>
  <si>
    <t>Required_1?4</t>
  </si>
  <si>
    <t>Required_1?5</t>
  </si>
  <si>
    <t>Required_1?6</t>
  </si>
  <si>
    <t>Required_1?7</t>
  </si>
  <si>
    <t>Required_1?8</t>
  </si>
  <si>
    <t>Required_1?9</t>
  </si>
  <si>
    <t>Required_1?10</t>
  </si>
  <si>
    <t>Required_1?11</t>
  </si>
  <si>
    <t>Required_1?12</t>
  </si>
  <si>
    <t>Required_1?13</t>
  </si>
  <si>
    <t>Required_1?14</t>
  </si>
  <si>
    <t>Required_1?15</t>
  </si>
  <si>
    <t>Required_1?16</t>
  </si>
  <si>
    <t>Required_1?17</t>
  </si>
  <si>
    <t>Benefits Calculator Tool</t>
  </si>
  <si>
    <t>https://ww2.arb.ca.gov/sites/default/files/classic/fuels/lcfs/fuelpathways/comments/tier2/elec_update.pdf</t>
  </si>
  <si>
    <t>grid electricity carbon intensity:</t>
  </si>
  <si>
    <t>Baseline Fuel Type</t>
  </si>
  <si>
    <t>Baseline Model Year</t>
  </si>
  <si>
    <t>Baseline Engine Tier</t>
  </si>
  <si>
    <t>Baseline (Controlled/ Uncontrolled)</t>
  </si>
  <si>
    <t>Baseline Horsepower</t>
  </si>
  <si>
    <t>Baseline Load Factor</t>
  </si>
  <si>
    <t>Baseline Usage 
(hours/year)</t>
  </si>
  <si>
    <t>Replacement Fuel Type</t>
  </si>
  <si>
    <t>Replacement Model Year</t>
  </si>
  <si>
    <t>Replacement Engine Tier</t>
  </si>
  <si>
    <t>Replacement (Controlled/
Uncontrolled)</t>
  </si>
  <si>
    <t>Replacement Horsepower</t>
  </si>
  <si>
    <t>Replacement Load Factor</t>
  </si>
  <si>
    <t>Replacement Usage 
(hours/year)</t>
  </si>
  <si>
    <t>Fuel Density 
(lb/gal, or lb/scf for CNG)</t>
  </si>
  <si>
    <t>Energy Density 
(MJ/gal, or MJ/scf for CNG)</t>
  </si>
  <si>
    <t>Baseline Deterioration</t>
  </si>
  <si>
    <t>Replacement Deterioration</t>
  </si>
  <si>
    <t>Required_1?102</t>
  </si>
  <si>
    <t>Yes, Booster Pump VFD</t>
  </si>
  <si>
    <t>Yes, Well Pump VFD</t>
  </si>
  <si>
    <t>No, VFD Not Installed</t>
  </si>
  <si>
    <t>No, VFD Already Installed</t>
  </si>
  <si>
    <t>Variable Frequency Drive Installation (Yes/No)</t>
  </si>
  <si>
    <t>Variable Frequency Drive Emission Reductions</t>
  </si>
  <si>
    <t>Booster</t>
  </si>
  <si>
    <t>Well</t>
  </si>
  <si>
    <t>&lt;= 75</t>
  </si>
  <si>
    <t>&gt; 75 to &lt;= 150</t>
  </si>
  <si>
    <t>&gt; 75 to &lt;= 600</t>
  </si>
  <si>
    <t>Pump Size (Hp)</t>
  </si>
  <si>
    <t>VFD</t>
  </si>
  <si>
    <t>Energy Savings
(kWh/yr)</t>
  </si>
  <si>
    <t>Peak Demand Reductions
(kW)</t>
  </si>
  <si>
    <t>https://www.caetrm.com/measure/SWWP005/02/value-table/194772/</t>
  </si>
  <si>
    <t>CPUC. (2022). California Electronic Technical Reference Manual (eTRM). Enhanced Variable Frequency Drive on Irrigation Pump, Annual Unit Energy Savings.</t>
  </si>
  <si>
    <t>NOx Emission Reductions
(lb/yr)</t>
  </si>
  <si>
    <t>ROG Emission Reductions
(lb/yr)</t>
  </si>
  <si>
    <t>PM2.5 Emission Reductions
(lb/yr)</t>
  </si>
  <si>
    <t>GHG Emission Reductions
(MTCO2e/yr)</t>
  </si>
  <si>
    <t>GHG EmissionReductions
(MTCO2e)</t>
  </si>
  <si>
    <t>Remote NOx Emissions
(lbs)2</t>
  </si>
  <si>
    <t>Remote ROG Emissions
(lbs)3</t>
  </si>
  <si>
    <t>Remote PM2.5 Emissions
(lbs)4</t>
  </si>
  <si>
    <t>Remote ROG Emissions
(lbs)4</t>
  </si>
  <si>
    <t>PM10 Emission Reductions
(lb/yr)</t>
  </si>
  <si>
    <t>Deterioration Life
(years)27</t>
  </si>
  <si>
    <t>Total Equipment Activity (hr)</t>
  </si>
  <si>
    <t>on 2017 estimated annual average emissions. Criteria pollutant emissions data are available online at:</t>
  </si>
  <si>
    <t>Select Criteria Pollutant Electricity Emissions Data (2017)</t>
  </si>
  <si>
    <t>Is Baseline Pump Motor Energy Use Known? (Yes/No)</t>
  </si>
  <si>
    <t>Required_1?43</t>
  </si>
  <si>
    <t>Required_1?55</t>
  </si>
  <si>
    <t>Is Replacement Pump Motor Energy Use Known? (Yes/No)</t>
  </si>
  <si>
    <t>Annual Replacement Energy Use (kWh/yr)</t>
  </si>
  <si>
    <t>Annual Baseline Energy Use (kWh/yr)</t>
  </si>
  <si>
    <t>Required_1?73</t>
  </si>
  <si>
    <t>Required_1?65</t>
  </si>
  <si>
    <t>Required_1?87</t>
  </si>
  <si>
    <t>Required_1?99</t>
  </si>
  <si>
    <t>Replacement Flow (gal/minute)</t>
  </si>
  <si>
    <t>Replacement Motor Efficiency (%)</t>
  </si>
  <si>
    <t>Replacement Pump Efficiency (%)</t>
  </si>
  <si>
    <t>Replacement Head (feet water column)</t>
  </si>
  <si>
    <t>Required_1?992</t>
  </si>
  <si>
    <t>Required_1?993</t>
  </si>
  <si>
    <t>Required_1?92</t>
  </si>
  <si>
    <t>Required_1?93</t>
  </si>
  <si>
    <t>Required_1?94</t>
  </si>
  <si>
    <t>Required_1?9933</t>
  </si>
  <si>
    <t>Required_1?95</t>
  </si>
  <si>
    <t>Baseline Horsepower 
(Hp)</t>
  </si>
  <si>
    <t>Required_1?9934</t>
  </si>
  <si>
    <t>Replacement Horsepower (Hp)</t>
  </si>
  <si>
    <t>Baseline Annual Energy Use</t>
  </si>
  <si>
    <t>Replacement Annual Energy Use</t>
  </si>
  <si>
    <t>Annual GHG Emissions</t>
  </si>
  <si>
    <t>Baseline VFD Energy Savings (kWh)</t>
  </si>
  <si>
    <t>Replacement VFD Energy Savings (kWh)</t>
  </si>
  <si>
    <t>MTCO2e/kWh</t>
  </si>
  <si>
    <t>Replacement Motor Energy Use (kWh)</t>
  </si>
  <si>
    <t>Baseline Motor Energy Use (kWh)</t>
  </si>
  <si>
    <t>Estimated Baseline Motor Energy Use (kWh)</t>
  </si>
  <si>
    <t>Estimated Replacement Motor Energy Use (kWh)</t>
  </si>
  <si>
    <t>Required_1?943</t>
  </si>
  <si>
    <t>Required_1?99343</t>
  </si>
  <si>
    <t>Replacement VFD Efficiency (%)</t>
  </si>
  <si>
    <t>Total NOX 
(lbs)</t>
  </si>
  <si>
    <t>Total PM10 
(lbs)</t>
  </si>
  <si>
    <t>Total PM2.5 
(lbs)</t>
  </si>
  <si>
    <t>Total Energy Use Reductions (kWh)</t>
  </si>
  <si>
    <t>Baseline Flow (gal/minute)</t>
  </si>
  <si>
    <t>Baseline Head (feet water column)</t>
  </si>
  <si>
    <t>Baseline Pump Efficiency (%)</t>
  </si>
  <si>
    <t>Baseline Motor Efficiency (%)</t>
  </si>
  <si>
    <t>Baseline VFD?</t>
  </si>
  <si>
    <t>Baseline VFD Efficiency (%)</t>
  </si>
  <si>
    <t>Baseline VFD Energy Use Reductions (kWh/yr)</t>
  </si>
  <si>
    <t>Baseline Horsepower (Hp)</t>
  </si>
  <si>
    <t>Replacement VFD?</t>
  </si>
  <si>
    <t>Replacement Variable Frequency Energy Savings (kWh/yr)</t>
  </si>
  <si>
    <t>Air Pollution Emission Reductions</t>
  </si>
  <si>
    <t>Energy Estimates</t>
  </si>
  <si>
    <t>Energy Costs</t>
  </si>
  <si>
    <t>Baseline Pump Motor Annual Energy Use (kWh/yr)</t>
  </si>
  <si>
    <t>Baseline Variable Frequency Drive? (VFD)</t>
  </si>
  <si>
    <t>Baseline VFD Energy Savings (kWh/yr)</t>
  </si>
  <si>
    <t>Replacement Pump Annual Energy Use (kWh/yr)</t>
  </si>
  <si>
    <t>Replacement Head 
(feet water column)</t>
  </si>
  <si>
    <t>Replacement Variable Frequency Drive? (VFD)</t>
  </si>
  <si>
    <t>Replacement VFD Energy Savings (kWh/yr)</t>
  </si>
  <si>
    <t>Total Annual VMT 
(Miles/Year)</t>
  </si>
  <si>
    <t>Miles Traveled / Year
(Annual Total for All Vehicles)</t>
  </si>
  <si>
    <t>Miles Traveled / Year
(Annual Total for 
All Vehicles)</t>
  </si>
  <si>
    <t>Data Dictionary</t>
  </si>
  <si>
    <t>Data Field</t>
  </si>
  <si>
    <t>Format</t>
  </si>
  <si>
    <t>Definition</t>
  </si>
  <si>
    <t>Limit 254 characters.</t>
  </si>
  <si>
    <t>Text.</t>
  </si>
  <si>
    <t>Do not precede with $.</t>
  </si>
  <si>
    <t>Project Info Tab</t>
  </si>
  <si>
    <t>Total project cost, including GGRF and non-GGRF monies.</t>
  </si>
  <si>
    <t>Auto-calculated.</t>
  </si>
  <si>
    <t>Project ID assigned by the State Water Resources Control Board.</t>
  </si>
  <si>
    <t>Name of the project per the grant agreement.</t>
  </si>
  <si>
    <t>Phone number for the contact person named.</t>
  </si>
  <si>
    <t>Contact who can verify the project information input into the tool.</t>
  </si>
  <si>
    <t>Email for the contact person named.</t>
  </si>
  <si>
    <t>Date this tool was completed for this project.</t>
  </si>
  <si>
    <t>Total project cost that is or will be paid for by the Greenhouse Gas Reduction Fund (GGRF) via the Safe and Affordable Drinking Water Fund (SADW Fund).</t>
  </si>
  <si>
    <t>Total project cost that is or will be paid for by the GGRF that is paid from other GGRF sources.</t>
  </si>
  <si>
    <t>Total project cost that is paid for by non-GGRF monies.</t>
  </si>
  <si>
    <t>Non-Elec PumpReplacement Inputs</t>
  </si>
  <si>
    <t>Electric PumpReplacement Inputs</t>
  </si>
  <si>
    <t>Solar PV Inputs</t>
  </si>
  <si>
    <t>Energy Efficiency Inputs</t>
  </si>
  <si>
    <t>Baseline Flow
(gal/minute)</t>
  </si>
  <si>
    <t>Baseline Head
(feet water column)</t>
  </si>
  <si>
    <t>Baseline Pump Efficiency 
(%)</t>
  </si>
  <si>
    <t>Baseline Motor Efficiency
(%)</t>
  </si>
  <si>
    <t>Baseline Variable Frequency Drive?
(VFD)</t>
  </si>
  <si>
    <t>Baseline VFD Efficiency
(%)</t>
  </si>
  <si>
    <t>Baseline VFD Energy Savings
(kWh/yr)</t>
  </si>
  <si>
    <t>Replacement Pump Annual Energy Use
(kWh/yr)</t>
  </si>
  <si>
    <t>Replacement Flow
(gal/minute)</t>
  </si>
  <si>
    <t>Replacement Pump Efficiency
(%)</t>
  </si>
  <si>
    <t>Replacement Motor Efficiency
(%)</t>
  </si>
  <si>
    <t>Replacement Variable Frequency Drive?
(VFD)</t>
  </si>
  <si>
    <t>Replacement VFD Efficiency
(%)</t>
  </si>
  <si>
    <t>Replacement VFD Energy Savings
(kWh/yr)</t>
  </si>
  <si>
    <t>Replacement Horsepower
(Hp)</t>
  </si>
  <si>
    <t>Annual Solar PV Electricity Generation
(kWh/year)</t>
  </si>
  <si>
    <t>Total Solar PV Electricity Generation
(kWh)</t>
  </si>
  <si>
    <t>Remote ROG Emission Reductions
(lbs)</t>
  </si>
  <si>
    <t>Interim Water Delivery Inputs</t>
  </si>
  <si>
    <t>GHG Summary</t>
  </si>
  <si>
    <t>Total GHG Emission Reductions per Total Funds (MTCO2e/$)</t>
  </si>
  <si>
    <t>GHG Reductions Per SADW California Climate Investments Funds (MTCO2e)</t>
  </si>
  <si>
    <t>GHG Reductions Per Total Funds  (MTCO2e)</t>
  </si>
  <si>
    <t>Co-Benefits Summary</t>
  </si>
  <si>
    <t>Grant ID assigned by the State Water Resources Control Board.</t>
  </si>
  <si>
    <t>Expected useful life of the replacement equipment (Maximum is 10 years).</t>
  </si>
  <si>
    <t>Expected installation date (first year of operation).</t>
  </si>
  <si>
    <t>Dropdown Option.</t>
  </si>
  <si>
    <t>Select the fuel type for the baseline engine: Diesel (DESL), Gasoline (GAS), CNG (Compressed Natural Gas), Liquefied Natural Gas (LNG), Liquefied Petroleum Gas (LPG), Propane (PROP)</t>
  </si>
  <si>
    <t>Select the manufacture date for the baseline engine (model year).</t>
  </si>
  <si>
    <t xml:space="preserve">Select whether the engine has an emission control system (controlled) or not (uncontrolled). </t>
  </si>
  <si>
    <t>For controlled diesel engines, select the baseline engine tier (Tier 1, Tier 2, Tier 3, Tier 4 (Phase-Out), Tier 4 (Phase-In or Alt. NOx), or Tier 4 (Final)).</t>
  </si>
  <si>
    <t>Number.</t>
  </si>
  <si>
    <t>Enter the Maximum Rated Horsepower for the baseline pump engine (listed on the nameplate of the engine).</t>
  </si>
  <si>
    <t>(Optional) Number.</t>
  </si>
  <si>
    <t>MM/DD/YYYY.</t>
  </si>
  <si>
    <t>YYYY.</t>
  </si>
  <si>
    <t>Whole Number.</t>
  </si>
  <si>
    <t>Enter the annual activity of the baseline pump engine in hours.</t>
  </si>
  <si>
    <t>Select the applicable option for variable frequency drive installation (Yes, well pump VFD; Yes, booster pump VFD; No, VFD not installed; No, VFD already installed).</t>
  </si>
  <si>
    <t>(Optional) Dropdown Option.</t>
  </si>
  <si>
    <t>Select the fuel type for the replacement engine: Diesel (DESL), Gasoline (GAS), CNG (Compressed Natural Gas), Liquefied Natural Gas (LNG), Liquefied Petroleum Gas (LPG), Propane (PROP)</t>
  </si>
  <si>
    <t>Select the manufacture date for the replacement engine (model year).</t>
  </si>
  <si>
    <t>For controlled diesel engines, select the replacement engine tier (Tier 1, Tier 2, Tier 3, Tier 4 (Phase-Out), Tier 4 (Phase-In or Alt. NOx), or Tier 4 (Final)).</t>
  </si>
  <si>
    <t>Enter the Maximum Rated Horsepower for the replacement pump engine (listed on the nameplate of the engine).</t>
  </si>
  <si>
    <t>Enter the annual activity of the replacement pump engine in hours.</t>
  </si>
  <si>
    <t>Enter the Load Factor for the replacement pump engine.  If left blank, a default value of 0.65 will be used.  The load factor can be calculated by dividing the total annual consumption of electrical energy (kWh) by the product of the maximum demand (kW) and the total annual activity (hours).</t>
  </si>
  <si>
    <t>Enter the Load Factor for the baseline pump engine.  If left blank, a default value of 0.65 will be used.  The load factor can be calculated by dividing the total annual consumption of electrical energy (kWh) by the product of the maximum demand (kW) and the total annual activity (hours).</t>
  </si>
  <si>
    <t>Enter Yes if energy use of the baseline pump engine is known from energy meter reading logs.  If energy meter readings are unavailable, select No.</t>
  </si>
  <si>
    <t>Enter the baseline pump engine annual energy use (kWh/yr) if available from energy meter reading logs.</t>
  </si>
  <si>
    <t>Enter the average pump flow rate in gallons per minute for the baseline equipment.</t>
  </si>
  <si>
    <t>Enter the pump head for the baseline equipment in feet of water column.</t>
  </si>
  <si>
    <t>Whole Number (%).</t>
  </si>
  <si>
    <t>Enter the percent efficiency for the baseline pump (listed on the nameplate of the pump).</t>
  </si>
  <si>
    <t>Enter the percent efficiency for the baseline pump engine (listed on the nameplate of the engine motor).</t>
  </si>
  <si>
    <t>Select the applicable option for variable frequency drive installation (Yes, well pump VFD; Yes, booster pump VFD; No, VFD not installed).</t>
  </si>
  <si>
    <t xml:space="preserve">If known, enter the annual energy savings in kWh/yr from the variable frequency drive on the baseline pump motor engine.  If left blank, the applicable default value from the California Electronic Technical Reference Manual will be used.  </t>
  </si>
  <si>
    <t>Baseline Usage
(hours/year)</t>
  </si>
  <si>
    <t>Replacement Usage
(hr/yr)</t>
  </si>
  <si>
    <t>Replacement Usage (hr/yr)</t>
  </si>
  <si>
    <t>Baseline Usage 
(hr/yr)</t>
  </si>
  <si>
    <t>Enter Yes if energy use of the replacement pump engine is known from energy meter reading logs.  If energy meter readings are unavailable, select No.</t>
  </si>
  <si>
    <t>Enter the replacement pump engine annual energy use (kWh/yr) if available from energy meter reading logs.</t>
  </si>
  <si>
    <t>Enter the average pump flow rate in gallons per minute for the replacement equipment.</t>
  </si>
  <si>
    <t>Enter the pump head for the replacement equipment in feet of water column.</t>
  </si>
  <si>
    <t>Enter the percent efficiency for the replacement pump (listed on the nameplate of the pump).</t>
  </si>
  <si>
    <t>Enter the percent efficiency for the replacement pump engine (listed on the nameplate of the engine motor).</t>
  </si>
  <si>
    <t>Enter the percent efficiency for the replacement pump engine (listed on the nameplate of the variable frequency drive).</t>
  </si>
  <si>
    <t xml:space="preserve">If known, enter the annual energy savings in kWh/yr from the variable frequency drive on the replacement pump motor engine.  If left blank, the applicable default value from the California Electronic Technical Reference Manual will be used.  </t>
  </si>
  <si>
    <t>GHG emission reductions from renewable energy production (avoided emissions from grid-electricity energy production)</t>
  </si>
  <si>
    <t>Reactive Organic Gases (ROG) emission reductions from renewable energy production (avoided emissions from grid-electricity energy production)</t>
  </si>
  <si>
    <t>Nitrous oxides (NOx) emission reductions from renewable energy production (avoided emissions from grid-electricity energy production)</t>
  </si>
  <si>
    <t>Particulate Matter under 2.5 microns (PM2.5) emission reductions from renewable energy production (avoided emissions from grid-electricity energy production)</t>
  </si>
  <si>
    <t>Enter the annual renewable energy generation calculated from PV Watts.</t>
  </si>
  <si>
    <t>Total renewable energy production over the project life (kWh).</t>
  </si>
  <si>
    <t>Describe energy efficiency measures installed.</t>
  </si>
  <si>
    <t>Annual operation hours of the baseline equipment (hours/year).</t>
  </si>
  <si>
    <t>Annual operation hours of the retrofit replacement equipment (hours/year).</t>
  </si>
  <si>
    <t>Useful life of the replacement equipment (must not exceed the project life of the retrofit quantification methodology approved by CARB, such as the Low-Income Weatherization Program Quantification Methodology).</t>
  </si>
  <si>
    <t>Quantity of efficiency measures installed.</t>
  </si>
  <si>
    <t>Number of years for delivery service (Maximum is two years).</t>
  </si>
  <si>
    <t>Enter the total number of vehicles in the vehicle type category selected.</t>
  </si>
  <si>
    <t>Type of fuel for the vehicle(s): Battery Electric, Fuel Cell Electric, Plug-in Hybrid, Gasoline, or Diesel.</t>
  </si>
  <si>
    <t>Select the vehicle type category.  See the Appendix of the User Guide for definitions of the vehicle type categories.</t>
  </si>
  <si>
    <t>Select the project type: Bottled Water Delivery or Hauled Water Delivery.</t>
  </si>
  <si>
    <t>Auto-generated from Project Info Tab.</t>
  </si>
  <si>
    <t>Local NOx emission reductions 
(lbs)</t>
  </si>
  <si>
    <t>Local ROG emission reductions 
(lbs)</t>
  </si>
  <si>
    <t>Local PM2.5 emission reductions 
(lbs)</t>
  </si>
  <si>
    <t>Local Diesel PM emission reductions 
(lbs)</t>
  </si>
  <si>
    <t>Remote NOx emission reductions 
(lbs)</t>
  </si>
  <si>
    <t>Remote ROG emission reductions 
(lbs)</t>
  </si>
  <si>
    <t>Remote PM2.5 emission reductions 
(lbs)</t>
  </si>
  <si>
    <t>Total NOx emission reductions 
(lbs)</t>
  </si>
  <si>
    <t>Total ROG emission reductions 
(lbs)</t>
  </si>
  <si>
    <t>Total PM2.5 emission reductions 
(lbs)</t>
  </si>
  <si>
    <t>Total Diesel PM emission reductions 
(lbs)</t>
  </si>
  <si>
    <t>Renewable Energy Generation 
(kWh)</t>
  </si>
  <si>
    <t>Fossil Fuel Use Reductions 
(gal)</t>
  </si>
  <si>
    <t>Energy and Fuel Cost Savings 
($)</t>
  </si>
  <si>
    <t>Apportioned co-benefits attributed to SADW Fund GGRF dollars invested.</t>
  </si>
  <si>
    <t>Co-benefits per total dollars invested.</t>
  </si>
  <si>
    <t>Apportioned total GHG emission reductions in metric tons of CO2e from the SADW Project (GGRF) dollars.</t>
  </si>
  <si>
    <t>Total GHG emission reductions in metric tons of CO2e.</t>
  </si>
  <si>
    <t>Total GHG emission reductions in metric tons of CO2e per SADW Fund GGRF dollar invested.</t>
  </si>
  <si>
    <t>Total GHG emission reductions in metric tons of CO2e per dollar invested.</t>
  </si>
  <si>
    <t>Reduction in emissions of nitrogen oxides (NOx) as a result of the project as estimated using the CARB Benefits Calculator Tool.  If there is an emission increase, this is a negative number.  This is the sum of local and remote emission reductions.</t>
  </si>
  <si>
    <t>Reduction in emissions of reactive organic gases as a result of the project as estimated using the CARB Benefits Calculator Tool.  If there is an emission increase, this is a negative number.  This is the sum of the local and remote emissions reductions.</t>
  </si>
  <si>
    <t>Reduction in emissions particulate matter less than 2.5 microns in diameter as estimated using the CARB Benefits Calculator Tool.  If there is an emission increase, this is a negative number.   This is the sum of the local and remote emissions reductions.</t>
  </si>
  <si>
    <t>Reduction in emissions of diesel particulate matter as a result of the project as estimated using the CARB Benefits Calculator Tool.  If there is an emission increase, enter a negative number.</t>
  </si>
  <si>
    <t>Non-local emission reductions of nitrogen oxides as a result of the project.  This is a SUBSET of the total NOx reductions from the project (ex: grid electricity emission reductions).  If there is an emission increase, this is a negative number.</t>
  </si>
  <si>
    <t>Non-local emission reductions of reactive organic gases as a result of the project.  This is a SUBSET of the total ROG reductions from the project (ex: grid electricity emission reductions).  If there is an emission increase, this is a negative number.</t>
  </si>
  <si>
    <t>Non-local emission reductions of particulate matter 2.5 as a result of the project.  This is a SUBSET of the total PM2.5 reductions from the project (ex: grid electricity emission reductions).  If there is an emission increase, this is a negative number.</t>
  </si>
  <si>
    <t>Localized emission reductions of nitrogen oxides as a result of the project.  This is a SUBSET of the total NOx reductions from the project (emission reductions at the project location).  If there is an emission increase, this is a negative number.</t>
  </si>
  <si>
    <t>Localized emission reductions of reactive organic gases as a result of the project.  This is a SUBSET of the total ROG reductions from the project (emission reductions at the project location).  If there is an emission increase, this is a negative number.</t>
  </si>
  <si>
    <t>Localized emission reductions of particulate matter 2.5 as a result of the project.  This is a SUBSET of the total PM2.5 reductions from the project (emission reductions at the project location).  If there is an emission increase, this is a negative number.</t>
  </si>
  <si>
    <t>Localized emission reductions of diesel particulate matter as a result of the project (emission reductions at the project location).  This is equal to the total diesel particulate matter emission reductions.  If there is an emission increase, this is a negative number.</t>
  </si>
  <si>
    <t xml:space="preserve">Renewable energy generated as a result of this project, in kWh, as estimated using the CARB Benefits Calcualtor Tool. </t>
  </si>
  <si>
    <t>Energy saved as a result of this project, in kWh, as estimated using the CARB Benefits Calculator Tool.  This includes only direct reductions, and does not include estimated fossil fuel based energy displaced by generation of renewable energy.</t>
  </si>
  <si>
    <t>Energy Savings (kWh)</t>
  </si>
  <si>
    <t>Gallons of fossil fuel reductions as a result of this project.  If there is a fossil fuel use increase, this is a negative number.</t>
  </si>
  <si>
    <t>Energy and fuel cost savings as a result of the project as estimated using the CARB Benefits Calculator Tool.  If there is a cost increase, this is a negative number.</t>
  </si>
  <si>
    <t>(Optional) Whole Number (%).</t>
  </si>
  <si>
    <t>Enter the percent efficiency for the baseline pump engine (listed on the nameplate of the variable frequency drive).  If unknown, the default value of 97% will be used.</t>
  </si>
  <si>
    <t>Select the type of electricity use avoided from the renewable energy generation (residential or commercial).  This is the sector which will consume the majority of the electricity generated.</t>
  </si>
  <si>
    <t>Energy demand of the baseline equipment (Watts).</t>
  </si>
  <si>
    <t>Energy demand of the retrofit replacement equipment (Watts).</t>
  </si>
  <si>
    <t>Enter the number of miles traveled by all vehicles in the vehicle type category selected.  This is the total number of miles traveled by all vehicles of the same vehicle type.  If unknown, the default value of 13,123 miles traveled per vehicle will be used.</t>
  </si>
  <si>
    <t>Number of Households Served Annually</t>
  </si>
  <si>
    <t>Programs using the Passenger Auto GHG emission factors include:</t>
  </si>
  <si>
    <t>Agency</t>
  </si>
  <si>
    <t>Program</t>
  </si>
  <si>
    <t>Low Carbon Transportation Program – Clean Mobility in Schools Pilot Project</t>
  </si>
  <si>
    <t>Low Carbon Transportation Program – Clean Mobility Options</t>
  </si>
  <si>
    <t>Low Carbon Transportation Program – Sustainable Transportation Equity Project</t>
  </si>
  <si>
    <t>California Department of Transportation</t>
  </si>
  <si>
    <t>Low Carbon Transit Operations Program</t>
  </si>
  <si>
    <t>California Natural Resources Agency</t>
  </si>
  <si>
    <t>Urban Greening Program</t>
  </si>
  <si>
    <t xml:space="preserve">California State Transportation Agency </t>
  </si>
  <si>
    <t>Transit and Intercity Rail Capital Program</t>
  </si>
  <si>
    <t>Strategic Growth Council</t>
  </si>
  <si>
    <t>Affordable Housing and Sustainable Communities Program</t>
  </si>
  <si>
    <t>Agricultural Conservation Easements, Agricultural Land Conservation, Biomass Utilization</t>
  </si>
  <si>
    <t>Sustainable Agricultural Lands Conservation Program</t>
  </si>
  <si>
    <t>Wildlife Conservation Board</t>
  </si>
  <si>
    <t>Climate Adaptation and Resilience Program</t>
  </si>
  <si>
    <t>GHG Emission Factors for Autos</t>
  </si>
  <si>
    <t>EMFAC2017 (v1.0.2) Emissions</t>
  </si>
  <si>
    <t>Region Type:  County and Air Basin</t>
  </si>
  <si>
    <t>Calendar Year:  2015, 2016, 2017, 2018, 2019, 2020, 2021, 2022, 2023, 2024, 2025, 2026, 2027, 2028, 2029, 2030, 2031, 2032, 2033, 2034, 2035,</t>
  </si>
  <si>
    <t>2036, 2037, 2038, 2039, 2040, 2041, 2042, 2043, 2044, 2045, 2046, 2047, 2048, 2049, 2050</t>
  </si>
  <si>
    <t>Model Year:  All model years</t>
  </si>
  <si>
    <t>Fuel:  All</t>
  </si>
  <si>
    <t>Units:  miles/day for VMT, trips/day for Trips, tons/day for Emissions, 1000 gallons/day for Fuel Consumption</t>
  </si>
  <si>
    <t>* Passenger auto GHGs are annually weighted to account for the four different vehicle class types (LDA, LDT1, LDT2, MDV). The weighting is</t>
  </si>
  <si>
    <r>
      <rPr>
        <b/>
        <sz val="12"/>
        <color theme="1"/>
        <rFont val="Avenir LT Std 55 Roman"/>
        <family val="2"/>
      </rPr>
      <t>calculated as follows:</t>
    </r>
    <r>
      <rPr>
        <sz val="12"/>
        <color theme="1"/>
        <rFont val="Avenir LT Std 55 Roman"/>
        <family val="2"/>
      </rPr>
      <t xml:space="preserve"> The annual fuel consumption (gallons/day) from each vehicle class type using both diesel and gasoline is calculated and</t>
    </r>
  </si>
  <si>
    <r>
      <t>multiplied by the relevant fuel specific Low Carbon Fuel Standard (LCFS) emission factor (g CO</t>
    </r>
    <r>
      <rPr>
        <vertAlign val="subscript"/>
        <sz val="12"/>
        <color theme="1"/>
        <rFont val="Avenir LT Std 55 Roman"/>
        <family val="2"/>
      </rPr>
      <t>2</t>
    </r>
    <r>
      <rPr>
        <sz val="12"/>
        <color theme="1"/>
        <rFont val="Avenir LT Std 55 Roman"/>
        <family val="2"/>
      </rPr>
      <t>e/gallon) to generate values in emissions per day</t>
    </r>
  </si>
  <si>
    <r>
      <t>(g CO</t>
    </r>
    <r>
      <rPr>
        <vertAlign val="subscript"/>
        <sz val="12"/>
        <color theme="1"/>
        <rFont val="Avenir LT Std 55 Roman"/>
        <family val="2"/>
      </rPr>
      <t>2</t>
    </r>
    <r>
      <rPr>
        <sz val="12"/>
        <color theme="1"/>
        <rFont val="Avenir LT Std 55 Roman"/>
        <family val="2"/>
      </rPr>
      <t>e/day). The summation of the emissions per day values is divided by the summation of the associated annual vehicle miles traveled (VMT)</t>
    </r>
  </si>
  <si>
    <t>(miles/day) driven by each vehicle class using both diesel and gasoline. The final result is an annually weighted GHG emission factor in grams of</t>
  </si>
  <si>
    <r>
      <t>carbon dioxide equivalent (CO</t>
    </r>
    <r>
      <rPr>
        <vertAlign val="subscript"/>
        <sz val="12"/>
        <color theme="1"/>
        <rFont val="Avenir LT Std 55 Roman"/>
        <family val="2"/>
      </rPr>
      <t>2</t>
    </r>
    <r>
      <rPr>
        <sz val="12"/>
        <color theme="1"/>
        <rFont val="Avenir LT Std 55 Roman"/>
        <family val="2"/>
      </rPr>
      <t>e) per mile (g CO</t>
    </r>
    <r>
      <rPr>
        <vertAlign val="subscript"/>
        <sz val="12"/>
        <color theme="1"/>
        <rFont val="Avenir LT Std 55 Roman"/>
        <family val="2"/>
      </rPr>
      <t>2</t>
    </r>
    <r>
      <rPr>
        <sz val="12"/>
        <color theme="1"/>
        <rFont val="Avenir LT Std 55 Roman"/>
        <family val="2"/>
      </rPr>
      <t>e/mile).</t>
    </r>
  </si>
  <si>
    <t>Region</t>
  </si>
  <si>
    <t>CalYr</t>
  </si>
  <si>
    <t>Region_Yr</t>
  </si>
  <si>
    <r>
      <t>gCO</t>
    </r>
    <r>
      <rPr>
        <b/>
        <vertAlign val="subscript"/>
        <sz val="12"/>
        <rFont val="Avenir LT Std 55 Roman"/>
        <family val="2"/>
      </rPr>
      <t>2</t>
    </r>
    <r>
      <rPr>
        <b/>
        <sz val="12"/>
        <rFont val="Avenir LT Std 55 Roman"/>
        <family val="2"/>
      </rPr>
      <t>e/mile</t>
    </r>
  </si>
  <si>
    <t>Alameda</t>
  </si>
  <si>
    <t>Alameda_2015</t>
  </si>
  <si>
    <t>Alameda_2016</t>
  </si>
  <si>
    <t>Alpine</t>
  </si>
  <si>
    <t>Alpine_2015</t>
  </si>
  <si>
    <t>Alpine_2016</t>
  </si>
  <si>
    <t>Amador</t>
  </si>
  <si>
    <t>Amador_2015</t>
  </si>
  <si>
    <t>Amador_2016</t>
  </si>
  <si>
    <t>Butte</t>
  </si>
  <si>
    <t>Butte_2015</t>
  </si>
  <si>
    <t>Butte_2016</t>
  </si>
  <si>
    <t>Calaveras</t>
  </si>
  <si>
    <t>Calaveras_2015</t>
  </si>
  <si>
    <t>Calaveras_2016</t>
  </si>
  <si>
    <t>Colusa</t>
  </si>
  <si>
    <t>Colusa _2015</t>
  </si>
  <si>
    <t>Colusa _2016</t>
  </si>
  <si>
    <t>Contra Costa</t>
  </si>
  <si>
    <t>Contra Costa_2015</t>
  </si>
  <si>
    <t>Contra Costa_2016</t>
  </si>
  <si>
    <t>Del Norte</t>
  </si>
  <si>
    <t>Del Norte_2015</t>
  </si>
  <si>
    <t>Del Norte_2016</t>
  </si>
  <si>
    <t>El Dorado</t>
  </si>
  <si>
    <t>El Dorado_2015</t>
  </si>
  <si>
    <t>El Dorado_2016</t>
  </si>
  <si>
    <t>Fresno</t>
  </si>
  <si>
    <t>Fresno_2015</t>
  </si>
  <si>
    <t>Fresno_2016</t>
  </si>
  <si>
    <t>Glenn</t>
  </si>
  <si>
    <t>Glenn_2015</t>
  </si>
  <si>
    <t>Glenn_2016</t>
  </si>
  <si>
    <t>Great Basin Valley</t>
  </si>
  <si>
    <t>Humboldt</t>
  </si>
  <si>
    <t>Humboldt_2015</t>
  </si>
  <si>
    <t>Humboldt_2016</t>
  </si>
  <si>
    <t>Imperial</t>
  </si>
  <si>
    <t>Imperial_2015</t>
  </si>
  <si>
    <t>Imperial_2016</t>
  </si>
  <si>
    <t>Inyo</t>
  </si>
  <si>
    <t>Inyo_2015</t>
  </si>
  <si>
    <t>Inyo_2016</t>
  </si>
  <si>
    <t>Kern</t>
  </si>
  <si>
    <t>Kern_2015</t>
  </si>
  <si>
    <t>Kern_2016</t>
  </si>
  <si>
    <t>Kings</t>
  </si>
  <si>
    <t>Kings_2015</t>
  </si>
  <si>
    <t>Kings_2016</t>
  </si>
  <si>
    <t>Lake County (Air Basin)</t>
  </si>
  <si>
    <t>Lake Tahoe</t>
  </si>
  <si>
    <t>Lake</t>
  </si>
  <si>
    <t>Lake_2015</t>
  </si>
  <si>
    <t>Lake_2016</t>
  </si>
  <si>
    <t>Lassen</t>
  </si>
  <si>
    <t>Lassen_2015</t>
  </si>
  <si>
    <t>Lassen_2016</t>
  </si>
  <si>
    <t>Los Angeles</t>
  </si>
  <si>
    <t>Los Angeles_2015</t>
  </si>
  <si>
    <t>Los Angeles_2016</t>
  </si>
  <si>
    <t>Madera</t>
  </si>
  <si>
    <t>Madera_2015</t>
  </si>
  <si>
    <t>Madera_2016</t>
  </si>
  <si>
    <t>Marin</t>
  </si>
  <si>
    <t>Marin_2015</t>
  </si>
  <si>
    <t>Marin_2016</t>
  </si>
  <si>
    <t>Mariposa</t>
  </si>
  <si>
    <t>Mariposa_2015</t>
  </si>
  <si>
    <t>Mariposa_2016</t>
  </si>
  <si>
    <t>Mendocino</t>
  </si>
  <si>
    <t>Mendocino_2015</t>
  </si>
  <si>
    <t>Mendocino_2016</t>
  </si>
  <si>
    <t>Merced</t>
  </si>
  <si>
    <t>Merced_2015</t>
  </si>
  <si>
    <t>Merced_2016</t>
  </si>
  <si>
    <t>Modoc</t>
  </si>
  <si>
    <t>Modoc_2015</t>
  </si>
  <si>
    <t>Modoc_2016</t>
  </si>
  <si>
    <t>Mojave Desert</t>
  </si>
  <si>
    <t>Mono</t>
  </si>
  <si>
    <t>Mono_2015</t>
  </si>
  <si>
    <t>Mono_2016</t>
  </si>
  <si>
    <t>Monterey</t>
  </si>
  <si>
    <t>Monterey_2015</t>
  </si>
  <si>
    <t>Monterey_2016</t>
  </si>
  <si>
    <t>Mountain Counties</t>
  </si>
  <si>
    <t>Napa</t>
  </si>
  <si>
    <t>Napa_2015</t>
  </si>
  <si>
    <t>Napa_2016</t>
  </si>
  <si>
    <t>Nevada</t>
  </si>
  <si>
    <t>Nevada_2015</t>
  </si>
  <si>
    <t>Nevada_2016</t>
  </si>
  <si>
    <t>North Central Coast</t>
  </si>
  <si>
    <t>North Coast</t>
  </si>
  <si>
    <t>Northeast Plateau</t>
  </si>
  <si>
    <t>Orange</t>
  </si>
  <si>
    <t>Orange_2015</t>
  </si>
  <si>
    <t>Orange_2016</t>
  </si>
  <si>
    <t>Placer</t>
  </si>
  <si>
    <t>Placer_2015</t>
  </si>
  <si>
    <t>Placer_2016</t>
  </si>
  <si>
    <t>Plumas</t>
  </si>
  <si>
    <t>Plumas_2015</t>
  </si>
  <si>
    <t>Plumas_2016</t>
  </si>
  <si>
    <t>Riverside</t>
  </si>
  <si>
    <t>Riverside_2015</t>
  </si>
  <si>
    <t>Riverside_2016</t>
  </si>
  <si>
    <t>Sacramento Valley</t>
  </si>
  <si>
    <t>Sacramento</t>
  </si>
  <si>
    <t>Sacramento_2015</t>
  </si>
  <si>
    <t>Sacramento_2016</t>
  </si>
  <si>
    <t>Salton Sea</t>
  </si>
  <si>
    <t>San Benito</t>
  </si>
  <si>
    <t>San Benito_2015</t>
  </si>
  <si>
    <t>San Benito_2016</t>
  </si>
  <si>
    <t>San Bernardino</t>
  </si>
  <si>
    <t>San Bernardino_2015</t>
  </si>
  <si>
    <t>San Bernardino_2016</t>
  </si>
  <si>
    <t>San Diego (Air Basin)</t>
  </si>
  <si>
    <t>San Diego</t>
  </si>
  <si>
    <t>San Diego_2015</t>
  </si>
  <si>
    <t>San Diego_2016</t>
  </si>
  <si>
    <t>San Francisco Bay Area</t>
  </si>
  <si>
    <t>San Francisco</t>
  </si>
  <si>
    <t>San Francisco_2015</t>
  </si>
  <si>
    <t>San Francisco_2016</t>
  </si>
  <si>
    <t>San Joaquin Valley</t>
  </si>
  <si>
    <t>San Joaquin</t>
  </si>
  <si>
    <t>San Joaquin_2015</t>
  </si>
  <si>
    <t>San Joaquin_2016</t>
  </si>
  <si>
    <t>San Luis Obispo</t>
  </si>
  <si>
    <t>San Luis Obispo_2015</t>
  </si>
  <si>
    <t>San Luis Obispo_2016</t>
  </si>
  <si>
    <t>San Mateo</t>
  </si>
  <si>
    <t>San Mateo_2015</t>
  </si>
  <si>
    <t>San Mateo_2016</t>
  </si>
  <si>
    <t>Santa Barbara</t>
  </si>
  <si>
    <t>Santa Barbara_2015</t>
  </si>
  <si>
    <t>Santa Barbara_2016</t>
  </si>
  <si>
    <t>Santa Clara</t>
  </si>
  <si>
    <t>Santa Clara_2015</t>
  </si>
  <si>
    <t>Santa Clara_2016</t>
  </si>
  <si>
    <t>Santa Cruz</t>
  </si>
  <si>
    <t>Santa Cruz_2015</t>
  </si>
  <si>
    <t>Santa Cruz_2016</t>
  </si>
  <si>
    <t>Shasta</t>
  </si>
  <si>
    <t>Shasta_2015</t>
  </si>
  <si>
    <t>Shasta_2016</t>
  </si>
  <si>
    <t>Sierra</t>
  </si>
  <si>
    <t>Sierra_2015</t>
  </si>
  <si>
    <t>Sierra_2016</t>
  </si>
  <si>
    <t>Siskiyou</t>
  </si>
  <si>
    <t>Siskiyou_2015</t>
  </si>
  <si>
    <t>Siskiyou_2016</t>
  </si>
  <si>
    <t>Solano</t>
  </si>
  <si>
    <t>Solano_2015</t>
  </si>
  <si>
    <t>Solano_2016</t>
  </si>
  <si>
    <t>Sonoma</t>
  </si>
  <si>
    <t>Sonoma_2015</t>
  </si>
  <si>
    <t>Sonoma_2016</t>
  </si>
  <si>
    <t>South Central Coast</t>
  </si>
  <si>
    <t>South Coast</t>
  </si>
  <si>
    <t>Stanislaus</t>
  </si>
  <si>
    <t>Stanislaus_2015</t>
  </si>
  <si>
    <t>Stanislaus_2016</t>
  </si>
  <si>
    <t>Sutter</t>
  </si>
  <si>
    <t>Sutter_2015</t>
  </si>
  <si>
    <t>Sutter_2016</t>
  </si>
  <si>
    <t>Tehama</t>
  </si>
  <si>
    <t>Tehama_2015</t>
  </si>
  <si>
    <t>Tehama_2016</t>
  </si>
  <si>
    <t>Trinity</t>
  </si>
  <si>
    <t>Trinity_2015</t>
  </si>
  <si>
    <t>Trinity_2016</t>
  </si>
  <si>
    <t>Tulare</t>
  </si>
  <si>
    <t>Tulare_2015</t>
  </si>
  <si>
    <t>Tulare_2016</t>
  </si>
  <si>
    <t>Tuolumne</t>
  </si>
  <si>
    <t>Tuolumne_2015</t>
  </si>
  <si>
    <t>Tuolumne_2016</t>
  </si>
  <si>
    <t>Ventura</t>
  </si>
  <si>
    <t>Ventura_2015</t>
  </si>
  <si>
    <t>Ventura_2016</t>
  </si>
  <si>
    <t>Yolo</t>
  </si>
  <si>
    <t>Yolo_2015</t>
  </si>
  <si>
    <t>Yolo_2016</t>
  </si>
  <si>
    <t>Yuba</t>
  </si>
  <si>
    <t>Yuba_2015</t>
  </si>
  <si>
    <t>Yuba_2016</t>
  </si>
  <si>
    <t>Programs using the Passenger Auto Criteria &amp; Toxic emission factors include:</t>
  </si>
  <si>
    <t>Select Criteria and Toxic Air Pollutant Emission Factors for Passenger Autos</t>
  </si>
  <si>
    <t>Calendar Year:  2015, 2016, 2017, 2018, 2019, 2020, 2021, 2022, 2023, 2024, 2025, 2026, 2027, 2028, 2029, 2030, 2031, 2032, 2033, 2034, 2035, 2036, 2037, 2038, 2039, 2040, 2041, 2042, 2043, 2044, 2045, 2046, 2047,</t>
  </si>
  <si>
    <t>2048, 2049, 2050</t>
  </si>
  <si>
    <t>Model Year:  Aggregated</t>
  </si>
  <si>
    <t>Units:  miles/day for VMT, trips/day for Trips, g/mile for RUNEX, PMBW and PMTW, g/trip for STREX, HTSK and RUNLS, g/vehicle/day for IDLEX, RESTL and DIURN</t>
  </si>
  <si>
    <t>* Passenger auto criteria pollutant and toxic air contaminant emission factors are annually weighted to account for the four different vehicle class types (LDA, LDT1, LDT2, MDV). The weighting is calculated as</t>
  </si>
  <si>
    <r>
      <rPr>
        <b/>
        <sz val="12"/>
        <rFont val="Avenir LT Std 55 Roman"/>
        <family val="2"/>
      </rPr>
      <t>follows:</t>
    </r>
    <r>
      <rPr>
        <sz val="12"/>
        <rFont val="Avenir LT Std 55 Roman"/>
        <family val="2"/>
      </rPr>
      <t xml:space="preserve"> Each criteria and toxic RUNEX emission factor (g/mile) and PMTW and PMBW emission factors (g/mile) for PM</t>
    </r>
    <r>
      <rPr>
        <vertAlign val="subscript"/>
        <sz val="12"/>
        <rFont val="Avenir LT Std 55 Roman"/>
        <family val="2"/>
      </rPr>
      <t>2.5</t>
    </r>
    <r>
      <rPr>
        <sz val="12"/>
        <rFont val="Avenir LT Std 55 Roman"/>
        <family val="2"/>
      </rPr>
      <t xml:space="preserve"> for each vehicle class type using both diesel and gasoline is multiplied by the associated vehicle miles </t>
    </r>
  </si>
  <si>
    <t>traveled (VMT) (miles/day) to generate a daily emissions output (g/day). The annual VMT driven by each vehicle class and the calculated emissions output (g/day) are both aggregated separately.   The aggregated emissions</t>
  </si>
  <si>
    <t>output (g/day) is divided by the aggregated VMT (miles/day) of the four vehicle class types. The final result is an annually weighted emission factor in grams per mile (g/mile) for each air pollutant.</t>
  </si>
  <si>
    <t xml:space="preserve">Criteria </t>
  </si>
  <si>
    <t>Toxics</t>
  </si>
  <si>
    <t>Fuel Economy (gal/mi)</t>
  </si>
  <si>
    <t>Weighted ROG (g/mile)</t>
  </si>
  <si>
    <r>
      <t>Weighted NO</t>
    </r>
    <r>
      <rPr>
        <b/>
        <vertAlign val="subscript"/>
        <sz val="12"/>
        <rFont val="Avenir LT Std 55 Roman"/>
        <family val="2"/>
      </rPr>
      <t>x</t>
    </r>
    <r>
      <rPr>
        <b/>
        <sz val="12"/>
        <rFont val="Avenir LT Std 55 Roman"/>
        <family val="2"/>
      </rPr>
      <t xml:space="preserve"> (g/mile)</t>
    </r>
  </si>
  <si>
    <r>
      <t>Weighted PM</t>
    </r>
    <r>
      <rPr>
        <b/>
        <vertAlign val="subscript"/>
        <sz val="12"/>
        <rFont val="Avenir LT Std 55 Roman"/>
        <family val="2"/>
      </rPr>
      <t>2.5</t>
    </r>
    <r>
      <rPr>
        <b/>
        <sz val="12"/>
        <rFont val="Avenir LT Std 55 Roman"/>
        <family val="2"/>
      </rPr>
      <t xml:space="preserve"> (g/mile)</t>
    </r>
  </si>
  <si>
    <r>
      <t>Weighted PM</t>
    </r>
    <r>
      <rPr>
        <b/>
        <vertAlign val="subscript"/>
        <sz val="12"/>
        <rFont val="Avenir LT Std 55 Roman"/>
        <family val="2"/>
      </rPr>
      <t>2.5</t>
    </r>
    <r>
      <rPr>
        <b/>
        <sz val="12"/>
        <rFont val="Avenir LT Std 55 Roman"/>
        <family val="2"/>
      </rPr>
      <t xml:space="preserve"> Tire Wear (g/mile)</t>
    </r>
  </si>
  <si>
    <r>
      <t>Weighted PM</t>
    </r>
    <r>
      <rPr>
        <b/>
        <vertAlign val="subscript"/>
        <sz val="12"/>
        <rFont val="Avenir LT Std 55 Roman"/>
        <family val="2"/>
      </rPr>
      <t>2.5</t>
    </r>
    <r>
      <rPr>
        <b/>
        <sz val="12"/>
        <rFont val="Avenir LT Std 55 Roman"/>
        <family val="2"/>
      </rPr>
      <t xml:space="preserve"> Brake Wear (g/mile)</t>
    </r>
  </si>
  <si>
    <r>
      <t>Weighted PM</t>
    </r>
    <r>
      <rPr>
        <b/>
        <vertAlign val="subscript"/>
        <sz val="12"/>
        <rFont val="Avenir LT Std 55 Roman"/>
        <family val="2"/>
      </rPr>
      <t>10</t>
    </r>
    <r>
      <rPr>
        <b/>
        <sz val="12"/>
        <rFont val="Avenir LT Std 55 Roman"/>
        <family val="2"/>
      </rPr>
      <t xml:space="preserve"> (g/mile)</t>
    </r>
  </si>
  <si>
    <r>
      <t>Weighted DSL PM</t>
    </r>
    <r>
      <rPr>
        <b/>
        <vertAlign val="subscript"/>
        <sz val="12"/>
        <rFont val="Avenir LT Std 55 Roman"/>
        <family val="2"/>
      </rPr>
      <t>2.5</t>
    </r>
    <r>
      <rPr>
        <b/>
        <sz val="12"/>
        <rFont val="Avenir LT Std 55 Roman"/>
        <family val="2"/>
      </rPr>
      <t xml:space="preserve"> (g/mile)</t>
    </r>
  </si>
  <si>
    <r>
      <t>Weighted DSL PM</t>
    </r>
    <r>
      <rPr>
        <b/>
        <vertAlign val="subscript"/>
        <sz val="12"/>
        <rFont val="Avenir LT Std 55 Roman"/>
        <family val="2"/>
      </rPr>
      <t>10</t>
    </r>
    <r>
      <rPr>
        <b/>
        <sz val="12"/>
        <rFont val="Avenir LT Std 55 Roman"/>
        <family val="2"/>
      </rPr>
      <t xml:space="preserve"> (g/mile)</t>
    </r>
  </si>
  <si>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</si>
  <si>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</si>
  <si>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</si>
  <si>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</si>
  <si>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</si>
  <si>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</si>
  <si>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</si>
  <si>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</si>
  <si>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</si>
  <si>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</si>
  <si>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</si>
  <si>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</si>
  <si>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</si>
  <si>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</si>
  <si>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</si>
  <si>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</si>
  <si>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</si>
  <si>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</si>
  <si>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</si>
  <si>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</si>
  <si>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</si>
  <si>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</si>
  <si>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</si>
  <si>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</si>
  <si>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</si>
  <si>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</si>
  <si>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</si>
  <si>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</si>
  <si>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</si>
  <si>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</si>
  <si>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</si>
  <si>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</si>
  <si>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</si>
  <si>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</si>
  <si>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</si>
  <si>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</si>
  <si>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</si>
  <si>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</si>
  <si>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</si>
  <si>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</si>
  <si>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</si>
  <si>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</si>
  <si>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</si>
  <si>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</si>
  <si>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</si>
  <si>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</si>
  <si>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</si>
  <si>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</si>
  <si>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</si>
  <si>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</si>
  <si>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</si>
  <si>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</si>
  <si>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</si>
  <si>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</si>
  <si>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</si>
  <si>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</si>
  <si>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</si>
  <si>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</si>
  <si>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</si>
  <si>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</si>
  <si>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</si>
  <si>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</si>
  <si>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</si>
  <si>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</si>
  <si>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</si>
  <si>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</si>
  <si>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</si>
  <si>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</si>
  <si>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</si>
  <si>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</si>
  <si>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</si>
  <si>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</si>
  <si>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</si>
  <si>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</si>
  <si>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</si>
  <si>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</si>
  <si>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</si>
  <si>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</si>
  <si>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</si>
  <si>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</si>
  <si>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</si>
  <si>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</si>
  <si>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</si>
  <si>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</si>
  <si>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</si>
  <si>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</si>
  <si>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</si>
  <si>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</si>
  <si>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</si>
  <si>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</si>
  <si>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</si>
  <si>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</si>
  <si>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</si>
  <si>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</si>
  <si>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</si>
  <si>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</si>
  <si>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</si>
  <si>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</si>
  <si>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</si>
  <si>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</si>
  <si>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</si>
  <si>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</si>
  <si>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</si>
  <si>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</si>
  <si>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</si>
  <si>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</si>
  <si>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</si>
  <si>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</si>
  <si>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</si>
  <si>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</si>
  <si>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</si>
  <si>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</si>
  <si>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</si>
  <si>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</si>
  <si>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</si>
  <si>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</si>
  <si>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</si>
  <si>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</si>
  <si>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</si>
  <si>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</si>
  <si>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</si>
  <si>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</si>
  <si>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</si>
  <si>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</si>
  <si>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</si>
  <si>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</si>
  <si>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</si>
  <si>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</si>
  <si>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</si>
  <si>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</si>
  <si>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</si>
  <si>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</si>
  <si>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</si>
  <si>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</si>
  <si>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</si>
  <si>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</si>
  <si>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</si>
  <si>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</si>
  <si>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</si>
  <si>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</si>
  <si>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</si>
  <si>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</si>
  <si>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</si>
  <si>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</si>
  <si>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</si>
  <si>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</si>
  <si>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</si>
  <si>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</si>
  <si>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</si>
  <si>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</si>
  <si>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</si>
  <si>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</si>
  <si>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</si>
  <si>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</si>
  <si>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</si>
  <si>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</si>
  <si>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</si>
  <si>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</si>
  <si>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</si>
  <si>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</si>
  <si>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</si>
  <si>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</si>
  <si>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</si>
  <si>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</si>
  <si>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</si>
  <si>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</si>
  <si>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</si>
  <si>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</si>
  <si>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</si>
  <si>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</si>
  <si>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Colusa_2015</t>
  </si>
  <si>
    <t>Colusa_2016</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</si>
  <si>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</si>
  <si>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</si>
  <si>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</si>
  <si>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</si>
  <si>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</si>
  <si>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</si>
  <si>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</si>
  <si>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</si>
  <si>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</si>
  <si>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</si>
  <si>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</si>
  <si>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</si>
  <si>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</si>
  <si>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</si>
  <si>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</si>
  <si>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</si>
  <si>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</si>
  <si>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</si>
  <si>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</si>
  <si>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</si>
  <si>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</si>
  <si>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</si>
  <si>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</si>
  <si>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</si>
  <si>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</si>
  <si>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</si>
  <si>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</si>
  <si>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</si>
  <si>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</si>
  <si>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</si>
  <si>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</si>
  <si>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</si>
  <si>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</si>
  <si>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</si>
  <si>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</si>
  <si>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</si>
  <si>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</si>
  <si>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</si>
  <si>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</si>
  <si>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</si>
  <si>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</si>
  <si>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</si>
  <si>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</si>
  <si>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</si>
  <si>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</si>
  <si>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</si>
  <si>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</si>
  <si>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</si>
  <si>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</si>
  <si>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</si>
  <si>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</si>
  <si>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</si>
  <si>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</si>
  <si>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</si>
  <si>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</si>
  <si>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</si>
  <si>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</si>
  <si>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</si>
  <si>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</si>
  <si>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</si>
  <si>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</si>
  <si>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</si>
  <si>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</si>
  <si>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</si>
  <si>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</si>
  <si>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</si>
  <si>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</si>
  <si>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</si>
  <si>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</si>
  <si>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</si>
  <si>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</si>
  <si>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</si>
  <si>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</si>
  <si>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</si>
  <si>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</si>
  <si>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</si>
  <si>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</si>
  <si>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</si>
  <si>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</si>
  <si>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</si>
  <si>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</si>
  <si>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</si>
  <si>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</si>
  <si>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</si>
  <si>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</si>
  <si>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</si>
  <si>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</si>
  <si>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</si>
  <si>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</si>
  <si>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</si>
  <si>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</si>
  <si>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</si>
  <si>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</si>
  <si>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</si>
  <si>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</si>
  <si>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</si>
  <si>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</si>
  <si>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</si>
  <si>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</si>
  <si>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</si>
  <si>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</si>
  <si>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</si>
  <si>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</si>
  <si>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</si>
  <si>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</si>
  <si>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</si>
  <si>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</si>
  <si>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</si>
  <si>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</si>
  <si>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</si>
  <si>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</si>
  <si>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</si>
  <si>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</si>
  <si>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</si>
  <si>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</si>
  <si>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</si>
  <si>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</si>
  <si>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</si>
  <si>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</si>
  <si>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</si>
  <si>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</si>
  <si>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</si>
  <si>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</si>
  <si>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</si>
  <si>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</si>
  <si>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</si>
  <si>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</si>
  <si>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</si>
  <si>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</si>
  <si>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</si>
  <si>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</si>
  <si>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</si>
  <si>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</si>
  <si>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</si>
  <si>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</si>
  <si>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</si>
  <si>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</si>
  <si>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</si>
  <si>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</si>
  <si>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</si>
  <si>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</si>
  <si>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</si>
  <si>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</si>
  <si>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</si>
  <si>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</si>
  <si>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</si>
  <si>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</si>
  <si>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</si>
  <si>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</si>
  <si>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</si>
  <si>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</si>
  <si>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</si>
  <si>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</si>
  <si>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</si>
  <si>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</si>
  <si>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</si>
  <si>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</si>
  <si>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</si>
  <si>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</si>
  <si>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</si>
  <si>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</si>
  <si>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</si>
  <si>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</si>
  <si>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</si>
  <si>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</si>
  <si>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</si>
  <si>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</si>
  <si>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</si>
  <si>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</si>
  <si>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</si>
  <si>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</si>
  <si>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</si>
  <si>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</si>
  <si>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</si>
  <si>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</si>
  <si>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</si>
  <si>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</si>
  <si>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</si>
  <si>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</si>
  <si>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</si>
  <si>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</si>
  <si>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</si>
  <si>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</si>
  <si>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</si>
  <si>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</si>
  <si>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</si>
  <si>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</si>
  <si>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</si>
  <si>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</si>
  <si>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</si>
  <si>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</si>
  <si>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</si>
  <si>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</si>
  <si>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</si>
  <si>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</si>
  <si>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</si>
  <si>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</si>
  <si>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</si>
  <si>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</si>
  <si>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</si>
  <si>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</si>
  <si>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</si>
  <si>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</si>
  <si>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</si>
  <si>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</si>
  <si>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</si>
  <si>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</si>
  <si>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</si>
  <si>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</si>
  <si>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</si>
  <si>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</si>
  <si>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</si>
  <si>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</si>
  <si>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</si>
  <si>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</si>
  <si>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</si>
  <si>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</si>
  <si>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</si>
  <si>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</si>
  <si>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</si>
  <si>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</si>
  <si>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</si>
  <si>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</si>
  <si>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</si>
  <si>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</si>
  <si>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</si>
  <si>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</si>
  <si>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</si>
  <si>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</si>
  <si>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</si>
  <si>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</si>
  <si>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</si>
  <si>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</si>
  <si>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</si>
  <si>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</si>
  <si>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</si>
  <si>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</si>
  <si>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</si>
  <si>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</si>
  <si>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</si>
  <si>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</si>
  <si>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</si>
  <si>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</si>
  <si>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</si>
  <si>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</si>
  <si>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</si>
  <si>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</si>
  <si>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</si>
  <si>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</si>
  <si>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</si>
  <si>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</si>
  <si>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</si>
  <si>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</si>
  <si>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</si>
  <si>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</si>
  <si>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</si>
  <si>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</si>
  <si>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</si>
  <si>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</si>
  <si>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</si>
  <si>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</si>
  <si>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</si>
  <si>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</si>
  <si>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</si>
  <si>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</si>
  <si>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</si>
  <si>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</si>
  <si>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</si>
  <si>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</si>
  <si>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</si>
  <si>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</si>
  <si>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</si>
  <si>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</si>
  <si>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</si>
  <si>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</si>
  <si>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</si>
  <si>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</si>
  <si>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</si>
  <si>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</si>
  <si>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</si>
  <si>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</si>
  <si>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</si>
  <si>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</si>
  <si>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</si>
  <si>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</si>
  <si>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</si>
  <si>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</si>
  <si>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</si>
  <si>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</si>
  <si>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</si>
  <si>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</si>
  <si>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</si>
  <si>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</si>
  <si>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</si>
  <si>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</si>
  <si>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</si>
  <si>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</si>
  <si>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</si>
  <si>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</si>
  <si>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</si>
  <si>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</si>
  <si>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</si>
  <si>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</si>
  <si>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</si>
  <si>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</si>
  <si>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</si>
  <si>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</si>
  <si>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</si>
  <si>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</si>
  <si>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</si>
  <si>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</si>
  <si>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</si>
  <si>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</si>
  <si>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</si>
  <si>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</si>
  <si>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</si>
  <si>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</si>
  <si>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</si>
  <si>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</si>
  <si>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</si>
  <si>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</si>
  <si>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</si>
  <si>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</si>
  <si>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</si>
  <si>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</si>
  <si>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</si>
  <si>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</si>
  <si>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</si>
  <si>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</si>
  <si>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</si>
  <si>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</si>
  <si>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</si>
  <si>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</si>
  <si>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</si>
  <si>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</si>
  <si>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</si>
  <si>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</si>
  <si>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</si>
  <si>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</si>
  <si>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</si>
  <si>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</si>
  <si>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</si>
  <si>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</si>
  <si>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</si>
  <si>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</si>
  <si>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</si>
  <si>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</si>
  <si>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</si>
  <si>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</si>
  <si>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</si>
  <si>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</si>
  <si>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</si>
  <si>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</si>
  <si>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</si>
  <si>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</si>
  <si>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</si>
  <si>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</si>
  <si>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</si>
  <si>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</si>
  <si>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</si>
  <si>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</si>
  <si>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</si>
  <si>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</si>
  <si>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</si>
  <si>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</si>
  <si>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</si>
  <si>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</si>
  <si>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</si>
  <si>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</si>
  <si>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</si>
  <si>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</si>
  <si>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</si>
  <si>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</si>
  <si>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</si>
  <si>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</si>
  <si>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</si>
  <si>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</si>
  <si>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</si>
  <si>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</si>
  <si>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</si>
  <si>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</si>
  <si>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</si>
  <si>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</si>
  <si>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</si>
  <si>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</si>
  <si>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</si>
  <si>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</si>
  <si>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</si>
  <si>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</si>
  <si>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</si>
  <si>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</si>
  <si>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</si>
  <si>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</si>
  <si>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</si>
  <si>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</si>
  <si>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</si>
  <si>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</si>
  <si>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</si>
  <si>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</si>
  <si>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</si>
  <si>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</si>
  <si>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</si>
  <si>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</si>
  <si>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</si>
  <si>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</si>
  <si>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</si>
  <si>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</si>
  <si>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</si>
  <si>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</si>
  <si>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</si>
  <si>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</si>
  <si>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</si>
  <si>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</si>
  <si>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</si>
  <si>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</si>
  <si>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</si>
  <si>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</si>
  <si>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</si>
  <si>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</si>
  <si>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</si>
  <si>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</si>
  <si>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</si>
  <si>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</si>
  <si>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</si>
  <si>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</si>
  <si>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</si>
  <si>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</si>
  <si>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</si>
  <si>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</si>
  <si>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</si>
  <si>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</si>
  <si>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</si>
  <si>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</si>
  <si>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</si>
  <si>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</si>
  <si>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</si>
  <si>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</si>
  <si>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</si>
  <si>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</si>
  <si>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</si>
  <si>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</si>
  <si>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</si>
  <si>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</si>
  <si>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</si>
  <si>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</si>
  <si>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</si>
  <si>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</si>
  <si>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</si>
  <si>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</si>
  <si>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</si>
  <si>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</si>
  <si>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</si>
  <si>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</si>
  <si>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</si>
  <si>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</si>
  <si>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</si>
  <si>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</si>
  <si>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</si>
  <si>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</si>
  <si>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</si>
  <si>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</si>
  <si>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</si>
  <si>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</si>
  <si>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</si>
  <si>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</si>
  <si>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</si>
  <si>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</si>
  <si>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</si>
  <si>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</si>
  <si>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</si>
  <si>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</si>
  <si>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</si>
  <si>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</si>
  <si>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</si>
  <si>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</si>
  <si>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</si>
  <si>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</si>
  <si>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</si>
  <si>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</si>
  <si>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</si>
  <si>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</si>
  <si>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</si>
  <si>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</si>
  <si>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</si>
  <si>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</si>
  <si>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</si>
  <si>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</si>
  <si>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</si>
  <si>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</si>
  <si>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</si>
  <si>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</si>
  <si>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</si>
  <si>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</si>
  <si>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</si>
  <si>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</si>
  <si>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</si>
  <si>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</si>
  <si>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</si>
  <si>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</si>
  <si>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</si>
  <si>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</si>
  <si>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</si>
  <si>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</si>
  <si>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</si>
  <si>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</si>
  <si>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</si>
  <si>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</si>
  <si>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</si>
  <si>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</si>
  <si>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</si>
  <si>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</si>
  <si>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</si>
  <si>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</si>
  <si>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</si>
  <si>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</si>
  <si>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</si>
  <si>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</si>
  <si>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</si>
  <si>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</si>
  <si>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</si>
  <si>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</si>
  <si>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</si>
  <si>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</si>
  <si>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</si>
  <si>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</si>
  <si>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</si>
  <si>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</si>
  <si>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</si>
  <si>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</si>
  <si>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</si>
  <si>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</si>
  <si>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</si>
  <si>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</si>
  <si>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</si>
  <si>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</si>
  <si>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</si>
  <si>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</si>
  <si>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</si>
  <si>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</si>
  <si>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</si>
  <si>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</si>
  <si>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</si>
  <si>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</si>
  <si>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</si>
  <si>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</si>
  <si>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</si>
  <si>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</si>
  <si>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</si>
  <si>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</si>
  <si>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</si>
  <si>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</si>
  <si>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</si>
  <si>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</si>
  <si>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</si>
  <si>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</si>
  <si>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</si>
  <si>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</si>
  <si>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</si>
  <si>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</si>
  <si>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</si>
  <si>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</si>
  <si>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</si>
  <si>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</si>
  <si>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</si>
  <si>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</si>
  <si>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</si>
  <si>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</si>
  <si>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</si>
  <si>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</si>
  <si>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</si>
  <si>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</si>
  <si>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</si>
  <si>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</si>
  <si>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</si>
  <si>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</si>
  <si>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</si>
  <si>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</si>
  <si>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</si>
  <si>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</si>
  <si>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</si>
  <si>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</si>
  <si>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</si>
  <si>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</si>
  <si>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</si>
  <si>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</si>
  <si>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</si>
  <si>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</si>
  <si>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</si>
  <si>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</si>
  <si>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</si>
  <si>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</si>
  <si>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</si>
  <si>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</si>
  <si>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</si>
  <si>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</si>
  <si>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</si>
  <si>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</si>
  <si>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</si>
  <si>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</si>
  <si>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</si>
  <si>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</si>
  <si>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</si>
  <si>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</si>
  <si>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</si>
  <si>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</si>
  <si>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</si>
  <si>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</si>
  <si>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</si>
  <si>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</si>
  <si>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</si>
  <si>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</si>
  <si>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</si>
  <si>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</si>
  <si>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</si>
  <si>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</si>
  <si>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</si>
  <si>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</si>
  <si>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</si>
  <si>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</si>
  <si>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</si>
  <si>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</si>
  <si>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</si>
  <si>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</si>
  <si>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</si>
  <si>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</si>
  <si>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</si>
  <si>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</si>
  <si>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</si>
  <si>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</si>
  <si>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</si>
  <si>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</si>
  <si>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</si>
  <si>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</si>
  <si>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</si>
  <si>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</si>
  <si>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</si>
  <si>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</si>
  <si>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</si>
  <si>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</si>
  <si>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</si>
  <si>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</si>
  <si>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</si>
  <si>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</si>
  <si>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</si>
  <si>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</si>
  <si>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</si>
  <si>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</si>
  <si>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</si>
  <si>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</si>
  <si>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</si>
  <si>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</si>
  <si>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</si>
  <si>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</si>
  <si>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</si>
  <si>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</si>
  <si>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</si>
  <si>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</si>
  <si>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</si>
  <si>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</si>
  <si>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</si>
  <si>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</si>
  <si>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</si>
  <si>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</si>
  <si>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</si>
  <si>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</si>
  <si>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</si>
  <si>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</si>
  <si>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</si>
  <si>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</si>
  <si>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</si>
  <si>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</si>
  <si>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</si>
  <si>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</si>
  <si>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</si>
  <si>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</si>
  <si>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</si>
  <si>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</si>
  <si>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</si>
  <si>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</si>
  <si>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</si>
  <si>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</si>
  <si>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</si>
  <si>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</si>
  <si>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</si>
  <si>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</si>
  <si>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</si>
  <si>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</si>
  <si>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</si>
  <si>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</si>
  <si>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</si>
  <si>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</si>
  <si>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</si>
  <si>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</si>
  <si>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</si>
  <si>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</si>
  <si>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</si>
  <si>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</si>
  <si>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</si>
  <si>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</si>
  <si>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</si>
  <si>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</si>
  <si>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</si>
  <si>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</si>
  <si>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</si>
  <si>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</si>
  <si>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</si>
  <si>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</si>
  <si>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</si>
  <si>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</si>
  <si>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</si>
  <si>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</si>
  <si>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</si>
  <si>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</si>
  <si>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</si>
  <si>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</si>
  <si>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</si>
  <si>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</si>
  <si>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</si>
  <si>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</si>
  <si>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</si>
  <si>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</si>
  <si>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</si>
  <si>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</si>
  <si>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</si>
  <si>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</si>
  <si>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</si>
  <si>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</si>
  <si>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</si>
  <si>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</si>
  <si>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</si>
  <si>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</si>
  <si>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</si>
  <si>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</si>
  <si>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</si>
  <si>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</si>
  <si>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</si>
  <si>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</si>
  <si>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</si>
  <si>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</si>
  <si>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</si>
  <si>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</si>
  <si>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</si>
  <si>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</si>
  <si>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</si>
  <si>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</si>
  <si>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</si>
  <si>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</si>
  <si>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</si>
  <si>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</si>
  <si>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</si>
  <si>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</si>
  <si>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</si>
  <si>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</si>
  <si>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</si>
  <si>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</si>
  <si>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</si>
  <si>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</si>
  <si>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</si>
  <si>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</si>
  <si>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</si>
  <si>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</si>
  <si>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</si>
  <si>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</si>
  <si>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</si>
  <si>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</si>
  <si>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</si>
  <si>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</si>
  <si>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</si>
  <si>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</si>
  <si>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</si>
  <si>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</si>
  <si>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</si>
  <si>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</si>
  <si>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</si>
  <si>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</si>
  <si>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</si>
  <si>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</si>
  <si>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</si>
  <si>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</si>
  <si>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</si>
  <si>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</si>
  <si>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</si>
  <si>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</si>
  <si>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</si>
  <si>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</si>
  <si>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</si>
  <si>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</si>
  <si>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</si>
  <si>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</si>
  <si>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</si>
  <si>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</si>
  <si>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</si>
  <si>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</si>
  <si>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</si>
  <si>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</si>
  <si>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</si>
  <si>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</si>
  <si>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</si>
  <si>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</si>
  <si>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</si>
  <si>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</si>
  <si>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</si>
  <si>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</si>
  <si>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</si>
  <si>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</si>
  <si>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</si>
  <si>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</si>
  <si>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</si>
  <si>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</si>
  <si>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</si>
  <si>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</si>
  <si>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</si>
  <si>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</si>
  <si>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</si>
  <si>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</si>
  <si>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</si>
  <si>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</si>
  <si>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</si>
  <si>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</si>
  <si>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</si>
  <si>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</si>
  <si>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</si>
  <si>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</si>
  <si>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</si>
  <si>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</si>
  <si>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</si>
  <si>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</si>
  <si>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</si>
  <si>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</si>
  <si>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</si>
  <si>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</si>
  <si>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</si>
  <si>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</si>
  <si>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</si>
  <si>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</si>
  <si>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</si>
  <si>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</si>
  <si>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</si>
  <si>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</si>
  <si>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</si>
  <si>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</si>
  <si>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</si>
  <si>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</si>
  <si>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</si>
  <si>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</si>
  <si>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</si>
  <si>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</si>
  <si>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</si>
  <si>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</si>
  <si>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</si>
  <si>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</si>
  <si>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</si>
  <si>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</si>
  <si>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</si>
  <si>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</si>
  <si>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</si>
  <si>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</si>
  <si>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</si>
  <si>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</si>
  <si>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</si>
  <si>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</si>
  <si>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</si>
  <si>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</si>
  <si>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</si>
  <si>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</si>
  <si>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</si>
  <si>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</si>
  <si>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</si>
  <si>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</si>
  <si>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</si>
  <si>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</si>
  <si>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</si>
  <si>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</si>
  <si>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</si>
  <si>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</si>
  <si>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</si>
  <si>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</si>
  <si>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</si>
  <si>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</si>
  <si>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</si>
  <si>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</si>
  <si>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</si>
  <si>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</si>
  <si>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Placer_2050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</si>
  <si>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</si>
  <si>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</si>
  <si>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</si>
  <si>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</si>
  <si>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</si>
  <si>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</si>
  <si>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</si>
  <si>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</si>
  <si>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</si>
  <si>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</si>
  <si>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</si>
  <si>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</si>
  <si>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</si>
  <si>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</si>
  <si>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</si>
  <si>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</si>
  <si>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</si>
  <si>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</si>
  <si>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</si>
  <si>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</si>
  <si>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</si>
  <si>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</si>
  <si>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</si>
  <si>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</si>
  <si>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</si>
  <si>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</si>
  <si>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</si>
  <si>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</si>
  <si>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</si>
  <si>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</si>
  <si>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</si>
  <si>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</si>
  <si>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</si>
  <si>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</si>
  <si>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</si>
  <si>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</si>
  <si>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</si>
  <si>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</si>
  <si>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</si>
  <si>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</si>
  <si>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</si>
  <si>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</si>
  <si>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</si>
  <si>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</si>
  <si>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</si>
  <si>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</si>
  <si>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</si>
  <si>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</si>
  <si>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</si>
  <si>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</si>
  <si>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</si>
  <si>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</si>
  <si>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</si>
  <si>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</si>
  <si>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</si>
  <si>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</si>
  <si>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</si>
  <si>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</si>
  <si>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</si>
  <si>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</si>
  <si>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</si>
  <si>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</si>
  <si>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</si>
  <si>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</si>
  <si>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</si>
  <si>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</si>
  <si>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</si>
  <si>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</si>
  <si>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</si>
  <si>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</si>
  <si>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</si>
  <si>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</si>
  <si>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</si>
  <si>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</si>
  <si>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</si>
  <si>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</si>
  <si>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</si>
  <si>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</si>
  <si>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</si>
  <si>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</si>
  <si>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</si>
  <si>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</si>
  <si>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</si>
  <si>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</si>
  <si>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</si>
  <si>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</si>
  <si>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</si>
  <si>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</si>
  <si>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</si>
  <si>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</si>
  <si>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</si>
  <si>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</si>
  <si>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</si>
  <si>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</si>
  <si>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</si>
  <si>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</si>
  <si>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</si>
  <si>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</si>
  <si>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</si>
  <si>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</si>
  <si>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</si>
  <si>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</si>
  <si>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</si>
  <si>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</si>
  <si>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</si>
  <si>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</si>
  <si>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</si>
  <si>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</si>
  <si>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</si>
  <si>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</si>
  <si>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</si>
  <si>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</si>
  <si>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</si>
  <si>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</si>
  <si>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</si>
  <si>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</si>
  <si>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</si>
  <si>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</si>
  <si>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</si>
  <si>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</si>
  <si>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</si>
  <si>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</si>
  <si>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</si>
  <si>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</si>
  <si>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</si>
  <si>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</si>
  <si>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</si>
  <si>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</si>
  <si>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</si>
  <si>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</si>
  <si>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</si>
  <si>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</si>
  <si>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</si>
  <si>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</si>
  <si>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</si>
  <si>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</si>
  <si>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</si>
  <si>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</si>
  <si>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</si>
  <si>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</si>
  <si>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</si>
  <si>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</si>
  <si>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</si>
  <si>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</si>
  <si>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</si>
  <si>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</si>
  <si>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</si>
  <si>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</si>
  <si>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</si>
  <si>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</si>
  <si>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</si>
  <si>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</si>
  <si>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</si>
  <si>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</si>
  <si>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</si>
  <si>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</si>
  <si>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</si>
  <si>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</si>
  <si>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</si>
  <si>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</si>
  <si>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</si>
  <si>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</si>
  <si>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</si>
  <si>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</si>
  <si>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</si>
  <si>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</si>
  <si>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</si>
  <si>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</si>
  <si>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</si>
  <si>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</si>
  <si>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</si>
  <si>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</si>
  <si>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</si>
  <si>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</si>
  <si>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</si>
  <si>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</si>
  <si>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</si>
  <si>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</si>
  <si>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</si>
  <si>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</si>
  <si>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</si>
  <si>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</si>
  <si>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</si>
  <si>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</si>
  <si>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</si>
  <si>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</si>
  <si>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</si>
  <si>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</si>
  <si>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</si>
  <si>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</si>
  <si>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</si>
  <si>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</si>
  <si>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</si>
  <si>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</si>
  <si>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</si>
  <si>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</si>
  <si>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</si>
  <si>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</si>
  <si>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</si>
  <si>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</si>
  <si>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</si>
  <si>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</si>
  <si>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</si>
  <si>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</si>
  <si>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</si>
  <si>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</si>
  <si>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</si>
  <si>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</si>
  <si>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</si>
  <si>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</si>
  <si>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</si>
  <si>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</si>
  <si>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</si>
  <si>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</si>
  <si>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</si>
  <si>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</si>
  <si>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</si>
  <si>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</si>
  <si>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</si>
  <si>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</si>
  <si>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</si>
  <si>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</si>
  <si>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</si>
  <si>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</si>
  <si>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</si>
  <si>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</si>
  <si>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</si>
  <si>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</si>
  <si>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</si>
  <si>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</si>
  <si>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</si>
  <si>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</si>
  <si>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</si>
  <si>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</si>
  <si>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</si>
  <si>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</si>
  <si>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</si>
  <si>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</si>
  <si>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</si>
  <si>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</si>
  <si>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</si>
  <si>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</si>
  <si>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</si>
  <si>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</si>
  <si>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</si>
  <si>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</si>
  <si>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</si>
  <si>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</si>
  <si>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</si>
  <si>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</si>
  <si>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</si>
  <si>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</si>
  <si>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</si>
  <si>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</si>
  <si>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</si>
  <si>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</si>
  <si>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</si>
  <si>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</si>
  <si>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</si>
  <si>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</si>
  <si>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</si>
  <si>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</si>
  <si>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</si>
  <si>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</si>
  <si>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</si>
  <si>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</si>
  <si>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</si>
  <si>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</si>
  <si>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</si>
  <si>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</si>
  <si>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</si>
  <si>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</si>
  <si>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</si>
  <si>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</si>
  <si>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</si>
  <si>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</si>
  <si>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</si>
  <si>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</si>
  <si>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</si>
  <si>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</si>
  <si>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</si>
  <si>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</si>
  <si>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</si>
  <si>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</si>
  <si>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</si>
  <si>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</si>
  <si>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</si>
  <si>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</si>
  <si>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</si>
  <si>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</si>
  <si>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</si>
  <si>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</si>
  <si>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</si>
  <si>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</si>
  <si>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</si>
  <si>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</si>
  <si>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</si>
  <si>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</si>
  <si>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</si>
  <si>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</si>
  <si>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</si>
  <si>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</si>
  <si>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</si>
  <si>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</si>
  <si>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</si>
  <si>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</si>
  <si>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</si>
  <si>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</si>
  <si>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</si>
  <si>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</si>
  <si>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</si>
  <si>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</si>
  <si>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</si>
  <si>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</si>
  <si>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</si>
  <si>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</si>
  <si>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</si>
  <si>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</si>
  <si>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</si>
  <si>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</si>
  <si>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</si>
  <si>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</si>
  <si>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</si>
  <si>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</si>
  <si>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</si>
  <si>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</si>
  <si>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</si>
  <si>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</si>
  <si>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</si>
  <si>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</si>
  <si>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</si>
  <si>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</si>
  <si>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</si>
  <si>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</si>
  <si>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</si>
  <si>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</si>
  <si>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</si>
  <si>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</si>
  <si>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</si>
  <si>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</si>
  <si>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</si>
  <si>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</si>
  <si>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</si>
  <si>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</si>
  <si>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</si>
  <si>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</si>
  <si>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</si>
  <si>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</si>
  <si>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</si>
  <si>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</si>
  <si>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</si>
  <si>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</si>
  <si>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</si>
  <si>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</si>
  <si>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</si>
  <si>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</si>
  <si>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</si>
  <si>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</si>
  <si>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</si>
  <si>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</si>
  <si>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</si>
  <si>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</si>
  <si>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</si>
  <si>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</si>
  <si>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</si>
  <si>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</si>
  <si>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</si>
  <si>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</si>
  <si>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</si>
  <si>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</si>
  <si>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</si>
  <si>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</si>
  <si>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</si>
  <si>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</si>
  <si>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</si>
  <si>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</si>
  <si>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</si>
  <si>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</si>
  <si>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</si>
  <si>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</si>
  <si>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</si>
  <si>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</si>
  <si>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</si>
  <si>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</si>
  <si>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</si>
  <si>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</si>
  <si>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</si>
  <si>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</si>
  <si>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</si>
  <si>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</si>
  <si>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</si>
  <si>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</si>
  <si>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</si>
  <si>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</si>
  <si>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</si>
  <si>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</si>
  <si>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</si>
  <si>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</si>
  <si>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</si>
  <si>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</si>
  <si>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</si>
  <si>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</si>
  <si>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</si>
  <si>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</si>
  <si>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</si>
  <si>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</si>
  <si>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</si>
  <si>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</si>
  <si>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</si>
  <si>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</si>
  <si>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</si>
  <si>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</si>
  <si>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</si>
  <si>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</si>
  <si>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</si>
  <si>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</si>
  <si>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</si>
  <si>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</si>
  <si>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</si>
  <si>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</si>
  <si>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</si>
  <si>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</si>
  <si>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</si>
  <si>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</si>
  <si>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</si>
  <si>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</si>
  <si>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</si>
  <si>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</si>
  <si>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</si>
  <si>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</si>
  <si>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</si>
  <si>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</si>
  <si>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</si>
  <si>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</si>
  <si>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</si>
  <si>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</si>
  <si>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</si>
  <si>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</si>
  <si>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</si>
  <si>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</si>
  <si>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</si>
  <si>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</si>
  <si>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</si>
  <si>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</si>
  <si>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</si>
  <si>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</si>
  <si>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</si>
  <si>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</si>
  <si>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</si>
  <si>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</si>
  <si>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</si>
  <si>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</si>
  <si>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</si>
  <si>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</si>
  <si>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</si>
  <si>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</si>
  <si>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</si>
  <si>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</si>
  <si>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</si>
  <si>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</si>
  <si>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</si>
  <si>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</si>
  <si>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</si>
  <si>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</si>
  <si>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</si>
  <si>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</si>
  <si>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</si>
  <si>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</si>
  <si>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</si>
  <si>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</si>
  <si>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</si>
  <si>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</si>
  <si>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</si>
  <si>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</si>
  <si>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</si>
  <si>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</si>
  <si>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</si>
  <si>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</si>
  <si>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</si>
  <si>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</si>
  <si>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</si>
  <si>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</si>
  <si>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</si>
  <si>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</si>
  <si>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</si>
  <si>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</si>
  <si>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</si>
  <si>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</si>
  <si>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</si>
  <si>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</si>
  <si>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</si>
  <si>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</si>
  <si>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</si>
  <si>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</si>
  <si>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</si>
  <si>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</si>
  <si>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</si>
  <si>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</si>
  <si>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</si>
  <si>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</si>
  <si>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</si>
  <si>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</si>
  <si>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</si>
  <si>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</si>
  <si>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</si>
  <si>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</si>
  <si>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</si>
  <si>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</si>
  <si>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</si>
  <si>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</si>
  <si>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</si>
  <si>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</si>
  <si>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</si>
  <si>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</si>
  <si>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</si>
  <si>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</si>
  <si>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</si>
  <si>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</si>
  <si>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</si>
  <si>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</si>
  <si>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</si>
  <si>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</si>
  <si>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</si>
  <si>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</si>
  <si>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</si>
  <si>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</si>
  <si>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</si>
  <si>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</si>
  <si>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</si>
  <si>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</si>
  <si>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</si>
  <si>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</si>
  <si>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</si>
  <si>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</si>
  <si>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</si>
  <si>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</si>
  <si>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</si>
  <si>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</si>
  <si>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</si>
  <si>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</si>
  <si>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</si>
  <si>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</si>
  <si>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</si>
  <si>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</si>
  <si>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</si>
  <si>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</si>
  <si>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</si>
  <si>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</si>
  <si>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</si>
  <si>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</si>
  <si>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</si>
  <si>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</si>
  <si>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</si>
  <si>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</si>
  <si>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</si>
  <si>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</si>
  <si>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</si>
  <si>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</si>
  <si>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</si>
  <si>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</si>
  <si>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</si>
  <si>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</si>
  <si>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</si>
  <si>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</si>
  <si>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</si>
  <si>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</si>
  <si>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</si>
  <si>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</si>
  <si>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</si>
  <si>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</si>
  <si>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</si>
  <si>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</si>
  <si>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</si>
  <si>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</si>
  <si>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</si>
  <si>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</si>
  <si>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</si>
  <si>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</si>
  <si>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</si>
  <si>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</si>
  <si>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</si>
  <si>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</si>
  <si>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</si>
  <si>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</si>
  <si>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</si>
  <si>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</si>
  <si>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</si>
  <si>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</si>
  <si>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</si>
  <si>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</si>
  <si>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</si>
  <si>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</si>
  <si>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</si>
  <si>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</si>
  <si>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</si>
  <si>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</si>
  <si>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</si>
  <si>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</si>
  <si>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</si>
  <si>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</si>
  <si>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</si>
  <si>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</si>
  <si>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</si>
  <si>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</si>
  <si>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</si>
  <si>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</si>
  <si>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</si>
  <si>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</si>
  <si>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</si>
  <si>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</si>
  <si>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</si>
  <si>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</si>
  <si>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</si>
  <si>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</si>
  <si>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</si>
  <si>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</si>
  <si>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</si>
  <si>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</si>
  <si>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</si>
  <si>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</si>
  <si>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</si>
  <si>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</si>
  <si>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</si>
  <si>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</si>
  <si>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</si>
  <si>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</si>
  <si>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</si>
  <si>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</si>
  <si>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</si>
  <si>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</si>
  <si>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</si>
  <si>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</si>
  <si>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</si>
  <si>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</si>
  <si>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</si>
  <si>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</si>
  <si>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</si>
  <si>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</si>
  <si>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</si>
  <si>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</si>
  <si>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</si>
  <si>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</si>
  <si>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</si>
  <si>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</si>
  <si>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</si>
  <si>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</si>
  <si>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</si>
  <si>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</si>
  <si>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</si>
  <si>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</si>
  <si>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</si>
  <si>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</si>
  <si>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</si>
  <si>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</si>
  <si>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</si>
  <si>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</si>
  <si>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</si>
  <si>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</si>
  <si>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</si>
  <si>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</si>
  <si>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</si>
  <si>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</si>
  <si>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</si>
  <si>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</si>
  <si>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</si>
  <si>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</si>
  <si>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</si>
  <si>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</si>
  <si>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</si>
  <si>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</si>
  <si>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</si>
  <si>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</si>
  <si>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</si>
  <si>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</si>
  <si>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</si>
  <si>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</si>
  <si>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</si>
  <si>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</si>
  <si>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</si>
  <si>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</si>
  <si>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</si>
  <si>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</si>
  <si>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</si>
  <si>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</si>
  <si>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</si>
  <si>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</si>
  <si>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</si>
  <si>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</si>
  <si>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</si>
  <si>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</si>
  <si>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</si>
  <si>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</si>
  <si>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</si>
  <si>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</si>
  <si>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</si>
  <si>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</si>
  <si>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</si>
  <si>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</si>
  <si>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</si>
  <si>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</si>
  <si>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</si>
  <si>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</si>
  <si>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</si>
  <si>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</si>
  <si>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</si>
  <si>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</si>
  <si>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</si>
  <si>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</si>
  <si>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</si>
  <si>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</si>
  <si>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</si>
  <si>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</si>
  <si>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</si>
  <si>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</si>
  <si>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</si>
  <si>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</si>
  <si>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</si>
  <si>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</si>
  <si>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</si>
  <si>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</si>
  <si>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</si>
  <si>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</si>
  <si>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</si>
  <si>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</si>
  <si>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</si>
  <si>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</si>
  <si>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</si>
  <si>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</si>
  <si>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</si>
  <si>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</si>
  <si>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</si>
  <si>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</si>
  <si>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</si>
  <si>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</si>
  <si>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</si>
  <si>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</si>
  <si>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</si>
  <si>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</si>
  <si>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</si>
  <si>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</si>
  <si>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</si>
  <si>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</si>
  <si>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</si>
  <si>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</si>
  <si>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</si>
  <si>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</si>
  <si>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</si>
  <si>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</si>
  <si>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</si>
  <si>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</si>
  <si>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</si>
  <si>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</si>
  <si>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</si>
  <si>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</si>
  <si>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</si>
  <si>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</si>
  <si>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</si>
  <si>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</si>
  <si>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</si>
  <si>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</si>
  <si>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</si>
  <si>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</si>
  <si>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</si>
  <si>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</si>
  <si>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</si>
  <si>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</si>
  <si>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</si>
  <si>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</si>
  <si>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</si>
  <si>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</si>
  <si>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</si>
  <si>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</si>
  <si>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</si>
  <si>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</si>
  <si>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</si>
  <si>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</si>
  <si>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</si>
  <si>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</si>
  <si>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</si>
  <si>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</si>
  <si>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</si>
  <si>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</si>
  <si>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</si>
  <si>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</si>
  <si>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</si>
  <si>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</si>
  <si>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</si>
  <si>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</si>
  <si>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</si>
  <si>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</si>
  <si>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</si>
  <si>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</si>
  <si>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</si>
  <si>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</si>
  <si>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</si>
  <si>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</si>
  <si>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</si>
  <si>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</si>
  <si>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</si>
  <si>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</si>
  <si>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</si>
  <si>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</si>
  <si>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</si>
  <si>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</si>
  <si>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</si>
  <si>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</si>
  <si>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</si>
  <si>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</si>
  <si>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</si>
  <si>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</si>
  <si>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</si>
  <si>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</si>
  <si>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</si>
  <si>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</si>
  <si>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</si>
  <si>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</si>
  <si>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</si>
  <si>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</si>
  <si>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</si>
  <si>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</si>
  <si>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</si>
  <si>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</si>
  <si>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</si>
  <si>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</si>
  <si>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</si>
  <si>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</si>
  <si>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</si>
  <si>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</si>
  <si>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</si>
  <si>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</si>
  <si>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</si>
  <si>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</si>
  <si>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</si>
  <si>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</si>
  <si>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</si>
  <si>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</si>
  <si>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</si>
  <si>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</si>
  <si>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</si>
  <si>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</si>
  <si>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</si>
  <si>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</si>
  <si>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</si>
  <si>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</si>
  <si>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</si>
  <si>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</si>
  <si>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</si>
  <si>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</si>
  <si>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</si>
  <si>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</si>
  <si>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</si>
  <si>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</si>
  <si>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</si>
  <si>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</si>
  <si>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</si>
  <si>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</si>
  <si>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</si>
  <si>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</si>
  <si>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</si>
  <si>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</si>
  <si>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</si>
  <si>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</si>
  <si>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</si>
  <si>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</si>
  <si>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</si>
  <si>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</si>
  <si>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</si>
  <si>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</si>
  <si>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</si>
  <si>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</si>
  <si>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</si>
  <si>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</si>
  <si>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</si>
  <si>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</si>
  <si>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</si>
  <si>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</si>
  <si>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</si>
  <si>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</si>
  <si>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</si>
  <si>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</si>
  <si>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</si>
  <si>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</si>
  <si>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</si>
  <si>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</si>
  <si>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</si>
  <si>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</si>
  <si>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</si>
  <si>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</si>
  <si>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</si>
  <si>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</si>
  <si>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</si>
  <si>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</si>
  <si>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</si>
  <si>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</si>
  <si>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</si>
  <si>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</si>
  <si>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</si>
  <si>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</si>
  <si>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</si>
  <si>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</si>
  <si>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</si>
  <si>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</si>
  <si>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</si>
  <si>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</si>
  <si>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</si>
  <si>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</si>
  <si>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</si>
  <si>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</si>
  <si>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</si>
  <si>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</si>
  <si>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</si>
  <si>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</si>
  <si>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</si>
  <si>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</si>
  <si>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</si>
  <si>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</si>
  <si>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</si>
  <si>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</si>
  <si>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</si>
  <si>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</si>
  <si>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</si>
  <si>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</si>
  <si>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</si>
  <si>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</si>
  <si>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</si>
  <si>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</si>
  <si>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</si>
  <si>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</si>
  <si>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</si>
  <si>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</si>
  <si>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</si>
  <si>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</si>
  <si>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</si>
  <si>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</si>
  <si>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</si>
  <si>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</si>
  <si>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</si>
  <si>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</si>
  <si>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</si>
  <si>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</si>
  <si>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</si>
  <si>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</si>
  <si>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</si>
  <si>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</si>
  <si>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</si>
  <si>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</si>
  <si>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</si>
  <si>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</si>
  <si>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</si>
  <si>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</si>
  <si>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</si>
  <si>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</si>
  <si>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</si>
  <si>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</si>
  <si>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</si>
  <si>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</si>
  <si>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</si>
  <si>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</si>
  <si>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</si>
  <si>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</si>
  <si>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</si>
  <si>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</si>
  <si>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</si>
  <si>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</si>
  <si>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</si>
  <si>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</si>
  <si>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</si>
  <si>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</si>
  <si>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</si>
  <si>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</si>
  <si>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</si>
  <si>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</si>
  <si>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</si>
  <si>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</si>
  <si>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</si>
  <si>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</si>
  <si>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</si>
  <si>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</si>
  <si>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</si>
  <si>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</si>
  <si>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</si>
  <si>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</si>
  <si>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</si>
  <si>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</si>
  <si>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</si>
  <si>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</si>
  <si>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</si>
  <si>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</si>
  <si>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</si>
  <si>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</si>
  <si>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</si>
  <si>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</si>
  <si>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</si>
  <si>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</si>
  <si>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</si>
  <si>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</si>
  <si>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</si>
  <si>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</si>
  <si>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</si>
  <si>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</si>
  <si>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</si>
  <si>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</si>
  <si>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</si>
  <si>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</si>
  <si>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</si>
  <si>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</si>
  <si>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</si>
  <si>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</si>
  <si>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</si>
  <si>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</si>
  <si>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</si>
  <si>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</si>
  <si>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</si>
  <si>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</si>
  <si>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</si>
  <si>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</si>
  <si>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</si>
  <si>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</si>
  <si>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</si>
  <si>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</si>
  <si>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</si>
  <si>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</si>
  <si>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</si>
  <si>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</si>
  <si>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</si>
  <si>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</si>
  <si>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</si>
  <si>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</si>
  <si>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</si>
  <si>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</si>
  <si>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</si>
  <si>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</si>
  <si>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</si>
  <si>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</si>
  <si>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</si>
  <si>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</si>
  <si>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</si>
  <si>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</si>
  <si>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</si>
  <si>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</si>
  <si>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</si>
  <si>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</si>
  <si>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</si>
  <si>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</si>
  <si>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</si>
  <si>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</si>
  <si>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</si>
  <si>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</si>
  <si>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</si>
  <si>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</si>
  <si>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</si>
  <si>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</si>
  <si>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</si>
  <si>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</si>
  <si>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</si>
  <si>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</si>
  <si>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</si>
  <si>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</si>
  <si>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</si>
  <si>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</si>
  <si>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</si>
  <si>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</si>
  <si>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</si>
  <si>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</si>
  <si>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</si>
  <si>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</si>
  <si>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</si>
  <si>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</si>
  <si>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</si>
  <si>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</si>
  <si>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</si>
  <si>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</si>
  <si>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</si>
  <si>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</si>
  <si>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</si>
  <si>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</si>
  <si>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</si>
  <si>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</si>
  <si>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</si>
  <si>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</si>
  <si>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</si>
  <si>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</si>
  <si>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</si>
  <si>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</si>
  <si>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</si>
  <si>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</si>
  <si>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</si>
  <si>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</si>
  <si>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</si>
  <si>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</si>
  <si>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</si>
  <si>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</si>
  <si>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</si>
  <si>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</si>
  <si>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</si>
  <si>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</si>
  <si>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</si>
  <si>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</si>
  <si>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</si>
  <si>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</si>
  <si>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</si>
  <si>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</si>
  <si>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</si>
  <si>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</si>
  <si>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</si>
  <si>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</si>
  <si>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</si>
  <si>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</si>
  <si>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</si>
  <si>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</si>
  <si>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</si>
  <si>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</si>
  <si>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</si>
  <si>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</si>
  <si>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</si>
  <si>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</si>
  <si>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</si>
  <si>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</si>
  <si>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</si>
  <si>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</si>
  <si>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</si>
  <si>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</si>
  <si>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</si>
  <si>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</si>
  <si>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</si>
  <si>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</si>
  <si>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</si>
  <si>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</si>
  <si>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</si>
  <si>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</si>
  <si>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</si>
  <si>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</si>
  <si>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</si>
  <si>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</si>
  <si>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</si>
  <si>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</si>
  <si>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</si>
  <si>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</si>
  <si>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</si>
  <si>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</si>
  <si>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</si>
  <si>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</si>
  <si>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</si>
  <si>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</si>
  <si>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</si>
  <si>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</si>
  <si>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</si>
  <si>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</si>
  <si>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</si>
  <si>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</si>
  <si>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</si>
  <si>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</si>
  <si>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</si>
  <si>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</si>
  <si>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</si>
  <si>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</si>
  <si>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</si>
  <si>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</si>
  <si>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</si>
  <si>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</si>
  <si>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</si>
  <si>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</si>
  <si>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</si>
  <si>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</si>
  <si>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</si>
  <si>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</si>
  <si>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</si>
  <si>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</si>
  <si>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</si>
  <si>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</si>
  <si>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</si>
  <si>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</si>
  <si>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</si>
  <si>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</si>
  <si>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</si>
  <si>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</si>
  <si>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</si>
  <si>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</si>
  <si>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</si>
  <si>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</si>
  <si>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</si>
  <si>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</si>
  <si>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</si>
  <si>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</si>
  <si>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</si>
  <si>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</si>
  <si>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</si>
  <si>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</si>
  <si>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</si>
  <si>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</si>
  <si>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</si>
  <si>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</si>
  <si>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</si>
  <si>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</si>
  <si>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</si>
  <si>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</si>
  <si>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</si>
  <si>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</si>
  <si>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</si>
  <si>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</si>
  <si>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</si>
  <si>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</si>
  <si>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</si>
  <si>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</si>
  <si>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</si>
  <si>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</si>
  <si>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</si>
  <si>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</si>
  <si>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</si>
  <si>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</si>
  <si>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</si>
  <si>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</si>
  <si>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</si>
  <si>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</si>
  <si>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</si>
  <si>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</si>
  <si>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</si>
  <si>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</si>
  <si>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</si>
  <si>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</si>
  <si>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</si>
  <si>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</si>
  <si>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</si>
  <si>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</si>
  <si>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</si>
  <si>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</si>
  <si>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</si>
  <si>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</si>
  <si>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</si>
  <si>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</si>
  <si>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</si>
  <si>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</si>
  <si>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</si>
  <si>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</si>
  <si>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</si>
  <si>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</si>
  <si>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</si>
  <si>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</si>
  <si>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</si>
  <si>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</si>
  <si>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</si>
  <si>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</si>
  <si>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</si>
  <si>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</si>
  <si>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</si>
  <si>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</si>
  <si>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</si>
  <si>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</si>
  <si>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</si>
  <si>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</si>
  <si>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</si>
  <si>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</si>
  <si>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</si>
  <si>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</si>
  <si>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</si>
  <si>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</si>
  <si>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</si>
  <si>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</si>
  <si>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</si>
  <si>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</si>
  <si>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</si>
  <si>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</si>
  <si>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</si>
  <si>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</si>
  <si>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</si>
  <si>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</si>
  <si>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</si>
  <si>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</si>
  <si>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</si>
  <si>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</si>
  <si>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</si>
  <si>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</si>
  <si>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</si>
  <si>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</si>
  <si>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</si>
  <si>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</si>
  <si>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</si>
  <si>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</si>
  <si>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</si>
  <si>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</si>
  <si>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</si>
  <si>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</si>
  <si>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</si>
  <si>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</si>
  <si>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</si>
  <si>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</si>
  <si>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</si>
  <si>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</si>
  <si>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</si>
  <si>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</si>
  <si>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</si>
  <si>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</si>
  <si>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</si>
  <si>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</si>
  <si>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</si>
  <si>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</si>
  <si>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</si>
  <si>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</si>
  <si>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</si>
  <si>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</si>
  <si>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</si>
  <si>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</si>
  <si>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</si>
  <si>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</si>
  <si>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</si>
  <si>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</si>
  <si>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</si>
  <si>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</si>
  <si>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</si>
  <si>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</si>
  <si>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</si>
  <si>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</si>
  <si>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</si>
  <si>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</si>
  <si>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</si>
  <si>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</si>
  <si>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</si>
  <si>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</si>
  <si>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</si>
  <si>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</si>
  <si>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</si>
  <si>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</si>
  <si>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</si>
  <si>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</si>
  <si>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</si>
  <si>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</si>
  <si>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</si>
  <si>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</si>
  <si>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</si>
  <si>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</si>
  <si>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</si>
  <si>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</si>
  <si>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</si>
  <si>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</si>
  <si>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</si>
  <si>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</si>
  <si>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</si>
  <si>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</si>
  <si>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</si>
  <si>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</si>
  <si>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</si>
  <si>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</si>
  <si>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</si>
  <si>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</si>
  <si>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</si>
  <si>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</si>
  <si>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</si>
  <si>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</si>
  <si>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</si>
  <si>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</si>
  <si>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</si>
  <si>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</si>
  <si>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</si>
  <si>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</si>
  <si>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</si>
  <si>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</si>
  <si>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</si>
  <si>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</si>
  <si>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</si>
  <si>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</si>
  <si>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</si>
  <si>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</si>
  <si>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</si>
  <si>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</si>
  <si>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</si>
  <si>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</si>
  <si>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</si>
  <si>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</si>
  <si>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</si>
  <si>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</si>
  <si>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</si>
  <si>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</si>
  <si>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</si>
  <si>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</si>
  <si>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</si>
  <si>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</si>
  <si>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</si>
  <si>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</si>
  <si>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</si>
  <si>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</si>
  <si>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</si>
  <si>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</si>
  <si>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</si>
  <si>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</si>
  <si>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</si>
  <si>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</si>
  <si>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</si>
  <si>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</si>
  <si>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</si>
  <si>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</si>
  <si>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</si>
  <si>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</si>
  <si>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</si>
  <si>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</si>
  <si>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</si>
  <si>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</si>
  <si>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</si>
  <si>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</si>
  <si>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</si>
  <si>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</si>
  <si>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</si>
  <si>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</si>
  <si>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</si>
  <si>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</si>
  <si>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</si>
  <si>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</si>
  <si>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</si>
  <si>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</si>
  <si>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</si>
  <si>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</si>
  <si>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</si>
  <si>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</si>
  <si>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</si>
  <si>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</si>
  <si>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</si>
  <si>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</si>
  <si>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</si>
  <si>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</si>
  <si>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</si>
  <si>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</si>
  <si>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</si>
  <si>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</si>
  <si>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</si>
  <si>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</si>
  <si>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</si>
  <si>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</si>
  <si>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</si>
  <si>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</si>
  <si>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</si>
  <si>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</si>
  <si>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</si>
  <si>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</si>
  <si>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</si>
  <si>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</si>
  <si>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</si>
  <si>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</si>
  <si>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</si>
  <si>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</si>
  <si>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</si>
  <si>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</si>
  <si>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</si>
  <si>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</si>
  <si>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</si>
  <si>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</si>
  <si>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</si>
  <si>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</si>
  <si>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</si>
  <si>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</si>
  <si>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</si>
  <si>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</si>
  <si>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</si>
  <si>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</si>
  <si>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</si>
  <si>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</si>
  <si>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</si>
  <si>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</si>
  <si>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</si>
  <si>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</si>
  <si>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Statewide_Average</t>
  </si>
  <si>
    <t>Households Served</t>
  </si>
  <si>
    <t>Round Trip Miles</t>
  </si>
  <si>
    <t>Column1</t>
  </si>
  <si>
    <t>Column2</t>
  </si>
  <si>
    <t>Total Miles Avoided</t>
  </si>
  <si>
    <t>Total Trips Avoided</t>
  </si>
  <si>
    <t>Bottled Water Assumptions</t>
  </si>
  <si>
    <t>Trips per Month</t>
  </si>
  <si>
    <t>Column3</t>
  </si>
  <si>
    <t>Column4</t>
  </si>
  <si>
    <t>Column5</t>
  </si>
  <si>
    <t>GHG Emission Factor 
(gCO2e/mile)</t>
  </si>
  <si>
    <t>Column6</t>
  </si>
  <si>
    <t>Total GHG Emissions Avoided
(MTCO2e)</t>
  </si>
  <si>
    <t>Column7</t>
  </si>
  <si>
    <t>Column8</t>
  </si>
  <si>
    <t>Column9</t>
  </si>
  <si>
    <t>Column10</t>
  </si>
  <si>
    <t>ROG Emission Factor
(g/mile)</t>
  </si>
  <si>
    <t>NOx Emission Factor
(g/mile)</t>
  </si>
  <si>
    <t>PM2.5 Emission Factor 
(g/mile)</t>
  </si>
  <si>
    <t>Diesel PM Emission Factor
(g/mile)</t>
  </si>
  <si>
    <t>Total ROG Emissions Avoided
(lbs)</t>
  </si>
  <si>
    <t>Total NOx Emissions Avoided
(lbs)</t>
  </si>
  <si>
    <t>Total PM2.5 Emissions Avoided
(lbs)</t>
  </si>
  <si>
    <t>Total Diesel PM Emissions Avoided
(lbs)</t>
  </si>
  <si>
    <t>Column11</t>
  </si>
  <si>
    <t>Column12</t>
  </si>
  <si>
    <t>Column13</t>
  </si>
  <si>
    <t>Column14</t>
  </si>
  <si>
    <t>Net NOx (lbs)</t>
  </si>
  <si>
    <t>Net PM2.5 (lbs)</t>
  </si>
  <si>
    <t>Net Diesel PM (lbs)</t>
  </si>
  <si>
    <t>Net GHG (MTCO2e)</t>
  </si>
  <si>
    <t>Column15</t>
  </si>
  <si>
    <t>Column16</t>
  </si>
  <si>
    <t>Column17</t>
  </si>
  <si>
    <t>Column18</t>
  </si>
  <si>
    <t>Column19</t>
  </si>
  <si>
    <t>Column20</t>
  </si>
  <si>
    <t>Net ROG
(lbs)</t>
  </si>
  <si>
    <t>Column42</t>
  </si>
  <si>
    <t>Avoided Fuel Usage (gallons)</t>
  </si>
  <si>
    <t>Net Fuel Reduction (gal)</t>
  </si>
  <si>
    <t>Column21</t>
  </si>
  <si>
    <t>Column43</t>
  </si>
  <si>
    <t>Fuel Cost Savings ($)</t>
  </si>
  <si>
    <t>Net Fuel Cost Savings</t>
  </si>
  <si>
    <t>Miles Traveled / Year
(Annual Total for 
All Delivery Vehicles)</t>
  </si>
  <si>
    <t>Delivery Vehicle Type</t>
  </si>
  <si>
    <t>Delivery Vehicle Fuel Type</t>
  </si>
  <si>
    <t>Number of Identical Delivery Vehicles</t>
  </si>
  <si>
    <t>2022 Diesel</t>
  </si>
  <si>
    <t>2022 CNG</t>
  </si>
  <si>
    <t>2022 Conventional Hybrid</t>
  </si>
  <si>
    <t xml:space="preserve"> 2022 BEV</t>
  </si>
  <si>
    <r>
      <t>2022 Low NO</t>
    </r>
    <r>
      <rPr>
        <b/>
        <vertAlign val="subscript"/>
        <sz val="12"/>
        <color theme="1"/>
        <rFont val="Avenir LT Std 55 Roman"/>
        <family val="2"/>
      </rPr>
      <t>x</t>
    </r>
    <r>
      <rPr>
        <b/>
        <sz val="12"/>
        <color theme="1"/>
        <rFont val="Avenir LT Std 55 Roman"/>
        <family val="2"/>
      </rPr>
      <t xml:space="preserve"> RNG</t>
    </r>
  </si>
  <si>
    <t>2022 Gasoline</t>
  </si>
  <si>
    <t>2022 PHEV</t>
  </si>
  <si>
    <t>2022 BEV</t>
  </si>
  <si>
    <t>2022 FCEV</t>
  </si>
  <si>
    <t>2022 FCV</t>
  </si>
  <si>
    <t>2022 Gas Motorcycle</t>
  </si>
  <si>
    <t>2022 Battery-Electric Motorcycle</t>
  </si>
  <si>
    <t>Calendar Year:  2024</t>
  </si>
  <si>
    <t>Model Year:  2021</t>
  </si>
  <si>
    <t>Calendar Year:  2028</t>
  </si>
  <si>
    <t>Mdl Year:  2021</t>
  </si>
  <si>
    <t>GHG Electricity Emissions Data (2020)</t>
  </si>
  <si>
    <t>California Average Grid GHG Electricity Emissions Factors (2020)</t>
  </si>
  <si>
    <t>consumption.  Emissions data were obtained from the CARB GHG inventory, last updated October 2022, available online at:</t>
  </si>
  <si>
    <t>https://ww2.arb.ca.gov/sites/default/files/classic/cc/inventory/ghg_inventory_sector_sum_2000-20.pdf</t>
  </si>
  <si>
    <t xml:space="preserve">Consumption data  were obtained from the CEC Energy Almanac, last updated April 2022 available online at: </t>
  </si>
  <si>
    <t>Natural Gas are 2021 Volume-Weighted Averages derived from the LCFS Reporting Tool system.</t>
  </si>
  <si>
    <t>LCFS GHG emission factor for Electricity is sourced from the 2022 annual update to the California average</t>
  </si>
  <si>
    <r>
      <t>California 2022 average industrial sector energy prices</t>
    </r>
    <r>
      <rPr>
        <b/>
        <vertAlign val="superscript"/>
        <sz val="12"/>
        <color theme="1"/>
        <rFont val="Avenir LT Std 55 Roman"/>
        <family val="2"/>
      </rPr>
      <t>[1]</t>
    </r>
  </si>
  <si>
    <r>
      <t>California 2022 average commercial sector energy prices</t>
    </r>
    <r>
      <rPr>
        <b/>
        <vertAlign val="superscript"/>
        <sz val="12"/>
        <color theme="1"/>
        <rFont val="Avenir LT Std 55 Roman"/>
        <family val="2"/>
      </rPr>
      <t>[1]</t>
    </r>
  </si>
  <si>
    <r>
      <t>California 2022 average residential sector energy prices</t>
    </r>
    <r>
      <rPr>
        <b/>
        <vertAlign val="superscript"/>
        <sz val="12"/>
        <color theme="1"/>
        <rFont val="Avenir LT Std 55 Roman"/>
        <family val="2"/>
      </rPr>
      <t>[1]</t>
    </r>
  </si>
  <si>
    <r>
      <t>California 2022 average transportation sector energy prices</t>
    </r>
    <r>
      <rPr>
        <b/>
        <vertAlign val="superscript"/>
        <sz val="12"/>
        <color theme="1"/>
        <rFont val="Avenir LT Std 55 Roman"/>
        <family val="2"/>
      </rPr>
      <t>[1]</t>
    </r>
  </si>
  <si>
    <r>
      <t xml:space="preserve">CARB. (2023). </t>
    </r>
    <r>
      <rPr>
        <i/>
        <sz val="12"/>
        <color theme="1"/>
        <rFont val="Avenir LT Std 55 Roman"/>
        <family val="2"/>
      </rPr>
      <t>Co-benefit Assessment Methodology for Energy and Fuel Cost Savings.</t>
    </r>
  </si>
  <si>
    <t>https://ww2.arb.ca.gov/sites/default/files/auction-proceeds/final_energyfuelcost_am_2023.pdf</t>
  </si>
  <si>
    <t>Plug-In Hybrid</t>
  </si>
  <si>
    <r>
      <t>A step-by-step</t>
    </r>
    <r>
      <rPr>
        <b/>
        <sz val="12"/>
        <color theme="1"/>
        <rFont val="Avenir Next LT Pro"/>
        <family val="2"/>
      </rPr>
      <t xml:space="preserve"> user guide</t>
    </r>
    <r>
      <rPr>
        <sz val="12"/>
        <color theme="1"/>
        <rFont val="Avenir Next LT Pro"/>
        <family val="2"/>
      </rPr>
      <t xml:space="preserve">, including </t>
    </r>
    <r>
      <rPr>
        <b/>
        <sz val="12"/>
        <color theme="1"/>
        <rFont val="Avenir Next LT Pro"/>
        <family val="2"/>
      </rPr>
      <t>project examples</t>
    </r>
    <r>
      <rPr>
        <sz val="12"/>
        <color theme="1"/>
        <rFont val="Avenir Next LT Pro"/>
        <family val="2"/>
      </rPr>
      <t>, for this Benefits Calculator Tool is available at:</t>
    </r>
  </si>
  <si>
    <r>
      <rPr>
        <sz val="12"/>
        <rFont val="Avenir Next LT Pro"/>
        <family val="2"/>
      </rPr>
      <t xml:space="preserve">Available at:  </t>
    </r>
    <r>
      <rPr>
        <u/>
        <sz val="12"/>
        <color theme="10"/>
        <rFont val="Avenir Next LT Pro"/>
        <family val="2"/>
      </rPr>
      <t>pvwatts.nrel.gov</t>
    </r>
  </si>
  <si>
    <r>
      <t>Baseline 
(MTCO</t>
    </r>
    <r>
      <rPr>
        <b/>
        <vertAlign val="subscript"/>
        <sz val="12"/>
        <color theme="1"/>
        <rFont val="Avenir Next LT Pro"/>
        <family val="2"/>
      </rPr>
      <t>2</t>
    </r>
    <r>
      <rPr>
        <b/>
        <sz val="12"/>
        <color theme="1"/>
        <rFont val="Avenir Next LT Pro"/>
        <family val="2"/>
      </rPr>
      <t>e/year)</t>
    </r>
  </si>
  <si>
    <r>
      <t>Replacement 
(MTCO</t>
    </r>
    <r>
      <rPr>
        <b/>
        <vertAlign val="subscript"/>
        <sz val="12"/>
        <color theme="1"/>
        <rFont val="Avenir Next LT Pro"/>
        <family val="2"/>
      </rPr>
      <t>2</t>
    </r>
    <r>
      <rPr>
        <b/>
        <sz val="12"/>
        <color theme="1"/>
        <rFont val="Avenir Next LT Pro"/>
        <family val="2"/>
      </rPr>
      <t>e/year)</t>
    </r>
  </si>
  <si>
    <r>
      <t>Annual GHG 
(MTCO</t>
    </r>
    <r>
      <rPr>
        <b/>
        <vertAlign val="subscript"/>
        <sz val="12"/>
        <color theme="1"/>
        <rFont val="Avenir Next LT Pro"/>
        <family val="2"/>
      </rPr>
      <t>2</t>
    </r>
    <r>
      <rPr>
        <b/>
        <sz val="12"/>
        <color theme="1"/>
        <rFont val="Avenir Next LT Pro"/>
        <family val="2"/>
      </rPr>
      <t>e/yr)</t>
    </r>
  </si>
  <si>
    <r>
      <t>Total GHG 
(MTCO</t>
    </r>
    <r>
      <rPr>
        <b/>
        <vertAlign val="subscript"/>
        <sz val="12"/>
        <color theme="1"/>
        <rFont val="Avenir Next LT Pro"/>
        <family val="2"/>
      </rPr>
      <t>2</t>
    </r>
    <r>
      <rPr>
        <b/>
        <sz val="12"/>
        <color theme="1"/>
        <rFont val="Avenir Next LT Pro"/>
        <family val="2"/>
      </rPr>
      <t>e)</t>
    </r>
  </si>
  <si>
    <r>
      <t>Total NO</t>
    </r>
    <r>
      <rPr>
        <b/>
        <vertAlign val="subscript"/>
        <sz val="12"/>
        <color theme="1"/>
        <rFont val="Avenir Next LT Pro"/>
        <family val="2"/>
      </rPr>
      <t>X</t>
    </r>
    <r>
      <rPr>
        <b/>
        <sz val="12"/>
        <color theme="1"/>
        <rFont val="Avenir Next LT Pro"/>
        <family val="2"/>
      </rPr>
      <t xml:space="preserve"> 
(lbs)</t>
    </r>
  </si>
  <si>
    <r>
      <t>Total PM</t>
    </r>
    <r>
      <rPr>
        <b/>
        <vertAlign val="subscript"/>
        <sz val="12"/>
        <color theme="1"/>
        <rFont val="Avenir Next LT Pro"/>
        <family val="2"/>
      </rPr>
      <t>10</t>
    </r>
    <r>
      <rPr>
        <b/>
        <sz val="12"/>
        <color theme="1"/>
        <rFont val="Avenir Next LT Pro"/>
        <family val="2"/>
      </rPr>
      <t xml:space="preserve"> 
(lbs)</t>
    </r>
  </si>
  <si>
    <r>
      <t>Total PM</t>
    </r>
    <r>
      <rPr>
        <b/>
        <vertAlign val="subscript"/>
        <sz val="12"/>
        <color theme="1"/>
        <rFont val="Avenir Next LT Pro"/>
        <family val="2"/>
      </rPr>
      <t>2.5</t>
    </r>
    <r>
      <rPr>
        <b/>
        <sz val="12"/>
        <color theme="1"/>
        <rFont val="Avenir Next LT Pro"/>
        <family val="2"/>
      </rPr>
      <t xml:space="preserve"> 
(lbs)</t>
    </r>
  </si>
  <si>
    <r>
      <t>Annual NO</t>
    </r>
    <r>
      <rPr>
        <b/>
        <vertAlign val="subscript"/>
        <sz val="12"/>
        <color theme="1"/>
        <rFont val="Avenir Next LT Pro"/>
        <family val="2"/>
      </rPr>
      <t xml:space="preserve">X
</t>
    </r>
    <r>
      <rPr>
        <b/>
        <sz val="12"/>
        <color theme="1"/>
        <rFont val="Avenir Next LT Pro"/>
        <family val="2"/>
      </rPr>
      <t>(short tons/year)</t>
    </r>
  </si>
  <si>
    <r>
      <t>Annual PM</t>
    </r>
    <r>
      <rPr>
        <b/>
        <vertAlign val="subscript"/>
        <sz val="12"/>
        <color theme="1"/>
        <rFont val="Avenir Next LT Pro"/>
        <family val="2"/>
      </rPr>
      <t xml:space="preserve">10
</t>
    </r>
    <r>
      <rPr>
        <b/>
        <sz val="12"/>
        <color theme="1"/>
        <rFont val="Avenir Next LT Pro"/>
        <family val="2"/>
      </rPr>
      <t>(short tons/year)</t>
    </r>
  </si>
  <si>
    <r>
      <t>GHG Emission Reductions (MTCO</t>
    </r>
    <r>
      <rPr>
        <b/>
        <vertAlign val="subscript"/>
        <sz val="12"/>
        <rFont val="Avenir Next LT Pro"/>
        <family val="2"/>
      </rPr>
      <t>2</t>
    </r>
    <r>
      <rPr>
        <b/>
        <sz val="12"/>
        <rFont val="Avenir Next LT Pro"/>
        <family val="2"/>
      </rPr>
      <t>e)</t>
    </r>
  </si>
  <si>
    <r>
      <t>Total
NO</t>
    </r>
    <r>
      <rPr>
        <b/>
        <vertAlign val="subscript"/>
        <sz val="12"/>
        <rFont val="Avenir Next LT Pro"/>
        <family val="2"/>
      </rPr>
      <t>x</t>
    </r>
    <r>
      <rPr>
        <b/>
        <sz val="12"/>
        <rFont val="Avenir Next LT Pro"/>
        <family val="2"/>
      </rPr>
      <t xml:space="preserve"> Reductions 
(lbs)</t>
    </r>
  </si>
  <si>
    <r>
      <t>Remote
NO</t>
    </r>
    <r>
      <rPr>
        <b/>
        <vertAlign val="subscript"/>
        <sz val="12"/>
        <rFont val="Avenir Next LT Pro"/>
        <family val="2"/>
      </rPr>
      <t>x</t>
    </r>
    <r>
      <rPr>
        <b/>
        <sz val="12"/>
        <rFont val="Avenir Next LT Pro"/>
        <family val="2"/>
      </rPr>
      <t xml:space="preserve"> Reductions 
(lbs)</t>
    </r>
  </si>
  <si>
    <r>
      <t>Baseline 
(MTCO</t>
    </r>
    <r>
      <rPr>
        <b/>
        <vertAlign val="subscript"/>
        <sz val="12"/>
        <rFont val="Avenir Next LT Pro"/>
        <family val="2"/>
      </rPr>
      <t>2</t>
    </r>
    <r>
      <rPr>
        <b/>
        <sz val="12"/>
        <rFont val="Avenir Next LT Pro"/>
        <family val="2"/>
      </rPr>
      <t>e/year)</t>
    </r>
  </si>
  <si>
    <r>
      <t>Replacement 
(MTCO</t>
    </r>
    <r>
      <rPr>
        <b/>
        <vertAlign val="subscript"/>
        <sz val="12"/>
        <rFont val="Avenir Next LT Pro"/>
        <family val="2"/>
      </rPr>
      <t>2</t>
    </r>
    <r>
      <rPr>
        <b/>
        <sz val="12"/>
        <rFont val="Avenir Next LT Pro"/>
        <family val="2"/>
      </rPr>
      <t>e/year)</t>
    </r>
  </si>
  <si>
    <r>
      <t>Annual GHG 
(MTCO</t>
    </r>
    <r>
      <rPr>
        <b/>
        <vertAlign val="subscript"/>
        <sz val="12"/>
        <rFont val="Avenir Next LT Pro"/>
        <family val="2"/>
      </rPr>
      <t>2</t>
    </r>
    <r>
      <rPr>
        <b/>
        <sz val="12"/>
        <rFont val="Avenir Next LT Pro"/>
        <family val="2"/>
      </rPr>
      <t>e/yr)</t>
    </r>
  </si>
  <si>
    <r>
      <t>Total GHG 
(MTCO</t>
    </r>
    <r>
      <rPr>
        <b/>
        <vertAlign val="subscript"/>
        <sz val="12"/>
        <rFont val="Avenir Next LT Pro"/>
        <family val="2"/>
      </rPr>
      <t>2</t>
    </r>
    <r>
      <rPr>
        <b/>
        <sz val="12"/>
        <rFont val="Avenir Next LT Pro"/>
        <family val="2"/>
      </rPr>
      <t>e)</t>
    </r>
  </si>
  <si>
    <r>
      <t>Total NO</t>
    </r>
    <r>
      <rPr>
        <b/>
        <vertAlign val="subscript"/>
        <sz val="12"/>
        <rFont val="Avenir Next LT Pro"/>
        <family val="2"/>
      </rPr>
      <t>X</t>
    </r>
    <r>
      <rPr>
        <b/>
        <sz val="12"/>
        <rFont val="Avenir Next LT Pro"/>
        <family val="2"/>
      </rPr>
      <t xml:space="preserve"> 
(lbs)</t>
    </r>
  </si>
  <si>
    <r>
      <t>Total PM</t>
    </r>
    <r>
      <rPr>
        <b/>
        <vertAlign val="subscript"/>
        <sz val="12"/>
        <rFont val="Avenir Next LT Pro"/>
        <family val="2"/>
      </rPr>
      <t>10</t>
    </r>
    <r>
      <rPr>
        <b/>
        <sz val="12"/>
        <rFont val="Avenir Next LT Pro"/>
        <family val="2"/>
      </rPr>
      <t xml:space="preserve"> 
(lbs)</t>
    </r>
  </si>
  <si>
    <r>
      <t>Total PM</t>
    </r>
    <r>
      <rPr>
        <b/>
        <vertAlign val="subscript"/>
        <sz val="12"/>
        <rFont val="Avenir Next LT Pro"/>
        <family val="2"/>
      </rPr>
      <t>2.5</t>
    </r>
    <r>
      <rPr>
        <b/>
        <sz val="12"/>
        <rFont val="Avenir Next LT Pro"/>
        <family val="2"/>
      </rPr>
      <t xml:space="preserve"> 
(lbs)</t>
    </r>
  </si>
  <si>
    <r>
      <t>Annual NO</t>
    </r>
    <r>
      <rPr>
        <b/>
        <vertAlign val="subscript"/>
        <sz val="12"/>
        <rFont val="Avenir Next LT Pro"/>
        <family val="2"/>
      </rPr>
      <t xml:space="preserve">X
</t>
    </r>
    <r>
      <rPr>
        <b/>
        <sz val="12"/>
        <rFont val="Avenir Next LT Pro"/>
        <family val="2"/>
      </rPr>
      <t>(short tons/year)</t>
    </r>
  </si>
  <si>
    <r>
      <t>Annual PM</t>
    </r>
    <r>
      <rPr>
        <b/>
        <vertAlign val="subscript"/>
        <sz val="12"/>
        <rFont val="Avenir Next LT Pro"/>
        <family val="2"/>
      </rPr>
      <t xml:space="preserve">10
</t>
    </r>
    <r>
      <rPr>
        <b/>
        <sz val="12"/>
        <rFont val="Avenir Next LT Pro"/>
        <family val="2"/>
      </rPr>
      <t>(short tons/year)</t>
    </r>
  </si>
  <si>
    <r>
      <t>GHG Emission Reductions (MTCO</t>
    </r>
    <r>
      <rPr>
        <vertAlign val="subscript"/>
        <sz val="12"/>
        <rFont val="Avenir Next LT Pro"/>
        <family val="2"/>
      </rPr>
      <t>2</t>
    </r>
    <r>
      <rPr>
        <sz val="12"/>
        <rFont val="Avenir Next LT Pro"/>
        <family val="2"/>
      </rPr>
      <t>e)</t>
    </r>
  </si>
  <si>
    <r>
      <t>Remote NO</t>
    </r>
    <r>
      <rPr>
        <vertAlign val="subscript"/>
        <sz val="12"/>
        <rFont val="Avenir Next LT Pro"/>
        <family val="2"/>
      </rPr>
      <t>x</t>
    </r>
    <r>
      <rPr>
        <sz val="12"/>
        <rFont val="Avenir Next LT Pro"/>
        <family val="2"/>
      </rPr>
      <t xml:space="preserve"> Emission Reductions (lbs)</t>
    </r>
  </si>
  <si>
    <r>
      <t>Remote PM</t>
    </r>
    <r>
      <rPr>
        <vertAlign val="subscript"/>
        <sz val="12"/>
        <rFont val="Avenir Next LT Pro"/>
        <family val="2"/>
      </rPr>
      <t>2.5</t>
    </r>
    <r>
      <rPr>
        <sz val="12"/>
        <rFont val="Avenir Next LT Pro"/>
        <family val="2"/>
      </rPr>
      <t xml:space="preserve"> Emission Reductions (lbs)</t>
    </r>
  </si>
  <si>
    <r>
      <t>Per Total Funds  (MTCO</t>
    </r>
    <r>
      <rPr>
        <b/>
        <vertAlign val="subscript"/>
        <sz val="12"/>
        <color theme="1"/>
        <rFont val="Avenir Next LT Pro"/>
        <family val="2"/>
      </rPr>
      <t>2</t>
    </r>
    <r>
      <rPr>
        <b/>
        <sz val="12"/>
        <color theme="1"/>
        <rFont val="Avenir Next LT Pro"/>
        <family val="2"/>
      </rPr>
      <t>e)</t>
    </r>
  </si>
  <si>
    <r>
      <t>Total GHG Emission Reductions per Total Funds (MTCO</t>
    </r>
    <r>
      <rPr>
        <b/>
        <vertAlign val="subscript"/>
        <sz val="12"/>
        <color theme="1"/>
        <rFont val="Avenir Next LT Pro"/>
        <family val="2"/>
      </rPr>
      <t>2</t>
    </r>
    <r>
      <rPr>
        <b/>
        <sz val="12"/>
        <color theme="1"/>
        <rFont val="Avenir Next LT Pro"/>
        <family val="2"/>
      </rPr>
      <t>e/$)</t>
    </r>
  </si>
  <si>
    <r>
      <t>GHG Emission Reductions
(MTCO</t>
    </r>
    <r>
      <rPr>
        <b/>
        <vertAlign val="subscript"/>
        <sz val="12"/>
        <rFont val="Avenir Next LT Pro"/>
        <family val="2"/>
      </rPr>
      <t>2</t>
    </r>
    <r>
      <rPr>
        <b/>
        <sz val="12"/>
        <rFont val="Avenir Next LT Pro"/>
        <family val="2"/>
      </rPr>
      <t>e)</t>
    </r>
  </si>
  <si>
    <r>
      <t>Remote NO</t>
    </r>
    <r>
      <rPr>
        <b/>
        <vertAlign val="subscript"/>
        <sz val="12"/>
        <rFont val="Avenir Next LT Pro"/>
        <family val="2"/>
      </rPr>
      <t>x</t>
    </r>
    <r>
      <rPr>
        <b/>
        <sz val="12"/>
        <rFont val="Avenir Next LT Pro"/>
        <family val="2"/>
      </rPr>
      <t xml:space="preserve"> Emission Reductions
(lbs)</t>
    </r>
  </si>
  <si>
    <r>
      <t>Remote PM</t>
    </r>
    <r>
      <rPr>
        <b/>
        <vertAlign val="subscript"/>
        <sz val="12"/>
        <rFont val="Avenir Next LT Pro"/>
        <family val="2"/>
      </rPr>
      <t>2.5</t>
    </r>
    <r>
      <rPr>
        <b/>
        <sz val="12"/>
        <rFont val="Avenir Next LT Pro"/>
        <family val="2"/>
      </rPr>
      <t xml:space="preserve"> Emission Reductions
(lbs)</t>
    </r>
  </si>
  <si>
    <t>Number of households served annually.</t>
  </si>
  <si>
    <t>For the State Water Board SADW Fund, CARB staff developed this SADW Benefits Calculator Tool to estimate the net greenhouse gas (GHG) benefit and selected co-benefits of each proposed project type.  In an effort to enhance the analysis, provide greater transparency, and assist in project‑level reporting, CARB has included an output tab in this Benefits Calculator Tool for selected co‑benefits and key variables.  This Benefits Calculator Tool and supporting resources are available at:</t>
  </si>
  <si>
    <t>This Benefits Calculator Tool estimates net GHG benefit and air pollutant emission co-benefits using methods described in the supporting SADW Quantification Methodology.  Other co-benefits estimated in this and other benefits calculator tools use methods described in CARB's Co-benefit Assessment Methodologies.  All CARB Co-benefit Assessment Methodologies are available at:</t>
  </si>
  <si>
    <t>https://ww2.arb.ca.gov/sites/default/files/classic/cc/capandtrade/auctionproceeds/swrcb_sadw_finaluserguide_11-14-23.pdf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</si>
</sst>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quot;#,##0.00_);[Red]\(&quot;$&quot;#,##0.00\)"/>
    <numFmt numFmtId="41" formatCode="_(* #,##0_);_(* \(#,##0\);_(* &quot;-&quot;_);_(@_)"/>
    <numFmt numFmtId="44" formatCode="_(&quot;$&quot;* #,##0.00_);_(&quot;$&quot;* \(#,##0.00\);_(&quot;$&quot;* &quot;-&quot;??_);_(@_)"/>
    <numFmt numFmtId="43" formatCode="_(* #,##0.00_);_(* \(#,##0.00\);_(* &quot;-&quot;??_);_(@_)"/>
    <numFmt numFmtId="164" formatCode="[$-409]mmmm\ d\,\ yyyy;@"/>
    <numFmt numFmtId="165" formatCode="_(&quot;$&quot;* #,##0_);_(&quot;$&quot;* \(#,##0\);_(&quot;$&quot;* &quot;-&quot;??_);_(@_)"/>
    <numFmt numFmtId="166" formatCode="0.0"/>
    <numFmt numFmtId="167" formatCode="0.0000"/>
    <numFmt numFmtId="168" formatCode="0.00000"/>
    <numFmt numFmtId="169" formatCode="0.0000000"/>
    <numFmt numFmtId="170" formatCode="_(* #,##0.000000_);_(* \(#,##0.000000\);_(* &quot;-&quot;??_);_(@_)"/>
    <numFmt numFmtId="171" formatCode="_(* #,##0.000000000_);_(* \(#,##0.000000000\);_(* &quot;-&quot;??_);_(@_)"/>
    <numFmt numFmtId="172" formatCode="_(* #,##0.0000_);_(* \(#,##0.0000\);_(* &quot;-&quot;??_);_(@_)"/>
    <numFmt numFmtId="173" formatCode="#,##0.0000000_);\(#,##0.0000000\)"/>
    <numFmt numFmtId="174" formatCode="&quot;$&quot;#,##0"/>
    <numFmt numFmtId="175" formatCode="&quot;$&quot;#,##0.0000_);[Red]\(&quot;$&quot;#,##0.0000\)"/>
    <numFmt numFmtId="176" formatCode="#,##0.000_);[Red]\(#,##0.000\)"/>
    <numFmt numFmtId="177" formatCode="#,##0.0000_);[Red]\(#,##0.0000\)"/>
    <numFmt numFmtId="178" formatCode="0.000"/>
    <numFmt numFmtId="179" formatCode="_(* #,##0.000_);_(* \(#,##0.000\);_(* &quot;-&quot;??_);_(@_)"/>
    <numFmt numFmtId="180" formatCode="_(* #,##0_);_(* \(#,##0\);_(* &quot;-&quot;??_);_(@_)"/>
    <numFmt numFmtId="181" formatCode="0.000000"/>
    <numFmt numFmtId="182" formatCode="#,##0.000000"/>
    <numFmt numFmtId="183" formatCode="#,##0.0000"/>
  </numFmts>
  <fonts count="66" x14ac:knownFonts="1">
    <font>
      <sz val="11"/>
      <color theme="1"/>
      <name val="Calibri"/>
      <family val="2"/>
      <scheme val="minor"/>
    </font>
    <font>
      <sz val="12"/>
      <color theme="1"/>
      <name val="Avenir Next LT Pro"/>
      <family val="2"/>
    </font>
    <font>
      <sz val="12"/>
      <color theme="1"/>
      <name val="Avenir Next LT Pro"/>
      <family val="2"/>
    </font>
    <font>
      <b/>
      <sz val="14"/>
      <color theme="1"/>
      <name val="Avenir LT Std 55 Roman"/>
      <family val="2"/>
    </font>
    <font>
      <b/>
      <sz val="12"/>
      <color theme="1"/>
      <name val="Avenir LT Std 55 Roman"/>
      <family val="2"/>
    </font>
    <font>
      <sz val="12"/>
      <color theme="1"/>
      <name val="Avenir LT Std 55 Roman"/>
      <family val="2"/>
    </font>
    <font>
      <u/>
      <sz val="11"/>
      <color theme="10"/>
      <name val="Calibri"/>
      <family val="2"/>
      <scheme val="minor"/>
    </font>
    <font>
      <u/>
      <sz val="12"/>
      <color theme="10"/>
      <name val="Avenir LT Std 55 Roman"/>
      <family val="2"/>
    </font>
    <font>
      <sz val="11"/>
      <color theme="1"/>
      <name val="Calibri"/>
      <family val="2"/>
      <scheme val="minor"/>
    </font>
    <font>
      <sz val="10"/>
      <name val="Arial"/>
      <family val="2"/>
    </font>
    <font>
      <sz val="12"/>
      <name val="Avenir LT Std 55 Roman"/>
      <family val="2"/>
    </font>
    <font>
      <b/>
      <sz val="12"/>
      <name val="Avenir LT Std 55 Roman"/>
      <family val="2"/>
    </font>
    <font>
      <vertAlign val="subscript"/>
      <sz val="12"/>
      <color theme="1"/>
      <name val="Avenir LT Std 55 Roman"/>
      <family val="2"/>
    </font>
    <font>
      <b/>
      <sz val="14"/>
      <color rgb="FFC00000"/>
      <name val="Avenir LT Std 55 Roman"/>
      <family val="2"/>
    </font>
    <font>
      <sz val="12"/>
      <color rgb="FF000000"/>
      <name val="Avenir LT Std 55 Roman"/>
      <family val="2"/>
    </font>
    <font>
      <sz val="11"/>
      <color theme="1"/>
      <name val="Avenir LT Std 55 Roman"/>
      <family val="2"/>
    </font>
    <font>
      <b/>
      <sz val="14"/>
      <name val="Avenir LT Std 55 Roman"/>
      <family val="2"/>
    </font>
    <font>
      <u/>
      <sz val="12"/>
      <color theme="10"/>
      <name val="Arial"/>
      <family val="2"/>
    </font>
    <font>
      <b/>
      <vertAlign val="subscript"/>
      <sz val="12"/>
      <color theme="1"/>
      <name val="Avenir LT Std 55 Roman"/>
      <family val="2"/>
    </font>
    <font>
      <vertAlign val="subscript"/>
      <sz val="12"/>
      <name val="Avenir LT Std 55 Roman"/>
      <family val="2"/>
    </font>
    <font>
      <u/>
      <sz val="11"/>
      <color theme="10"/>
      <name val="Calibri"/>
      <family val="2"/>
    </font>
    <font>
      <b/>
      <u/>
      <sz val="12"/>
      <color theme="1"/>
      <name val="Avenir LT Std 55 Roman"/>
      <family val="2"/>
    </font>
    <font>
      <i/>
      <sz val="12"/>
      <color theme="1"/>
      <name val="Avenir LT Std 55 Roman"/>
      <family val="2"/>
    </font>
    <font>
      <b/>
      <sz val="11"/>
      <color theme="1"/>
      <name val="Avenir LT Std 55 Roman"/>
      <family val="2"/>
    </font>
    <font>
      <b/>
      <sz val="11"/>
      <color theme="0"/>
      <name val="Avenir LT Std 55 Roman"/>
      <family val="2"/>
    </font>
    <font>
      <b/>
      <vertAlign val="subscript"/>
      <sz val="12"/>
      <name val="Avenir LT Std 55 Roman"/>
      <family val="2"/>
    </font>
    <font>
      <b/>
      <vertAlign val="superscript"/>
      <sz val="12"/>
      <color theme="1"/>
      <name val="Avenir LT Std 55 Roman"/>
      <family val="2"/>
    </font>
    <font>
      <b/>
      <sz val="12"/>
      <color rgb="FF000000"/>
      <name val="Avenir LT Std 55 Roman"/>
      <family val="2"/>
    </font>
    <font>
      <vertAlign val="superscript"/>
      <sz val="12"/>
      <color rgb="FF000000"/>
      <name val="Avenir LT Std 55 Roman"/>
      <family val="2"/>
    </font>
    <font>
      <sz val="12"/>
      <color theme="0" tint="-4.9989318521683403E-2"/>
      <name val="Avenir LT Std 55 Roman"/>
      <family val="2"/>
    </font>
    <font>
      <u/>
      <sz val="12"/>
      <color rgb="FF0563C1"/>
      <name val="Avenir LT Std 55 Roman"/>
      <family val="2"/>
    </font>
    <font>
      <sz val="11"/>
      <color theme="0" tint="-4.9989318521683403E-2"/>
      <name val="Avenir LT Std 55 Roman"/>
      <family val="2"/>
    </font>
    <font>
      <sz val="8"/>
      <name val="Calibri"/>
      <family val="2"/>
      <scheme val="minor"/>
    </font>
    <font>
      <b/>
      <sz val="14"/>
      <color rgb="FFFF0000"/>
      <name val="Avenir LT Std 55 Roman"/>
      <family val="2"/>
    </font>
    <font>
      <b/>
      <sz val="11"/>
      <color rgb="FF000000"/>
      <name val="Avenir LT Std 55 Roman"/>
      <family val="2"/>
    </font>
    <font>
      <sz val="11"/>
      <color rgb="FF000000"/>
      <name val="Avenir LT Std 55 Roman"/>
      <family val="2"/>
    </font>
    <font>
      <b/>
      <sz val="14"/>
      <color theme="1"/>
      <name val="Avenir Next LT Pro"/>
      <family val="2"/>
    </font>
    <font>
      <sz val="11"/>
      <color theme="1"/>
      <name val="Avenir Next LT Pro"/>
      <family val="2"/>
    </font>
    <font>
      <b/>
      <sz val="14"/>
      <color rgb="FFFF0000"/>
      <name val="Avenir Next LT Pro"/>
      <family val="2"/>
    </font>
    <font>
      <b/>
      <sz val="14"/>
      <name val="Avenir Next LT Pro"/>
      <family val="2"/>
    </font>
    <font>
      <b/>
      <sz val="12"/>
      <color theme="1"/>
      <name val="Avenir Next LT Pro"/>
      <family val="2"/>
    </font>
    <font>
      <sz val="12"/>
      <color theme="1"/>
      <name val="Avenir Next LT Pro"/>
      <family val="2"/>
    </font>
    <font>
      <sz val="12"/>
      <color rgb="FFFF0000"/>
      <name val="Avenir Next LT Pro"/>
      <family val="2"/>
    </font>
    <font>
      <sz val="12"/>
      <name val="Avenir Next LT Pro"/>
      <family val="2"/>
    </font>
    <font>
      <u/>
      <sz val="12"/>
      <color theme="10"/>
      <name val="Avenir Next LT Pro"/>
      <family val="2"/>
    </font>
    <font>
      <u/>
      <sz val="11"/>
      <color theme="10"/>
      <name val="Avenir Next LT Pro"/>
      <family val="2"/>
    </font>
    <font>
      <i/>
      <sz val="12"/>
      <color theme="1"/>
      <name val="Avenir Next LT Pro"/>
      <family val="2"/>
    </font>
    <font>
      <i/>
      <u/>
      <sz val="12"/>
      <color theme="10"/>
      <name val="Avenir Next LT Pro"/>
      <family val="2"/>
    </font>
    <font>
      <b/>
      <sz val="12"/>
      <name val="Avenir Next LT Pro"/>
      <family val="2"/>
    </font>
    <font>
      <i/>
      <sz val="12"/>
      <name val="Avenir Next LT Pro"/>
      <family val="2"/>
    </font>
    <font>
      <b/>
      <i/>
      <u/>
      <sz val="12"/>
      <color rgb="FFC00000"/>
      <name val="Avenir Next LT Pro"/>
      <family val="2"/>
    </font>
    <font>
      <u/>
      <sz val="12"/>
      <name val="Avenir Next LT Pro"/>
      <family val="2"/>
    </font>
    <font>
      <b/>
      <u/>
      <sz val="12"/>
      <color theme="10"/>
      <name val="Avenir Next LT Pro"/>
      <family val="2"/>
    </font>
    <font>
      <b/>
      <i/>
      <sz val="12"/>
      <color theme="0" tint="-4.9989318521683403E-2"/>
      <name val="Avenir Next LT Pro"/>
      <family val="2"/>
    </font>
    <font>
      <b/>
      <sz val="12"/>
      <color theme="0" tint="-4.9989318521683403E-2"/>
      <name val="Avenir Next LT Pro"/>
      <family val="2"/>
    </font>
    <font>
      <b/>
      <vertAlign val="subscript"/>
      <sz val="12"/>
      <color theme="1"/>
      <name val="Avenir Next LT Pro"/>
      <family val="2"/>
    </font>
    <font>
      <b/>
      <vertAlign val="subscript"/>
      <sz val="12"/>
      <name val="Avenir Next LT Pro"/>
      <family val="2"/>
    </font>
    <font>
      <i/>
      <sz val="12"/>
      <color theme="0" tint="-4.9989318521683403E-2"/>
      <name val="Avenir Next LT Pro"/>
      <family val="2"/>
    </font>
    <font>
      <u/>
      <sz val="12"/>
      <color rgb="FFFF0000"/>
      <name val="Avenir Next LT Pro"/>
      <family val="2"/>
    </font>
    <font>
      <b/>
      <u/>
      <sz val="12"/>
      <color rgb="FFC00000"/>
      <name val="Avenir Next LT Pro"/>
      <family val="2"/>
    </font>
    <font>
      <vertAlign val="subscript"/>
      <sz val="12"/>
      <name val="Avenir Next LT Pro"/>
      <family val="2"/>
    </font>
    <font>
      <b/>
      <i/>
      <sz val="12"/>
      <name val="Avenir Next LT Pro"/>
      <family val="2"/>
    </font>
    <font>
      <i/>
      <u/>
      <sz val="12"/>
      <color rgb="FFFF0000"/>
      <name val="Avenir Next LT Pro"/>
      <family val="2"/>
    </font>
    <font>
      <i/>
      <sz val="11"/>
      <color theme="1"/>
      <name val="Avenir Next LT Pro"/>
      <family val="2"/>
    </font>
    <font>
      <b/>
      <sz val="14"/>
      <color rgb="FFC00000"/>
      <name val="Avenir Next LT Pro"/>
      <family val="2"/>
    </font>
    <font>
      <sz val="12"/>
      <color rgb="FF000000"/>
      <name val="Avenir Next LT Pro"/>
      <family val="2"/>
    </font>
  </fonts>
  <fills count="34">
    <fill>
      <patternFill patternType="none"/>
    </fill>
    <fill>
      <patternFill patternType="gray125"/>
    </fill>
    <fill>
      <patternFill patternType="solid">
        <fgColor rgb="FFFFFF66"/>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0" tint="-0.24994659260841701"/>
        <bgColor indexed="64"/>
      </patternFill>
    </fill>
    <fill>
      <patternFill patternType="solid">
        <fgColor theme="2"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rgb="FFFFFFFF"/>
        <bgColor indexed="64"/>
      </patternFill>
    </fill>
    <fill>
      <patternFill patternType="solid">
        <fgColor rgb="FFB7DEE8"/>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D9D9D9"/>
        <bgColor rgb="FF000000"/>
      </patternFill>
    </fill>
    <fill>
      <patternFill patternType="solid">
        <fgColor theme="9" tint="0.79998168889431442"/>
        <bgColor rgb="FF000000"/>
      </patternFill>
    </fill>
    <fill>
      <patternFill patternType="solid">
        <fgColor theme="0" tint="-0.14999847407452621"/>
        <bgColor rgb="FF000000"/>
      </patternFill>
    </fill>
    <fill>
      <patternFill patternType="solid">
        <fgColor rgb="FFD9D9D9"/>
        <bgColor indexed="64"/>
      </patternFill>
    </fill>
    <fill>
      <patternFill patternType="solid">
        <fgColor rgb="FFE2EFDA"/>
        <bgColor indexed="64"/>
      </patternFill>
    </fill>
    <fill>
      <patternFill patternType="solid">
        <fgColor rgb="FFE2EFDA"/>
        <bgColor rgb="FF000000"/>
      </patternFill>
    </fill>
    <fill>
      <patternFill patternType="solid">
        <fgColor theme="2"/>
        <bgColor indexed="64"/>
      </patternFill>
    </fill>
    <fill>
      <patternFill patternType="solid">
        <fgColor rgb="FFFFFF00"/>
        <bgColor indexed="64"/>
      </patternFill>
    </fill>
  </fills>
  <borders count="10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auto="1"/>
      </left>
      <right/>
      <top style="medium">
        <color auto="1"/>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auto="1"/>
      </right>
      <top style="medium">
        <color auto="1"/>
      </top>
      <bottom style="medium">
        <color auto="1"/>
      </bottom>
      <diagonal/>
    </border>
    <border>
      <left/>
      <right style="thin">
        <color indexed="64"/>
      </right>
      <top style="medium">
        <color indexed="64"/>
      </top>
      <bottom style="double">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bottom style="double">
        <color indexed="64"/>
      </bottom>
      <diagonal/>
    </border>
    <border>
      <left style="thin">
        <color auto="1"/>
      </left>
      <right/>
      <top/>
      <bottom/>
      <diagonal/>
    </border>
    <border>
      <left/>
      <right style="thin">
        <color indexed="64"/>
      </right>
      <top/>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auto="1"/>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medium">
        <color indexed="64"/>
      </top>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double">
        <color indexed="64"/>
      </bottom>
      <diagonal/>
    </border>
    <border>
      <left style="thin">
        <color indexed="64"/>
      </left>
      <right style="thin">
        <color rgb="FF000000"/>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auto="1"/>
      </left>
      <right/>
      <top/>
      <bottom style="medium">
        <color auto="1"/>
      </bottom>
      <diagonal/>
    </border>
    <border>
      <left style="thin">
        <color indexed="64"/>
      </left>
      <right style="medium">
        <color indexed="64"/>
      </right>
      <top style="medium">
        <color indexed="64"/>
      </top>
      <bottom/>
      <diagonal/>
    </border>
  </borders>
  <cellStyleXfs count="17">
    <xf numFmtId="0" fontId="0" fillId="0" borderId="0"/>
    <xf numFmtId="0" fontId="6" fillId="0" borderId="0" applyNumberFormat="0" applyFill="0" applyBorder="0" applyAlignment="0" applyProtection="0"/>
    <xf numFmtId="44" fontId="8"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8" fillId="0" borderId="0"/>
    <xf numFmtId="0" fontId="8" fillId="0" borderId="0"/>
    <xf numFmtId="0" fontId="8" fillId="0" borderId="0"/>
    <xf numFmtId="0" fontId="17" fillId="0" borderId="0" applyNumberFormat="0" applyFill="0" applyBorder="0" applyAlignment="0" applyProtection="0"/>
    <xf numFmtId="0" fontId="9" fillId="0" borderId="0"/>
    <xf numFmtId="0" fontId="8" fillId="0" borderId="0"/>
    <xf numFmtId="0" fontId="20" fillId="0" borderId="0" applyNumberFormat="0" applyFill="0" applyBorder="0" applyAlignment="0" applyProtection="0">
      <alignment vertical="top"/>
      <protection locked="0"/>
    </xf>
    <xf numFmtId="0" fontId="6" fillId="0" borderId="0" applyNumberFormat="0" applyFill="0" applyBorder="0" applyAlignment="0" applyProtection="0"/>
    <xf numFmtId="0" fontId="9" fillId="0" borderId="0"/>
    <xf numFmtId="0" fontId="7" fillId="0" borderId="0" applyNumberFormat="0" applyFill="0" applyBorder="0" applyAlignment="0" applyProtection="0"/>
    <xf numFmtId="43" fontId="8" fillId="0" borderId="0" applyFont="0" applyFill="0" applyBorder="0" applyAlignment="0" applyProtection="0"/>
  </cellStyleXfs>
  <cellXfs count="1144">
    <xf numFmtId="0" fontId="0" fillId="0" borderId="0" xfId="0"/>
    <xf numFmtId="0" fontId="4" fillId="0" borderId="0" xfId="0" applyFont="1"/>
    <xf numFmtId="0" fontId="5" fillId="0" borderId="0" xfId="0" applyFont="1"/>
    <xf numFmtId="0" fontId="5" fillId="0" borderId="0" xfId="0" applyFont="1" applyAlignment="1">
      <alignment horizontal="center" vertical="center"/>
    </xf>
    <xf numFmtId="0" fontId="10" fillId="0" borderId="0" xfId="0" applyFont="1"/>
    <xf numFmtId="1" fontId="10" fillId="0" borderId="0" xfId="0" applyNumberFormat="1" applyFont="1"/>
    <xf numFmtId="0" fontId="5" fillId="0" borderId="0" xfId="0" applyFont="1" applyAlignment="1">
      <alignment vertical="top" wrapText="1"/>
    </xf>
    <xf numFmtId="0" fontId="4" fillId="0" borderId="22" xfId="0" applyFont="1" applyBorder="1"/>
    <xf numFmtId="0" fontId="5" fillId="0" borderId="23" xfId="0" applyFont="1" applyBorder="1"/>
    <xf numFmtId="0" fontId="5" fillId="0" borderId="21" xfId="0" applyFont="1" applyBorder="1"/>
    <xf numFmtId="0" fontId="5" fillId="0" borderId="0" xfId="0" applyFont="1" applyAlignment="1">
      <alignment vertical="center"/>
    </xf>
    <xf numFmtId="0" fontId="5" fillId="0" borderId="0" xfId="0" applyFont="1" applyAlignment="1">
      <alignment horizontal="centerContinuous"/>
    </xf>
    <xf numFmtId="0" fontId="3" fillId="0" borderId="0" xfId="0" applyFont="1" applyAlignment="1">
      <alignment horizontal="centerContinuous"/>
    </xf>
    <xf numFmtId="0" fontId="13" fillId="0" borderId="0" xfId="0" applyFont="1" applyAlignment="1">
      <alignment horizontal="centerContinuous"/>
    </xf>
    <xf numFmtId="0" fontId="5" fillId="0" borderId="0" xfId="0" applyFont="1" applyAlignment="1">
      <alignment horizontal="centerContinuous" vertical="center"/>
    </xf>
    <xf numFmtId="0" fontId="3" fillId="0" borderId="0" xfId="0" applyFont="1"/>
    <xf numFmtId="0" fontId="5" fillId="0" borderId="8" xfId="0" applyFont="1" applyBorder="1"/>
    <xf numFmtId="0" fontId="5" fillId="0" borderId="10" xfId="0" applyFont="1" applyBorder="1"/>
    <xf numFmtId="0" fontId="5" fillId="0" borderId="11" xfId="0" applyFont="1" applyBorder="1"/>
    <xf numFmtId="0" fontId="3" fillId="0" borderId="0" xfId="0" applyFont="1" applyAlignment="1">
      <alignment horizontal="centerContinuous" vertical="center"/>
    </xf>
    <xf numFmtId="0" fontId="16" fillId="0" borderId="0" xfId="0" applyFont="1" applyAlignment="1">
      <alignment horizontal="centerContinuous"/>
    </xf>
    <xf numFmtId="0" fontId="15" fillId="0" borderId="0" xfId="0" applyFont="1"/>
    <xf numFmtId="0" fontId="5" fillId="0" borderId="0" xfId="0" applyFont="1" applyAlignment="1">
      <alignment vertical="top"/>
    </xf>
    <xf numFmtId="0" fontId="16" fillId="0" borderId="0" xfId="7" applyFont="1" applyAlignment="1">
      <alignment horizontal="center"/>
    </xf>
    <xf numFmtId="0" fontId="3" fillId="0" borderId="0" xfId="7" applyFont="1" applyAlignment="1">
      <alignment horizontal="center"/>
    </xf>
    <xf numFmtId="0" fontId="16" fillId="0" borderId="0" xfId="0" applyFont="1" applyAlignment="1">
      <alignment horizontal="center"/>
    </xf>
    <xf numFmtId="0" fontId="5" fillId="0" borderId="7" xfId="0" applyFont="1" applyBorder="1"/>
    <xf numFmtId="0" fontId="5" fillId="4" borderId="29" xfId="0" applyFont="1" applyFill="1" applyBorder="1" applyAlignment="1">
      <alignment horizontal="center"/>
    </xf>
    <xf numFmtId="0" fontId="5" fillId="0" borderId="59" xfId="0" applyFont="1" applyBorder="1" applyAlignment="1">
      <alignment vertical="center"/>
    </xf>
    <xf numFmtId="0" fontId="5" fillId="0" borderId="27" xfId="0" applyFont="1" applyBorder="1" applyAlignment="1">
      <alignment vertical="center"/>
    </xf>
    <xf numFmtId="0" fontId="5" fillId="0" borderId="20" xfId="0" applyFont="1" applyBorder="1" applyAlignment="1">
      <alignment vertical="center"/>
    </xf>
    <xf numFmtId="0" fontId="5" fillId="0" borderId="28" xfId="0" applyFont="1" applyBorder="1" applyAlignment="1">
      <alignment vertical="center"/>
    </xf>
    <xf numFmtId="0" fontId="5" fillId="0" borderId="68" xfId="0" applyFont="1" applyBorder="1" applyAlignment="1">
      <alignment vertical="center"/>
    </xf>
    <xf numFmtId="0" fontId="5" fillId="0" borderId="29" xfId="0" applyFont="1" applyBorder="1" applyAlignment="1">
      <alignment vertical="center"/>
    </xf>
    <xf numFmtId="0" fontId="5" fillId="0" borderId="30" xfId="0" applyFont="1" applyBorder="1" applyAlignment="1">
      <alignment vertical="center"/>
    </xf>
    <xf numFmtId="0" fontId="5" fillId="0" borderId="0" xfId="0" applyFont="1" applyAlignment="1">
      <alignment horizontal="left" vertical="top" wrapText="1"/>
    </xf>
    <xf numFmtId="0" fontId="5" fillId="4" borderId="68" xfId="0" applyFont="1" applyFill="1" applyBorder="1" applyAlignment="1">
      <alignment horizontal="center" vertical="center"/>
    </xf>
    <xf numFmtId="0" fontId="5" fillId="4" borderId="35"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5" fillId="0" borderId="24" xfId="0" applyFont="1" applyBorder="1" applyAlignment="1">
      <alignment vertical="center"/>
    </xf>
    <xf numFmtId="166" fontId="5" fillId="0" borderId="25" xfId="0" applyNumberFormat="1" applyFont="1" applyBorder="1" applyAlignment="1">
      <alignment vertical="center"/>
    </xf>
    <xf numFmtId="0" fontId="5" fillId="0" borderId="26" xfId="0" quotePrefix="1" applyFont="1" applyBorder="1" applyAlignment="1">
      <alignment horizontal="right" vertical="center"/>
    </xf>
    <xf numFmtId="166" fontId="5" fillId="0" borderId="28" xfId="0" applyNumberFormat="1" applyFont="1" applyBorder="1" applyAlignment="1">
      <alignment vertical="center"/>
    </xf>
    <xf numFmtId="166" fontId="5" fillId="0" borderId="20" xfId="0" applyNumberFormat="1" applyFont="1" applyBorder="1" applyAlignment="1">
      <alignment vertical="center"/>
    </xf>
    <xf numFmtId="0" fontId="5" fillId="0" borderId="28" xfId="0" quotePrefix="1" applyFont="1" applyBorder="1" applyAlignment="1">
      <alignment horizontal="right" vertical="center"/>
    </xf>
    <xf numFmtId="0" fontId="5" fillId="0" borderId="27" xfId="0" applyFont="1" applyBorder="1" applyAlignment="1">
      <alignment horizontal="left" vertical="center"/>
    </xf>
    <xf numFmtId="0" fontId="5" fillId="0" borderId="20" xfId="0" applyFont="1" applyBorder="1" applyAlignment="1">
      <alignment horizontal="right" vertical="center" wrapText="1"/>
    </xf>
    <xf numFmtId="0" fontId="5" fillId="0" borderId="20" xfId="0" quotePrefix="1" applyFont="1" applyBorder="1" applyAlignment="1">
      <alignment horizontal="right" vertical="center"/>
    </xf>
    <xf numFmtId="166" fontId="5" fillId="0" borderId="31" xfId="0" applyNumberFormat="1" applyFont="1" applyBorder="1" applyAlignment="1">
      <alignment vertical="center"/>
    </xf>
    <xf numFmtId="0" fontId="5" fillId="0" borderId="0" xfId="0" applyFont="1" applyAlignment="1">
      <alignment wrapText="1"/>
    </xf>
    <xf numFmtId="0" fontId="5" fillId="0" borderId="7" xfId="0" applyFont="1" applyBorder="1" applyAlignment="1">
      <alignment vertical="top"/>
    </xf>
    <xf numFmtId="0" fontId="4" fillId="15" borderId="27" xfId="0" applyFont="1" applyFill="1" applyBorder="1" applyAlignment="1">
      <alignment horizontal="centerContinuous"/>
    </xf>
    <xf numFmtId="0" fontId="4" fillId="15" borderId="20" xfId="0" applyFont="1" applyFill="1" applyBorder="1" applyAlignment="1">
      <alignment horizontal="centerContinuous"/>
    </xf>
    <xf numFmtId="0" fontId="4" fillId="15" borderId="28" xfId="0" applyFont="1" applyFill="1" applyBorder="1" applyAlignment="1">
      <alignment horizontal="centerContinuous"/>
    </xf>
    <xf numFmtId="0" fontId="4" fillId="15" borderId="24" xfId="0" applyFont="1" applyFill="1" applyBorder="1" applyAlignment="1">
      <alignment horizontal="centerContinuous"/>
    </xf>
    <xf numFmtId="0" fontId="4" fillId="15" borderId="25" xfId="0" applyFont="1" applyFill="1" applyBorder="1" applyAlignment="1">
      <alignment horizontal="centerContinuous"/>
    </xf>
    <xf numFmtId="0" fontId="4" fillId="15" borderId="26" xfId="0" applyFont="1" applyFill="1" applyBorder="1" applyAlignment="1">
      <alignment horizontal="centerContinuous"/>
    </xf>
    <xf numFmtId="0" fontId="4" fillId="17" borderId="51" xfId="0" applyFont="1" applyFill="1" applyBorder="1" applyAlignment="1">
      <alignment vertical="top"/>
    </xf>
    <xf numFmtId="0" fontId="4" fillId="17" borderId="52" xfId="0" applyFont="1" applyFill="1" applyBorder="1" applyAlignment="1">
      <alignment vertical="top"/>
    </xf>
    <xf numFmtId="0" fontId="4" fillId="17" borderId="55" xfId="0" applyFont="1" applyFill="1" applyBorder="1" applyAlignment="1">
      <alignment vertical="top"/>
    </xf>
    <xf numFmtId="0" fontId="14" fillId="0" borderId="7" xfId="0" applyFont="1" applyBorder="1" applyAlignment="1">
      <alignment vertical="center"/>
    </xf>
    <xf numFmtId="0" fontId="14" fillId="0" borderId="0" xfId="0" applyFont="1" applyAlignment="1">
      <alignment vertical="center"/>
    </xf>
    <xf numFmtId="0" fontId="14" fillId="0" borderId="8" xfId="0" applyFont="1" applyBorder="1" applyAlignment="1">
      <alignment vertical="center"/>
    </xf>
    <xf numFmtId="0" fontId="7" fillId="0" borderId="9" xfId="15" applyFill="1" applyBorder="1"/>
    <xf numFmtId="0" fontId="4" fillId="16" borderId="24" xfId="0" applyFont="1" applyFill="1" applyBorder="1" applyAlignment="1">
      <alignment horizontal="centerContinuous"/>
    </xf>
    <xf numFmtId="0" fontId="4" fillId="16" borderId="25" xfId="0" applyFont="1" applyFill="1" applyBorder="1" applyAlignment="1">
      <alignment horizontal="centerContinuous"/>
    </xf>
    <xf numFmtId="0" fontId="4" fillId="16" borderId="26" xfId="0" applyFont="1" applyFill="1" applyBorder="1" applyAlignment="1">
      <alignment horizontal="centerContinuous"/>
    </xf>
    <xf numFmtId="0" fontId="10" fillId="0" borderId="7" xfId="15" applyFont="1" applyFill="1" applyBorder="1" applyAlignment="1"/>
    <xf numFmtId="0" fontId="10" fillId="0" borderId="0" xfId="15" applyFont="1" applyFill="1" applyBorder="1" applyAlignment="1"/>
    <xf numFmtId="0" fontId="10" fillId="0" borderId="8" xfId="15" applyFont="1" applyFill="1" applyBorder="1" applyAlignment="1"/>
    <xf numFmtId="0" fontId="10" fillId="0" borderId="10" xfId="15" applyFont="1" applyFill="1" applyBorder="1" applyAlignment="1"/>
    <xf numFmtId="0" fontId="10" fillId="0" borderId="11" xfId="15" applyFont="1" applyFill="1" applyBorder="1" applyAlignment="1"/>
    <xf numFmtId="167" fontId="10" fillId="6" borderId="20" xfId="0" applyNumberFormat="1" applyFont="1" applyFill="1" applyBorder="1"/>
    <xf numFmtId="167" fontId="10" fillId="6" borderId="28" xfId="0" applyNumberFormat="1" applyFont="1" applyFill="1" applyBorder="1"/>
    <xf numFmtId="0" fontId="4" fillId="0" borderId="23" xfId="0" applyFont="1" applyBorder="1"/>
    <xf numFmtId="3" fontId="5" fillId="0" borderId="70" xfId="0" applyNumberFormat="1" applyFont="1" applyBorder="1" applyAlignment="1">
      <alignment horizontal="left"/>
    </xf>
    <xf numFmtId="0" fontId="11" fillId="3" borderId="50" xfId="0" applyFont="1" applyFill="1" applyBorder="1" applyAlignment="1">
      <alignment horizontal="center" vertical="center" wrapText="1"/>
    </xf>
    <xf numFmtId="0" fontId="11" fillId="3" borderId="53" xfId="0" applyFont="1" applyFill="1" applyBorder="1" applyAlignment="1">
      <alignment horizontal="center" vertical="center" wrapText="1"/>
    </xf>
    <xf numFmtId="0" fontId="15" fillId="0" borderId="0" xfId="0" applyFont="1" applyAlignment="1">
      <alignment horizontal="center"/>
    </xf>
    <xf numFmtId="0" fontId="4" fillId="8" borderId="41" xfId="0" applyFont="1" applyFill="1" applyBorder="1" applyAlignment="1">
      <alignment horizontal="centerContinuous"/>
    </xf>
    <xf numFmtId="0" fontId="4" fillId="8" borderId="42" xfId="0" applyFont="1" applyFill="1" applyBorder="1" applyAlignment="1">
      <alignment horizontal="centerContinuous"/>
    </xf>
    <xf numFmtId="0" fontId="4" fillId="8" borderId="43" xfId="0" applyFont="1" applyFill="1" applyBorder="1" applyAlignment="1">
      <alignment horizontal="centerContinuous"/>
    </xf>
    <xf numFmtId="0" fontId="4" fillId="8" borderId="41" xfId="0" applyFont="1" applyFill="1" applyBorder="1" applyAlignment="1">
      <alignment horizontal="center" vertical="center"/>
    </xf>
    <xf numFmtId="0" fontId="4" fillId="8" borderId="61" xfId="0" applyFont="1" applyFill="1" applyBorder="1" applyAlignment="1">
      <alignment horizontal="center" vertical="center" wrapText="1"/>
    </xf>
    <xf numFmtId="0" fontId="4" fillId="8" borderId="62" xfId="0" applyFont="1" applyFill="1" applyBorder="1" applyAlignment="1">
      <alignment horizontal="center" vertical="center" wrapText="1"/>
    </xf>
    <xf numFmtId="0" fontId="4" fillId="8" borderId="62" xfId="0" applyFont="1" applyFill="1" applyBorder="1" applyAlignment="1">
      <alignment horizontal="center" vertical="center"/>
    </xf>
    <xf numFmtId="0" fontId="4" fillId="8" borderId="32" xfId="0" applyFont="1" applyFill="1" applyBorder="1" applyAlignment="1">
      <alignment horizontal="center" vertical="center" wrapText="1"/>
    </xf>
    <xf numFmtId="0" fontId="5" fillId="0" borderId="65" xfId="0" applyFont="1" applyBorder="1" applyAlignment="1">
      <alignment horizontal="center" vertical="center" wrapText="1"/>
    </xf>
    <xf numFmtId="0" fontId="5" fillId="15" borderId="63" xfId="0" applyFont="1" applyFill="1" applyBorder="1"/>
    <xf numFmtId="3" fontId="10" fillId="4" borderId="24" xfId="0" applyNumberFormat="1" applyFont="1" applyFill="1" applyBorder="1"/>
    <xf numFmtId="3" fontId="10" fillId="4" borderId="25" xfId="0" applyNumberFormat="1" applyFont="1" applyFill="1" applyBorder="1"/>
    <xf numFmtId="3" fontId="10" fillId="4" borderId="26" xfId="0" applyNumberFormat="1" applyFont="1" applyFill="1" applyBorder="1"/>
    <xf numFmtId="0" fontId="5" fillId="0" borderId="66" xfId="0" applyFont="1" applyBorder="1" applyAlignment="1">
      <alignment horizontal="center" vertical="center"/>
    </xf>
    <xf numFmtId="0" fontId="5" fillId="13" borderId="12" xfId="0" applyFont="1" applyFill="1" applyBorder="1"/>
    <xf numFmtId="167" fontId="10" fillId="6" borderId="27" xfId="0" applyNumberFormat="1" applyFont="1" applyFill="1" applyBorder="1"/>
    <xf numFmtId="0" fontId="10" fillId="6" borderId="20" xfId="0" applyFont="1" applyFill="1" applyBorder="1"/>
    <xf numFmtId="1" fontId="10" fillId="6" borderId="28" xfId="0" applyNumberFormat="1" applyFont="1" applyFill="1" applyBorder="1"/>
    <xf numFmtId="0" fontId="5" fillId="0" borderId="67" xfId="0" applyFont="1" applyBorder="1" applyAlignment="1">
      <alignment horizontal="center" vertical="center"/>
    </xf>
    <xf numFmtId="0" fontId="5" fillId="14" borderId="13" xfId="0" applyFont="1" applyFill="1" applyBorder="1"/>
    <xf numFmtId="0" fontId="10" fillId="10" borderId="29" xfId="0" applyFont="1" applyFill="1" applyBorder="1"/>
    <xf numFmtId="0" fontId="10" fillId="10" borderId="30" xfId="0" applyFont="1" applyFill="1" applyBorder="1"/>
    <xf numFmtId="0" fontId="10" fillId="10" borderId="31" xfId="0" applyFont="1" applyFill="1" applyBorder="1"/>
    <xf numFmtId="0" fontId="5" fillId="15" borderId="4" xfId="0" applyFont="1" applyFill="1" applyBorder="1"/>
    <xf numFmtId="3" fontId="10" fillId="4" borderId="59" xfId="0" applyNumberFormat="1" applyFont="1" applyFill="1" applyBorder="1"/>
    <xf numFmtId="3" fontId="10" fillId="4" borderId="21" xfId="0" applyNumberFormat="1" applyFont="1" applyFill="1" applyBorder="1"/>
    <xf numFmtId="3" fontId="10" fillId="4" borderId="49" xfId="0" applyNumberFormat="1" applyFont="1" applyFill="1" applyBorder="1"/>
    <xf numFmtId="0" fontId="5" fillId="0" borderId="0" xfId="0" applyFont="1" applyAlignment="1">
      <alignment horizontal="left" vertical="top"/>
    </xf>
    <xf numFmtId="0" fontId="5" fillId="0" borderId="0" xfId="0" applyFont="1" applyAlignment="1">
      <alignment horizontal="center"/>
    </xf>
    <xf numFmtId="0" fontId="4" fillId="8" borderId="51" xfId="0" applyFont="1" applyFill="1" applyBorder="1" applyAlignment="1">
      <alignment horizontal="centerContinuous"/>
    </xf>
    <xf numFmtId="0" fontId="4" fillId="8" borderId="52" xfId="0" applyFont="1" applyFill="1" applyBorder="1" applyAlignment="1">
      <alignment horizontal="centerContinuous"/>
    </xf>
    <xf numFmtId="0" fontId="4" fillId="8" borderId="55" xfId="0" applyFont="1" applyFill="1" applyBorder="1" applyAlignment="1">
      <alignment horizontal="centerContinuous"/>
    </xf>
    <xf numFmtId="0" fontId="4" fillId="8" borderId="56" xfId="0" applyFont="1" applyFill="1" applyBorder="1" applyAlignment="1">
      <alignment horizontal="center" vertical="center"/>
    </xf>
    <xf numFmtId="0" fontId="4" fillId="8" borderId="74" xfId="0" applyFont="1" applyFill="1" applyBorder="1" applyAlignment="1">
      <alignment horizontal="center" vertical="center" wrapText="1"/>
    </xf>
    <xf numFmtId="0" fontId="4" fillId="8" borderId="44" xfId="0" applyFont="1" applyFill="1" applyBorder="1" applyAlignment="1">
      <alignment horizontal="center" vertical="center"/>
    </xf>
    <xf numFmtId="0" fontId="5" fillId="15" borderId="65" xfId="0" applyFont="1" applyFill="1" applyBorder="1"/>
    <xf numFmtId="3" fontId="10" fillId="4" borderId="37" xfId="0" applyNumberFormat="1" applyFont="1" applyFill="1" applyBorder="1"/>
    <xf numFmtId="0" fontId="10" fillId="6" borderId="33" xfId="0" applyFont="1" applyFill="1" applyBorder="1"/>
    <xf numFmtId="0" fontId="10" fillId="6" borderId="28" xfId="0" applyFont="1" applyFill="1" applyBorder="1"/>
    <xf numFmtId="167" fontId="10" fillId="6" borderId="33" xfId="0" applyNumberFormat="1" applyFont="1" applyFill="1" applyBorder="1"/>
    <xf numFmtId="0" fontId="10" fillId="10" borderId="39" xfId="0" applyFont="1" applyFill="1" applyBorder="1"/>
    <xf numFmtId="0" fontId="4" fillId="7" borderId="4" xfId="0" applyFont="1" applyFill="1" applyBorder="1"/>
    <xf numFmtId="0" fontId="5" fillId="7" borderId="5" xfId="0" applyFont="1" applyFill="1" applyBorder="1" applyAlignment="1">
      <alignment horizontal="left" vertical="top"/>
    </xf>
    <xf numFmtId="0" fontId="5" fillId="7" borderId="6" xfId="0" applyFont="1" applyFill="1" applyBorder="1" applyAlignment="1">
      <alignment horizontal="left" vertical="top"/>
    </xf>
    <xf numFmtId="0" fontId="21" fillId="0" borderId="7" xfId="0" applyFont="1" applyBorder="1"/>
    <xf numFmtId="0" fontId="15" fillId="0" borderId="8" xfId="0" applyFont="1" applyBorder="1"/>
    <xf numFmtId="0" fontId="7" fillId="0" borderId="7" xfId="15" applyFill="1" applyBorder="1"/>
    <xf numFmtId="0" fontId="15" fillId="0" borderId="7" xfId="0" applyFont="1" applyBorder="1"/>
    <xf numFmtId="0" fontId="5" fillId="0" borderId="7" xfId="0" applyFont="1" applyBorder="1" applyAlignment="1">
      <alignment vertical="top" wrapText="1"/>
    </xf>
    <xf numFmtId="0" fontId="5" fillId="0" borderId="7" xfId="0" applyFont="1" applyBorder="1" applyAlignment="1">
      <alignment horizontal="left" vertical="top"/>
    </xf>
    <xf numFmtId="0" fontId="15" fillId="0" borderId="10" xfId="0" applyFont="1" applyBorder="1"/>
    <xf numFmtId="0" fontId="15" fillId="0" borderId="11" xfId="0" applyFont="1" applyBorder="1"/>
    <xf numFmtId="0" fontId="11" fillId="0" borderId="0" xfId="7" applyFont="1" applyAlignment="1">
      <alignment horizontal="center"/>
    </xf>
    <xf numFmtId="0" fontId="4" fillId="0" borderId="0" xfId="7" applyFont="1" applyAlignment="1">
      <alignment horizontal="center"/>
    </xf>
    <xf numFmtId="0" fontId="4" fillId="8" borderId="24" xfId="0" applyFont="1" applyFill="1" applyBorder="1" applyAlignment="1">
      <alignment horizontal="centerContinuous"/>
    </xf>
    <xf numFmtId="0" fontId="4" fillId="8" borderId="25" xfId="0" applyFont="1" applyFill="1" applyBorder="1" applyAlignment="1">
      <alignment horizontal="centerContinuous"/>
    </xf>
    <xf numFmtId="0" fontId="4" fillId="8" borderId="26" xfId="0" applyFont="1" applyFill="1" applyBorder="1" applyAlignment="1">
      <alignment horizontal="centerContinuous"/>
    </xf>
    <xf numFmtId="0" fontId="4" fillId="8" borderId="29" xfId="0" applyFont="1" applyFill="1" applyBorder="1" applyAlignment="1">
      <alignment horizontal="center" vertical="center"/>
    </xf>
    <xf numFmtId="0" fontId="4" fillId="8" borderId="30" xfId="0" applyFont="1" applyFill="1" applyBorder="1" applyAlignment="1">
      <alignment horizontal="center" vertical="center"/>
    </xf>
    <xf numFmtId="0" fontId="4" fillId="8" borderId="30" xfId="0" applyFont="1" applyFill="1" applyBorder="1" applyAlignment="1">
      <alignment horizontal="center" vertical="center" wrapText="1"/>
    </xf>
    <xf numFmtId="0" fontId="4" fillId="8" borderId="31" xfId="0" applyFont="1" applyFill="1" applyBorder="1" applyAlignment="1">
      <alignment horizontal="center" vertical="center"/>
    </xf>
    <xf numFmtId="0" fontId="5" fillId="0" borderId="24" xfId="0" applyFont="1" applyBorder="1" applyAlignment="1">
      <alignment horizontal="center" vertical="center" wrapText="1"/>
    </xf>
    <xf numFmtId="0" fontId="5" fillId="15" borderId="25" xfId="0" applyFont="1" applyFill="1" applyBorder="1"/>
    <xf numFmtId="0" fontId="10" fillId="18" borderId="25" xfId="0" applyFont="1" applyFill="1" applyBorder="1"/>
    <xf numFmtId="0" fontId="5" fillId="0" borderId="27" xfId="0" applyFont="1" applyBorder="1" applyAlignment="1">
      <alignment horizontal="center" vertical="center"/>
    </xf>
    <xf numFmtId="0" fontId="5" fillId="13" borderId="20" xfId="0" applyFont="1" applyFill="1" applyBorder="1"/>
    <xf numFmtId="167" fontId="5" fillId="6" borderId="20" xfId="0" applyNumberFormat="1" applyFont="1" applyFill="1" applyBorder="1"/>
    <xf numFmtId="0" fontId="5" fillId="18" borderId="20" xfId="0" applyFont="1" applyFill="1" applyBorder="1"/>
    <xf numFmtId="0" fontId="5" fillId="6" borderId="28" xfId="0" applyFont="1" applyFill="1" applyBorder="1"/>
    <xf numFmtId="167" fontId="5" fillId="6" borderId="28" xfId="0" applyNumberFormat="1" applyFont="1" applyFill="1" applyBorder="1"/>
    <xf numFmtId="0" fontId="5" fillId="0" borderId="29" xfId="0" applyFont="1" applyBorder="1" applyAlignment="1">
      <alignment horizontal="center" vertical="center"/>
    </xf>
    <xf numFmtId="0" fontId="5" fillId="14" borderId="30" xfId="0" applyFont="1" applyFill="1" applyBorder="1"/>
    <xf numFmtId="167" fontId="10" fillId="10" borderId="30" xfId="0" applyNumberFormat="1" applyFont="1" applyFill="1" applyBorder="1"/>
    <xf numFmtId="0" fontId="5" fillId="18" borderId="30" xfId="0" applyFont="1" applyFill="1" applyBorder="1"/>
    <xf numFmtId="0" fontId="5" fillId="10" borderId="31" xfId="0" applyFont="1" applyFill="1" applyBorder="1"/>
    <xf numFmtId="0" fontId="5" fillId="18" borderId="25" xfId="0" applyFont="1" applyFill="1" applyBorder="1"/>
    <xf numFmtId="0" fontId="5" fillId="10" borderId="30" xfId="0" applyFont="1" applyFill="1" applyBorder="1"/>
    <xf numFmtId="0" fontId="5" fillId="0" borderId="59" xfId="0" applyFont="1" applyBorder="1" applyAlignment="1">
      <alignment horizontal="center" vertical="center" wrapText="1"/>
    </xf>
    <xf numFmtId="0" fontId="5" fillId="15" borderId="21" xfId="0" applyFont="1" applyFill="1" applyBorder="1"/>
    <xf numFmtId="0" fontId="5" fillId="18" borderId="21" xfId="0" applyFont="1" applyFill="1" applyBorder="1"/>
    <xf numFmtId="0" fontId="4" fillId="8" borderId="31" xfId="0" applyFont="1" applyFill="1" applyBorder="1" applyAlignment="1">
      <alignment horizontal="center" vertical="center" wrapText="1"/>
    </xf>
    <xf numFmtId="0" fontId="5" fillId="0" borderId="59" xfId="0" applyFont="1" applyBorder="1" applyAlignment="1">
      <alignment horizontal="center" vertical="center"/>
    </xf>
    <xf numFmtId="0" fontId="5" fillId="0" borderId="68" xfId="0" applyFont="1" applyBorder="1" applyAlignment="1">
      <alignment horizontal="center" vertical="center"/>
    </xf>
    <xf numFmtId="0" fontId="5" fillId="14" borderId="35" xfId="0" applyFont="1" applyFill="1" applyBorder="1"/>
    <xf numFmtId="0" fontId="5" fillId="18" borderId="35" xfId="0" applyFont="1" applyFill="1" applyBorder="1"/>
    <xf numFmtId="0" fontId="5" fillId="10" borderId="35" xfId="0" applyFont="1" applyFill="1" applyBorder="1"/>
    <xf numFmtId="0" fontId="5" fillId="10" borderId="48" xfId="0" applyFont="1" applyFill="1" applyBorder="1"/>
    <xf numFmtId="0" fontId="5" fillId="0" borderId="24" xfId="0" applyFont="1" applyBorder="1" applyAlignment="1">
      <alignment horizontal="center" vertical="center"/>
    </xf>
    <xf numFmtId="167" fontId="5" fillId="10" borderId="30" xfId="0" applyNumberFormat="1" applyFont="1" applyFill="1" applyBorder="1"/>
    <xf numFmtId="0" fontId="4" fillId="0" borderId="7" xfId="0" applyFont="1" applyBorder="1"/>
    <xf numFmtId="0" fontId="5" fillId="0" borderId="7" xfId="0" applyFont="1" applyBorder="1" applyAlignment="1">
      <alignment wrapText="1"/>
    </xf>
    <xf numFmtId="0" fontId="11" fillId="3" borderId="76" xfId="0" applyFont="1" applyFill="1" applyBorder="1" applyAlignment="1">
      <alignment horizontal="center" vertical="center" wrapText="1"/>
    </xf>
    <xf numFmtId="3" fontId="5" fillId="0" borderId="19" xfId="0" applyNumberFormat="1" applyFont="1" applyBorder="1" applyProtection="1">
      <protection locked="0"/>
    </xf>
    <xf numFmtId="3" fontId="5" fillId="0" borderId="21" xfId="0" applyNumberFormat="1" applyFont="1" applyBorder="1" applyProtection="1">
      <protection locked="0"/>
    </xf>
    <xf numFmtId="4" fontId="5" fillId="0" borderId="21" xfId="0" applyNumberFormat="1" applyFont="1" applyBorder="1" applyProtection="1">
      <protection locked="0"/>
    </xf>
    <xf numFmtId="2" fontId="5" fillId="0" borderId="21" xfId="0" applyNumberFormat="1" applyFont="1" applyBorder="1"/>
    <xf numFmtId="0" fontId="11" fillId="8" borderId="53" xfId="0" applyFont="1" applyFill="1" applyBorder="1" applyAlignment="1">
      <alignment horizontal="center" vertical="center" wrapText="1"/>
    </xf>
    <xf numFmtId="0" fontId="11" fillId="8" borderId="54" xfId="0" applyFont="1" applyFill="1" applyBorder="1" applyAlignment="1">
      <alignment horizontal="center" vertical="center" wrapText="1"/>
    </xf>
    <xf numFmtId="0" fontId="11" fillId="3" borderId="75" xfId="0" applyFont="1" applyFill="1" applyBorder="1" applyAlignment="1">
      <alignment horizontal="center" vertical="center" wrapText="1"/>
    </xf>
    <xf numFmtId="0" fontId="11" fillId="8" borderId="78" xfId="0" applyFont="1" applyFill="1" applyBorder="1" applyAlignment="1">
      <alignment horizontal="center" vertical="center" wrapText="1"/>
    </xf>
    <xf numFmtId="0" fontId="11" fillId="8" borderId="79" xfId="0" applyFont="1" applyFill="1" applyBorder="1" applyAlignment="1">
      <alignment horizontal="center" vertical="center" wrapText="1"/>
    </xf>
    <xf numFmtId="0" fontId="11" fillId="7" borderId="72" xfId="0" applyFont="1" applyFill="1" applyBorder="1" applyAlignment="1">
      <alignment horizontal="center" vertical="center" wrapText="1"/>
    </xf>
    <xf numFmtId="0" fontId="11" fillId="7" borderId="75" xfId="0" applyFont="1" applyFill="1" applyBorder="1" applyAlignment="1">
      <alignment horizontal="center" vertical="center" wrapText="1"/>
    </xf>
    <xf numFmtId="0" fontId="11" fillId="8" borderId="75" xfId="0" applyFont="1" applyFill="1" applyBorder="1" applyAlignment="1">
      <alignment horizontal="center" vertical="center" wrapText="1"/>
    </xf>
    <xf numFmtId="0" fontId="11" fillId="8" borderId="80" xfId="0" applyFont="1" applyFill="1" applyBorder="1" applyAlignment="1">
      <alignment horizontal="center" vertical="center" wrapText="1"/>
    </xf>
    <xf numFmtId="0" fontId="11" fillId="3" borderId="81" xfId="0" applyFont="1" applyFill="1" applyBorder="1" applyAlignment="1">
      <alignment horizontal="center" vertical="center" wrapText="1"/>
    </xf>
    <xf numFmtId="3" fontId="5" fillId="0" borderId="59" xfId="0" applyNumberFormat="1" applyFont="1" applyBorder="1" applyProtection="1">
      <protection locked="0"/>
    </xf>
    <xf numFmtId="2" fontId="5" fillId="0" borderId="49" xfId="0" applyNumberFormat="1" applyFont="1" applyBorder="1"/>
    <xf numFmtId="0" fontId="23" fillId="0" borderId="0" xfId="0" applyFont="1"/>
    <xf numFmtId="0" fontId="4" fillId="20" borderId="41" xfId="0" applyFont="1" applyFill="1" applyBorder="1" applyAlignment="1">
      <alignment horizontal="centerContinuous" vertical="center"/>
    </xf>
    <xf numFmtId="0" fontId="4" fillId="20" borderId="43" xfId="0" applyFont="1" applyFill="1" applyBorder="1" applyAlignment="1">
      <alignment horizontal="centerContinuous" vertical="center"/>
    </xf>
    <xf numFmtId="0" fontId="5" fillId="0" borderId="27" xfId="0" applyFont="1" applyBorder="1" applyAlignment="1">
      <alignment horizontal="right"/>
    </xf>
    <xf numFmtId="0" fontId="5" fillId="0" borderId="28" xfId="0" applyFont="1" applyBorder="1" applyAlignment="1">
      <alignment horizontal="center"/>
    </xf>
    <xf numFmtId="3" fontId="5" fillId="21" borderId="28" xfId="0" applyNumberFormat="1" applyFont="1" applyFill="1" applyBorder="1" applyAlignment="1">
      <alignment horizontal="center"/>
    </xf>
    <xf numFmtId="3" fontId="5" fillId="0" borderId="0" xfId="0" applyNumberFormat="1" applyFont="1"/>
    <xf numFmtId="43" fontId="15" fillId="0" borderId="0" xfId="0" applyNumberFormat="1" applyFont="1"/>
    <xf numFmtId="0" fontId="5" fillId="12" borderId="12" xfId="0" applyFont="1" applyFill="1" applyBorder="1"/>
    <xf numFmtId="0" fontId="5" fillId="12" borderId="38" xfId="0" applyFont="1" applyFill="1" applyBorder="1"/>
    <xf numFmtId="3" fontId="5" fillId="0" borderId="28" xfId="0" applyNumberFormat="1" applyFont="1" applyBorder="1" applyAlignment="1">
      <alignment horizontal="center"/>
    </xf>
    <xf numFmtId="3" fontId="5" fillId="0" borderId="0" xfId="16" applyNumberFormat="1" applyFont="1" applyFill="1" applyBorder="1" applyAlignment="1"/>
    <xf numFmtId="43" fontId="15" fillId="0" borderId="0" xfId="16" applyFont="1" applyFill="1" applyBorder="1" applyAlignment="1"/>
    <xf numFmtId="3" fontId="15" fillId="0" borderId="0" xfId="0" applyNumberFormat="1" applyFont="1"/>
    <xf numFmtId="43" fontId="5" fillId="0" borderId="27" xfId="16" applyFont="1" applyBorder="1"/>
    <xf numFmtId="3" fontId="15" fillId="0" borderId="28" xfId="0" applyNumberFormat="1" applyFont="1" applyBorder="1"/>
    <xf numFmtId="0" fontId="5" fillId="0" borderId="68" xfId="0" applyFont="1" applyBorder="1" applyAlignment="1">
      <alignment horizontal="right"/>
    </xf>
    <xf numFmtId="3" fontId="5" fillId="21" borderId="48" xfId="16" applyNumberFormat="1" applyFont="1" applyFill="1" applyBorder="1" applyAlignment="1">
      <alignment horizontal="center"/>
    </xf>
    <xf numFmtId="0" fontId="5" fillId="0" borderId="59" xfId="0" applyFont="1" applyBorder="1" applyAlignment="1">
      <alignment horizontal="right"/>
    </xf>
    <xf numFmtId="167" fontId="5" fillId="4" borderId="49" xfId="0" applyNumberFormat="1" applyFont="1" applyFill="1" applyBorder="1" applyAlignment="1">
      <alignment horizontal="center"/>
    </xf>
    <xf numFmtId="167" fontId="5" fillId="0" borderId="0" xfId="0" applyNumberFormat="1" applyFont="1"/>
    <xf numFmtId="169" fontId="5" fillId="15" borderId="28" xfId="0" applyNumberFormat="1" applyFont="1" applyFill="1" applyBorder="1" applyAlignment="1">
      <alignment horizontal="center"/>
    </xf>
    <xf numFmtId="168" fontId="5" fillId="0" borderId="0" xfId="0" applyNumberFormat="1" applyFont="1"/>
    <xf numFmtId="166" fontId="5" fillId="4" borderId="28" xfId="0" applyNumberFormat="1" applyFont="1" applyFill="1" applyBorder="1" applyAlignment="1">
      <alignment horizontal="center"/>
    </xf>
    <xf numFmtId="2" fontId="5" fillId="0" borderId="0" xfId="0" applyNumberFormat="1" applyFont="1"/>
    <xf numFmtId="2" fontId="5" fillId="0" borderId="0" xfId="0" applyNumberFormat="1" applyFont="1" applyAlignment="1">
      <alignment horizontal="center"/>
    </xf>
    <xf numFmtId="0" fontId="5" fillId="0" borderId="29" xfId="0" applyFont="1" applyBorder="1" applyAlignment="1">
      <alignment horizontal="right"/>
    </xf>
    <xf numFmtId="167" fontId="5" fillId="15" borderId="31" xfId="0" applyNumberFormat="1" applyFont="1" applyFill="1" applyBorder="1" applyAlignment="1">
      <alignment horizontal="center"/>
    </xf>
    <xf numFmtId="0" fontId="15" fillId="0" borderId="82" xfId="0" applyFont="1" applyBorder="1" applyAlignment="1">
      <alignment horizontal="right"/>
    </xf>
    <xf numFmtId="0" fontId="4" fillId="13" borderId="24" xfId="0" applyFont="1" applyFill="1" applyBorder="1" applyAlignment="1">
      <alignment horizontal="centerContinuous"/>
    </xf>
    <xf numFmtId="0" fontId="4" fillId="13" borderId="25" xfId="0" applyFont="1" applyFill="1" applyBorder="1" applyAlignment="1">
      <alignment horizontal="centerContinuous"/>
    </xf>
    <xf numFmtId="0" fontId="4" fillId="13" borderId="26" xfId="0" applyFont="1" applyFill="1" applyBorder="1" applyAlignment="1">
      <alignment horizontal="centerContinuous"/>
    </xf>
    <xf numFmtId="0" fontId="5" fillId="6" borderId="29" xfId="0" applyFont="1" applyFill="1" applyBorder="1" applyAlignment="1">
      <alignment horizontal="centerContinuous"/>
    </xf>
    <xf numFmtId="0" fontId="5" fillId="6" borderId="30" xfId="0" applyFont="1" applyFill="1" applyBorder="1" applyAlignment="1">
      <alignment horizontal="centerContinuous"/>
    </xf>
    <xf numFmtId="0" fontId="5" fillId="6" borderId="31" xfId="0" applyFont="1" applyFill="1" applyBorder="1" applyAlignment="1">
      <alignment horizontal="centerContinuous"/>
    </xf>
    <xf numFmtId="0" fontId="4" fillId="0" borderId="65" xfId="0" applyFont="1" applyBorder="1" applyAlignment="1">
      <alignment horizontal="center"/>
    </xf>
    <xf numFmtId="0" fontId="4" fillId="0" borderId="19" xfId="0" applyFont="1" applyBorder="1" applyAlignment="1">
      <alignment horizontal="center"/>
    </xf>
    <xf numFmtId="0" fontId="4" fillId="0" borderId="21" xfId="0" applyFont="1" applyBorder="1" applyAlignment="1">
      <alignment horizontal="center"/>
    </xf>
    <xf numFmtId="0" fontId="4" fillId="0" borderId="49" xfId="0" applyFont="1" applyBorder="1" applyAlignment="1">
      <alignment horizontal="center"/>
    </xf>
    <xf numFmtId="0" fontId="5" fillId="0" borderId="66" xfId="0" applyFont="1" applyBorder="1"/>
    <xf numFmtId="0" fontId="5" fillId="0" borderId="34" xfId="0" applyFont="1" applyBorder="1" applyAlignment="1">
      <alignment horizontal="center" vertical="center"/>
    </xf>
    <xf numFmtId="2" fontId="5" fillId="0" borderId="20" xfId="0" applyNumberFormat="1" applyFont="1" applyBorder="1" applyAlignment="1">
      <alignment horizontal="center" vertical="center"/>
    </xf>
    <xf numFmtId="0" fontId="5" fillId="0" borderId="20" xfId="0" applyFont="1" applyBorder="1" applyAlignment="1">
      <alignment horizontal="center" vertical="center"/>
    </xf>
    <xf numFmtId="0" fontId="5" fillId="0" borderId="28" xfId="0" applyFont="1" applyBorder="1" applyAlignment="1">
      <alignment horizontal="center" vertical="center"/>
    </xf>
    <xf numFmtId="0" fontId="5" fillId="0" borderId="67" xfId="0" applyFont="1" applyBorder="1"/>
    <xf numFmtId="0" fontId="5" fillId="0" borderId="17" xfId="0" applyFont="1" applyBorder="1" applyAlignment="1">
      <alignment horizontal="center" vertical="center"/>
    </xf>
    <xf numFmtId="0" fontId="5" fillId="0" borderId="35" xfId="0" applyFont="1" applyBorder="1" applyAlignment="1">
      <alignment horizontal="center" vertical="center"/>
    </xf>
    <xf numFmtId="0" fontId="5" fillId="0" borderId="48" xfId="0" applyFont="1" applyBorder="1" applyAlignment="1">
      <alignment horizontal="center" vertical="center"/>
    </xf>
    <xf numFmtId="0" fontId="5" fillId="6" borderId="61" xfId="0" applyFont="1" applyFill="1" applyBorder="1" applyAlignment="1">
      <alignment horizontal="centerContinuous"/>
    </xf>
    <xf numFmtId="0" fontId="5" fillId="6" borderId="62" xfId="0" applyFont="1" applyFill="1" applyBorder="1" applyAlignment="1">
      <alignment horizontal="centerContinuous"/>
    </xf>
    <xf numFmtId="0" fontId="5" fillId="6" borderId="32" xfId="0" applyFont="1" applyFill="1" applyBorder="1" applyAlignment="1">
      <alignment horizontal="centerContinuous"/>
    </xf>
    <xf numFmtId="0" fontId="4" fillId="0" borderId="24"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4" fontId="5" fillId="0" borderId="20" xfId="0" applyNumberFormat="1" applyFont="1" applyBorder="1" applyAlignment="1">
      <alignment horizontal="center" vertical="center"/>
    </xf>
    <xf numFmtId="4" fontId="5" fillId="0" borderId="28" xfId="0" applyNumberFormat="1" applyFont="1" applyBorder="1" applyAlignment="1">
      <alignment horizontal="center" vertical="center"/>
    </xf>
    <xf numFmtId="0" fontId="4" fillId="6" borderId="29" xfId="0" applyFont="1" applyFill="1" applyBorder="1" applyAlignment="1">
      <alignment horizontal="right"/>
    </xf>
    <xf numFmtId="4" fontId="4" fillId="6" borderId="30" xfId="0" applyNumberFormat="1" applyFont="1" applyFill="1" applyBorder="1" applyAlignment="1">
      <alignment horizontal="center" vertical="center"/>
    </xf>
    <xf numFmtId="4" fontId="4" fillId="6" borderId="31" xfId="0" applyNumberFormat="1" applyFont="1" applyFill="1" applyBorder="1" applyAlignment="1">
      <alignment horizontal="center" vertical="center"/>
    </xf>
    <xf numFmtId="0" fontId="23" fillId="0" borderId="0" xfId="0" applyFont="1" applyAlignment="1">
      <alignment horizontal="right"/>
    </xf>
    <xf numFmtId="4" fontId="23" fillId="0" borderId="0" xfId="0" applyNumberFormat="1" applyFont="1"/>
    <xf numFmtId="0" fontId="5" fillId="0" borderId="24" xfId="0" applyFont="1" applyBorder="1" applyAlignment="1">
      <alignment horizontal="right"/>
    </xf>
    <xf numFmtId="41" fontId="5" fillId="0" borderId="25" xfId="0" applyNumberFormat="1" applyFont="1" applyBorder="1"/>
    <xf numFmtId="0" fontId="4" fillId="6" borderId="25" xfId="0" applyFont="1" applyFill="1" applyBorder="1" applyAlignment="1">
      <alignment horizontal="centerContinuous"/>
    </xf>
    <xf numFmtId="0" fontId="4" fillId="6" borderId="26" xfId="0" applyFont="1" applyFill="1" applyBorder="1" applyAlignment="1">
      <alignment horizontal="centerContinuous"/>
    </xf>
    <xf numFmtId="41" fontId="4" fillId="0" borderId="30" xfId="0" applyNumberFormat="1" applyFont="1" applyBorder="1"/>
    <xf numFmtId="0" fontId="4" fillId="0" borderId="30" xfId="0" applyFont="1" applyBorder="1" applyAlignment="1">
      <alignment horizontal="center"/>
    </xf>
    <xf numFmtId="0" fontId="4" fillId="0" borderId="31" xfId="0" applyFont="1" applyBorder="1" applyAlignment="1">
      <alignment horizontal="center"/>
    </xf>
    <xf numFmtId="0" fontId="5" fillId="5" borderId="24" xfId="0" applyFont="1" applyFill="1" applyBorder="1" applyAlignment="1">
      <alignment horizontal="right"/>
    </xf>
    <xf numFmtId="170" fontId="5" fillId="5" borderId="25" xfId="0" applyNumberFormat="1" applyFont="1" applyFill="1" applyBorder="1" applyAlignment="1">
      <alignment horizontal="center" vertical="center"/>
    </xf>
    <xf numFmtId="170" fontId="5" fillId="5" borderId="26" xfId="0" applyNumberFormat="1" applyFont="1" applyFill="1" applyBorder="1" applyAlignment="1">
      <alignment horizontal="center" vertical="center"/>
    </xf>
    <xf numFmtId="0" fontId="5" fillId="6" borderId="27" xfId="0" applyFont="1" applyFill="1" applyBorder="1" applyAlignment="1">
      <alignment horizontal="right"/>
    </xf>
    <xf numFmtId="171" fontId="5" fillId="6" borderId="20" xfId="0" applyNumberFormat="1" applyFont="1" applyFill="1" applyBorder="1" applyAlignment="1">
      <alignment horizontal="center" vertical="center"/>
    </xf>
    <xf numFmtId="171" fontId="5" fillId="6" borderId="28" xfId="0" applyNumberFormat="1" applyFont="1" applyFill="1" applyBorder="1" applyAlignment="1">
      <alignment horizontal="center" vertical="center"/>
    </xf>
    <xf numFmtId="0" fontId="5" fillId="5" borderId="27" xfId="0" applyFont="1" applyFill="1" applyBorder="1" applyAlignment="1">
      <alignment horizontal="right"/>
    </xf>
    <xf numFmtId="172" fontId="5" fillId="5" borderId="20" xfId="0" applyNumberFormat="1" applyFont="1" applyFill="1" applyBorder="1" applyAlignment="1">
      <alignment horizontal="center" vertical="center"/>
    </xf>
    <xf numFmtId="172" fontId="5" fillId="5" borderId="28" xfId="0" applyNumberFormat="1" applyFont="1" applyFill="1" applyBorder="1" applyAlignment="1">
      <alignment horizontal="center" vertical="center"/>
    </xf>
    <xf numFmtId="0" fontId="5" fillId="6" borderId="29" xfId="0" applyFont="1" applyFill="1" applyBorder="1" applyAlignment="1">
      <alignment horizontal="right"/>
    </xf>
    <xf numFmtId="173" fontId="5" fillId="6" borderId="30" xfId="0" applyNumberFormat="1" applyFont="1" applyFill="1" applyBorder="1" applyAlignment="1">
      <alignment horizontal="right" vertical="center"/>
    </xf>
    <xf numFmtId="173" fontId="5" fillId="6" borderId="31" xfId="0" applyNumberFormat="1" applyFont="1" applyFill="1" applyBorder="1" applyAlignment="1">
      <alignment horizontal="right" vertical="center"/>
    </xf>
    <xf numFmtId="0" fontId="4" fillId="8" borderId="51" xfId="0" applyFont="1" applyFill="1" applyBorder="1"/>
    <xf numFmtId="0" fontId="4" fillId="8" borderId="52" xfId="0" applyFont="1" applyFill="1" applyBorder="1"/>
    <xf numFmtId="0" fontId="4" fillId="8" borderId="55" xfId="0" applyFont="1" applyFill="1" applyBorder="1"/>
    <xf numFmtId="0" fontId="4" fillId="20" borderId="12" xfId="0" applyFont="1" applyFill="1" applyBorder="1" applyAlignment="1">
      <alignment horizontal="left"/>
    </xf>
    <xf numFmtId="0" fontId="23" fillId="20" borderId="58" xfId="0" applyFont="1" applyFill="1" applyBorder="1" applyAlignment="1">
      <alignment horizontal="left"/>
    </xf>
    <xf numFmtId="0" fontId="23" fillId="20" borderId="38" xfId="0" applyFont="1" applyFill="1" applyBorder="1" applyAlignment="1">
      <alignment horizontal="left"/>
    </xf>
    <xf numFmtId="0" fontId="5" fillId="0" borderId="8" xfId="0" applyFont="1" applyBorder="1" applyAlignment="1">
      <alignment vertical="top"/>
    </xf>
    <xf numFmtId="0" fontId="7" fillId="0" borderId="7" xfId="15" applyBorder="1"/>
    <xf numFmtId="0" fontId="5" fillId="0" borderId="0" xfId="0" applyFont="1" applyProtection="1">
      <protection locked="0"/>
    </xf>
    <xf numFmtId="0" fontId="4" fillId="11" borderId="12" xfId="0" applyFont="1" applyFill="1" applyBorder="1"/>
    <xf numFmtId="0" fontId="5" fillId="11" borderId="58" xfId="0" applyFont="1" applyFill="1" applyBorder="1"/>
    <xf numFmtId="0" fontId="5" fillId="11" borderId="38" xfId="0" applyFont="1" applyFill="1" applyBorder="1"/>
    <xf numFmtId="0" fontId="7" fillId="0" borderId="9" xfId="15" applyBorder="1" applyAlignment="1" applyProtection="1">
      <protection locked="0"/>
    </xf>
    <xf numFmtId="0" fontId="11" fillId="8" borderId="72" xfId="0" applyFont="1" applyFill="1" applyBorder="1" applyAlignment="1">
      <alignment horizontal="center" vertical="center" wrapText="1"/>
    </xf>
    <xf numFmtId="0" fontId="24" fillId="19" borderId="9" xfId="0" applyFont="1" applyFill="1" applyBorder="1"/>
    <xf numFmtId="0" fontId="24" fillId="19" borderId="10" xfId="0" applyFont="1" applyFill="1" applyBorder="1"/>
    <xf numFmtId="2" fontId="24" fillId="19" borderId="10" xfId="0" applyNumberFormat="1" applyFont="1" applyFill="1" applyBorder="1"/>
    <xf numFmtId="0" fontId="24" fillId="19" borderId="11" xfId="0" applyFont="1" applyFill="1" applyBorder="1"/>
    <xf numFmtId="0" fontId="11" fillId="3" borderId="72" xfId="0" applyFont="1" applyFill="1" applyBorder="1" applyAlignment="1">
      <alignment horizontal="centerContinuous" vertical="center" wrapText="1"/>
    </xf>
    <xf numFmtId="0" fontId="11" fillId="7" borderId="73" xfId="0" applyFont="1" applyFill="1" applyBorder="1" applyAlignment="1">
      <alignment horizontal="center" vertical="center" wrapText="1"/>
    </xf>
    <xf numFmtId="0" fontId="11" fillId="3" borderId="71" xfId="0" applyFont="1" applyFill="1" applyBorder="1" applyAlignment="1">
      <alignment horizontal="centerContinuous" vertical="center" wrapText="1"/>
    </xf>
    <xf numFmtId="0" fontId="11" fillId="8" borderId="72" xfId="0" applyFont="1" applyFill="1" applyBorder="1" applyAlignment="1">
      <alignment horizontal="centerContinuous" vertical="center" wrapText="1"/>
    </xf>
    <xf numFmtId="0" fontId="5" fillId="0" borderId="15" xfId="0" applyFont="1" applyBorder="1"/>
    <xf numFmtId="0" fontId="5" fillId="0" borderId="17" xfId="0" applyFont="1" applyBorder="1"/>
    <xf numFmtId="0" fontId="5" fillId="0" borderId="19" xfId="0" applyFont="1" applyBorder="1"/>
    <xf numFmtId="0" fontId="7" fillId="0" borderId="14" xfId="1" applyFont="1" applyFill="1" applyBorder="1"/>
    <xf numFmtId="0" fontId="5" fillId="0" borderId="82" xfId="0" applyFont="1" applyBorder="1"/>
    <xf numFmtId="0" fontId="5" fillId="0" borderId="83" xfId="0" applyFont="1" applyBorder="1"/>
    <xf numFmtId="0" fontId="7" fillId="0" borderId="0" xfId="1" applyFont="1" applyFill="1" applyBorder="1"/>
    <xf numFmtId="3" fontId="24" fillId="19" borderId="10" xfId="0" applyNumberFormat="1" applyFont="1" applyFill="1" applyBorder="1"/>
    <xf numFmtId="0" fontId="14" fillId="22" borderId="0" xfId="0" applyFont="1" applyFill="1" applyAlignment="1">
      <alignment vertical="center"/>
    </xf>
    <xf numFmtId="174" fontId="5" fillId="0" borderId="0" xfId="0" applyNumberFormat="1" applyFont="1"/>
    <xf numFmtId="174" fontId="11" fillId="8" borderId="54" xfId="0" applyNumberFormat="1" applyFont="1" applyFill="1" applyBorder="1" applyAlignment="1">
      <alignment horizontal="center" vertical="center" wrapText="1"/>
    </xf>
    <xf numFmtId="174" fontId="0" fillId="0" borderId="0" xfId="0" applyNumberFormat="1"/>
    <xf numFmtId="0" fontId="5" fillId="0" borderId="82" xfId="0" applyFont="1" applyBorder="1" applyAlignment="1">
      <alignment horizontal="left" vertical="top"/>
    </xf>
    <xf numFmtId="0" fontId="7" fillId="0" borderId="14" xfId="15" applyFill="1" applyBorder="1"/>
    <xf numFmtId="0" fontId="4" fillId="0" borderId="82" xfId="0" applyFont="1" applyBorder="1"/>
    <xf numFmtId="0" fontId="4" fillId="0" borderId="15" xfId="0" applyFont="1" applyBorder="1"/>
    <xf numFmtId="0" fontId="7" fillId="0" borderId="18" xfId="15" applyFill="1" applyBorder="1"/>
    <xf numFmtId="2" fontId="5" fillId="0" borderId="83" xfId="0" applyNumberFormat="1" applyFont="1" applyBorder="1" applyAlignment="1">
      <alignment horizontal="center"/>
    </xf>
    <xf numFmtId="2" fontId="4" fillId="0" borderId="0" xfId="0" applyNumberFormat="1" applyFont="1" applyAlignment="1">
      <alignment horizontal="center"/>
    </xf>
    <xf numFmtId="2" fontId="4" fillId="0" borderId="83" xfId="0" applyNumberFormat="1" applyFont="1" applyBorder="1" applyAlignment="1">
      <alignment horizontal="center"/>
    </xf>
    <xf numFmtId="0" fontId="4" fillId="0" borderId="76" xfId="0" applyFont="1" applyBorder="1" applyAlignment="1">
      <alignment horizontal="center"/>
    </xf>
    <xf numFmtId="0" fontId="4" fillId="0" borderId="84"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11" fillId="0" borderId="0" xfId="1" applyFont="1" applyFill="1" applyBorder="1"/>
    <xf numFmtId="0" fontId="11" fillId="0" borderId="76" xfId="1" applyFont="1" applyFill="1" applyBorder="1"/>
    <xf numFmtId="44" fontId="5" fillId="0" borderId="23" xfId="0" applyNumberFormat="1" applyFont="1" applyBorder="1"/>
    <xf numFmtId="0" fontId="11" fillId="8" borderId="85" xfId="0" applyFont="1" applyFill="1" applyBorder="1" applyAlignment="1">
      <alignment horizontal="center" vertical="center" wrapText="1"/>
    </xf>
    <xf numFmtId="174" fontId="11" fillId="8" borderId="73" xfId="0" applyNumberFormat="1" applyFont="1" applyFill="1" applyBorder="1" applyAlignment="1">
      <alignment horizontal="center" vertical="center" wrapText="1"/>
    </xf>
    <xf numFmtId="0" fontId="4" fillId="0" borderId="0" xfId="0" applyFont="1" applyAlignment="1">
      <alignment vertical="center"/>
    </xf>
    <xf numFmtId="0" fontId="5" fillId="3" borderId="20" xfId="0" applyFont="1" applyFill="1" applyBorder="1" applyAlignment="1">
      <alignment horizontal="center"/>
    </xf>
    <xf numFmtId="0" fontId="4" fillId="8" borderId="24" xfId="0" applyFont="1" applyFill="1" applyBorder="1" applyAlignment="1">
      <alignment vertical="center"/>
    </xf>
    <xf numFmtId="0" fontId="4" fillId="8" borderId="25" xfId="0" applyFont="1" applyFill="1" applyBorder="1" applyAlignment="1">
      <alignment vertical="center"/>
    </xf>
    <xf numFmtId="0" fontId="4" fillId="8" borderId="26" xfId="0" applyFont="1" applyFill="1" applyBorder="1" applyAlignment="1">
      <alignment vertical="center"/>
    </xf>
    <xf numFmtId="0" fontId="5" fillId="0" borderId="0" xfId="0" applyFont="1" applyAlignment="1">
      <alignment vertical="center" wrapText="1"/>
    </xf>
    <xf numFmtId="0" fontId="27" fillId="8" borderId="29" xfId="0" applyFont="1" applyFill="1" applyBorder="1" applyAlignment="1">
      <alignment horizontal="center" vertical="center"/>
    </xf>
    <xf numFmtId="0" fontId="27" fillId="8" borderId="30" xfId="0" applyFont="1" applyFill="1" applyBorder="1" applyAlignment="1">
      <alignment horizontal="center" vertical="center"/>
    </xf>
    <xf numFmtId="0" fontId="27" fillId="8" borderId="31" xfId="0" applyFont="1" applyFill="1" applyBorder="1" applyAlignment="1">
      <alignment horizontal="center" vertical="center"/>
    </xf>
    <xf numFmtId="0" fontId="14" fillId="3" borderId="59" xfId="0" applyFont="1" applyFill="1" applyBorder="1" applyAlignment="1">
      <alignment vertical="center"/>
    </xf>
    <xf numFmtId="8" fontId="14" fillId="3" borderId="21" xfId="0" applyNumberFormat="1" applyFont="1" applyFill="1" applyBorder="1" applyAlignment="1">
      <alignment horizontal="center" vertical="center"/>
    </xf>
    <xf numFmtId="0" fontId="14" fillId="3" borderId="49" xfId="0" applyFont="1" applyFill="1" applyBorder="1" applyAlignment="1">
      <alignment horizontal="center" vertical="center"/>
    </xf>
    <xf numFmtId="0" fontId="14" fillId="3" borderId="27" xfId="0" applyFont="1" applyFill="1" applyBorder="1" applyAlignment="1">
      <alignment vertical="center"/>
    </xf>
    <xf numFmtId="8" fontId="14" fillId="3" borderId="20" xfId="0" applyNumberFormat="1" applyFont="1" applyFill="1" applyBorder="1" applyAlignment="1">
      <alignment horizontal="center" vertical="center"/>
    </xf>
    <xf numFmtId="0" fontId="14" fillId="3" borderId="28" xfId="0" applyFont="1" applyFill="1" applyBorder="1" applyAlignment="1">
      <alignment horizontal="center" vertical="center"/>
    </xf>
    <xf numFmtId="8" fontId="5" fillId="0" borderId="0" xfId="0" applyNumberFormat="1" applyFont="1" applyAlignment="1">
      <alignment vertical="center" wrapText="1"/>
    </xf>
    <xf numFmtId="0" fontId="14" fillId="3" borderId="29" xfId="0" applyFont="1" applyFill="1" applyBorder="1" applyAlignment="1">
      <alignment vertical="center"/>
    </xf>
    <xf numFmtId="8" fontId="14" fillId="3" borderId="30" xfId="0" applyNumberFormat="1" applyFont="1" applyFill="1" applyBorder="1" applyAlignment="1">
      <alignment horizontal="center" vertical="center"/>
    </xf>
    <xf numFmtId="0" fontId="14" fillId="3" borderId="31" xfId="0" applyFont="1" applyFill="1" applyBorder="1" applyAlignment="1">
      <alignment horizontal="center" vertical="center"/>
    </xf>
    <xf numFmtId="175" fontId="14" fillId="3" borderId="21" xfId="0" applyNumberFormat="1" applyFont="1" applyFill="1" applyBorder="1" applyAlignment="1">
      <alignment horizontal="center" vertical="center"/>
    </xf>
    <xf numFmtId="8" fontId="15" fillId="0" borderId="0" xfId="0" applyNumberFormat="1" applyFont="1"/>
    <xf numFmtId="0" fontId="14" fillId="3" borderId="89" xfId="0" applyFont="1" applyFill="1" applyBorder="1" applyAlignment="1">
      <alignment vertical="center"/>
    </xf>
    <xf numFmtId="175" fontId="14" fillId="3" borderId="90" xfId="0" applyNumberFormat="1" applyFont="1" applyFill="1" applyBorder="1" applyAlignment="1">
      <alignment horizontal="center" vertical="center"/>
    </xf>
    <xf numFmtId="0" fontId="14" fillId="3" borderId="91" xfId="0" applyFont="1" applyFill="1" applyBorder="1" applyAlignment="1">
      <alignment horizontal="center" vertical="center"/>
    </xf>
    <xf numFmtId="175" fontId="14" fillId="0" borderId="0" xfId="0" applyNumberFormat="1" applyFont="1" applyAlignment="1">
      <alignment horizontal="center" vertical="center"/>
    </xf>
    <xf numFmtId="0" fontId="14" fillId="0" borderId="0" xfId="0" applyFont="1" applyAlignment="1">
      <alignment horizontal="center" vertical="center"/>
    </xf>
    <xf numFmtId="0" fontId="4" fillId="7" borderId="5" xfId="0" applyFont="1" applyFill="1" applyBorder="1"/>
    <xf numFmtId="0" fontId="4" fillId="7" borderId="6" xfId="0" applyFont="1" applyFill="1" applyBorder="1"/>
    <xf numFmtId="0" fontId="5" fillId="0" borderId="7" xfId="0" applyFont="1" applyBorder="1" applyAlignment="1">
      <alignment vertical="center"/>
    </xf>
    <xf numFmtId="0" fontId="5" fillId="0" borderId="8" xfId="0" applyFont="1" applyBorder="1" applyAlignment="1">
      <alignment vertical="center" wrapText="1"/>
    </xf>
    <xf numFmtId="0" fontId="0" fillId="0" borderId="10" xfId="0" applyBorder="1"/>
    <xf numFmtId="0" fontId="0" fillId="0" borderId="11" xfId="0" applyBorder="1"/>
    <xf numFmtId="0" fontId="4" fillId="8" borderId="4" xfId="0" applyFont="1" applyFill="1" applyBorder="1" applyAlignment="1">
      <alignment horizontal="right" vertical="center"/>
    </xf>
    <xf numFmtId="0" fontId="4" fillId="8" borderId="5" xfId="0" applyFont="1" applyFill="1" applyBorder="1" applyAlignment="1">
      <alignment vertical="center"/>
    </xf>
    <xf numFmtId="0" fontId="4" fillId="8" borderId="6" xfId="0" applyFont="1" applyFill="1" applyBorder="1" applyAlignment="1">
      <alignment vertical="center"/>
    </xf>
    <xf numFmtId="0" fontId="27" fillId="8" borderId="89" xfId="0" applyFont="1" applyFill="1" applyBorder="1" applyAlignment="1">
      <alignment horizontal="center" vertical="center"/>
    </xf>
    <xf numFmtId="0" fontId="27" fillId="8" borderId="90" xfId="0" applyFont="1" applyFill="1" applyBorder="1" applyAlignment="1">
      <alignment horizontal="center" vertical="center"/>
    </xf>
    <xf numFmtId="0" fontId="27" fillId="8" borderId="91" xfId="0" applyFont="1" applyFill="1" applyBorder="1" applyAlignment="1">
      <alignment horizontal="center" vertical="center"/>
    </xf>
    <xf numFmtId="176" fontId="14" fillId="3" borderId="21" xfId="0" applyNumberFormat="1" applyFont="1" applyFill="1" applyBorder="1" applyAlignment="1">
      <alignment horizontal="center" vertical="center"/>
    </xf>
    <xf numFmtId="176" fontId="14" fillId="3" borderId="20" xfId="0" applyNumberFormat="1" applyFont="1" applyFill="1" applyBorder="1" applyAlignment="1">
      <alignment horizontal="center" vertical="center"/>
    </xf>
    <xf numFmtId="177" fontId="14" fillId="3" borderId="20" xfId="0" applyNumberFormat="1" applyFont="1" applyFill="1" applyBorder="1" applyAlignment="1">
      <alignment horizontal="center" vertical="center"/>
    </xf>
    <xf numFmtId="176" fontId="14" fillId="3" borderId="30" xfId="0" applyNumberFormat="1" applyFont="1" applyFill="1" applyBorder="1" applyAlignment="1">
      <alignment horizontal="center" vertical="center"/>
    </xf>
    <xf numFmtId="0" fontId="5" fillId="0" borderId="8" xfId="0" applyFont="1" applyBorder="1" applyAlignment="1">
      <alignment vertical="center"/>
    </xf>
    <xf numFmtId="0" fontId="3" fillId="0" borderId="0" xfId="0" applyFont="1" applyAlignment="1">
      <alignment horizontal="center"/>
    </xf>
    <xf numFmtId="0" fontId="5" fillId="4" borderId="30" xfId="0" applyFont="1" applyFill="1" applyBorder="1" applyAlignment="1">
      <alignment horizontal="center" wrapText="1"/>
    </xf>
    <xf numFmtId="0" fontId="5" fillId="4" borderId="31" xfId="0" applyFont="1" applyFill="1" applyBorder="1" applyAlignment="1">
      <alignment horizontal="center" wrapText="1"/>
    </xf>
    <xf numFmtId="2" fontId="5" fillId="0" borderId="21" xfId="0" applyNumberFormat="1" applyFont="1" applyBorder="1" applyAlignment="1">
      <alignment vertical="center"/>
    </xf>
    <xf numFmtId="4" fontId="5" fillId="0" borderId="49" xfId="0" applyNumberFormat="1" applyFont="1" applyBorder="1" applyAlignment="1">
      <alignment vertical="center"/>
    </xf>
    <xf numFmtId="2" fontId="5" fillId="0" borderId="20" xfId="0" applyNumberFormat="1" applyFont="1" applyBorder="1" applyAlignment="1">
      <alignment vertical="center"/>
    </xf>
    <xf numFmtId="2" fontId="5" fillId="0" borderId="35" xfId="0" applyNumberFormat="1" applyFont="1" applyBorder="1" applyAlignment="1">
      <alignment vertical="center"/>
    </xf>
    <xf numFmtId="2" fontId="5" fillId="0" borderId="30" xfId="0" applyNumberFormat="1" applyFont="1" applyBorder="1" applyAlignment="1">
      <alignment vertical="center"/>
    </xf>
    <xf numFmtId="0" fontId="5" fillId="0" borderId="51" xfId="0" applyFont="1" applyBorder="1" applyAlignment="1">
      <alignment vertical="top"/>
    </xf>
    <xf numFmtId="0" fontId="5" fillId="0" borderId="52" xfId="0" applyFont="1" applyBorder="1" applyAlignment="1">
      <alignment vertical="top"/>
    </xf>
    <xf numFmtId="0" fontId="5" fillId="0" borderId="55" xfId="0" applyFont="1" applyBorder="1" applyAlignment="1">
      <alignment vertical="top"/>
    </xf>
    <xf numFmtId="0" fontId="5" fillId="0" borderId="9" xfId="0" applyFont="1" applyBorder="1" applyAlignment="1">
      <alignment vertical="top"/>
    </xf>
    <xf numFmtId="0" fontId="5" fillId="0" borderId="10" xfId="0" applyFont="1" applyBorder="1" applyAlignment="1">
      <alignment vertical="top"/>
    </xf>
    <xf numFmtId="0" fontId="5" fillId="0" borderId="11" xfId="0" applyFont="1" applyBorder="1" applyAlignment="1">
      <alignment vertical="top"/>
    </xf>
    <xf numFmtId="0" fontId="0" fillId="0" borderId="8" xfId="0" applyBorder="1"/>
    <xf numFmtId="0" fontId="7" fillId="0" borderId="21" xfId="1" applyFont="1" applyFill="1" applyBorder="1"/>
    <xf numFmtId="0" fontId="14" fillId="3" borderId="64" xfId="0" applyFont="1" applyFill="1" applyBorder="1" applyAlignment="1">
      <alignment horizontal="center" vertical="center"/>
    </xf>
    <xf numFmtId="0" fontId="14" fillId="3" borderId="38" xfId="0" applyFont="1" applyFill="1" applyBorder="1" applyAlignment="1">
      <alignment horizontal="center" vertical="center"/>
    </xf>
    <xf numFmtId="0" fontId="14" fillId="3" borderId="40" xfId="0" applyFont="1" applyFill="1" applyBorder="1" applyAlignment="1">
      <alignment horizontal="center" vertical="center"/>
    </xf>
    <xf numFmtId="0" fontId="14" fillId="3" borderId="20" xfId="0" applyFont="1" applyFill="1" applyBorder="1" applyAlignment="1">
      <alignment horizontal="center" vertical="center"/>
    </xf>
    <xf numFmtId="0" fontId="14" fillId="3" borderId="30" xfId="0" applyFont="1" applyFill="1" applyBorder="1" applyAlignment="1">
      <alignment horizontal="center" vertical="center"/>
    </xf>
    <xf numFmtId="8" fontId="14" fillId="3" borderId="25" xfId="0" applyNumberFormat="1" applyFont="1" applyFill="1" applyBorder="1" applyAlignment="1">
      <alignment horizontal="center" vertical="center"/>
    </xf>
    <xf numFmtId="0" fontId="14" fillId="3" borderId="25" xfId="0" applyFont="1" applyFill="1" applyBorder="1" applyAlignment="1">
      <alignment horizontal="center" vertical="center"/>
    </xf>
    <xf numFmtId="0" fontId="27" fillId="8" borderId="62" xfId="0" applyFont="1" applyFill="1" applyBorder="1" applyAlignment="1">
      <alignment horizontal="center" vertical="center"/>
    </xf>
    <xf numFmtId="0" fontId="29" fillId="3" borderId="21" xfId="0" applyFont="1" applyFill="1" applyBorder="1" applyAlignment="1">
      <alignment horizontal="center" vertical="center"/>
    </xf>
    <xf numFmtId="0" fontId="14" fillId="3" borderId="19"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92" xfId="0" applyFont="1" applyFill="1" applyBorder="1" applyAlignment="1">
      <alignment horizontal="center" vertical="center"/>
    </xf>
    <xf numFmtId="0" fontId="14" fillId="3" borderId="35" xfId="0" applyFont="1" applyFill="1" applyBorder="1" applyAlignment="1">
      <alignment horizontal="center" vertical="center"/>
    </xf>
    <xf numFmtId="0" fontId="29" fillId="3" borderId="23" xfId="0" applyFont="1" applyFill="1" applyBorder="1" applyAlignment="1">
      <alignment horizontal="center" vertical="center"/>
    </xf>
    <xf numFmtId="0" fontId="14" fillId="3" borderId="23" xfId="0" applyFont="1" applyFill="1" applyBorder="1" applyAlignment="1">
      <alignment horizontal="center" vertical="center"/>
    </xf>
    <xf numFmtId="0" fontId="4" fillId="8" borderId="4" xfId="0" applyFont="1" applyFill="1" applyBorder="1"/>
    <xf numFmtId="0" fontId="4" fillId="8" borderId="5" xfId="0" applyFont="1" applyFill="1" applyBorder="1"/>
    <xf numFmtId="0" fontId="4" fillId="8" borderId="6" xfId="0" applyFont="1" applyFill="1" applyBorder="1"/>
    <xf numFmtId="0" fontId="30" fillId="0" borderId="9" xfId="15" applyFont="1" applyFill="1" applyBorder="1"/>
    <xf numFmtId="0" fontId="30" fillId="0" borderId="9" xfId="1" applyFont="1" applyFill="1" applyBorder="1"/>
    <xf numFmtId="0" fontId="27" fillId="8" borderId="62" xfId="0" applyFont="1" applyFill="1" applyBorder="1" applyAlignment="1">
      <alignment horizontal="center" vertical="center" wrapText="1"/>
    </xf>
    <xf numFmtId="0" fontId="15" fillId="3" borderId="35" xfId="0" applyFont="1" applyFill="1" applyBorder="1" applyAlignment="1">
      <alignment horizontal="center"/>
    </xf>
    <xf numFmtId="0" fontId="31" fillId="3" borderId="23" xfId="0" applyFont="1" applyFill="1" applyBorder="1" applyAlignment="1">
      <alignment horizontal="center"/>
    </xf>
    <xf numFmtId="0" fontId="31" fillId="3" borderId="21" xfId="0" applyFont="1" applyFill="1" applyBorder="1" applyAlignment="1">
      <alignment horizontal="center"/>
    </xf>
    <xf numFmtId="0" fontId="31" fillId="3" borderId="90" xfId="0" applyFont="1" applyFill="1" applyBorder="1" applyAlignment="1">
      <alignment horizontal="center"/>
    </xf>
    <xf numFmtId="0" fontId="5" fillId="3" borderId="23" xfId="0" applyFont="1" applyFill="1" applyBorder="1" applyAlignment="1">
      <alignment horizontal="center"/>
    </xf>
    <xf numFmtId="0" fontId="5" fillId="3" borderId="21" xfId="0" applyFont="1" applyFill="1" applyBorder="1" applyAlignment="1">
      <alignment horizontal="center"/>
    </xf>
    <xf numFmtId="0" fontId="29" fillId="3" borderId="23" xfId="0" applyFont="1" applyFill="1" applyBorder="1" applyAlignment="1">
      <alignment horizontal="center"/>
    </xf>
    <xf numFmtId="0" fontId="29" fillId="3" borderId="21" xfId="0" applyFont="1" applyFill="1" applyBorder="1" applyAlignment="1">
      <alignment horizontal="center"/>
    </xf>
    <xf numFmtId="0" fontId="5" fillId="3" borderId="35" xfId="0" applyFont="1" applyFill="1" applyBorder="1" applyAlignment="1">
      <alignment horizontal="center"/>
    </xf>
    <xf numFmtId="0" fontId="29" fillId="3" borderId="90" xfId="0" applyFont="1" applyFill="1" applyBorder="1" applyAlignment="1">
      <alignment horizontal="center"/>
    </xf>
    <xf numFmtId="0" fontId="15" fillId="3" borderId="17" xfId="0" applyFont="1" applyFill="1" applyBorder="1" applyAlignment="1">
      <alignment horizontal="center"/>
    </xf>
    <xf numFmtId="0" fontId="31" fillId="3" borderId="83" xfId="0" applyFont="1" applyFill="1" applyBorder="1" applyAlignment="1">
      <alignment horizontal="center"/>
    </xf>
    <xf numFmtId="0" fontId="31" fillId="3" borderId="60" xfId="0" applyFont="1" applyFill="1" applyBorder="1" applyAlignment="1">
      <alignment horizontal="center"/>
    </xf>
    <xf numFmtId="0" fontId="14" fillId="3" borderId="45" xfId="0" applyFont="1" applyFill="1" applyBorder="1" applyAlignment="1">
      <alignment horizontal="center" vertical="center"/>
    </xf>
    <xf numFmtId="0" fontId="29" fillId="3" borderId="59" xfId="0" applyFont="1" applyFill="1" applyBorder="1" applyAlignment="1">
      <alignment horizontal="center" vertical="center"/>
    </xf>
    <xf numFmtId="0" fontId="14" fillId="3" borderId="68" xfId="0" applyFont="1" applyFill="1" applyBorder="1" applyAlignment="1">
      <alignment horizontal="center" vertical="center"/>
    </xf>
    <xf numFmtId="0" fontId="29" fillId="3" borderId="87" xfId="0" applyFont="1" applyFill="1" applyBorder="1" applyAlignment="1">
      <alignment horizontal="center" vertical="center"/>
    </xf>
    <xf numFmtId="0" fontId="29" fillId="3" borderId="89" xfId="0" applyFont="1" applyFill="1" applyBorder="1" applyAlignment="1">
      <alignment horizontal="center" vertical="center"/>
    </xf>
    <xf numFmtId="0" fontId="15" fillId="0" borderId="20" xfId="0" applyFont="1" applyBorder="1"/>
    <xf numFmtId="0" fontId="15" fillId="0" borderId="21" xfId="0" applyFont="1" applyBorder="1"/>
    <xf numFmtId="0" fontId="23" fillId="0" borderId="22" xfId="0" applyFont="1" applyBorder="1"/>
    <xf numFmtId="0" fontId="15" fillId="0" borderId="21" xfId="0" applyFont="1" applyBorder="1" applyAlignment="1">
      <alignment horizontal="left"/>
    </xf>
    <xf numFmtId="0" fontId="15" fillId="0" borderId="20" xfId="0" applyFont="1" applyBorder="1" applyAlignment="1">
      <alignment horizontal="left"/>
    </xf>
    <xf numFmtId="0" fontId="5" fillId="0" borderId="20" xfId="0" applyFont="1" applyBorder="1" applyAlignment="1">
      <alignment horizontal="left"/>
    </xf>
    <xf numFmtId="1" fontId="5" fillId="0" borderId="0" xfId="0" applyNumberFormat="1" applyFont="1"/>
    <xf numFmtId="1" fontId="15" fillId="0" borderId="0" xfId="0" applyNumberFormat="1" applyFont="1"/>
    <xf numFmtId="1" fontId="27" fillId="8" borderId="62" xfId="0" applyNumberFormat="1" applyFont="1" applyFill="1" applyBorder="1" applyAlignment="1">
      <alignment horizontal="center" vertical="center"/>
    </xf>
    <xf numFmtId="1" fontId="14" fillId="3" borderId="25" xfId="0" applyNumberFormat="1" applyFont="1" applyFill="1" applyBorder="1" applyAlignment="1">
      <alignment horizontal="center" vertical="center"/>
    </xf>
    <xf numFmtId="1" fontId="14" fillId="3" borderId="20" xfId="0" applyNumberFormat="1" applyFont="1" applyFill="1" applyBorder="1" applyAlignment="1">
      <alignment horizontal="center" vertical="center"/>
    </xf>
    <xf numFmtId="1" fontId="14" fillId="3" borderId="30" xfId="0" applyNumberFormat="1" applyFont="1" applyFill="1" applyBorder="1" applyAlignment="1">
      <alignment horizontal="center" vertical="center"/>
    </xf>
    <xf numFmtId="1" fontId="5" fillId="3" borderId="21" xfId="0" applyNumberFormat="1" applyFont="1" applyFill="1" applyBorder="1" applyAlignment="1">
      <alignment horizontal="center"/>
    </xf>
    <xf numFmtId="1" fontId="5" fillId="3" borderId="20" xfId="0" applyNumberFormat="1" applyFont="1" applyFill="1" applyBorder="1" applyAlignment="1">
      <alignment horizontal="center"/>
    </xf>
    <xf numFmtId="1" fontId="0" fillId="0" borderId="0" xfId="0" applyNumberFormat="1"/>
    <xf numFmtId="0" fontId="7" fillId="0" borderId="9" xfId="15" applyBorder="1"/>
    <xf numFmtId="0" fontId="10" fillId="0" borderId="7" xfId="15" applyFont="1" applyFill="1" applyBorder="1" applyAlignment="1">
      <alignment horizontal="left"/>
    </xf>
    <xf numFmtId="8" fontId="10" fillId="3" borderId="30" xfId="0" applyNumberFormat="1" applyFont="1" applyFill="1" applyBorder="1" applyAlignment="1">
      <alignment horizontal="center" vertical="center"/>
    </xf>
    <xf numFmtId="1" fontId="10" fillId="3" borderId="20" xfId="0" applyNumberFormat="1" applyFont="1" applyFill="1" applyBorder="1" applyAlignment="1">
      <alignment horizontal="center" vertical="center"/>
    </xf>
    <xf numFmtId="167" fontId="5" fillId="3" borderId="21" xfId="0" applyNumberFormat="1" applyFont="1" applyFill="1" applyBorder="1" applyAlignment="1">
      <alignment horizontal="center"/>
    </xf>
    <xf numFmtId="178" fontId="5" fillId="3" borderId="21" xfId="0" applyNumberFormat="1" applyFont="1" applyFill="1" applyBorder="1" applyAlignment="1">
      <alignment horizontal="center"/>
    </xf>
    <xf numFmtId="178" fontId="5" fillId="3" borderId="20" xfId="0" applyNumberFormat="1" applyFont="1" applyFill="1" applyBorder="1" applyAlignment="1">
      <alignment horizontal="center"/>
    </xf>
    <xf numFmtId="179" fontId="5" fillId="3" borderId="21" xfId="16" applyNumberFormat="1" applyFont="1" applyFill="1" applyBorder="1" applyAlignment="1">
      <alignment horizontal="center"/>
    </xf>
    <xf numFmtId="0" fontId="7" fillId="0" borderId="7" xfId="1" applyFont="1" applyBorder="1" applyAlignment="1" applyProtection="1">
      <protection locked="0"/>
    </xf>
    <xf numFmtId="0" fontId="33" fillId="0" borderId="0" xfId="0" applyFont="1" applyAlignment="1">
      <alignment horizontal="centerContinuous"/>
    </xf>
    <xf numFmtId="0" fontId="34" fillId="0" borderId="0" xfId="0" applyFont="1"/>
    <xf numFmtId="0" fontId="35" fillId="0" borderId="0" xfId="0" applyFont="1"/>
    <xf numFmtId="0" fontId="4" fillId="29" borderId="4" xfId="0" applyFont="1" applyFill="1" applyBorder="1" applyAlignment="1">
      <alignment horizontal="centerContinuous" vertical="center"/>
    </xf>
    <xf numFmtId="0" fontId="4" fillId="29" borderId="5" xfId="0" applyFont="1" applyFill="1" applyBorder="1" applyAlignment="1">
      <alignment horizontal="centerContinuous" vertical="center"/>
    </xf>
    <xf numFmtId="0" fontId="4" fillId="29" borderId="37" xfId="0" applyFont="1" applyFill="1" applyBorder="1" applyAlignment="1">
      <alignment horizontal="centerContinuous" vertical="center"/>
    </xf>
    <xf numFmtId="0" fontId="4" fillId="29" borderId="6" xfId="0" applyFont="1" applyFill="1" applyBorder="1" applyAlignment="1">
      <alignment horizontal="centerContinuous" vertical="center"/>
    </xf>
    <xf numFmtId="0" fontId="5" fillId="0" borderId="63" xfId="0" applyFont="1" applyBorder="1" applyAlignment="1">
      <alignment vertical="center"/>
    </xf>
    <xf numFmtId="0" fontId="5" fillId="0" borderId="18" xfId="0" applyFont="1" applyBorder="1" applyAlignment="1">
      <alignment vertical="center"/>
    </xf>
    <xf numFmtId="0" fontId="5" fillId="0" borderId="14" xfId="0" applyFont="1" applyBorder="1" applyAlignment="1">
      <alignment vertical="center"/>
    </xf>
    <xf numFmtId="0" fontId="5" fillId="0" borderId="64" xfId="0" applyFont="1" applyBorder="1" applyAlignment="1">
      <alignment vertical="center"/>
    </xf>
    <xf numFmtId="0" fontId="5" fillId="0" borderId="33"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5" fillId="0" borderId="106" xfId="0" applyFont="1" applyBorder="1" applyAlignment="1">
      <alignment vertical="center"/>
    </xf>
    <xf numFmtId="0" fontId="5" fillId="0" borderId="11" xfId="0" applyFont="1" applyBorder="1" applyAlignment="1">
      <alignment vertical="center"/>
    </xf>
    <xf numFmtId="0" fontId="4" fillId="20" borderId="51" xfId="0" applyFont="1" applyFill="1" applyBorder="1" applyAlignment="1">
      <alignment horizontal="centerContinuous"/>
    </xf>
    <xf numFmtId="0" fontId="4" fillId="20" borderId="52" xfId="0" applyFont="1" applyFill="1" applyBorder="1" applyAlignment="1">
      <alignment horizontal="centerContinuous"/>
    </xf>
    <xf numFmtId="0" fontId="4" fillId="20" borderId="55" xfId="0" applyFont="1" applyFill="1" applyBorder="1" applyAlignment="1">
      <alignment horizontal="centerContinuous"/>
    </xf>
    <xf numFmtId="0" fontId="4" fillId="7" borderId="12" xfId="0" applyFont="1" applyFill="1" applyBorder="1"/>
    <xf numFmtId="0" fontId="4" fillId="7" borderId="58" xfId="0" applyFont="1" applyFill="1" applyBorder="1"/>
    <xf numFmtId="0" fontId="4" fillId="7" borderId="38" xfId="0" applyFont="1" applyFill="1" applyBorder="1"/>
    <xf numFmtId="0" fontId="7" fillId="0" borderId="0" xfId="15" applyFill="1" applyBorder="1"/>
    <xf numFmtId="0" fontId="4" fillId="4" borderId="0" xfId="0" applyFont="1" applyFill="1" applyAlignment="1">
      <alignment vertical="top"/>
    </xf>
    <xf numFmtId="0" fontId="5" fillId="4" borderId="0" xfId="0" applyFont="1" applyFill="1" applyAlignment="1">
      <alignment vertical="top"/>
    </xf>
    <xf numFmtId="0" fontId="5" fillId="0" borderId="24" xfId="5" applyFont="1" applyBorder="1" applyAlignment="1">
      <alignment horizontal="center"/>
    </xf>
    <xf numFmtId="0" fontId="5" fillId="0" borderId="25" xfId="5" applyFont="1" applyBorder="1" applyAlignment="1">
      <alignment horizontal="center"/>
    </xf>
    <xf numFmtId="2" fontId="10" fillId="30" borderId="26" xfId="0" applyNumberFormat="1" applyFont="1" applyFill="1" applyBorder="1" applyAlignment="1">
      <alignment horizontal="center"/>
    </xf>
    <xf numFmtId="0" fontId="5" fillId="0" borderId="27" xfId="5" applyFont="1" applyBorder="1" applyAlignment="1">
      <alignment horizontal="center"/>
    </xf>
    <xf numFmtId="0" fontId="5" fillId="0" borderId="20" xfId="5" applyFont="1" applyBorder="1" applyAlignment="1">
      <alignment horizontal="center"/>
    </xf>
    <xf numFmtId="0" fontId="10" fillId="0" borderId="20" xfId="10" applyFont="1" applyBorder="1" applyAlignment="1">
      <alignment horizontal="center"/>
    </xf>
    <xf numFmtId="2" fontId="10" fillId="30" borderId="28" xfId="0" applyNumberFormat="1" applyFont="1" applyFill="1" applyBorder="1" applyAlignment="1">
      <alignment horizontal="center"/>
    </xf>
    <xf numFmtId="0" fontId="14" fillId="0" borderId="27" xfId="10" applyFont="1" applyBorder="1" applyAlignment="1">
      <alignment horizontal="center" vertical="center"/>
    </xf>
    <xf numFmtId="0" fontId="14" fillId="0" borderId="20" xfId="10" applyFont="1" applyBorder="1" applyAlignment="1">
      <alignment horizontal="center" vertical="center"/>
    </xf>
    <xf numFmtId="2" fontId="14" fillId="31" borderId="28" xfId="8" applyNumberFormat="1" applyFont="1" applyFill="1" applyBorder="1" applyAlignment="1">
      <alignment horizontal="center" vertical="center"/>
    </xf>
    <xf numFmtId="0" fontId="10" fillId="0" borderId="27" xfId="0" applyFont="1" applyBorder="1" applyAlignment="1">
      <alignment horizontal="center"/>
    </xf>
    <xf numFmtId="0" fontId="10" fillId="0" borderId="20" xfId="0" applyFont="1" applyBorder="1" applyAlignment="1">
      <alignment horizontal="center"/>
    </xf>
    <xf numFmtId="0" fontId="14" fillId="0" borderId="27" xfId="8" applyFont="1" applyBorder="1" applyAlignment="1">
      <alignment horizontal="center" vertical="center"/>
    </xf>
    <xf numFmtId="0" fontId="14" fillId="0" borderId="20" xfId="8" applyFont="1" applyBorder="1" applyAlignment="1">
      <alignment horizontal="center" vertical="center"/>
    </xf>
    <xf numFmtId="0" fontId="10" fillId="0" borderId="27" xfId="10" applyFont="1" applyBorder="1" applyAlignment="1">
      <alignment horizontal="center"/>
    </xf>
    <xf numFmtId="0" fontId="14" fillId="0" borderId="29" xfId="10" applyFont="1" applyBorder="1" applyAlignment="1">
      <alignment horizontal="center" vertical="center"/>
    </xf>
    <xf numFmtId="0" fontId="14" fillId="0" borderId="30" xfId="10" applyFont="1" applyBorder="1" applyAlignment="1">
      <alignment horizontal="center" vertical="center"/>
    </xf>
    <xf numFmtId="2" fontId="14" fillId="31" borderId="31" xfId="8" applyNumberFormat="1" applyFont="1" applyFill="1" applyBorder="1" applyAlignment="1">
      <alignment horizontal="center" vertical="center"/>
    </xf>
    <xf numFmtId="0" fontId="4" fillId="20" borderId="45" xfId="5" applyFont="1" applyFill="1" applyBorder="1" applyAlignment="1">
      <alignment horizontal="center" vertical="center"/>
    </xf>
    <xf numFmtId="0" fontId="4" fillId="20" borderId="95" xfId="5" applyFont="1" applyFill="1" applyBorder="1" applyAlignment="1">
      <alignment horizontal="center" vertical="center"/>
    </xf>
    <xf numFmtId="0" fontId="11" fillId="20" borderId="95" xfId="0" applyFont="1" applyFill="1" applyBorder="1" applyAlignment="1">
      <alignment horizontal="center" vertical="center"/>
    </xf>
    <xf numFmtId="0" fontId="11" fillId="20" borderId="107" xfId="5" applyFont="1" applyFill="1" applyBorder="1" applyAlignment="1">
      <alignment horizontal="center" vertical="center"/>
    </xf>
    <xf numFmtId="0" fontId="5" fillId="0" borderId="59" xfId="5" applyFont="1" applyBorder="1" applyAlignment="1">
      <alignment horizontal="center"/>
    </xf>
    <xf numFmtId="0" fontId="5" fillId="0" borderId="21" xfId="5" applyFont="1" applyBorder="1" applyAlignment="1">
      <alignment horizontal="center"/>
    </xf>
    <xf numFmtId="0" fontId="10" fillId="0" borderId="21" xfId="10" applyFont="1" applyBorder="1" applyAlignment="1">
      <alignment horizontal="center"/>
    </xf>
    <xf numFmtId="2" fontId="10" fillId="30" borderId="49" xfId="0" applyNumberFormat="1" applyFont="1" applyFill="1" applyBorder="1" applyAlignment="1">
      <alignment horizontal="center"/>
    </xf>
    <xf numFmtId="0" fontId="5" fillId="0" borderId="29" xfId="5" applyFont="1" applyBorder="1" applyAlignment="1">
      <alignment horizontal="center"/>
    </xf>
    <xf numFmtId="0" fontId="14" fillId="0" borderId="25" xfId="10" applyFont="1" applyBorder="1" applyAlignment="1">
      <alignment horizontal="center" vertical="center"/>
    </xf>
    <xf numFmtId="2" fontId="10" fillId="30" borderId="31" xfId="0" applyNumberFormat="1" applyFont="1" applyFill="1" applyBorder="1" applyAlignment="1">
      <alignment horizontal="center"/>
    </xf>
    <xf numFmtId="0" fontId="4" fillId="29" borderId="36" xfId="0" applyFont="1" applyFill="1" applyBorder="1" applyAlignment="1">
      <alignment horizontal="centerContinuous" vertical="center"/>
    </xf>
    <xf numFmtId="0" fontId="4" fillId="0" borderId="0" xfId="0" applyFont="1" applyAlignment="1">
      <alignment horizontal="center" vertical="center" wrapText="1"/>
    </xf>
    <xf numFmtId="0" fontId="5" fillId="0" borderId="19" xfId="0" applyFont="1" applyBorder="1" applyAlignment="1">
      <alignment vertical="center"/>
    </xf>
    <xf numFmtId="0" fontId="5" fillId="0" borderId="60" xfId="0" applyFont="1" applyBorder="1" applyAlignment="1">
      <alignment vertical="center"/>
    </xf>
    <xf numFmtId="0" fontId="5" fillId="0" borderId="0" xfId="0" applyFont="1" applyAlignment="1">
      <alignment horizontal="left" vertical="center" wrapText="1"/>
    </xf>
    <xf numFmtId="0" fontId="4" fillId="11" borderId="4" xfId="0" applyFont="1" applyFill="1" applyBorder="1" applyAlignment="1">
      <alignment horizontal="centerContinuous"/>
    </xf>
    <xf numFmtId="0" fontId="4" fillId="11" borderId="5" xfId="0" applyFont="1" applyFill="1" applyBorder="1" applyAlignment="1">
      <alignment horizontal="centerContinuous"/>
    </xf>
    <xf numFmtId="0" fontId="4" fillId="11" borderId="6" xfId="0" applyFont="1" applyFill="1" applyBorder="1" applyAlignment="1">
      <alignment horizontal="centerContinuous"/>
    </xf>
    <xf numFmtId="0" fontId="4" fillId="7" borderId="63" xfId="0" applyFont="1" applyFill="1" applyBorder="1" applyAlignment="1">
      <alignment vertical="top"/>
    </xf>
    <xf numFmtId="0" fontId="4" fillId="7" borderId="18" xfId="0" applyFont="1" applyFill="1" applyBorder="1" applyAlignment="1">
      <alignment vertical="top"/>
    </xf>
    <xf numFmtId="0" fontId="4" fillId="7" borderId="64" xfId="0" applyFont="1" applyFill="1" applyBorder="1" applyAlignment="1">
      <alignment vertical="top"/>
    </xf>
    <xf numFmtId="0" fontId="11" fillId="6" borderId="0" xfId="15" applyFont="1" applyFill="1" applyBorder="1" applyAlignment="1">
      <alignment vertical="top"/>
    </xf>
    <xf numFmtId="0" fontId="10" fillId="6" borderId="0" xfId="15" applyFont="1" applyFill="1" applyBorder="1" applyAlignment="1">
      <alignment vertical="top"/>
    </xf>
    <xf numFmtId="0" fontId="4" fillId="11" borderId="41" xfId="0" applyFont="1" applyFill="1" applyBorder="1" applyAlignment="1">
      <alignment horizontal="centerContinuous"/>
    </xf>
    <xf numFmtId="0" fontId="4" fillId="11" borderId="42" xfId="0" applyFont="1" applyFill="1" applyBorder="1" applyAlignment="1">
      <alignment horizontal="centerContinuous"/>
    </xf>
    <xf numFmtId="0" fontId="4" fillId="12" borderId="41" xfId="0" applyFont="1" applyFill="1" applyBorder="1" applyAlignment="1">
      <alignment horizontal="centerContinuous"/>
    </xf>
    <xf numFmtId="0" fontId="4" fillId="12" borderId="43" xfId="0" applyFont="1" applyFill="1" applyBorder="1" applyAlignment="1">
      <alignment horizontal="centerContinuous"/>
    </xf>
    <xf numFmtId="0" fontId="5" fillId="0" borderId="25" xfId="0" applyFont="1" applyBorder="1" applyAlignment="1">
      <alignment horizontal="center" vertical="center"/>
    </xf>
    <xf numFmtId="0" fontId="5" fillId="0" borderId="37" xfId="0" applyFont="1" applyBorder="1" applyAlignment="1">
      <alignment horizontal="center" vertical="center"/>
    </xf>
    <xf numFmtId="167" fontId="5" fillId="4" borderId="65" xfId="0" applyNumberFormat="1" applyFont="1" applyFill="1" applyBorder="1" applyAlignment="1">
      <alignment horizontal="right" vertical="center"/>
    </xf>
    <xf numFmtId="0" fontId="5" fillId="0" borderId="33" xfId="0" applyFont="1" applyBorder="1" applyAlignment="1">
      <alignment horizontal="center" vertical="center"/>
    </xf>
    <xf numFmtId="167" fontId="5" fillId="4" borderId="66" xfId="0" applyNumberFormat="1" applyFont="1" applyFill="1" applyBorder="1" applyAlignment="1">
      <alignment horizontal="right" vertical="center"/>
    </xf>
    <xf numFmtId="167" fontId="5" fillId="6" borderId="27" xfId="0" applyNumberFormat="1" applyFont="1" applyFill="1" applyBorder="1"/>
    <xf numFmtId="167" fontId="5" fillId="6" borderId="33" xfId="0" applyNumberFormat="1" applyFont="1" applyFill="1" applyBorder="1"/>
    <xf numFmtId="181" fontId="5" fillId="10" borderId="12" xfId="0" applyNumberFormat="1" applyFont="1" applyFill="1" applyBorder="1"/>
    <xf numFmtId="181" fontId="5" fillId="10" borderId="28" xfId="0" applyNumberFormat="1" applyFont="1" applyFill="1" applyBorder="1"/>
    <xf numFmtId="0" fontId="5" fillId="0" borderId="30" xfId="0" applyFont="1" applyBorder="1" applyAlignment="1">
      <alignment horizontal="center" vertical="center"/>
    </xf>
    <xf numFmtId="0" fontId="5" fillId="0" borderId="39" xfId="0" applyFont="1" applyBorder="1" applyAlignment="1">
      <alignment horizontal="center" vertical="center"/>
    </xf>
    <xf numFmtId="167" fontId="5" fillId="4" borderId="67" xfId="0" applyNumberFormat="1" applyFont="1" applyFill="1" applyBorder="1" applyAlignment="1">
      <alignment horizontal="right" vertical="center"/>
    </xf>
    <xf numFmtId="167" fontId="5" fillId="6" borderId="29" xfId="0" applyNumberFormat="1" applyFont="1" applyFill="1" applyBorder="1"/>
    <xf numFmtId="167" fontId="5" fillId="6" borderId="30" xfId="0" applyNumberFormat="1" applyFont="1" applyFill="1" applyBorder="1"/>
    <xf numFmtId="167" fontId="5" fillId="6" borderId="39" xfId="0" applyNumberFormat="1" applyFont="1" applyFill="1" applyBorder="1"/>
    <xf numFmtId="167" fontId="5" fillId="6" borderId="31" xfId="0" applyNumberFormat="1" applyFont="1" applyFill="1" applyBorder="1"/>
    <xf numFmtId="181" fontId="5" fillId="10" borderId="13" xfId="0" applyNumberFormat="1" applyFont="1" applyFill="1" applyBorder="1"/>
    <xf numFmtId="181" fontId="5" fillId="10" borderId="31" xfId="0" applyNumberFormat="1" applyFont="1" applyFill="1" applyBorder="1"/>
    <xf numFmtId="0" fontId="4" fillId="0" borderId="52" xfId="0" applyFont="1" applyBorder="1" applyAlignment="1">
      <alignment horizontal="center" vertical="center"/>
    </xf>
    <xf numFmtId="0" fontId="4" fillId="15" borderId="1" xfId="11" applyFont="1" applyFill="1" applyBorder="1" applyAlignment="1">
      <alignment horizontal="center" vertical="center" wrapText="1"/>
    </xf>
    <xf numFmtId="0" fontId="11" fillId="13" borderId="45" xfId="0" applyFont="1" applyFill="1" applyBorder="1" applyAlignment="1">
      <alignment horizontal="center" vertical="center" wrapText="1"/>
    </xf>
    <xf numFmtId="0" fontId="11" fillId="13" borderId="95" xfId="0" applyFont="1" applyFill="1" applyBorder="1" applyAlignment="1">
      <alignment horizontal="center" vertical="center" wrapText="1"/>
    </xf>
    <xf numFmtId="0" fontId="11" fillId="13" borderId="107" xfId="0" applyFont="1" applyFill="1" applyBorder="1" applyAlignment="1">
      <alignment horizontal="center" vertical="center" wrapText="1"/>
    </xf>
    <xf numFmtId="0" fontId="11" fillId="14" borderId="7" xfId="0" applyFont="1" applyFill="1" applyBorder="1" applyAlignment="1">
      <alignment horizontal="center" vertical="center" wrapText="1"/>
    </xf>
    <xf numFmtId="0" fontId="11" fillId="14" borderId="88" xfId="0" applyFont="1" applyFill="1" applyBorder="1" applyAlignment="1">
      <alignment horizontal="center" vertical="center" wrapText="1"/>
    </xf>
    <xf numFmtId="0" fontId="4" fillId="0" borderId="1" xfId="0" applyFont="1" applyBorder="1" applyAlignment="1">
      <alignment horizontal="center" vertical="center"/>
    </xf>
    <xf numFmtId="0" fontId="5" fillId="0" borderId="14" xfId="0" applyFont="1" applyBorder="1" applyAlignment="1">
      <alignment horizontal="center" vertical="center"/>
    </xf>
    <xf numFmtId="0" fontId="4" fillId="0" borderId="55" xfId="0" applyFont="1" applyBorder="1" applyAlignment="1">
      <alignment horizontal="center" vertical="center"/>
    </xf>
    <xf numFmtId="0" fontId="5" fillId="0" borderId="21" xfId="0" applyFont="1" applyBorder="1" applyAlignment="1">
      <alignment horizontal="center" vertical="center"/>
    </xf>
    <xf numFmtId="167" fontId="5" fillId="4" borderId="86" xfId="0" applyNumberFormat="1" applyFont="1" applyFill="1" applyBorder="1" applyAlignment="1">
      <alignment horizontal="right" vertical="center"/>
    </xf>
    <xf numFmtId="167" fontId="5" fillId="6" borderId="59" xfId="0" applyNumberFormat="1" applyFont="1" applyFill="1" applyBorder="1"/>
    <xf numFmtId="167" fontId="5" fillId="6" borderId="21" xfId="0" applyNumberFormat="1" applyFont="1" applyFill="1" applyBorder="1"/>
    <xf numFmtId="167" fontId="5" fillId="6" borderId="14" xfId="0" applyNumberFormat="1" applyFont="1" applyFill="1" applyBorder="1"/>
    <xf numFmtId="167" fontId="5" fillId="6" borderId="49" xfId="0" applyNumberFormat="1" applyFont="1" applyFill="1" applyBorder="1"/>
    <xf numFmtId="181" fontId="5" fillId="10" borderId="63" xfId="0" applyNumberFormat="1" applyFont="1" applyFill="1" applyBorder="1"/>
    <xf numFmtId="181" fontId="5" fillId="10" borderId="49" xfId="0" applyNumberFormat="1" applyFont="1" applyFill="1" applyBorder="1"/>
    <xf numFmtId="167" fontId="5" fillId="6" borderId="20" xfId="0" applyNumberFormat="1" applyFont="1" applyFill="1" applyBorder="1" applyAlignment="1">
      <alignment horizontal="right" vertical="center"/>
    </xf>
    <xf numFmtId="167" fontId="5" fillId="6" borderId="25" xfId="0" applyNumberFormat="1" applyFont="1" applyFill="1" applyBorder="1" applyAlignment="1">
      <alignment horizontal="right" vertical="center"/>
    </xf>
    <xf numFmtId="181" fontId="5" fillId="10" borderId="26" xfId="0" applyNumberFormat="1" applyFont="1" applyFill="1" applyBorder="1" applyAlignment="1">
      <alignment horizontal="right" vertical="center"/>
    </xf>
    <xf numFmtId="181" fontId="5" fillId="10" borderId="28" xfId="0" applyNumberFormat="1" applyFont="1" applyFill="1" applyBorder="1" applyAlignment="1">
      <alignment horizontal="right" vertical="center"/>
    </xf>
    <xf numFmtId="167" fontId="5" fillId="6" borderId="30" xfId="0" applyNumberFormat="1" applyFont="1" applyFill="1" applyBorder="1" applyAlignment="1">
      <alignment horizontal="right" vertical="center"/>
    </xf>
    <xf numFmtId="181" fontId="5" fillId="10" borderId="31" xfId="0" applyNumberFormat="1" applyFont="1" applyFill="1" applyBorder="1" applyAlignment="1">
      <alignment horizontal="right" vertical="center"/>
    </xf>
    <xf numFmtId="167" fontId="5" fillId="6" borderId="36" xfId="0" applyNumberFormat="1" applyFont="1" applyFill="1" applyBorder="1" applyAlignment="1">
      <alignment horizontal="right" vertical="center"/>
    </xf>
    <xf numFmtId="167" fontId="5" fillId="6" borderId="34" xfId="0" applyNumberFormat="1" applyFont="1" applyFill="1" applyBorder="1" applyAlignment="1">
      <alignment horizontal="right" vertical="center"/>
    </xf>
    <xf numFmtId="167" fontId="5" fillId="6" borderId="92" xfId="0" applyNumberFormat="1" applyFont="1" applyFill="1" applyBorder="1" applyAlignment="1">
      <alignment horizontal="right" vertical="center"/>
    </xf>
    <xf numFmtId="167" fontId="5" fillId="6" borderId="37" xfId="0" applyNumberFormat="1" applyFont="1" applyFill="1" applyBorder="1" applyAlignment="1">
      <alignment horizontal="right" vertical="center"/>
    </xf>
    <xf numFmtId="167" fontId="5" fillId="6" borderId="33" xfId="0" applyNumberFormat="1" applyFont="1" applyFill="1" applyBorder="1" applyAlignment="1">
      <alignment horizontal="right" vertical="center"/>
    </xf>
    <xf numFmtId="167" fontId="5" fillId="6" borderId="39" xfId="0" applyNumberFormat="1" applyFont="1" applyFill="1" applyBorder="1" applyAlignment="1">
      <alignment horizontal="right" vertical="center"/>
    </xf>
    <xf numFmtId="181" fontId="5" fillId="10" borderId="24" xfId="0" applyNumberFormat="1" applyFont="1" applyFill="1" applyBorder="1" applyAlignment="1">
      <alignment horizontal="right" vertical="center"/>
    </xf>
    <xf numFmtId="181" fontId="5" fillId="10" borderId="27" xfId="0" applyNumberFormat="1" applyFont="1" applyFill="1" applyBorder="1" applyAlignment="1">
      <alignment horizontal="right" vertical="center"/>
    </xf>
    <xf numFmtId="181" fontId="5" fillId="10" borderId="29" xfId="0" applyNumberFormat="1" applyFont="1" applyFill="1" applyBorder="1" applyAlignment="1">
      <alignment horizontal="right" vertical="center"/>
    </xf>
    <xf numFmtId="0" fontId="11" fillId="3" borderId="0" xfId="0" applyFont="1" applyFill="1" applyAlignment="1">
      <alignment horizontal="center" vertical="center" wrapText="1"/>
    </xf>
    <xf numFmtId="0" fontId="4" fillId="8" borderId="41" xfId="0" applyFont="1" applyFill="1" applyBorder="1" applyAlignment="1">
      <alignment horizontal="center" vertical="center" wrapText="1"/>
    </xf>
    <xf numFmtId="0" fontId="4" fillId="8" borderId="42" xfId="0" applyFont="1" applyFill="1" applyBorder="1" applyAlignment="1">
      <alignment horizontal="center" vertical="center" wrapText="1"/>
    </xf>
    <xf numFmtId="0" fontId="4" fillId="8" borderId="43" xfId="0" applyFont="1" applyFill="1" applyBorder="1" applyAlignment="1">
      <alignment horizontal="center" vertical="center" wrapText="1"/>
    </xf>
    <xf numFmtId="0" fontId="5" fillId="0" borderId="14" xfId="0" applyFont="1" applyBorder="1"/>
    <xf numFmtId="0" fontId="10" fillId="0" borderId="96" xfId="0" applyFont="1" applyBorder="1"/>
    <xf numFmtId="0" fontId="5" fillId="0" borderId="94" xfId="0" applyFont="1" applyBorder="1"/>
    <xf numFmtId="8" fontId="5" fillId="0" borderId="23" xfId="0" applyNumberFormat="1" applyFont="1" applyBorder="1"/>
    <xf numFmtId="183" fontId="5" fillId="0" borderId="51" xfId="0" applyNumberFormat="1" applyFont="1" applyBorder="1"/>
    <xf numFmtId="3" fontId="5" fillId="0" borderId="52" xfId="0" applyNumberFormat="1" applyFont="1" applyBorder="1"/>
    <xf numFmtId="174" fontId="5" fillId="0" borderId="55" xfId="0" applyNumberFormat="1" applyFont="1" applyBorder="1"/>
    <xf numFmtId="3" fontId="5" fillId="0" borderId="51" xfId="0" applyNumberFormat="1" applyFont="1" applyBorder="1"/>
    <xf numFmtId="4" fontId="5" fillId="0" borderId="55" xfId="0" applyNumberFormat="1" applyFont="1" applyBorder="1"/>
    <xf numFmtId="183" fontId="5" fillId="0" borderId="52" xfId="0" applyNumberFormat="1" applyFont="1" applyBorder="1"/>
    <xf numFmtId="182" fontId="5" fillId="0" borderId="55" xfId="0" applyNumberFormat="1" applyFont="1" applyBorder="1"/>
    <xf numFmtId="183" fontId="5" fillId="0" borderId="55" xfId="0" applyNumberFormat="1" applyFont="1" applyBorder="1"/>
    <xf numFmtId="0" fontId="5" fillId="0" borderId="51" xfId="0" applyFont="1" applyBorder="1"/>
    <xf numFmtId="3" fontId="5" fillId="0" borderId="59" xfId="0" applyNumberFormat="1" applyFont="1" applyBorder="1"/>
    <xf numFmtId="3" fontId="5" fillId="0" borderId="19" xfId="0" applyNumberFormat="1" applyFont="1" applyBorder="1"/>
    <xf numFmtId="3" fontId="5" fillId="0" borderId="21" xfId="0" applyNumberFormat="1" applyFont="1" applyBorder="1"/>
    <xf numFmtId="4" fontId="5" fillId="0" borderId="21" xfId="0" applyNumberFormat="1" applyFont="1" applyBorder="1"/>
    <xf numFmtId="3" fontId="5" fillId="0" borderId="49" xfId="0" applyNumberFormat="1" applyFont="1" applyBorder="1"/>
    <xf numFmtId="174" fontId="5" fillId="0" borderId="49" xfId="0" applyNumberFormat="1" applyFont="1" applyBorder="1"/>
    <xf numFmtId="183" fontId="5" fillId="0" borderId="37" xfId="0" applyNumberFormat="1" applyFont="1" applyBorder="1"/>
    <xf numFmtId="3" fontId="5" fillId="0" borderId="24" xfId="0" applyNumberFormat="1" applyFont="1" applyBorder="1"/>
    <xf numFmtId="174" fontId="5" fillId="0" borderId="26" xfId="0" applyNumberFormat="1" applyFont="1" applyBorder="1"/>
    <xf numFmtId="3" fontId="5" fillId="0" borderId="27" xfId="0" applyNumberFormat="1" applyFont="1" applyBorder="1"/>
    <xf numFmtId="174" fontId="5" fillId="0" borderId="8" xfId="0" applyNumberFormat="1" applyFont="1" applyBorder="1"/>
    <xf numFmtId="3" fontId="5" fillId="0" borderId="7" xfId="0" applyNumberFormat="1" applyFont="1" applyBorder="1"/>
    <xf numFmtId="4" fontId="5" fillId="0" borderId="8" xfId="0" applyNumberFormat="1" applyFont="1" applyBorder="1"/>
    <xf numFmtId="183" fontId="5" fillId="0" borderId="7" xfId="0" applyNumberFormat="1" applyFont="1" applyBorder="1"/>
    <xf numFmtId="183" fontId="5" fillId="0" borderId="0" xfId="0" applyNumberFormat="1" applyFont="1"/>
    <xf numFmtId="182" fontId="5" fillId="0" borderId="8" xfId="0" applyNumberFormat="1" applyFont="1" applyBorder="1"/>
    <xf numFmtId="183" fontId="5" fillId="0" borderId="8" xfId="0" applyNumberFormat="1" applyFont="1" applyBorder="1"/>
    <xf numFmtId="183" fontId="5" fillId="0" borderId="33" xfId="0" applyNumberFormat="1" applyFont="1" applyBorder="1"/>
    <xf numFmtId="174" fontId="5" fillId="0" borderId="28" xfId="0" applyNumberFormat="1" applyFont="1" applyBorder="1"/>
    <xf numFmtId="0" fontId="5" fillId="0" borderId="9" xfId="0" applyFont="1" applyBorder="1"/>
    <xf numFmtId="3" fontId="5" fillId="0" borderId="10" xfId="0" applyNumberFormat="1" applyFont="1" applyBorder="1"/>
    <xf numFmtId="174" fontId="5" fillId="0" borderId="11" xfId="0" applyNumberFormat="1" applyFont="1" applyBorder="1"/>
    <xf numFmtId="3" fontId="5" fillId="0" borderId="9" xfId="0" applyNumberFormat="1" applyFont="1" applyBorder="1"/>
    <xf numFmtId="4" fontId="5" fillId="0" borderId="11" xfId="0" applyNumberFormat="1" applyFont="1" applyBorder="1"/>
    <xf numFmtId="183" fontId="5" fillId="0" borderId="9" xfId="0" applyNumberFormat="1" applyFont="1" applyBorder="1"/>
    <xf numFmtId="183" fontId="5" fillId="0" borderId="10" xfId="0" applyNumberFormat="1" applyFont="1" applyBorder="1"/>
    <xf numFmtId="182" fontId="5" fillId="0" borderId="11" xfId="0" applyNumberFormat="1" applyFont="1" applyBorder="1"/>
    <xf numFmtId="183" fontId="5" fillId="0" borderId="11" xfId="0" applyNumberFormat="1" applyFont="1" applyBorder="1"/>
    <xf numFmtId="183" fontId="5" fillId="0" borderId="39" xfId="0" applyNumberFormat="1" applyFont="1" applyBorder="1"/>
    <xf numFmtId="3" fontId="5" fillId="0" borderId="29" xfId="0" applyNumberFormat="1" applyFont="1" applyBorder="1"/>
    <xf numFmtId="174" fontId="5" fillId="0" borderId="31" xfId="0" applyNumberFormat="1" applyFont="1" applyBorder="1"/>
    <xf numFmtId="174" fontId="24" fillId="19" borderId="11" xfId="0" applyNumberFormat="1" applyFont="1" applyFill="1" applyBorder="1"/>
    <xf numFmtId="1" fontId="24" fillId="19" borderId="11" xfId="0" applyNumberFormat="1" applyFont="1" applyFill="1" applyBorder="1"/>
    <xf numFmtId="3" fontId="24" fillId="19" borderId="11" xfId="0" applyNumberFormat="1" applyFont="1" applyFill="1" applyBorder="1"/>
    <xf numFmtId="0" fontId="0" fillId="0" borderId="20" xfId="0" applyBorder="1"/>
    <xf numFmtId="0" fontId="0" fillId="32" borderId="20" xfId="0" applyFill="1" applyBorder="1"/>
    <xf numFmtId="0" fontId="36" fillId="0" borderId="0" xfId="0" applyFont="1" applyAlignment="1">
      <alignment horizontal="center" vertical="center"/>
    </xf>
    <xf numFmtId="0" fontId="37" fillId="9" borderId="0" xfId="0" applyFont="1" applyFill="1"/>
    <xf numFmtId="0" fontId="3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wrapText="1"/>
    </xf>
    <xf numFmtId="0" fontId="41" fillId="9" borderId="0" xfId="0" applyFont="1" applyFill="1"/>
    <xf numFmtId="0" fontId="40" fillId="0" borderId="0" xfId="0" applyFont="1"/>
    <xf numFmtId="0" fontId="44" fillId="0" borderId="2" xfId="1" applyFont="1" applyFill="1" applyBorder="1"/>
    <xf numFmtId="0" fontId="41" fillId="0" borderId="2" xfId="0" applyFont="1" applyBorder="1"/>
    <xf numFmtId="0" fontId="41" fillId="0" borderId="2" xfId="0" applyFont="1" applyBorder="1" applyAlignment="1">
      <alignment wrapText="1"/>
    </xf>
    <xf numFmtId="0" fontId="41" fillId="2" borderId="57" xfId="0" applyFont="1" applyFill="1" applyBorder="1" applyAlignment="1">
      <alignment horizontal="left" wrapText="1"/>
    </xf>
    <xf numFmtId="0" fontId="44" fillId="2" borderId="86" xfId="1" applyFont="1" applyFill="1" applyBorder="1" applyAlignment="1">
      <alignment horizontal="left" wrapText="1"/>
    </xf>
    <xf numFmtId="0" fontId="40" fillId="0" borderId="2" xfId="0" applyFont="1" applyBorder="1"/>
    <xf numFmtId="0" fontId="44" fillId="0" borderId="2" xfId="1" applyFont="1" applyFill="1" applyBorder="1" applyAlignment="1">
      <alignment horizontal="left" indent="4"/>
    </xf>
    <xf numFmtId="0" fontId="44" fillId="0" borderId="3" xfId="1" applyFont="1" applyFill="1" applyBorder="1" applyAlignment="1">
      <alignment horizontal="left" indent="4"/>
    </xf>
    <xf numFmtId="0" fontId="37" fillId="0" borderId="0" xfId="0" applyFont="1"/>
    <xf numFmtId="0" fontId="44" fillId="2" borderId="49" xfId="1" applyFont="1" applyFill="1" applyBorder="1" applyAlignment="1">
      <alignment horizontal="centerContinuous" wrapText="1"/>
    </xf>
    <xf numFmtId="0" fontId="41" fillId="0" borderId="0" xfId="0" applyFont="1" applyAlignment="1">
      <alignment horizontal="centerContinuous"/>
    </xf>
    <xf numFmtId="0" fontId="36" fillId="0" borderId="0" xfId="0" applyFont="1" applyAlignment="1">
      <alignment horizontal="centerContinuous"/>
    </xf>
    <xf numFmtId="0" fontId="46" fillId="0" borderId="0" xfId="0" applyFont="1"/>
    <xf numFmtId="0" fontId="41" fillId="0" borderId="0" xfId="0" applyFont="1"/>
    <xf numFmtId="0" fontId="38" fillId="0" borderId="0" xfId="0" applyFont="1" applyAlignment="1">
      <alignment horizontal="center"/>
    </xf>
    <xf numFmtId="0" fontId="39" fillId="0" borderId="0" xfId="0" applyFont="1" applyAlignment="1">
      <alignment horizontal="centerContinuous"/>
    </xf>
    <xf numFmtId="0" fontId="38" fillId="0" borderId="0" xfId="0" applyFont="1" applyAlignment="1">
      <alignment horizontal="centerContinuous"/>
    </xf>
    <xf numFmtId="0" fontId="36" fillId="0" borderId="0" xfId="0" applyFont="1"/>
    <xf numFmtId="0" fontId="41" fillId="2" borderId="48" xfId="0" applyFont="1" applyFill="1" applyBorder="1" applyAlignment="1">
      <alignment horizontal="centerContinuous" wrapText="1"/>
    </xf>
    <xf numFmtId="0" fontId="44" fillId="2" borderId="16" xfId="1" applyNumberFormat="1" applyFont="1" applyFill="1" applyBorder="1" applyAlignment="1" applyProtection="1">
      <alignment horizontal="centerContinuous" vertical="justify" wrapText="1"/>
      <protection locked="0"/>
    </xf>
    <xf numFmtId="0" fontId="47" fillId="2" borderId="16" xfId="1" applyNumberFormat="1" applyFont="1" applyFill="1" applyBorder="1" applyAlignment="1" applyProtection="1">
      <alignment horizontal="centerContinuous" vertical="justify" wrapText="1"/>
      <protection locked="0"/>
    </xf>
    <xf numFmtId="0" fontId="44" fillId="2" borderId="17" xfId="1" applyNumberFormat="1" applyFont="1" applyFill="1" applyBorder="1" applyAlignment="1" applyProtection="1">
      <alignment horizontal="centerContinuous" vertical="justify" wrapText="1"/>
      <protection locked="0"/>
    </xf>
    <xf numFmtId="0" fontId="44" fillId="2" borderId="18" xfId="1" applyFont="1" applyFill="1" applyBorder="1" applyAlignment="1" applyProtection="1">
      <alignment horizontal="centerContinuous" vertical="center" wrapText="1"/>
      <protection locked="0"/>
    </xf>
    <xf numFmtId="0" fontId="47" fillId="2" borderId="18" xfId="1" applyFont="1" applyFill="1" applyBorder="1" applyAlignment="1" applyProtection="1">
      <alignment horizontal="centerContinuous" vertical="center" wrapText="1"/>
      <protection locked="0"/>
    </xf>
    <xf numFmtId="0" fontId="44" fillId="2" borderId="19" xfId="1" applyFont="1" applyFill="1" applyBorder="1" applyAlignment="1" applyProtection="1">
      <alignment horizontal="centerContinuous" vertical="center" wrapText="1"/>
      <protection locked="0"/>
    </xf>
    <xf numFmtId="0" fontId="48" fillId="0" borderId="0" xfId="1" applyFont="1" applyFill="1" applyBorder="1" applyAlignment="1" applyProtection="1">
      <alignment vertical="top"/>
    </xf>
    <xf numFmtId="0" fontId="43" fillId="0" borderId="0" xfId="1" applyFont="1" applyFill="1" applyBorder="1" applyAlignment="1" applyProtection="1">
      <alignment vertical="top"/>
    </xf>
    <xf numFmtId="0" fontId="43" fillId="0" borderId="0" xfId="1" applyFont="1" applyFill="1" applyBorder="1" applyAlignment="1" applyProtection="1">
      <alignment vertical="top" wrapText="1"/>
    </xf>
    <xf numFmtId="0" fontId="49" fillId="0" borderId="0" xfId="1" applyFont="1" applyFill="1" applyBorder="1" applyAlignment="1" applyProtection="1">
      <alignment vertical="top" wrapText="1"/>
    </xf>
    <xf numFmtId="0" fontId="48" fillId="0" borderId="0" xfId="1" applyFont="1" applyFill="1" applyBorder="1" applyAlignment="1">
      <alignment vertical="center"/>
    </xf>
    <xf numFmtId="0" fontId="43" fillId="0" borderId="0" xfId="1" applyFont="1" applyFill="1" applyBorder="1" applyAlignment="1">
      <alignment horizontal="left" vertical="center"/>
    </xf>
    <xf numFmtId="0" fontId="43" fillId="0" borderId="0" xfId="1" applyFont="1" applyFill="1" applyBorder="1" applyAlignment="1" applyProtection="1">
      <alignment horizontal="right" vertical="top" wrapText="1"/>
      <protection locked="0"/>
    </xf>
    <xf numFmtId="0" fontId="50" fillId="0" borderId="0" xfId="0" applyFont="1" applyProtection="1">
      <protection locked="0"/>
    </xf>
    <xf numFmtId="0" fontId="44" fillId="0" borderId="0" xfId="1" applyFont="1" applyFill="1" applyBorder="1" applyAlignment="1">
      <alignment horizontal="left" vertical="center" wrapText="1"/>
    </xf>
    <xf numFmtId="0" fontId="41" fillId="0" borderId="0" xfId="0" applyFont="1" applyAlignment="1" applyProtection="1">
      <alignment horizontal="right"/>
      <protection locked="0"/>
    </xf>
    <xf numFmtId="0" fontId="43" fillId="0" borderId="0" xfId="1" applyFont="1" applyFill="1" applyBorder="1" applyAlignment="1">
      <alignment vertical="center"/>
    </xf>
    <xf numFmtId="0" fontId="49" fillId="0" borderId="0" xfId="1" applyFont="1" applyFill="1" applyBorder="1" applyAlignment="1" applyProtection="1">
      <alignment vertical="top"/>
    </xf>
    <xf numFmtId="0" fontId="43" fillId="0" borderId="0" xfId="1" applyFont="1" applyFill="1" applyBorder="1" applyAlignment="1" applyProtection="1">
      <alignment horizontal="center" vertical="center"/>
    </xf>
    <xf numFmtId="0" fontId="49" fillId="0" borderId="0" xfId="1" applyFont="1" applyFill="1" applyBorder="1" applyAlignment="1" applyProtection="1">
      <alignment horizontal="left" vertical="center"/>
    </xf>
    <xf numFmtId="0" fontId="43" fillId="3" borderId="4" xfId="3" applyFont="1" applyFill="1" applyBorder="1" applyAlignment="1">
      <alignment vertical="center"/>
    </xf>
    <xf numFmtId="0" fontId="43" fillId="4" borderId="37" xfId="3" applyFont="1" applyFill="1" applyBorder="1" applyAlignment="1" applyProtection="1">
      <alignment horizontal="centerContinuous" vertical="center"/>
      <protection locked="0"/>
    </xf>
    <xf numFmtId="0" fontId="46" fillId="4" borderId="6" xfId="0" applyFont="1" applyFill="1" applyBorder="1" applyAlignment="1">
      <alignment horizontal="center" vertical="center"/>
    </xf>
    <xf numFmtId="0" fontId="48" fillId="0" borderId="4" xfId="3" applyFont="1" applyBorder="1" applyAlignment="1">
      <alignment horizontal="centerContinuous" vertical="center"/>
    </xf>
    <xf numFmtId="0" fontId="41" fillId="0" borderId="5" xfId="0" applyFont="1" applyBorder="1" applyAlignment="1">
      <alignment horizontal="centerContinuous"/>
    </xf>
    <xf numFmtId="0" fontId="41" fillId="0" borderId="6" xfId="0" applyFont="1" applyBorder="1" applyAlignment="1">
      <alignment horizontal="centerContinuous"/>
    </xf>
    <xf numFmtId="0" fontId="43" fillId="3" borderId="12" xfId="3" applyFont="1" applyFill="1" applyBorder="1" applyAlignment="1">
      <alignment vertical="center"/>
    </xf>
    <xf numFmtId="0" fontId="43" fillId="3" borderId="33" xfId="3" applyFont="1" applyFill="1" applyBorder="1" applyAlignment="1" applyProtection="1">
      <alignment horizontal="centerContinuous" vertical="center"/>
      <protection locked="0"/>
    </xf>
    <xf numFmtId="0" fontId="46" fillId="3" borderId="38" xfId="0" applyFont="1" applyFill="1" applyBorder="1" applyAlignment="1">
      <alignment horizontal="center" vertical="center"/>
    </xf>
    <xf numFmtId="0" fontId="49" fillId="4" borderId="7" xfId="3" applyFont="1" applyFill="1" applyBorder="1" applyAlignment="1">
      <alignment vertical="center"/>
    </xf>
    <xf numFmtId="0" fontId="41" fillId="0" borderId="8" xfId="0" applyFont="1" applyBorder="1"/>
    <xf numFmtId="0" fontId="43" fillId="4" borderId="33" xfId="3" applyFont="1" applyFill="1" applyBorder="1" applyAlignment="1" applyProtection="1">
      <alignment horizontal="centerContinuous" vertical="center"/>
      <protection locked="0"/>
    </xf>
    <xf numFmtId="0" fontId="46" fillId="4" borderId="38" xfId="0" applyFont="1" applyFill="1" applyBorder="1" applyAlignment="1">
      <alignment horizontal="center" vertical="center"/>
    </xf>
    <xf numFmtId="0" fontId="49" fillId="3" borderId="7" xfId="3" applyFont="1" applyFill="1" applyBorder="1" applyAlignment="1">
      <alignment vertical="center"/>
    </xf>
    <xf numFmtId="0" fontId="49" fillId="19" borderId="9" xfId="3" applyFont="1" applyFill="1" applyBorder="1" applyAlignment="1">
      <alignment vertical="center"/>
    </xf>
    <xf numFmtId="0" fontId="41" fillId="0" borderId="10" xfId="0" applyFont="1" applyBorder="1"/>
    <xf numFmtId="0" fontId="41" fillId="0" borderId="11" xfId="0" applyFont="1" applyBorder="1"/>
    <xf numFmtId="0" fontId="45" fillId="4" borderId="33" xfId="1" applyFont="1" applyFill="1" applyBorder="1" applyAlignment="1" applyProtection="1">
      <alignment horizontal="centerContinuous" vertical="center"/>
      <protection locked="0"/>
    </xf>
    <xf numFmtId="0" fontId="43" fillId="0" borderId="0" xfId="3" applyFont="1" applyAlignment="1">
      <alignment vertical="top"/>
    </xf>
    <xf numFmtId="0" fontId="43" fillId="3" borderId="46" xfId="3" applyFont="1" applyFill="1" applyBorder="1" applyAlignment="1">
      <alignment vertical="center"/>
    </xf>
    <xf numFmtId="164" fontId="43" fillId="4" borderId="15" xfId="3" applyNumberFormat="1" applyFont="1" applyFill="1" applyBorder="1" applyAlignment="1" applyProtection="1">
      <alignment horizontal="centerContinuous" vertical="center"/>
      <protection locked="0"/>
    </xf>
    <xf numFmtId="0" fontId="46" fillId="4" borderId="47" xfId="0" applyFont="1" applyFill="1" applyBorder="1" applyAlignment="1">
      <alignment horizontal="center" vertical="center"/>
    </xf>
    <xf numFmtId="0" fontId="43" fillId="3" borderId="4" xfId="3" applyFont="1" applyFill="1" applyBorder="1" applyAlignment="1">
      <alignment vertical="center" wrapText="1"/>
    </xf>
    <xf numFmtId="44" fontId="43" fillId="4" borderId="37" xfId="2" applyFont="1" applyFill="1" applyBorder="1" applyAlignment="1" applyProtection="1">
      <alignment horizontal="centerContinuous" vertical="center"/>
      <protection locked="0"/>
    </xf>
    <xf numFmtId="0" fontId="43" fillId="3" borderId="12" xfId="3" applyFont="1" applyFill="1" applyBorder="1" applyAlignment="1">
      <alignment vertical="center" wrapText="1"/>
    </xf>
    <xf numFmtId="44" fontId="43" fillId="4" borderId="33" xfId="2" applyFont="1" applyFill="1" applyBorder="1" applyAlignment="1" applyProtection="1">
      <alignment horizontal="centerContinuous" vertical="center"/>
      <protection locked="0"/>
    </xf>
    <xf numFmtId="44" fontId="43" fillId="4" borderId="14" xfId="2" applyFont="1" applyFill="1" applyBorder="1" applyAlignment="1" applyProtection="1">
      <alignment horizontal="centerContinuous" vertical="center"/>
      <protection locked="0"/>
    </xf>
    <xf numFmtId="0" fontId="43" fillId="3" borderId="13" xfId="3" applyFont="1" applyFill="1" applyBorder="1" applyAlignment="1">
      <alignment vertical="center"/>
    </xf>
    <xf numFmtId="44" fontId="43" fillId="3" borderId="39" xfId="3" applyNumberFormat="1" applyFont="1" applyFill="1" applyBorder="1" applyAlignment="1">
      <alignment horizontal="centerContinuous" vertical="center"/>
    </xf>
    <xf numFmtId="0" fontId="46" fillId="3" borderId="40" xfId="0" applyFont="1" applyFill="1" applyBorder="1" applyAlignment="1">
      <alignment horizontal="center" vertical="center"/>
    </xf>
    <xf numFmtId="1" fontId="41" fillId="0" borderId="0" xfId="0" applyNumberFormat="1" applyFont="1"/>
    <xf numFmtId="0" fontId="38" fillId="0" borderId="0" xfId="0" applyFont="1"/>
    <xf numFmtId="0" fontId="41" fillId="2" borderId="15" xfId="0" applyFont="1" applyFill="1" applyBorder="1" applyAlignment="1">
      <alignment horizontal="centerContinuous"/>
    </xf>
    <xf numFmtId="0" fontId="41" fillId="2" borderId="16" xfId="0" applyFont="1" applyFill="1" applyBorder="1" applyAlignment="1">
      <alignment horizontal="centerContinuous" wrapText="1"/>
    </xf>
    <xf numFmtId="0" fontId="52" fillId="2" borderId="18" xfId="1" applyFont="1" applyFill="1" applyBorder="1" applyAlignment="1">
      <alignment horizontal="centerContinuous" wrapText="1"/>
    </xf>
    <xf numFmtId="0" fontId="41" fillId="0" borderId="0" xfId="0" applyFont="1" applyAlignment="1">
      <alignment horizontal="center"/>
    </xf>
    <xf numFmtId="0" fontId="37" fillId="0" borderId="0" xfId="0" applyFont="1" applyAlignment="1">
      <alignment horizontal="center"/>
    </xf>
    <xf numFmtId="2" fontId="37" fillId="0" borderId="0" xfId="0" applyNumberFormat="1" applyFont="1" applyAlignment="1">
      <alignment horizontal="center"/>
    </xf>
    <xf numFmtId="3" fontId="37" fillId="0" borderId="0" xfId="0" applyNumberFormat="1" applyFont="1" applyAlignment="1">
      <alignment horizontal="center"/>
    </xf>
    <xf numFmtId="4" fontId="37" fillId="0" borderId="0" xfId="0" applyNumberFormat="1" applyFont="1" applyAlignment="1">
      <alignment horizontal="center"/>
    </xf>
    <xf numFmtId="1" fontId="37" fillId="0" borderId="0" xfId="0" applyNumberFormat="1" applyFont="1" applyAlignment="1">
      <alignment horizontal="center"/>
    </xf>
    <xf numFmtId="0" fontId="37" fillId="0" borderId="0" xfId="0" applyFont="1" applyAlignment="1">
      <alignment horizontal="left"/>
    </xf>
    <xf numFmtId="0" fontId="43" fillId="0" borderId="0" xfId="15" applyFont="1" applyFill="1" applyBorder="1" applyAlignment="1" applyProtection="1">
      <alignment horizontal="left" wrapText="1"/>
    </xf>
    <xf numFmtId="4" fontId="42" fillId="0" borderId="18" xfId="2" applyNumberFormat="1" applyFont="1" applyFill="1" applyBorder="1" applyAlignment="1" applyProtection="1">
      <alignment horizontal="center" vertical="center"/>
    </xf>
    <xf numFmtId="4" fontId="42" fillId="0" borderId="0" xfId="2" applyNumberFormat="1" applyFont="1" applyFill="1" applyBorder="1" applyAlignment="1" applyProtection="1">
      <alignment horizontal="center" vertical="center"/>
    </xf>
    <xf numFmtId="1" fontId="42" fillId="0" borderId="0" xfId="2" applyNumberFormat="1" applyFont="1" applyFill="1" applyBorder="1" applyAlignment="1" applyProtection="1">
      <alignment horizontal="center" vertical="center"/>
    </xf>
    <xf numFmtId="1" fontId="43" fillId="0" borderId="0" xfId="15" applyNumberFormat="1" applyFont="1" applyFill="1" applyBorder="1" applyAlignment="1" applyProtection="1">
      <alignment horizontal="left" wrapText="1"/>
    </xf>
    <xf numFmtId="0" fontId="41" fillId="0" borderId="0" xfId="0" applyFont="1" applyAlignment="1">
      <alignment horizontal="left"/>
    </xf>
    <xf numFmtId="0" fontId="40" fillId="0" borderId="0" xfId="0" applyFont="1" applyAlignment="1">
      <alignment vertical="center"/>
    </xf>
    <xf numFmtId="0" fontId="40" fillId="3" borderId="95" xfId="0" applyFont="1" applyFill="1" applyBorder="1" applyAlignment="1">
      <alignment horizontal="centerContinuous" vertical="center" wrapText="1"/>
    </xf>
    <xf numFmtId="0" fontId="40" fillId="3" borderId="69" xfId="0" applyFont="1" applyFill="1" applyBorder="1" applyAlignment="1">
      <alignment horizontal="centerContinuous" vertical="center" wrapText="1"/>
    </xf>
    <xf numFmtId="0" fontId="40" fillId="3" borderId="37" xfId="0" applyFont="1" applyFill="1" applyBorder="1" applyAlignment="1">
      <alignment horizontal="centerContinuous" vertical="center" wrapText="1"/>
    </xf>
    <xf numFmtId="0" fontId="40" fillId="3" borderId="25" xfId="0" applyFont="1" applyFill="1" applyBorder="1" applyAlignment="1">
      <alignment horizontal="centerContinuous" vertical="center" wrapText="1"/>
    </xf>
    <xf numFmtId="0" fontId="40" fillId="8" borderId="5" xfId="0" applyFont="1" applyFill="1" applyBorder="1" applyAlignment="1">
      <alignment horizontal="centerContinuous" vertical="center" wrapText="1"/>
    </xf>
    <xf numFmtId="0" fontId="40" fillId="7" borderId="25" xfId="0" applyFont="1" applyFill="1" applyBorder="1" applyAlignment="1">
      <alignment horizontal="centerContinuous" vertical="center" wrapText="1"/>
    </xf>
    <xf numFmtId="0" fontId="40" fillId="7" borderId="5" xfId="0" applyFont="1" applyFill="1" applyBorder="1" applyAlignment="1">
      <alignment horizontal="centerContinuous" vertical="center" wrapText="1"/>
    </xf>
    <xf numFmtId="0" fontId="40" fillId="7" borderId="52" xfId="0" applyFont="1" applyFill="1" applyBorder="1" applyAlignment="1">
      <alignment horizontal="centerContinuous" vertical="center" wrapText="1"/>
    </xf>
    <xf numFmtId="0" fontId="40" fillId="7" borderId="98" xfId="0" applyFont="1" applyFill="1" applyBorder="1" applyAlignment="1">
      <alignment horizontal="centerContinuous" vertical="center" wrapText="1"/>
    </xf>
    <xf numFmtId="0" fontId="40" fillId="7" borderId="33" xfId="0" applyFont="1" applyFill="1" applyBorder="1" applyAlignment="1">
      <alignment horizontal="centerContinuous" vertical="center" wrapText="1"/>
    </xf>
    <xf numFmtId="0" fontId="40" fillId="7" borderId="58" xfId="0" applyFont="1" applyFill="1" applyBorder="1" applyAlignment="1">
      <alignment horizontal="centerContinuous" vertical="center" wrapText="1"/>
    </xf>
    <xf numFmtId="0" fontId="40" fillId="7" borderId="34" xfId="0" applyFont="1" applyFill="1" applyBorder="1" applyAlignment="1">
      <alignment horizontal="centerContinuous" vertical="center" wrapText="1"/>
    </xf>
    <xf numFmtId="0" fontId="40" fillId="3" borderId="33" xfId="0" applyFont="1" applyFill="1" applyBorder="1" applyAlignment="1">
      <alignment horizontal="centerContinuous" vertical="center" wrapText="1"/>
    </xf>
    <xf numFmtId="0" fontId="40" fillId="3" borderId="58" xfId="0" applyFont="1" applyFill="1" applyBorder="1" applyAlignment="1">
      <alignment horizontal="centerContinuous" vertical="center" wrapText="1"/>
    </xf>
    <xf numFmtId="0" fontId="40" fillId="3" borderId="34" xfId="0" applyFont="1" applyFill="1" applyBorder="1" applyAlignment="1">
      <alignment horizontal="centerContinuous" vertical="center" wrapText="1"/>
    </xf>
    <xf numFmtId="3" fontId="40" fillId="3" borderId="15" xfId="0" applyNumberFormat="1" applyFont="1" applyFill="1" applyBorder="1" applyAlignment="1">
      <alignment horizontal="centerContinuous" vertical="center" wrapText="1"/>
    </xf>
    <xf numFmtId="3" fontId="40" fillId="3" borderId="16" xfId="0" applyNumberFormat="1" applyFont="1" applyFill="1" applyBorder="1" applyAlignment="1">
      <alignment horizontal="centerContinuous" vertical="center" wrapText="1"/>
    </xf>
    <xf numFmtId="3" fontId="40" fillId="3" borderId="33" xfId="0" applyNumberFormat="1" applyFont="1" applyFill="1" applyBorder="1" applyAlignment="1">
      <alignment horizontal="centerContinuous" vertical="center" wrapText="1"/>
    </xf>
    <xf numFmtId="0" fontId="40" fillId="7" borderId="33" xfId="0" applyFont="1" applyFill="1" applyBorder="1" applyAlignment="1">
      <alignment vertical="center" wrapText="1"/>
    </xf>
    <xf numFmtId="0" fontId="40" fillId="7" borderId="34" xfId="0" applyFont="1" applyFill="1" applyBorder="1" applyAlignment="1">
      <alignment vertical="center" wrapText="1"/>
    </xf>
    <xf numFmtId="0" fontId="40" fillId="24" borderId="58" xfId="0" applyFont="1" applyFill="1" applyBorder="1" applyAlignment="1">
      <alignment horizontal="centerContinuous" vertical="center" wrapText="1"/>
    </xf>
    <xf numFmtId="1" fontId="40" fillId="24" borderId="34" xfId="0" applyNumberFormat="1" applyFont="1" applyFill="1" applyBorder="1" applyAlignment="1">
      <alignment horizontal="centerContinuous" vertical="center" wrapText="1"/>
    </xf>
    <xf numFmtId="0" fontId="40" fillId="24" borderId="20" xfId="0" applyFont="1" applyFill="1" applyBorder="1" applyAlignment="1">
      <alignment horizontal="centerContinuous" vertical="center" wrapText="1"/>
    </xf>
    <xf numFmtId="0" fontId="40" fillId="24" borderId="33" xfId="0" applyFont="1" applyFill="1" applyBorder="1" applyAlignment="1">
      <alignment horizontal="centerContinuous" vertical="center" wrapText="1"/>
    </xf>
    <xf numFmtId="4" fontId="40" fillId="7" borderId="33" xfId="0" applyNumberFormat="1" applyFont="1" applyFill="1" applyBorder="1" applyAlignment="1">
      <alignment horizontal="centerContinuous" vertical="center" wrapText="1"/>
    </xf>
    <xf numFmtId="4" fontId="40" fillId="7" borderId="58" xfId="0" applyNumberFormat="1" applyFont="1" applyFill="1" applyBorder="1" applyAlignment="1">
      <alignment horizontal="centerContinuous" vertical="center" wrapText="1"/>
    </xf>
    <xf numFmtId="4" fontId="40" fillId="24" borderId="33" xfId="0" applyNumberFormat="1" applyFont="1" applyFill="1" applyBorder="1" applyAlignment="1">
      <alignment horizontal="centerContinuous" vertical="center" wrapText="1"/>
    </xf>
    <xf numFmtId="4" fontId="40" fillId="24" borderId="58" xfId="0" applyNumberFormat="1" applyFont="1" applyFill="1" applyBorder="1" applyAlignment="1">
      <alignment horizontal="centerContinuous" vertical="center" wrapText="1"/>
    </xf>
    <xf numFmtId="4" fontId="40" fillId="24" borderId="34" xfId="0" applyNumberFormat="1" applyFont="1" applyFill="1" applyBorder="1" applyAlignment="1">
      <alignment horizontal="centerContinuous" vertical="center" wrapText="1"/>
    </xf>
    <xf numFmtId="4" fontId="40" fillId="3" borderId="33" xfId="0" applyNumberFormat="1" applyFont="1" applyFill="1" applyBorder="1" applyAlignment="1">
      <alignment horizontal="centerContinuous" vertical="center" wrapText="1"/>
    </xf>
    <xf numFmtId="4" fontId="40" fillId="3" borderId="58" xfId="0" applyNumberFormat="1" applyFont="1" applyFill="1" applyBorder="1" applyAlignment="1">
      <alignment horizontal="centerContinuous" vertical="center" wrapText="1"/>
    </xf>
    <xf numFmtId="3" fontId="40" fillId="7" borderId="33" xfId="0" applyNumberFormat="1" applyFont="1" applyFill="1" applyBorder="1" applyAlignment="1">
      <alignment horizontal="centerContinuous" vertical="center" wrapText="1"/>
    </xf>
    <xf numFmtId="3" fontId="40" fillId="7" borderId="34" xfId="0" applyNumberFormat="1" applyFont="1" applyFill="1" applyBorder="1" applyAlignment="1">
      <alignment horizontal="centerContinuous" vertical="center" wrapText="1"/>
    </xf>
    <xf numFmtId="0" fontId="40" fillId="23" borderId="25" xfId="0" applyFont="1" applyFill="1" applyBorder="1" applyAlignment="1">
      <alignment horizontal="centerContinuous" vertical="center" wrapText="1"/>
    </xf>
    <xf numFmtId="0" fontId="40" fillId="0" borderId="82" xfId="0" applyFont="1" applyBorder="1" applyAlignment="1">
      <alignment vertical="center"/>
    </xf>
    <xf numFmtId="0" fontId="40" fillId="3" borderId="96" xfId="0" applyFont="1" applyFill="1" applyBorder="1" applyAlignment="1">
      <alignment horizontal="centerContinuous" vertical="center" wrapText="1"/>
    </xf>
    <xf numFmtId="0" fontId="53" fillId="3" borderId="94" xfId="0" applyFont="1" applyFill="1" applyBorder="1" applyAlignment="1">
      <alignment horizontal="centerContinuous" vertical="center" wrapText="1"/>
    </xf>
    <xf numFmtId="0" fontId="40" fillId="8" borderId="96" xfId="0" applyFont="1" applyFill="1" applyBorder="1" applyAlignment="1">
      <alignment horizontal="centerContinuous" vertical="center" wrapText="1"/>
    </xf>
    <xf numFmtId="0" fontId="53" fillId="8" borderId="94" xfId="0" applyFont="1" applyFill="1" applyBorder="1" applyAlignment="1">
      <alignment horizontal="centerContinuous" vertical="center" wrapText="1"/>
    </xf>
    <xf numFmtId="0" fontId="48" fillId="8" borderId="97" xfId="0" applyFont="1" applyFill="1" applyBorder="1" applyAlignment="1">
      <alignment horizontal="centerContinuous" vertical="center" wrapText="1"/>
    </xf>
    <xf numFmtId="0" fontId="53" fillId="8" borderId="97" xfId="0" applyFont="1" applyFill="1" applyBorder="1" applyAlignment="1">
      <alignment horizontal="centerContinuous" vertical="center" wrapText="1"/>
    </xf>
    <xf numFmtId="0" fontId="40" fillId="7" borderId="96" xfId="0" applyFont="1" applyFill="1" applyBorder="1" applyAlignment="1">
      <alignment horizontal="centerContinuous" vertical="center" wrapText="1"/>
    </xf>
    <xf numFmtId="0" fontId="53" fillId="7" borderId="94" xfId="0" applyFont="1" applyFill="1" applyBorder="1" applyAlignment="1">
      <alignment horizontal="centerContinuous" vertical="center" wrapText="1"/>
    </xf>
    <xf numFmtId="0" fontId="48" fillId="7" borderId="94" xfId="0" applyFont="1" applyFill="1" applyBorder="1" applyAlignment="1">
      <alignment horizontal="centerContinuous" vertical="center" wrapText="1"/>
    </xf>
    <xf numFmtId="0" fontId="54" fillId="7" borderId="94" xfId="0" applyFont="1" applyFill="1" applyBorder="1" applyAlignment="1">
      <alignment horizontal="centerContinuous" vertical="center" wrapText="1"/>
    </xf>
    <xf numFmtId="0" fontId="40" fillId="7" borderId="97" xfId="0" applyFont="1" applyFill="1" applyBorder="1" applyAlignment="1">
      <alignment horizontal="centerContinuous" vertical="center" wrapText="1"/>
    </xf>
    <xf numFmtId="0" fontId="40" fillId="7" borderId="94" xfId="0" applyFont="1" applyFill="1" applyBorder="1" applyAlignment="1">
      <alignment horizontal="centerContinuous" vertical="center" wrapText="1"/>
    </xf>
    <xf numFmtId="0" fontId="40" fillId="7" borderId="94" xfId="0" applyFont="1" applyFill="1" applyBorder="1" applyAlignment="1">
      <alignment horizontal="center" vertical="center" wrapText="1"/>
    </xf>
    <xf numFmtId="0" fontId="40" fillId="7" borderId="22" xfId="0" applyFont="1" applyFill="1" applyBorder="1" applyAlignment="1">
      <alignment horizontal="center" vertical="center" wrapText="1"/>
    </xf>
    <xf numFmtId="3" fontId="40" fillId="3" borderId="22" xfId="0" applyNumberFormat="1" applyFont="1" applyFill="1" applyBorder="1" applyAlignment="1">
      <alignment horizontal="center" vertical="center" wrapText="1"/>
    </xf>
    <xf numFmtId="0" fontId="40" fillId="3" borderId="22" xfId="0" applyFont="1" applyFill="1" applyBorder="1" applyAlignment="1">
      <alignment horizontal="center" vertical="center" wrapText="1"/>
    </xf>
    <xf numFmtId="4" fontId="40" fillId="3" borderId="22" xfId="0" applyNumberFormat="1" applyFont="1" applyFill="1" applyBorder="1" applyAlignment="1">
      <alignment horizontal="center" vertical="center" wrapText="1"/>
    </xf>
    <xf numFmtId="0" fontId="40" fillId="24" borderId="22" xfId="0" applyFont="1" applyFill="1" applyBorder="1" applyAlignment="1">
      <alignment horizontal="center" vertical="center" wrapText="1"/>
    </xf>
    <xf numFmtId="1" fontId="40" fillId="24" borderId="22" xfId="0" applyNumberFormat="1" applyFont="1" applyFill="1" applyBorder="1" applyAlignment="1">
      <alignment horizontal="center" vertical="center" wrapText="1"/>
    </xf>
    <xf numFmtId="4" fontId="40" fillId="7" borderId="22" xfId="0" applyNumberFormat="1" applyFont="1" applyFill="1" applyBorder="1" applyAlignment="1">
      <alignment horizontal="center" vertical="center" wrapText="1"/>
    </xf>
    <xf numFmtId="4" fontId="40" fillId="24" borderId="22" xfId="0" applyNumberFormat="1" applyFont="1" applyFill="1" applyBorder="1" applyAlignment="1">
      <alignment horizontal="center" vertical="center" wrapText="1"/>
    </xf>
    <xf numFmtId="0" fontId="48" fillId="24" borderId="22" xfId="0" applyFont="1" applyFill="1" applyBorder="1" applyAlignment="1">
      <alignment horizontal="center" vertical="center" wrapText="1"/>
    </xf>
    <xf numFmtId="4" fontId="40" fillId="25" borderId="22" xfId="0" applyNumberFormat="1" applyFont="1" applyFill="1" applyBorder="1" applyAlignment="1">
      <alignment horizontal="center" vertical="center" wrapText="1"/>
    </xf>
    <xf numFmtId="3" fontId="48" fillId="7" borderId="22" xfId="0" applyNumberFormat="1" applyFont="1" applyFill="1" applyBorder="1" applyAlignment="1">
      <alignment horizontal="center" vertical="center" wrapText="1"/>
    </xf>
    <xf numFmtId="3" fontId="48" fillId="3" borderId="22" xfId="0" applyNumberFormat="1" applyFont="1" applyFill="1" applyBorder="1" applyAlignment="1">
      <alignment horizontal="center" vertical="center" wrapText="1"/>
    </xf>
    <xf numFmtId="174" fontId="48" fillId="3" borderId="22" xfId="0" applyNumberFormat="1" applyFont="1" applyFill="1" applyBorder="1" applyAlignment="1">
      <alignment horizontal="center" vertical="center" wrapText="1"/>
    </xf>
    <xf numFmtId="3" fontId="48" fillId="23" borderId="22" xfId="0" applyNumberFormat="1" applyFont="1" applyFill="1" applyBorder="1" applyAlignment="1">
      <alignment horizontal="center" vertical="center" wrapText="1"/>
    </xf>
    <xf numFmtId="174" fontId="48" fillId="23" borderId="22" xfId="0" applyNumberFormat="1" applyFont="1" applyFill="1" applyBorder="1" applyAlignment="1">
      <alignment horizontal="center" vertical="center" wrapText="1"/>
    </xf>
    <xf numFmtId="0" fontId="48" fillId="0" borderId="0" xfId="0" applyFont="1" applyAlignment="1">
      <alignment vertical="center"/>
    </xf>
    <xf numFmtId="0" fontId="48" fillId="3" borderId="84" xfId="0" applyFont="1" applyFill="1" applyBorder="1" applyAlignment="1">
      <alignment horizontal="center" vertical="center" wrapText="1"/>
    </xf>
    <xf numFmtId="0" fontId="57" fillId="3" borderId="0" xfId="0" applyFont="1" applyFill="1" applyAlignment="1">
      <alignment horizontal="center" vertical="center" wrapText="1"/>
    </xf>
    <xf numFmtId="0" fontId="48" fillId="3" borderId="93" xfId="0" applyFont="1" applyFill="1" applyBorder="1" applyAlignment="1">
      <alignment horizontal="center" vertical="center" wrapText="1"/>
    </xf>
    <xf numFmtId="4" fontId="48" fillId="3" borderId="93" xfId="0" applyNumberFormat="1" applyFont="1" applyFill="1" applyBorder="1" applyAlignment="1">
      <alignment horizontal="center" vertical="center" wrapText="1"/>
    </xf>
    <xf numFmtId="2" fontId="48" fillId="3" borderId="93" xfId="0" applyNumberFormat="1" applyFont="1" applyFill="1" applyBorder="1" applyAlignment="1">
      <alignment horizontal="center" vertical="center" wrapText="1"/>
    </xf>
    <xf numFmtId="0" fontId="48" fillId="7" borderId="21" xfId="0" applyFont="1" applyFill="1" applyBorder="1" applyAlignment="1">
      <alignment horizontal="center" vertical="center" wrapText="1"/>
    </xf>
    <xf numFmtId="3" fontId="48" fillId="3" borderId="21" xfId="0" applyNumberFormat="1" applyFont="1" applyFill="1" applyBorder="1" applyAlignment="1">
      <alignment horizontal="center" vertical="center" wrapText="1"/>
    </xf>
    <xf numFmtId="0" fontId="48" fillId="3" borderId="21" xfId="0" applyFont="1" applyFill="1" applyBorder="1" applyAlignment="1">
      <alignment horizontal="center" vertical="center" wrapText="1"/>
    </xf>
    <xf numFmtId="4" fontId="48" fillId="3" borderId="21" xfId="0" applyNumberFormat="1" applyFont="1" applyFill="1" applyBorder="1" applyAlignment="1">
      <alignment horizontal="center" vertical="center" wrapText="1"/>
    </xf>
    <xf numFmtId="0" fontId="48" fillId="24" borderId="21" xfId="0" applyFont="1" applyFill="1" applyBorder="1" applyAlignment="1">
      <alignment horizontal="center" vertical="center" wrapText="1"/>
    </xf>
    <xf numFmtId="1" fontId="48" fillId="24" borderId="21" xfId="0" applyNumberFormat="1" applyFont="1" applyFill="1" applyBorder="1" applyAlignment="1">
      <alignment horizontal="center" vertical="center" wrapText="1"/>
    </xf>
    <xf numFmtId="4" fontId="48" fillId="7" borderId="21" xfId="0" applyNumberFormat="1" applyFont="1" applyFill="1" applyBorder="1" applyAlignment="1">
      <alignment horizontal="center" vertical="center" wrapText="1"/>
    </xf>
    <xf numFmtId="4" fontId="48" fillId="24" borderId="21" xfId="0" applyNumberFormat="1" applyFont="1" applyFill="1" applyBorder="1" applyAlignment="1">
      <alignment horizontal="center" vertical="center" wrapText="1"/>
    </xf>
    <xf numFmtId="4" fontId="48" fillId="25" borderId="22" xfId="0" applyNumberFormat="1" applyFont="1" applyFill="1" applyBorder="1" applyAlignment="1">
      <alignment horizontal="center" vertical="center" wrapText="1"/>
    </xf>
    <xf numFmtId="3" fontId="48" fillId="7" borderId="21" xfId="0" applyNumberFormat="1" applyFont="1" applyFill="1" applyBorder="1" applyAlignment="1">
      <alignment horizontal="center" vertical="center" wrapText="1"/>
    </xf>
    <xf numFmtId="3" fontId="48" fillId="3" borderId="23" xfId="0" applyNumberFormat="1" applyFont="1" applyFill="1" applyBorder="1" applyAlignment="1">
      <alignment horizontal="center" vertical="center" wrapText="1"/>
    </xf>
    <xf numFmtId="174" fontId="48" fillId="3" borderId="23" xfId="0" applyNumberFormat="1" applyFont="1" applyFill="1" applyBorder="1" applyAlignment="1">
      <alignment horizontal="center" vertical="center" wrapText="1"/>
    </xf>
    <xf numFmtId="3" fontId="48" fillId="23" borderId="21" xfId="0" applyNumberFormat="1" applyFont="1" applyFill="1" applyBorder="1" applyAlignment="1">
      <alignment horizontal="center" vertical="center" wrapText="1"/>
    </xf>
    <xf numFmtId="174" fontId="48" fillId="23" borderId="21" xfId="0" applyNumberFormat="1" applyFont="1" applyFill="1" applyBorder="1" applyAlignment="1">
      <alignment horizontal="center" vertical="center" wrapText="1"/>
    </xf>
    <xf numFmtId="174" fontId="48" fillId="23" borderId="14" xfId="0" applyNumberFormat="1" applyFont="1" applyFill="1" applyBorder="1" applyAlignment="1">
      <alignment horizontal="center" vertical="center" wrapText="1"/>
    </xf>
    <xf numFmtId="0" fontId="41" fillId="4" borderId="101" xfId="0" applyFont="1" applyFill="1" applyBorder="1" applyAlignment="1" applyProtection="1">
      <alignment horizontal="center"/>
      <protection locked="0"/>
    </xf>
    <xf numFmtId="0" fontId="46" fillId="4" borderId="34" xfId="0" applyFont="1" applyFill="1" applyBorder="1" applyAlignment="1">
      <alignment horizontal="center" vertical="center"/>
    </xf>
    <xf numFmtId="0" fontId="41" fillId="4" borderId="100" xfId="0" applyFont="1" applyFill="1" applyBorder="1" applyAlignment="1" applyProtection="1">
      <alignment horizontal="center"/>
      <protection locked="0"/>
    </xf>
    <xf numFmtId="4" fontId="41" fillId="4" borderId="100" xfId="0" applyNumberFormat="1" applyFont="1" applyFill="1" applyBorder="1" applyAlignment="1" applyProtection="1">
      <alignment horizontal="center"/>
      <protection locked="0"/>
    </xf>
    <xf numFmtId="2" fontId="41" fillId="6" borderId="100" xfId="0" applyNumberFormat="1" applyFont="1" applyFill="1" applyBorder="1" applyAlignment="1" applyProtection="1">
      <alignment horizontal="center"/>
      <protection locked="0"/>
    </xf>
    <xf numFmtId="0" fontId="46" fillId="6" borderId="34" xfId="0" applyFont="1" applyFill="1" applyBorder="1" applyAlignment="1">
      <alignment horizontal="center" vertical="center"/>
    </xf>
    <xf numFmtId="0" fontId="46" fillId="6" borderId="18" xfId="0" applyFont="1" applyFill="1" applyBorder="1" applyAlignment="1" applyProtection="1">
      <alignment horizontal="center" vertical="center"/>
      <protection locked="0"/>
    </xf>
    <xf numFmtId="0" fontId="41" fillId="4" borderId="14" xfId="0" applyFont="1" applyFill="1" applyBorder="1" applyAlignment="1" applyProtection="1">
      <alignment horizontal="center"/>
      <protection locked="0"/>
    </xf>
    <xf numFmtId="2" fontId="41" fillId="6" borderId="14" xfId="0" applyNumberFormat="1" applyFont="1" applyFill="1" applyBorder="1" applyAlignment="1" applyProtection="1">
      <alignment horizontal="center"/>
      <protection locked="0"/>
    </xf>
    <xf numFmtId="0" fontId="41" fillId="7" borderId="20" xfId="0" applyFont="1" applyFill="1" applyBorder="1" applyAlignment="1">
      <alignment horizontal="center"/>
    </xf>
    <xf numFmtId="3" fontId="41" fillId="3" borderId="20" xfId="0" applyNumberFormat="1" applyFont="1" applyFill="1" applyBorder="1" applyAlignment="1">
      <alignment horizontal="center"/>
    </xf>
    <xf numFmtId="0" fontId="41" fillId="3" borderId="20" xfId="0" applyFont="1" applyFill="1" applyBorder="1" applyAlignment="1">
      <alignment horizontal="center"/>
    </xf>
    <xf numFmtId="4" fontId="41" fillId="3" borderId="20" xfId="0" applyNumberFormat="1" applyFont="1" applyFill="1" applyBorder="1" applyAlignment="1">
      <alignment horizontal="center"/>
    </xf>
    <xf numFmtId="4" fontId="41" fillId="7" borderId="34" xfId="0" applyNumberFormat="1" applyFont="1" applyFill="1" applyBorder="1" applyAlignment="1">
      <alignment horizontal="center"/>
    </xf>
    <xf numFmtId="4" fontId="41" fillId="24" borderId="34" xfId="0" applyNumberFormat="1" applyFont="1" applyFill="1" applyBorder="1" applyAlignment="1">
      <alignment horizontal="center"/>
    </xf>
    <xf numFmtId="4" fontId="41" fillId="24" borderId="34" xfId="0" applyNumberFormat="1" applyFont="1" applyFill="1" applyBorder="1" applyAlignment="1">
      <alignment horizontal="center" wrapText="1"/>
    </xf>
    <xf numFmtId="1" fontId="41" fillId="24" borderId="34" xfId="0" applyNumberFormat="1" applyFont="1" applyFill="1" applyBorder="1" applyAlignment="1">
      <alignment horizontal="center"/>
    </xf>
    <xf numFmtId="0" fontId="41" fillId="24" borderId="20" xfId="0" applyFont="1" applyFill="1" applyBorder="1" applyAlignment="1">
      <alignment horizontal="center"/>
    </xf>
    <xf numFmtId="0" fontId="41" fillId="24" borderId="34" xfId="0" applyFont="1" applyFill="1" applyBorder="1" applyAlignment="1">
      <alignment horizontal="center"/>
    </xf>
    <xf numFmtId="0" fontId="41" fillId="7" borderId="20" xfId="0" applyFont="1" applyFill="1" applyBorder="1" applyAlignment="1" applyProtection="1">
      <alignment horizontal="center"/>
      <protection locked="0"/>
    </xf>
    <xf numFmtId="0" fontId="41" fillId="24" borderId="20" xfId="0" applyFont="1" applyFill="1" applyBorder="1" applyAlignment="1" applyProtection="1">
      <alignment horizontal="center"/>
      <protection locked="0"/>
    </xf>
    <xf numFmtId="0" fontId="41" fillId="25" borderId="20" xfId="0" applyFont="1" applyFill="1" applyBorder="1" applyAlignment="1" applyProtection="1">
      <alignment horizontal="center"/>
      <protection locked="0"/>
    </xf>
    <xf numFmtId="0" fontId="41" fillId="3" borderId="20" xfId="0" applyFont="1" applyFill="1" applyBorder="1" applyAlignment="1" applyProtection="1">
      <alignment horizontal="center"/>
      <protection locked="0"/>
    </xf>
    <xf numFmtId="3" fontId="41" fillId="7" borderId="20" xfId="0" applyNumberFormat="1" applyFont="1" applyFill="1" applyBorder="1" applyAlignment="1">
      <alignment horizontal="center"/>
    </xf>
    <xf numFmtId="174" fontId="41" fillId="3" borderId="20" xfId="0" applyNumberFormat="1" applyFont="1" applyFill="1" applyBorder="1" applyAlignment="1">
      <alignment horizontal="center"/>
    </xf>
    <xf numFmtId="3" fontId="41" fillId="3" borderId="33" xfId="0" applyNumberFormat="1" applyFont="1" applyFill="1" applyBorder="1" applyAlignment="1">
      <alignment horizontal="center"/>
    </xf>
    <xf numFmtId="0" fontId="41" fillId="4" borderId="58" xfId="0" applyFont="1" applyFill="1" applyBorder="1" applyAlignment="1" applyProtection="1">
      <alignment horizontal="center"/>
      <protection locked="0"/>
    </xf>
    <xf numFmtId="0" fontId="41" fillId="4" borderId="33" xfId="0" applyFont="1" applyFill="1" applyBorder="1" applyAlignment="1" applyProtection="1">
      <alignment horizontal="center"/>
      <protection locked="0"/>
    </xf>
    <xf numFmtId="4" fontId="41" fillId="4" borderId="33" xfId="0" applyNumberFormat="1" applyFont="1" applyFill="1" applyBorder="1" applyAlignment="1" applyProtection="1">
      <alignment horizontal="center"/>
      <protection locked="0"/>
    </xf>
    <xf numFmtId="2" fontId="41" fillId="6" borderId="33" xfId="0" applyNumberFormat="1" applyFont="1" applyFill="1" applyBorder="1" applyAlignment="1" applyProtection="1">
      <alignment horizontal="center"/>
      <protection locked="0"/>
    </xf>
    <xf numFmtId="0" fontId="46" fillId="6" borderId="58" xfId="0" applyFont="1" applyFill="1" applyBorder="1" applyAlignment="1" applyProtection="1">
      <alignment horizontal="center" vertical="center"/>
      <protection locked="0"/>
    </xf>
    <xf numFmtId="0" fontId="46" fillId="4" borderId="34" xfId="0" applyFont="1" applyFill="1" applyBorder="1" applyAlignment="1">
      <alignment horizontal="center"/>
    </xf>
    <xf numFmtId="0" fontId="46" fillId="6" borderId="34" xfId="0" applyFont="1" applyFill="1" applyBorder="1" applyAlignment="1">
      <alignment horizontal="center"/>
    </xf>
    <xf numFmtId="0" fontId="41" fillId="4" borderId="34" xfId="0" applyFont="1" applyFill="1" applyBorder="1" applyAlignment="1">
      <alignment horizontal="center"/>
    </xf>
    <xf numFmtId="0" fontId="41" fillId="6" borderId="58" xfId="0" applyFont="1" applyFill="1" applyBorder="1" applyAlignment="1" applyProtection="1">
      <alignment horizontal="center"/>
      <protection locked="0"/>
    </xf>
    <xf numFmtId="0" fontId="41" fillId="4" borderId="16" xfId="0" applyFont="1" applyFill="1" applyBorder="1" applyAlignment="1" applyProtection="1">
      <alignment horizontal="center"/>
      <protection locked="0"/>
    </xf>
    <xf numFmtId="0" fontId="46" fillId="4" borderId="17" xfId="0" applyFont="1" applyFill="1" applyBorder="1" applyAlignment="1">
      <alignment horizontal="center"/>
    </xf>
    <xf numFmtId="0" fontId="41" fillId="4" borderId="15" xfId="0" applyFont="1" applyFill="1" applyBorder="1" applyAlignment="1" applyProtection="1">
      <alignment horizontal="center"/>
      <protection locked="0"/>
    </xf>
    <xf numFmtId="4" fontId="41" fillId="4" borderId="15" xfId="0" applyNumberFormat="1" applyFont="1" applyFill="1" applyBorder="1" applyAlignment="1" applyProtection="1">
      <alignment horizontal="center"/>
      <protection locked="0"/>
    </xf>
    <xf numFmtId="2" fontId="41" fillId="6" borderId="15" xfId="0" applyNumberFormat="1" applyFont="1" applyFill="1" applyBorder="1" applyAlignment="1" applyProtection="1">
      <alignment horizontal="center"/>
      <protection locked="0"/>
    </xf>
    <xf numFmtId="0" fontId="46" fillId="6" borderId="17" xfId="0" applyFont="1" applyFill="1" applyBorder="1" applyAlignment="1">
      <alignment horizontal="center"/>
    </xf>
    <xf numFmtId="0" fontId="41" fillId="4" borderId="17" xfId="0" applyFont="1" applyFill="1" applyBorder="1" applyAlignment="1">
      <alignment horizontal="center"/>
    </xf>
    <xf numFmtId="0" fontId="41" fillId="6" borderId="16" xfId="0" applyFont="1" applyFill="1" applyBorder="1" applyAlignment="1" applyProtection="1">
      <alignment horizontal="center"/>
      <protection locked="0"/>
    </xf>
    <xf numFmtId="3" fontId="41" fillId="3" borderId="35" xfId="0" applyNumberFormat="1" applyFont="1" applyFill="1" applyBorder="1" applyAlignment="1">
      <alignment horizontal="center"/>
    </xf>
    <xf numFmtId="0" fontId="41" fillId="3" borderId="35" xfId="0" applyFont="1" applyFill="1" applyBorder="1" applyAlignment="1">
      <alignment horizontal="center"/>
    </xf>
    <xf numFmtId="0" fontId="41" fillId="7" borderId="35" xfId="0" applyFont="1" applyFill="1" applyBorder="1" applyAlignment="1">
      <alignment horizontal="center"/>
    </xf>
    <xf numFmtId="4" fontId="41" fillId="3" borderId="35" xfId="0" applyNumberFormat="1" applyFont="1" applyFill="1" applyBorder="1" applyAlignment="1">
      <alignment horizontal="center"/>
    </xf>
    <xf numFmtId="4" fontId="41" fillId="7" borderId="17" xfId="0" applyNumberFormat="1" applyFont="1" applyFill="1" applyBorder="1" applyAlignment="1">
      <alignment horizontal="center"/>
    </xf>
    <xf numFmtId="4" fontId="41" fillId="24" borderId="17" xfId="0" applyNumberFormat="1" applyFont="1" applyFill="1" applyBorder="1" applyAlignment="1">
      <alignment horizontal="center"/>
    </xf>
    <xf numFmtId="0" fontId="41" fillId="24" borderId="35" xfId="0" applyFont="1" applyFill="1" applyBorder="1" applyAlignment="1">
      <alignment horizontal="center"/>
    </xf>
    <xf numFmtId="0" fontId="41" fillId="24" borderId="17" xfId="0" applyFont="1" applyFill="1" applyBorder="1" applyAlignment="1">
      <alignment horizontal="center"/>
    </xf>
    <xf numFmtId="1" fontId="41" fillId="24" borderId="17" xfId="0" applyNumberFormat="1" applyFont="1" applyFill="1" applyBorder="1" applyAlignment="1">
      <alignment horizontal="center"/>
    </xf>
    <xf numFmtId="0" fontId="41" fillId="7" borderId="35" xfId="0" applyFont="1" applyFill="1" applyBorder="1" applyAlignment="1" applyProtection="1">
      <alignment horizontal="center"/>
      <protection locked="0"/>
    </xf>
    <xf numFmtId="0" fontId="41" fillId="24" borderId="35" xfId="0" applyFont="1" applyFill="1" applyBorder="1" applyAlignment="1" applyProtection="1">
      <alignment horizontal="center"/>
      <protection locked="0"/>
    </xf>
    <xf numFmtId="0" fontId="41" fillId="3" borderId="35" xfId="0" applyFont="1" applyFill="1" applyBorder="1" applyAlignment="1" applyProtection="1">
      <alignment horizontal="center"/>
      <protection locked="0"/>
    </xf>
    <xf numFmtId="3" fontId="41" fillId="7" borderId="35" xfId="0" applyNumberFormat="1" applyFont="1" applyFill="1" applyBorder="1" applyAlignment="1">
      <alignment horizontal="center"/>
    </xf>
    <xf numFmtId="174" fontId="41" fillId="3" borderId="35" xfId="0" applyNumberFormat="1" applyFont="1" applyFill="1" applyBorder="1" applyAlignment="1">
      <alignment horizontal="center"/>
    </xf>
    <xf numFmtId="3" fontId="41" fillId="3" borderId="15" xfId="0" applyNumberFormat="1" applyFont="1" applyFill="1" applyBorder="1" applyAlignment="1">
      <alignment horizontal="center"/>
    </xf>
    <xf numFmtId="3" fontId="37" fillId="0" borderId="0" xfId="0" applyNumberFormat="1" applyFont="1"/>
    <xf numFmtId="4" fontId="37" fillId="0" borderId="0" xfId="0" applyNumberFormat="1" applyFont="1"/>
    <xf numFmtId="1" fontId="37" fillId="0" borderId="0" xfId="0" applyNumberFormat="1" applyFont="1"/>
    <xf numFmtId="180" fontId="37" fillId="0" borderId="0" xfId="16" applyNumberFormat="1" applyFont="1" applyFill="1" applyBorder="1" applyProtection="1"/>
    <xf numFmtId="174" fontId="37" fillId="0" borderId="0" xfId="0" applyNumberFormat="1" applyFont="1"/>
    <xf numFmtId="43" fontId="37" fillId="0" borderId="0" xfId="16" applyFont="1" applyFill="1" applyBorder="1" applyProtection="1"/>
    <xf numFmtId="44" fontId="37" fillId="0" borderId="0" xfId="2" applyFont="1" applyFill="1" applyBorder="1" applyProtection="1"/>
    <xf numFmtId="0" fontId="42" fillId="0" borderId="0" xfId="0" applyFont="1" applyAlignment="1">
      <alignment horizontal="center"/>
    </xf>
    <xf numFmtId="0" fontId="42" fillId="0" borderId="0" xfId="0" applyFont="1" applyAlignment="1">
      <alignment horizontal="centerContinuous"/>
    </xf>
    <xf numFmtId="169" fontId="41" fillId="0" borderId="0" xfId="0" applyNumberFormat="1" applyFont="1"/>
    <xf numFmtId="169" fontId="37" fillId="0" borderId="0" xfId="0" applyNumberFormat="1" applyFont="1" applyAlignment="1">
      <alignment horizontal="center"/>
    </xf>
    <xf numFmtId="169" fontId="42" fillId="0" borderId="0" xfId="2" applyNumberFormat="1" applyFont="1" applyFill="1" applyBorder="1" applyAlignment="1" applyProtection="1">
      <alignment horizontal="center" vertical="center"/>
    </xf>
    <xf numFmtId="0" fontId="40" fillId="8" borderId="37" xfId="0" applyFont="1" applyFill="1" applyBorder="1" applyAlignment="1">
      <alignment horizontal="centerContinuous" vertical="center" wrapText="1"/>
    </xf>
    <xf numFmtId="0" fontId="40" fillId="8" borderId="36" xfId="0" applyFont="1" applyFill="1" applyBorder="1" applyAlignment="1">
      <alignment horizontal="centerContinuous" vertical="center" wrapText="1"/>
    </xf>
    <xf numFmtId="0" fontId="40" fillId="24" borderId="5" xfId="0" applyFont="1" applyFill="1" applyBorder="1" applyAlignment="1">
      <alignment horizontal="centerContinuous" vertical="center" wrapText="1"/>
    </xf>
    <xf numFmtId="0" fontId="40" fillId="7" borderId="37" xfId="0" applyFont="1" applyFill="1" applyBorder="1" applyAlignment="1">
      <alignment horizontal="centerContinuous" vertical="center" wrapText="1"/>
    </xf>
    <xf numFmtId="0" fontId="40" fillId="24" borderId="36" xfId="0" applyFont="1" applyFill="1" applyBorder="1" applyAlignment="1">
      <alignment horizontal="centerContinuous" vertical="center" wrapText="1"/>
    </xf>
    <xf numFmtId="0" fontId="40" fillId="3" borderId="5" xfId="0" applyFont="1" applyFill="1" applyBorder="1" applyAlignment="1">
      <alignment horizontal="centerContinuous" vertical="center" wrapText="1"/>
    </xf>
    <xf numFmtId="169" fontId="40" fillId="3" borderId="5" xfId="0" applyNumberFormat="1" applyFont="1" applyFill="1" applyBorder="1" applyAlignment="1">
      <alignment horizontal="centerContinuous" vertical="center" wrapText="1"/>
    </xf>
    <xf numFmtId="0" fontId="40" fillId="3" borderId="36" xfId="0" applyFont="1" applyFill="1" applyBorder="1" applyAlignment="1">
      <alignment horizontal="centerContinuous" vertical="center" wrapText="1"/>
    </xf>
    <xf numFmtId="3" fontId="40" fillId="3" borderId="52" xfId="0" applyNumberFormat="1" applyFont="1" applyFill="1" applyBorder="1" applyAlignment="1">
      <alignment horizontal="centerContinuous" vertical="center" wrapText="1"/>
    </xf>
    <xf numFmtId="3" fontId="40" fillId="3" borderId="37" xfId="0" applyNumberFormat="1" applyFont="1" applyFill="1" applyBorder="1" applyAlignment="1">
      <alignment horizontal="centerContinuous" vertical="center" wrapText="1"/>
    </xf>
    <xf numFmtId="4" fontId="40" fillId="7" borderId="5" xfId="0" applyNumberFormat="1" applyFont="1" applyFill="1" applyBorder="1" applyAlignment="1">
      <alignment horizontal="centerContinuous" vertical="center" wrapText="1"/>
    </xf>
    <xf numFmtId="4" fontId="40" fillId="7" borderId="36" xfId="0" applyNumberFormat="1" applyFont="1" applyFill="1" applyBorder="1" applyAlignment="1">
      <alignment horizontal="centerContinuous" vertical="center" wrapText="1"/>
    </xf>
    <xf numFmtId="0" fontId="40" fillId="8" borderId="102" xfId="0" applyFont="1" applyFill="1" applyBorder="1" applyAlignment="1">
      <alignment horizontal="centerContinuous" vertical="center" wrapText="1"/>
    </xf>
    <xf numFmtId="0" fontId="53" fillId="8" borderId="84" xfId="0" applyFont="1" applyFill="1" applyBorder="1" applyAlignment="1">
      <alignment horizontal="centerContinuous" vertical="center" wrapText="1"/>
    </xf>
    <xf numFmtId="0" fontId="48" fillId="8" borderId="76" xfId="0" applyFont="1" applyFill="1" applyBorder="1" applyAlignment="1">
      <alignment horizontal="centerContinuous" vertical="center" wrapText="1"/>
    </xf>
    <xf numFmtId="0" fontId="53" fillId="8" borderId="76" xfId="0" applyFont="1" applyFill="1" applyBorder="1" applyAlignment="1">
      <alignment horizontal="centerContinuous" vertical="center" wrapText="1"/>
    </xf>
    <xf numFmtId="0" fontId="40" fillId="24" borderId="96" xfId="0" applyFont="1" applyFill="1" applyBorder="1" applyAlignment="1">
      <alignment horizontal="centerContinuous" vertical="center" wrapText="1"/>
    </xf>
    <xf numFmtId="0" fontId="48" fillId="24" borderId="96" xfId="0" applyFont="1" applyFill="1" applyBorder="1" applyAlignment="1">
      <alignment horizontal="centerContinuous" vertical="center" wrapText="1"/>
    </xf>
    <xf numFmtId="0" fontId="40" fillId="7" borderId="102" xfId="0" applyFont="1" applyFill="1" applyBorder="1" applyAlignment="1">
      <alignment horizontal="centerContinuous" vertical="center" wrapText="1"/>
    </xf>
    <xf numFmtId="0" fontId="53" fillId="7" borderId="84" xfId="0" applyFont="1" applyFill="1" applyBorder="1" applyAlignment="1">
      <alignment horizontal="centerContinuous" vertical="center" wrapText="1"/>
    </xf>
    <xf numFmtId="0" fontId="40" fillId="24" borderId="102" xfId="0" applyFont="1" applyFill="1" applyBorder="1" applyAlignment="1">
      <alignment horizontal="centerContinuous" vertical="center" wrapText="1"/>
    </xf>
    <xf numFmtId="0" fontId="48" fillId="24" borderId="102" xfId="0" applyFont="1" applyFill="1" applyBorder="1" applyAlignment="1">
      <alignment horizontal="centerContinuous" vertical="center" wrapText="1"/>
    </xf>
    <xf numFmtId="169" fontId="40" fillId="7" borderId="22" xfId="0" applyNumberFormat="1" applyFont="1" applyFill="1" applyBorder="1" applyAlignment="1">
      <alignment horizontal="center" vertical="center" wrapText="1"/>
    </xf>
    <xf numFmtId="0" fontId="40" fillId="7" borderId="93" xfId="0" applyFont="1" applyFill="1" applyBorder="1" applyAlignment="1">
      <alignment horizontal="center" vertical="center" wrapText="1"/>
    </xf>
    <xf numFmtId="4" fontId="48" fillId="7" borderId="93" xfId="0" applyNumberFormat="1" applyFont="1" applyFill="1" applyBorder="1" applyAlignment="1">
      <alignment horizontal="center" vertical="center" wrapText="1"/>
    </xf>
    <xf numFmtId="4" fontId="40" fillId="24" borderId="93" xfId="0" applyNumberFormat="1" applyFont="1" applyFill="1" applyBorder="1" applyAlignment="1">
      <alignment horizontal="center" vertical="center" wrapText="1"/>
    </xf>
    <xf numFmtId="174" fontId="48" fillId="23" borderId="103" xfId="0" applyNumberFormat="1" applyFont="1" applyFill="1" applyBorder="1" applyAlignment="1">
      <alignment horizontal="center" vertical="center" wrapText="1"/>
    </xf>
    <xf numFmtId="0" fontId="48" fillId="3" borderId="80" xfId="0" applyFont="1" applyFill="1" applyBorder="1" applyAlignment="1">
      <alignment horizontal="center" vertical="center" wrapText="1"/>
    </xf>
    <xf numFmtId="0" fontId="57" fillId="3" borderId="78" xfId="0" applyFont="1" applyFill="1" applyBorder="1" applyAlignment="1">
      <alignment horizontal="center" vertical="center" wrapText="1"/>
    </xf>
    <xf numFmtId="0" fontId="48" fillId="3" borderId="104" xfId="0" applyFont="1" applyFill="1" applyBorder="1" applyAlignment="1">
      <alignment horizontal="center" vertical="center" wrapText="1"/>
    </xf>
    <xf numFmtId="4" fontId="48" fillId="3" borderId="104" xfId="0" applyNumberFormat="1" applyFont="1" applyFill="1" applyBorder="1" applyAlignment="1">
      <alignment horizontal="center" vertical="center" wrapText="1"/>
    </xf>
    <xf numFmtId="2" fontId="48" fillId="3" borderId="104" xfId="0" applyNumberFormat="1" applyFont="1" applyFill="1" applyBorder="1" applyAlignment="1">
      <alignment horizontal="center" vertical="center" wrapText="1"/>
    </xf>
    <xf numFmtId="0" fontId="48" fillId="3" borderId="105" xfId="0" applyFont="1" applyFill="1" applyBorder="1" applyAlignment="1">
      <alignment horizontal="center" vertical="center" wrapText="1"/>
    </xf>
    <xf numFmtId="0" fontId="43" fillId="3" borderId="78" xfId="0" applyFont="1" applyFill="1" applyBorder="1" applyAlignment="1">
      <alignment horizontal="center" vertical="center" wrapText="1"/>
    </xf>
    <xf numFmtId="0" fontId="48" fillId="24" borderId="105" xfId="0" applyFont="1" applyFill="1" applyBorder="1" applyAlignment="1">
      <alignment horizontal="centerContinuous" vertical="center" wrapText="1"/>
    </xf>
    <xf numFmtId="3" fontId="48" fillId="3" borderId="104" xfId="0" applyNumberFormat="1" applyFont="1" applyFill="1" applyBorder="1" applyAlignment="1">
      <alignment horizontal="center" vertical="center" wrapText="1"/>
    </xf>
    <xf numFmtId="169" fontId="48" fillId="7" borderId="104" xfId="0" applyNumberFormat="1" applyFont="1" applyFill="1" applyBorder="1" applyAlignment="1">
      <alignment horizontal="center" vertical="center" wrapText="1"/>
    </xf>
    <xf numFmtId="0" fontId="48" fillId="7" borderId="104" xfId="0" applyFont="1" applyFill="1" applyBorder="1" applyAlignment="1">
      <alignment horizontal="center" vertical="center" wrapText="1"/>
    </xf>
    <xf numFmtId="4" fontId="48" fillId="7" borderId="104" xfId="0" applyNumberFormat="1" applyFont="1" applyFill="1" applyBorder="1" applyAlignment="1">
      <alignment horizontal="center" vertical="center" wrapText="1"/>
    </xf>
    <xf numFmtId="4" fontId="48" fillId="24" borderId="104" xfId="0" applyNumberFormat="1" applyFont="1" applyFill="1" applyBorder="1" applyAlignment="1">
      <alignment horizontal="center" vertical="center" wrapText="1"/>
    </xf>
    <xf numFmtId="174" fontId="48" fillId="3" borderId="104" xfId="0" applyNumberFormat="1" applyFont="1" applyFill="1" applyBorder="1" applyAlignment="1">
      <alignment horizontal="center" vertical="center" wrapText="1"/>
    </xf>
    <xf numFmtId="3" fontId="48" fillId="23" borderId="104" xfId="0" applyNumberFormat="1" applyFont="1" applyFill="1" applyBorder="1" applyAlignment="1">
      <alignment horizontal="center" vertical="center" wrapText="1"/>
    </xf>
    <xf numFmtId="174" fontId="48" fillId="23" borderId="104" xfId="0" applyNumberFormat="1" applyFont="1" applyFill="1" applyBorder="1" applyAlignment="1">
      <alignment horizontal="center" vertical="center" wrapText="1"/>
    </xf>
    <xf numFmtId="0" fontId="41" fillId="4" borderId="18" xfId="0" applyFont="1" applyFill="1" applyBorder="1" applyAlignment="1" applyProtection="1">
      <alignment horizontal="center"/>
      <protection locked="0"/>
    </xf>
    <xf numFmtId="0" fontId="46" fillId="4" borderId="19" xfId="0" applyFont="1" applyFill="1" applyBorder="1" applyAlignment="1">
      <alignment horizontal="center" vertical="center"/>
    </xf>
    <xf numFmtId="4" fontId="41" fillId="4" borderId="14" xfId="0" applyNumberFormat="1" applyFont="1" applyFill="1" applyBorder="1" applyAlignment="1" applyProtection="1">
      <alignment horizontal="center"/>
      <protection locked="0"/>
    </xf>
    <xf numFmtId="2" fontId="41" fillId="4" borderId="14" xfId="0" applyNumberFormat="1" applyFont="1" applyFill="1" applyBorder="1" applyAlignment="1" applyProtection="1">
      <alignment horizontal="center"/>
      <protection locked="0"/>
    </xf>
    <xf numFmtId="0" fontId="46" fillId="6" borderId="19" xfId="0" applyFont="1" applyFill="1" applyBorder="1" applyAlignment="1">
      <alignment horizontal="center" vertical="center"/>
    </xf>
    <xf numFmtId="0" fontId="46" fillId="4" borderId="18" xfId="0" applyFont="1" applyFill="1" applyBorder="1" applyAlignment="1" applyProtection="1">
      <alignment horizontal="center" vertical="center"/>
      <protection locked="0"/>
    </xf>
    <xf numFmtId="0" fontId="46" fillId="24" borderId="18" xfId="0" applyFont="1" applyFill="1" applyBorder="1" applyAlignment="1">
      <alignment horizontal="center" vertical="center"/>
    </xf>
    <xf numFmtId="0" fontId="41" fillId="6" borderId="14" xfId="0" applyFont="1" applyFill="1" applyBorder="1" applyAlignment="1" applyProtection="1">
      <alignment horizontal="center"/>
      <protection locked="0"/>
    </xf>
    <xf numFmtId="0" fontId="46" fillId="4" borderId="14" xfId="0" applyFont="1" applyFill="1" applyBorder="1" applyAlignment="1" applyProtection="1">
      <alignment horizontal="center" vertical="center"/>
      <protection locked="0"/>
    </xf>
    <xf numFmtId="3" fontId="41" fillId="3" borderId="21" xfId="0" applyNumberFormat="1" applyFont="1" applyFill="1" applyBorder="1" applyAlignment="1">
      <alignment horizontal="center"/>
    </xf>
    <xf numFmtId="169" fontId="41" fillId="7" borderId="21" xfId="0" applyNumberFormat="1" applyFont="1" applyFill="1" applyBorder="1" applyAlignment="1">
      <alignment horizontal="center"/>
    </xf>
    <xf numFmtId="0" fontId="41" fillId="7" borderId="21" xfId="0" applyFont="1" applyFill="1" applyBorder="1" applyAlignment="1">
      <alignment horizontal="center"/>
    </xf>
    <xf numFmtId="4" fontId="41" fillId="3" borderId="21" xfId="0" applyNumberFormat="1" applyFont="1" applyFill="1" applyBorder="1" applyAlignment="1">
      <alignment horizontal="center"/>
    </xf>
    <xf numFmtId="4" fontId="41" fillId="7" borderId="19" xfId="0" applyNumberFormat="1" applyFont="1" applyFill="1" applyBorder="1" applyAlignment="1">
      <alignment horizontal="center"/>
    </xf>
    <xf numFmtId="0" fontId="41" fillId="7" borderId="21" xfId="0" applyFont="1" applyFill="1" applyBorder="1" applyAlignment="1" applyProtection="1">
      <alignment horizontal="center"/>
      <protection locked="0"/>
    </xf>
    <xf numFmtId="0" fontId="41" fillId="24" borderId="21" xfId="0" applyFont="1" applyFill="1" applyBorder="1" applyAlignment="1" applyProtection="1">
      <alignment horizontal="center"/>
      <protection locked="0"/>
    </xf>
    <xf numFmtId="174" fontId="41" fillId="3" borderId="21" xfId="0" applyNumberFormat="1" applyFont="1" applyFill="1" applyBorder="1" applyAlignment="1">
      <alignment horizontal="center"/>
    </xf>
    <xf numFmtId="2" fontId="41" fillId="4" borderId="33" xfId="0" applyNumberFormat="1" applyFont="1" applyFill="1" applyBorder="1" applyAlignment="1" applyProtection="1">
      <alignment horizontal="center"/>
      <protection locked="0"/>
    </xf>
    <xf numFmtId="0" fontId="46" fillId="4" borderId="58" xfId="0" applyFont="1" applyFill="1" applyBorder="1" applyAlignment="1" applyProtection="1">
      <alignment horizontal="center" vertical="center"/>
      <protection locked="0"/>
    </xf>
    <xf numFmtId="0" fontId="46" fillId="4" borderId="58" xfId="0" applyFont="1" applyFill="1" applyBorder="1" applyAlignment="1">
      <alignment horizontal="center" vertical="center"/>
    </xf>
    <xf numFmtId="0" fontId="46" fillId="24" borderId="58" xfId="0" applyFont="1" applyFill="1" applyBorder="1" applyAlignment="1">
      <alignment horizontal="center" vertical="center"/>
    </xf>
    <xf numFmtId="0" fontId="41" fillId="6" borderId="33" xfId="0" applyFont="1" applyFill="1" applyBorder="1" applyAlignment="1" applyProtection="1">
      <alignment horizontal="center"/>
      <protection locked="0"/>
    </xf>
    <xf numFmtId="0" fontId="46" fillId="4" borderId="33" xfId="0" applyFont="1" applyFill="1" applyBorder="1" applyAlignment="1" applyProtection="1">
      <alignment horizontal="center" vertical="center"/>
      <protection locked="0"/>
    </xf>
    <xf numFmtId="169" fontId="41" fillId="7" borderId="20" xfId="0" applyNumberFormat="1" applyFont="1" applyFill="1" applyBorder="1" applyAlignment="1">
      <alignment horizontal="center"/>
    </xf>
    <xf numFmtId="0" fontId="46" fillId="4" borderId="33" xfId="0" applyFont="1" applyFill="1" applyBorder="1" applyAlignment="1" applyProtection="1">
      <alignment horizontal="center"/>
      <protection locked="0"/>
    </xf>
    <xf numFmtId="2" fontId="41" fillId="4" borderId="15" xfId="0" applyNumberFormat="1" applyFont="1" applyFill="1" applyBorder="1" applyAlignment="1" applyProtection="1">
      <alignment horizontal="center"/>
      <protection locked="0"/>
    </xf>
    <xf numFmtId="0" fontId="46" fillId="6" borderId="16" xfId="0" applyFont="1" applyFill="1" applyBorder="1" applyAlignment="1" applyProtection="1">
      <alignment horizontal="center" vertical="center"/>
      <protection locked="0"/>
    </xf>
    <xf numFmtId="0" fontId="46" fillId="4" borderId="16" xfId="0" applyFont="1" applyFill="1" applyBorder="1" applyAlignment="1" applyProtection="1">
      <alignment horizontal="center" vertical="center"/>
      <protection locked="0"/>
    </xf>
    <xf numFmtId="0" fontId="46" fillId="4" borderId="16" xfId="0" applyFont="1" applyFill="1" applyBorder="1" applyAlignment="1">
      <alignment horizontal="center" vertical="center"/>
    </xf>
    <xf numFmtId="0" fontId="46" fillId="24" borderId="16" xfId="0" applyFont="1" applyFill="1" applyBorder="1" applyAlignment="1">
      <alignment horizontal="center" vertical="center"/>
    </xf>
    <xf numFmtId="0" fontId="41" fillId="6" borderId="15" xfId="0" applyFont="1" applyFill="1" applyBorder="1" applyAlignment="1" applyProtection="1">
      <alignment horizontal="center"/>
      <protection locked="0"/>
    </xf>
    <xf numFmtId="0" fontId="46" fillId="4" borderId="15" xfId="0" applyFont="1" applyFill="1" applyBorder="1" applyAlignment="1" applyProtection="1">
      <alignment horizontal="center"/>
      <protection locked="0"/>
    </xf>
    <xf numFmtId="3" fontId="40" fillId="0" borderId="0" xfId="0" applyNumberFormat="1" applyFont="1" applyAlignment="1">
      <alignment horizontal="center"/>
    </xf>
    <xf numFmtId="0" fontId="44" fillId="33" borderId="3" xfId="1" applyFont="1" applyFill="1" applyBorder="1" applyAlignment="1">
      <alignment horizontal="centerContinuous" wrapText="1"/>
    </xf>
    <xf numFmtId="0" fontId="41" fillId="0" borderId="0" xfId="0" applyFont="1" applyAlignment="1">
      <alignment horizontal="centerContinuous" vertical="center"/>
    </xf>
    <xf numFmtId="0" fontId="41" fillId="0" borderId="0" xfId="0" applyFont="1" applyAlignment="1">
      <alignment horizontal="right" vertical="center"/>
    </xf>
    <xf numFmtId="0" fontId="41" fillId="0" borderId="0" xfId="0" applyFont="1" applyAlignment="1">
      <alignment horizontal="center" vertical="center"/>
    </xf>
    <xf numFmtId="0" fontId="43" fillId="0" borderId="0" xfId="0" applyFont="1" applyAlignment="1">
      <alignment horizontal="center" vertical="center"/>
    </xf>
    <xf numFmtId="0" fontId="43" fillId="0" borderId="0" xfId="0" applyFont="1"/>
    <xf numFmtId="0" fontId="40" fillId="0" borderId="0" xfId="0" applyFont="1" applyAlignment="1">
      <alignment horizontal="center" vertical="center"/>
    </xf>
    <xf numFmtId="0" fontId="41" fillId="33" borderId="1" xfId="0" applyFont="1" applyFill="1" applyBorder="1" applyAlignment="1">
      <alignment horizontal="centerContinuous"/>
    </xf>
    <xf numFmtId="0" fontId="44" fillId="33" borderId="52" xfId="1" applyFont="1" applyFill="1" applyBorder="1" applyAlignment="1">
      <alignment horizontal="centerContinuous" vertical="center"/>
    </xf>
    <xf numFmtId="0" fontId="44" fillId="33" borderId="52" xfId="1" applyFont="1" applyFill="1" applyBorder="1" applyAlignment="1">
      <alignment horizontal="centerContinuous" vertical="center" wrapText="1"/>
    </xf>
    <xf numFmtId="0" fontId="44" fillId="33" borderId="98" xfId="1" applyFont="1" applyFill="1" applyBorder="1" applyAlignment="1">
      <alignment horizontal="centerContinuous" vertical="center" wrapText="1"/>
    </xf>
    <xf numFmtId="0" fontId="44" fillId="33" borderId="55" xfId="1" applyFont="1" applyFill="1" applyBorder="1" applyAlignment="1">
      <alignment horizontal="centerContinuous" vertical="center" wrapText="1"/>
    </xf>
    <xf numFmtId="0" fontId="51" fillId="33" borderId="55" xfId="1" applyFont="1" applyFill="1" applyBorder="1" applyAlignment="1">
      <alignment horizontal="centerContinuous" vertical="center" wrapText="1"/>
    </xf>
    <xf numFmtId="0" fontId="51" fillId="0" borderId="0" xfId="1" applyFont="1" applyFill="1" applyBorder="1" applyAlignment="1">
      <alignment horizontal="centerContinuous" vertical="center" wrapText="1"/>
    </xf>
    <xf numFmtId="0" fontId="58" fillId="33" borderId="10" xfId="1" applyFont="1" applyFill="1" applyBorder="1" applyAlignment="1">
      <alignment horizontal="centerContinuous" vertical="center"/>
    </xf>
    <xf numFmtId="0" fontId="44" fillId="33" borderId="10" xfId="1" applyFont="1" applyFill="1" applyBorder="1" applyAlignment="1">
      <alignment horizontal="centerContinuous" vertical="center" wrapText="1"/>
    </xf>
    <xf numFmtId="0" fontId="44" fillId="33" borderId="60" xfId="1" applyFont="1" applyFill="1" applyBorder="1" applyAlignment="1">
      <alignment horizontal="centerContinuous" vertical="center" wrapText="1"/>
    </xf>
    <xf numFmtId="0" fontId="44" fillId="33" borderId="11" xfId="1" applyFont="1" applyFill="1" applyBorder="1" applyAlignment="1">
      <alignment horizontal="centerContinuous" vertical="center" wrapText="1"/>
    </xf>
    <xf numFmtId="0" fontId="51" fillId="33" borderId="11" xfId="1" applyFont="1" applyFill="1" applyBorder="1" applyAlignment="1">
      <alignment horizontal="centerContinuous" vertical="center" wrapText="1"/>
    </xf>
    <xf numFmtId="0" fontId="59" fillId="0" borderId="0" xfId="1" applyFont="1" applyFill="1" applyBorder="1" applyAlignment="1">
      <alignment horizontal="left" vertical="center"/>
    </xf>
    <xf numFmtId="0" fontId="58" fillId="0" borderId="0" xfId="1" applyFont="1" applyFill="1" applyBorder="1" applyAlignment="1">
      <alignment horizontal="center" vertical="center"/>
    </xf>
    <xf numFmtId="0" fontId="44" fillId="0" borderId="0" xfId="1" applyFont="1" applyFill="1" applyBorder="1" applyAlignment="1">
      <alignment horizontal="centerContinuous" vertical="center" wrapText="1"/>
    </xf>
    <xf numFmtId="0" fontId="44" fillId="0" borderId="0" xfId="1" applyFont="1" applyFill="1" applyBorder="1" applyAlignment="1">
      <alignment horizontal="center" vertical="center" wrapText="1"/>
    </xf>
    <xf numFmtId="0" fontId="44" fillId="0" borderId="0" xfId="1" applyFont="1" applyFill="1" applyBorder="1" applyAlignment="1">
      <alignment horizontal="right" vertical="center" wrapText="1"/>
    </xf>
    <xf numFmtId="0" fontId="51" fillId="0" borderId="0" xfId="1" applyFont="1" applyFill="1" applyBorder="1" applyAlignment="1">
      <alignment horizontal="center" vertical="center" wrapText="1"/>
    </xf>
    <xf numFmtId="0" fontId="41" fillId="0" borderId="0" xfId="0" applyFont="1" applyAlignment="1">
      <alignment horizontal="right"/>
    </xf>
    <xf numFmtId="0" fontId="48" fillId="0" borderId="0" xfId="0" applyFont="1"/>
    <xf numFmtId="0" fontId="43" fillId="9" borderId="0" xfId="0" applyFont="1" applyFill="1"/>
    <xf numFmtId="0" fontId="43" fillId="9" borderId="4" xfId="0" applyFont="1" applyFill="1" applyBorder="1" applyAlignment="1">
      <alignment vertical="center"/>
    </xf>
    <xf numFmtId="3" fontId="43" fillId="4" borderId="37" xfId="0" applyNumberFormat="1" applyFont="1" applyFill="1" applyBorder="1" applyAlignment="1" applyProtection="1">
      <alignment horizontal="right" vertical="center"/>
      <protection locked="0"/>
    </xf>
    <xf numFmtId="3" fontId="49" fillId="4" borderId="6" xfId="0" applyNumberFormat="1" applyFont="1" applyFill="1" applyBorder="1" applyAlignment="1" applyProtection="1">
      <alignment horizontal="right" vertical="center"/>
      <protection locked="0"/>
    </xf>
    <xf numFmtId="3" fontId="43" fillId="0" borderId="0" xfId="0" applyNumberFormat="1" applyFont="1" applyAlignment="1">
      <alignment vertical="center"/>
    </xf>
    <xf numFmtId="0" fontId="42" fillId="0" borderId="0" xfId="0" applyFont="1"/>
    <xf numFmtId="0" fontId="43" fillId="9" borderId="12" xfId="0" applyFont="1" applyFill="1" applyBorder="1" applyAlignment="1">
      <alignment vertical="center"/>
    </xf>
    <xf numFmtId="3" fontId="43" fillId="4" borderId="33" xfId="0" applyNumberFormat="1" applyFont="1" applyFill="1" applyBorder="1" applyAlignment="1" applyProtection="1">
      <alignment horizontal="right" vertical="center"/>
      <protection locked="0"/>
    </xf>
    <xf numFmtId="0" fontId="49" fillId="4" borderId="38" xfId="0" applyFont="1" applyFill="1" applyBorder="1" applyAlignment="1" applyProtection="1">
      <alignment horizontal="right" vertical="center"/>
      <protection locked="0"/>
    </xf>
    <xf numFmtId="0" fontId="43" fillId="9" borderId="46" xfId="0" applyFont="1" applyFill="1" applyBorder="1" applyAlignment="1">
      <alignment vertical="center"/>
    </xf>
    <xf numFmtId="3" fontId="43" fillId="3" borderId="15" xfId="0" applyNumberFormat="1" applyFont="1" applyFill="1" applyBorder="1" applyAlignment="1">
      <alignment horizontal="centerContinuous" vertical="center"/>
    </xf>
    <xf numFmtId="3" fontId="43" fillId="3" borderId="47" xfId="0" applyNumberFormat="1" applyFont="1" applyFill="1" applyBorder="1" applyAlignment="1">
      <alignment horizontal="centerContinuous" vertical="center"/>
    </xf>
    <xf numFmtId="1" fontId="43" fillId="0" borderId="0" xfId="0" applyNumberFormat="1" applyFont="1"/>
    <xf numFmtId="3" fontId="43" fillId="3" borderId="37" xfId="0" applyNumberFormat="1" applyFont="1" applyFill="1" applyBorder="1" applyAlignment="1">
      <alignment horizontal="centerContinuous" vertical="center"/>
    </xf>
    <xf numFmtId="3" fontId="43" fillId="3" borderId="6" xfId="0" applyNumberFormat="1" applyFont="1" applyFill="1" applyBorder="1" applyAlignment="1">
      <alignment horizontal="centerContinuous" vertical="center"/>
    </xf>
    <xf numFmtId="0" fontId="61" fillId="0" borderId="4" xfId="3" applyFont="1" applyBorder="1" applyAlignment="1">
      <alignment horizontal="centerContinuous" vertical="center"/>
    </xf>
    <xf numFmtId="3" fontId="43" fillId="3" borderId="33" xfId="0" applyNumberFormat="1" applyFont="1" applyFill="1" applyBorder="1" applyAlignment="1">
      <alignment horizontal="centerContinuous" vertical="center"/>
    </xf>
    <xf numFmtId="3" fontId="43" fillId="3" borderId="38" xfId="0" applyNumberFormat="1" applyFont="1" applyFill="1" applyBorder="1" applyAlignment="1">
      <alignment horizontal="centerContinuous" vertical="center"/>
    </xf>
    <xf numFmtId="0" fontId="41" fillId="0" borderId="0" xfId="0" applyFont="1" applyAlignment="1">
      <alignment vertical="top" wrapText="1"/>
    </xf>
    <xf numFmtId="0" fontId="44" fillId="0" borderId="0" xfId="1" applyFont="1" applyFill="1" applyBorder="1" applyAlignment="1">
      <alignment vertical="top" wrapText="1"/>
    </xf>
    <xf numFmtId="0" fontId="40" fillId="0" borderId="0" xfId="0" applyFont="1" applyAlignment="1">
      <alignment vertical="top"/>
    </xf>
    <xf numFmtId="0" fontId="43" fillId="0" borderId="0" xfId="0" applyFont="1" applyAlignment="1">
      <alignment horizontal="left"/>
    </xf>
    <xf numFmtId="3" fontId="41" fillId="0" borderId="0" xfId="0" applyNumberFormat="1" applyFont="1" applyAlignment="1">
      <alignment horizontal="centerContinuous"/>
    </xf>
    <xf numFmtId="3" fontId="41" fillId="0" borderId="0" xfId="0" applyNumberFormat="1" applyFont="1" applyAlignment="1">
      <alignment horizontal="center" vertical="center"/>
    </xf>
    <xf numFmtId="3" fontId="40" fillId="0" borderId="0" xfId="0" applyNumberFormat="1" applyFont="1" applyAlignment="1">
      <alignment horizontal="center" vertical="center"/>
    </xf>
    <xf numFmtId="0" fontId="44" fillId="2" borderId="16" xfId="1" applyFont="1" applyFill="1" applyBorder="1" applyAlignment="1">
      <alignment horizontal="centerContinuous" vertical="center"/>
    </xf>
    <xf numFmtId="3" fontId="44" fillId="2" borderId="16" xfId="1" applyNumberFormat="1" applyFont="1" applyFill="1" applyBorder="1" applyAlignment="1">
      <alignment horizontal="centerContinuous" vertical="center"/>
    </xf>
    <xf numFmtId="0" fontId="44" fillId="2" borderId="16" xfId="1" applyFont="1" applyFill="1" applyBorder="1" applyAlignment="1">
      <alignment horizontal="centerContinuous" vertical="center" wrapText="1"/>
    </xf>
    <xf numFmtId="0" fontId="51" fillId="2" borderId="16" xfId="1" applyFont="1" applyFill="1" applyBorder="1" applyAlignment="1">
      <alignment horizontal="centerContinuous" vertical="center" wrapText="1"/>
    </xf>
    <xf numFmtId="0" fontId="51" fillId="2" borderId="17" xfId="1" applyFont="1" applyFill="1" applyBorder="1" applyAlignment="1">
      <alignment horizontal="centerContinuous" vertical="center" wrapText="1"/>
    </xf>
    <xf numFmtId="0" fontId="58" fillId="2" borderId="18" xfId="1" applyFont="1" applyFill="1" applyBorder="1" applyAlignment="1">
      <alignment horizontal="centerContinuous" vertical="center"/>
    </xf>
    <xf numFmtId="3" fontId="58" fillId="2" borderId="18" xfId="1" applyNumberFormat="1" applyFont="1" applyFill="1" applyBorder="1" applyAlignment="1">
      <alignment horizontal="centerContinuous" vertical="center"/>
    </xf>
    <xf numFmtId="0" fontId="44" fillId="2" borderId="18" xfId="1" applyFont="1" applyFill="1" applyBorder="1" applyAlignment="1">
      <alignment horizontal="centerContinuous" vertical="center" wrapText="1"/>
    </xf>
    <xf numFmtId="0" fontId="51" fillId="2" borderId="18" xfId="1" applyFont="1" applyFill="1" applyBorder="1" applyAlignment="1">
      <alignment horizontal="centerContinuous" vertical="center" wrapText="1"/>
    </xf>
    <xf numFmtId="0" fontId="51" fillId="2" borderId="19" xfId="1" applyFont="1" applyFill="1" applyBorder="1" applyAlignment="1">
      <alignment horizontal="centerContinuous" vertical="center" wrapText="1"/>
    </xf>
    <xf numFmtId="3" fontId="58" fillId="0" borderId="0" xfId="1" applyNumberFormat="1" applyFont="1" applyFill="1" applyBorder="1" applyAlignment="1">
      <alignment horizontal="center" vertical="center"/>
    </xf>
    <xf numFmtId="3" fontId="41" fillId="0" borderId="0" xfId="0" applyNumberFormat="1" applyFont="1"/>
    <xf numFmtId="0" fontId="48" fillId="3" borderId="50" xfId="0" applyFont="1" applyFill="1" applyBorder="1" applyAlignment="1">
      <alignment horizontal="centerContinuous" vertical="center" wrapText="1"/>
    </xf>
    <xf numFmtId="0" fontId="53" fillId="3" borderId="53" xfId="0" applyFont="1" applyFill="1" applyBorder="1" applyAlignment="1">
      <alignment horizontal="centerContinuous" vertical="center" wrapText="1"/>
    </xf>
    <xf numFmtId="0" fontId="53" fillId="3" borderId="54" xfId="0" applyFont="1" applyFill="1" applyBorder="1" applyAlignment="1">
      <alignment horizontal="centerContinuous" vertical="center" wrapText="1"/>
    </xf>
    <xf numFmtId="0" fontId="57" fillId="3" borderId="52" xfId="0" applyFont="1" applyFill="1" applyBorder="1" applyAlignment="1">
      <alignment horizontal="center" vertical="center" wrapText="1"/>
    </xf>
    <xf numFmtId="0" fontId="43" fillId="3" borderId="76" xfId="0" applyFont="1" applyFill="1" applyBorder="1" applyAlignment="1">
      <alignment horizontal="center" vertical="center" wrapText="1"/>
    </xf>
    <xf numFmtId="0" fontId="57" fillId="3" borderId="55" xfId="0" applyFont="1" applyFill="1" applyBorder="1" applyAlignment="1">
      <alignment horizontal="center" vertical="center" wrapText="1"/>
    </xf>
    <xf numFmtId="0" fontId="41" fillId="0" borderId="0" xfId="0" applyFont="1" applyAlignment="1">
      <alignment wrapText="1"/>
    </xf>
    <xf numFmtId="0" fontId="41" fillId="4" borderId="99" xfId="0" applyFont="1" applyFill="1" applyBorder="1" applyAlignment="1" applyProtection="1">
      <alignment horizontal="center" vertical="center"/>
      <protection locked="0"/>
    </xf>
    <xf numFmtId="3" fontId="41" fillId="4" borderId="100" xfId="0" applyNumberFormat="1" applyFont="1" applyFill="1" applyBorder="1" applyAlignment="1" applyProtection="1">
      <alignment horizontal="center" vertical="center"/>
      <protection locked="0"/>
    </xf>
    <xf numFmtId="0" fontId="41" fillId="4" borderId="100" xfId="0" applyFont="1" applyFill="1" applyBorder="1" applyAlignment="1" applyProtection="1">
      <alignment horizontal="center" vertical="center"/>
      <protection locked="0"/>
    </xf>
    <xf numFmtId="0" fontId="46" fillId="4" borderId="100" xfId="0" applyFont="1" applyFill="1" applyBorder="1" applyAlignment="1" applyProtection="1">
      <alignment horizontal="center" vertical="center"/>
      <protection locked="0"/>
    </xf>
    <xf numFmtId="0" fontId="41" fillId="4" borderId="63" xfId="0" applyFont="1" applyFill="1" applyBorder="1" applyAlignment="1" applyProtection="1">
      <alignment horizontal="center" vertical="center"/>
      <protection locked="0"/>
    </xf>
    <xf numFmtId="3" fontId="41" fillId="4" borderId="33" xfId="0" applyNumberFormat="1" applyFont="1" applyFill="1" applyBorder="1" applyAlignment="1" applyProtection="1">
      <alignment horizontal="center" vertical="center"/>
      <protection locked="0"/>
    </xf>
    <xf numFmtId="0" fontId="41" fillId="4" borderId="33" xfId="0" applyFont="1" applyFill="1" applyBorder="1" applyAlignment="1" applyProtection="1">
      <alignment horizontal="center" vertical="center"/>
      <protection locked="0"/>
    </xf>
    <xf numFmtId="0" fontId="41" fillId="4" borderId="9" xfId="0" applyFont="1" applyFill="1" applyBorder="1" applyAlignment="1" applyProtection="1">
      <alignment horizontal="center" vertical="center"/>
      <protection locked="0"/>
    </xf>
    <xf numFmtId="0" fontId="46" fillId="4" borderId="92" xfId="0" applyFont="1" applyFill="1" applyBorder="1" applyAlignment="1">
      <alignment horizontal="center" vertical="center"/>
    </xf>
    <xf numFmtId="3" fontId="41" fillId="4" borderId="39" xfId="0" applyNumberFormat="1" applyFont="1" applyFill="1" applyBorder="1" applyAlignment="1" applyProtection="1">
      <alignment horizontal="center" vertical="center"/>
      <protection locked="0"/>
    </xf>
    <xf numFmtId="0" fontId="41" fillId="4" borderId="39" xfId="0" applyFont="1" applyFill="1" applyBorder="1" applyAlignment="1" applyProtection="1">
      <alignment horizontal="center" vertical="center"/>
      <protection locked="0"/>
    </xf>
    <xf numFmtId="0" fontId="46" fillId="4" borderId="39" xfId="0" applyFont="1" applyFill="1" applyBorder="1" applyAlignment="1" applyProtection="1">
      <alignment horizontal="center" vertical="center"/>
      <protection locked="0"/>
    </xf>
    <xf numFmtId="0" fontId="46" fillId="4" borderId="40" xfId="0" applyFont="1" applyFill="1" applyBorder="1" applyAlignment="1">
      <alignment horizontal="center" vertical="center"/>
    </xf>
    <xf numFmtId="3" fontId="46" fillId="0" borderId="6" xfId="0" applyNumberFormat="1" applyFont="1" applyBorder="1" applyAlignment="1">
      <alignment horizontal="centerContinuous"/>
    </xf>
    <xf numFmtId="3" fontId="46" fillId="0" borderId="8" xfId="0" applyNumberFormat="1" applyFont="1" applyBorder="1"/>
    <xf numFmtId="3" fontId="46" fillId="0" borderId="11" xfId="0" applyNumberFormat="1" applyFont="1" applyBorder="1"/>
    <xf numFmtId="0" fontId="41" fillId="0" borderId="0" xfId="0" applyFont="1" applyAlignment="1">
      <alignment horizontal="left" vertical="center"/>
    </xf>
    <xf numFmtId="0" fontId="38" fillId="0" borderId="0" xfId="0" applyFont="1" applyAlignment="1">
      <alignment horizontal="left" vertical="center"/>
    </xf>
    <xf numFmtId="0" fontId="41" fillId="2" borderId="48" xfId="0" applyFont="1" applyFill="1" applyBorder="1" applyAlignment="1">
      <alignment horizontal="centerContinuous"/>
    </xf>
    <xf numFmtId="3" fontId="44" fillId="2" borderId="16" xfId="1" applyNumberFormat="1" applyFont="1" applyFill="1" applyBorder="1" applyAlignment="1">
      <alignment horizontal="centerContinuous" vertical="center" wrapText="1"/>
    </xf>
    <xf numFmtId="0" fontId="44" fillId="2" borderId="17" xfId="1" applyFont="1" applyFill="1" applyBorder="1" applyAlignment="1">
      <alignment horizontal="centerContinuous" vertical="center" wrapText="1"/>
    </xf>
    <xf numFmtId="0" fontId="41" fillId="0" borderId="83" xfId="0" applyFont="1" applyBorder="1"/>
    <xf numFmtId="0" fontId="45" fillId="2" borderId="18" xfId="1" applyFont="1" applyFill="1" applyBorder="1" applyAlignment="1">
      <alignment horizontal="centerContinuous" vertical="center"/>
    </xf>
    <xf numFmtId="0" fontId="45" fillId="2" borderId="18" xfId="1" applyFont="1" applyFill="1" applyBorder="1" applyAlignment="1">
      <alignment horizontal="centerContinuous" vertical="center" wrapText="1"/>
    </xf>
    <xf numFmtId="3" fontId="45" fillId="2" borderId="18" xfId="1" applyNumberFormat="1" applyFont="1" applyFill="1" applyBorder="1" applyAlignment="1">
      <alignment horizontal="centerContinuous" vertical="center" wrapText="1"/>
    </xf>
    <xf numFmtId="0" fontId="45" fillId="2" borderId="19" xfId="1" applyFont="1" applyFill="1" applyBorder="1" applyAlignment="1">
      <alignment horizontal="centerContinuous" vertical="center" wrapText="1"/>
    </xf>
    <xf numFmtId="3" fontId="44" fillId="0" borderId="0" xfId="1" applyNumberFormat="1" applyFont="1" applyFill="1" applyBorder="1" applyAlignment="1">
      <alignment horizontal="centerContinuous" vertical="center" wrapText="1"/>
    </xf>
    <xf numFmtId="0" fontId="62" fillId="0" borderId="0" xfId="1" applyFont="1" applyFill="1" applyBorder="1" applyAlignment="1">
      <alignment horizontal="center" vertical="center"/>
    </xf>
    <xf numFmtId="0" fontId="47" fillId="0" borderId="0" xfId="1" applyFont="1" applyFill="1" applyBorder="1" applyAlignment="1">
      <alignment horizontal="center" vertical="center" wrapText="1"/>
    </xf>
    <xf numFmtId="0" fontId="47" fillId="0" borderId="0" xfId="1" applyFont="1" applyFill="1" applyBorder="1" applyAlignment="1">
      <alignment horizontal="centerContinuous" vertical="center" wrapText="1"/>
    </xf>
    <xf numFmtId="3" fontId="48" fillId="3" borderId="50" xfId="0" applyNumberFormat="1" applyFont="1" applyFill="1" applyBorder="1" applyAlignment="1">
      <alignment horizontal="centerContinuous" vertical="center" wrapText="1"/>
    </xf>
    <xf numFmtId="0" fontId="43" fillId="3" borderId="50" xfId="0" applyFont="1" applyFill="1" applyBorder="1" applyAlignment="1">
      <alignment horizontal="center" vertical="center" wrapText="1"/>
    </xf>
    <xf numFmtId="0" fontId="57" fillId="3" borderId="53" xfId="0" applyFont="1" applyFill="1" applyBorder="1" applyAlignment="1">
      <alignment horizontal="center" vertical="center" wrapText="1"/>
    </xf>
    <xf numFmtId="0" fontId="43" fillId="3" borderId="53" xfId="0" applyFont="1" applyFill="1" applyBorder="1" applyAlignment="1">
      <alignment horizontal="center" vertical="center" wrapText="1"/>
    </xf>
    <xf numFmtId="0" fontId="43" fillId="3" borderId="52" xfId="0" applyFont="1" applyFill="1" applyBorder="1" applyAlignment="1">
      <alignment horizontal="center" vertical="center" wrapText="1"/>
    </xf>
    <xf numFmtId="0" fontId="43" fillId="3" borderId="51" xfId="0" applyFont="1" applyFill="1" applyBorder="1" applyAlignment="1">
      <alignment horizontal="center" vertical="center" wrapText="1"/>
    </xf>
    <xf numFmtId="0" fontId="41" fillId="4" borderId="18" xfId="0" applyFont="1" applyFill="1" applyBorder="1" applyAlignment="1" applyProtection="1">
      <alignment horizontal="center" vertical="center"/>
      <protection locked="0"/>
    </xf>
    <xf numFmtId="0" fontId="46" fillId="4" borderId="77" xfId="0" applyFont="1" applyFill="1" applyBorder="1" applyAlignment="1">
      <alignment horizontal="center" vertical="center"/>
    </xf>
    <xf numFmtId="3" fontId="41" fillId="6" borderId="18" xfId="0" applyNumberFormat="1" applyFont="1" applyFill="1" applyBorder="1" applyAlignment="1" applyProtection="1">
      <alignment horizontal="center" vertical="center"/>
      <protection locked="0"/>
    </xf>
    <xf numFmtId="0" fontId="46" fillId="6" borderId="77" xfId="0" applyFont="1" applyFill="1" applyBorder="1" applyAlignment="1">
      <alignment horizontal="center" vertical="center"/>
    </xf>
    <xf numFmtId="0" fontId="41" fillId="4" borderId="20" xfId="0" applyFont="1" applyFill="1" applyBorder="1" applyAlignment="1" applyProtection="1">
      <alignment horizontal="center" vertical="center"/>
      <protection locked="0"/>
    </xf>
    <xf numFmtId="0" fontId="46" fillId="4" borderId="33" xfId="0" applyFont="1" applyFill="1" applyBorder="1" applyAlignment="1">
      <alignment horizontal="center" vertical="center"/>
    </xf>
    <xf numFmtId="0" fontId="41" fillId="19" borderId="27" xfId="0" applyFont="1" applyFill="1" applyBorder="1" applyAlignment="1" applyProtection="1">
      <alignment horizontal="center" vertical="center"/>
      <protection locked="0"/>
    </xf>
    <xf numFmtId="0" fontId="46" fillId="19" borderId="28" xfId="0" applyFont="1" applyFill="1" applyBorder="1" applyAlignment="1">
      <alignment horizontal="center" vertical="center"/>
    </xf>
    <xf numFmtId="0" fontId="46" fillId="0" borderId="6" xfId="0" applyFont="1" applyBorder="1" applyAlignment="1">
      <alignment horizontal="centerContinuous"/>
    </xf>
    <xf numFmtId="0" fontId="46" fillId="0" borderId="8" xfId="0" applyFont="1" applyBorder="1"/>
    <xf numFmtId="0" fontId="46" fillId="0" borderId="11" xfId="0" applyFont="1" applyBorder="1"/>
    <xf numFmtId="0" fontId="49" fillId="0" borderId="0" xfId="3" applyFont="1" applyAlignment="1">
      <alignment vertical="top"/>
    </xf>
    <xf numFmtId="0" fontId="63" fillId="9" borderId="0" xfId="0" applyFont="1" applyFill="1"/>
    <xf numFmtId="3" fontId="37" fillId="9" borderId="0" xfId="0" applyNumberFormat="1" applyFont="1" applyFill="1"/>
    <xf numFmtId="0" fontId="46" fillId="0" borderId="0" xfId="0" applyFont="1" applyAlignment="1">
      <alignment horizontal="center" vertical="center"/>
    </xf>
    <xf numFmtId="0" fontId="64" fillId="0" borderId="0" xfId="0" applyFont="1" applyAlignment="1">
      <alignment horizontal="centerContinuous"/>
    </xf>
    <xf numFmtId="0" fontId="48" fillId="3" borderId="41" xfId="0" applyFont="1" applyFill="1" applyBorder="1" applyAlignment="1">
      <alignment horizontal="center" vertical="center"/>
    </xf>
    <xf numFmtId="0" fontId="41" fillId="3" borderId="43" xfId="0" applyFont="1" applyFill="1" applyBorder="1" applyAlignment="1">
      <alignment horizontal="left"/>
    </xf>
    <xf numFmtId="0" fontId="48" fillId="7" borderId="50" xfId="0" applyFont="1" applyFill="1" applyBorder="1" applyAlignment="1">
      <alignment horizontal="center" vertical="center"/>
    </xf>
    <xf numFmtId="0" fontId="48" fillId="7" borderId="54" xfId="0" applyFont="1" applyFill="1" applyBorder="1" applyAlignment="1">
      <alignment horizontal="centerContinuous" vertical="center"/>
    </xf>
    <xf numFmtId="0" fontId="48" fillId="7" borderId="83" xfId="0" applyFont="1" applyFill="1" applyBorder="1" applyAlignment="1">
      <alignment horizontal="centerContinuous" vertical="center"/>
    </xf>
    <xf numFmtId="0" fontId="40" fillId="3" borderId="59" xfId="0" applyFont="1" applyFill="1" applyBorder="1"/>
    <xf numFmtId="165" fontId="41" fillId="3" borderId="49" xfId="0" applyNumberFormat="1" applyFont="1" applyFill="1" applyBorder="1" applyAlignment="1">
      <alignment vertical="center"/>
    </xf>
    <xf numFmtId="0" fontId="40" fillId="3" borderId="27" xfId="0" applyFont="1" applyFill="1" applyBorder="1"/>
    <xf numFmtId="165" fontId="41" fillId="3" borderId="28" xfId="0" applyNumberFormat="1" applyFont="1" applyFill="1" applyBorder="1" applyAlignment="1">
      <alignment vertical="center"/>
    </xf>
    <xf numFmtId="0" fontId="40" fillId="3" borderId="29" xfId="0" applyFont="1" applyFill="1" applyBorder="1"/>
    <xf numFmtId="165" fontId="41" fillId="3" borderId="31" xfId="0" applyNumberFormat="1" applyFont="1" applyFill="1" applyBorder="1" applyAlignment="1">
      <alignment vertical="center"/>
    </xf>
    <xf numFmtId="0" fontId="40" fillId="0" borderId="0" xfId="0" applyFont="1" applyAlignment="1">
      <alignment horizontal="right"/>
    </xf>
    <xf numFmtId="0" fontId="48" fillId="7" borderId="87" xfId="0" applyFont="1" applyFill="1" applyBorder="1" applyAlignment="1">
      <alignment horizontal="centerContinuous" vertical="center"/>
    </xf>
    <xf numFmtId="0" fontId="48" fillId="7" borderId="88" xfId="0" applyFont="1" applyFill="1" applyBorder="1" applyAlignment="1">
      <alignment horizontal="centerContinuous" vertical="center"/>
    </xf>
    <xf numFmtId="0" fontId="40" fillId="3" borderId="59" xfId="0" applyFont="1" applyFill="1" applyBorder="1" applyAlignment="1">
      <alignment vertical="center"/>
    </xf>
    <xf numFmtId="3" fontId="41" fillId="3" borderId="49" xfId="0" applyNumberFormat="1" applyFont="1" applyFill="1" applyBorder="1" applyAlignment="1">
      <alignment horizontal="right" vertical="center"/>
    </xf>
    <xf numFmtId="0" fontId="41" fillId="0" borderId="0" xfId="0" applyFont="1" applyAlignment="1">
      <alignment vertical="center"/>
    </xf>
    <xf numFmtId="0" fontId="40" fillId="3" borderId="68" xfId="0" applyFont="1" applyFill="1" applyBorder="1" applyAlignment="1">
      <alignment vertical="center" wrapText="1"/>
    </xf>
    <xf numFmtId="3" fontId="41" fillId="3" borderId="48" xfId="0" applyNumberFormat="1" applyFont="1" applyFill="1" applyBorder="1" applyAlignment="1">
      <alignment horizontal="right" vertical="center"/>
    </xf>
    <xf numFmtId="0" fontId="40" fillId="3" borderId="45" xfId="0" applyFont="1" applyFill="1" applyBorder="1" applyAlignment="1">
      <alignment vertical="center" wrapText="1"/>
    </xf>
    <xf numFmtId="168" fontId="41" fillId="3" borderId="26" xfId="0" applyNumberFormat="1" applyFont="1" applyFill="1" applyBorder="1" applyAlignment="1">
      <alignment horizontal="right" vertical="center"/>
    </xf>
    <xf numFmtId="0" fontId="40" fillId="3" borderId="29" xfId="0" applyFont="1" applyFill="1" applyBorder="1" applyAlignment="1">
      <alignment vertical="center" wrapText="1"/>
    </xf>
    <xf numFmtId="168" fontId="41" fillId="3" borderId="31" xfId="0" applyNumberFormat="1" applyFont="1" applyFill="1" applyBorder="1" applyAlignment="1">
      <alignment horizontal="right" vertical="center"/>
    </xf>
    <xf numFmtId="0" fontId="40" fillId="0" borderId="0" xfId="0" applyFont="1" applyAlignment="1">
      <alignment vertical="top" wrapText="1"/>
    </xf>
    <xf numFmtId="0" fontId="52" fillId="0" borderId="0" xfId="1" applyFont="1" applyFill="1" applyBorder="1" applyAlignment="1">
      <alignment vertical="top" wrapText="1"/>
    </xf>
    <xf numFmtId="0" fontId="48" fillId="0" borderId="0" xfId="0" applyFont="1" applyAlignment="1">
      <alignment horizontal="left"/>
    </xf>
    <xf numFmtId="0" fontId="36" fillId="0" borderId="0" xfId="0" applyFont="1" applyAlignment="1">
      <alignment horizontal="centerContinuous" vertical="center"/>
    </xf>
    <xf numFmtId="0" fontId="41" fillId="3" borderId="42" xfId="0" applyFont="1" applyFill="1" applyBorder="1" applyAlignment="1">
      <alignment horizontal="left"/>
    </xf>
    <xf numFmtId="0" fontId="41" fillId="3" borderId="43" xfId="0" applyFont="1" applyFill="1" applyBorder="1" applyAlignment="1">
      <alignment horizontal="centerContinuous"/>
    </xf>
    <xf numFmtId="0" fontId="48" fillId="8" borderId="71" xfId="0" applyFont="1" applyFill="1" applyBorder="1" applyAlignment="1">
      <alignment horizontal="center" vertical="center" wrapText="1"/>
    </xf>
    <xf numFmtId="0" fontId="48" fillId="8" borderId="72" xfId="0" applyFont="1" applyFill="1" applyBorder="1" applyAlignment="1">
      <alignment horizontal="center" vertical="center" wrapText="1"/>
    </xf>
    <xf numFmtId="0" fontId="48" fillId="8" borderId="73" xfId="0" applyFont="1" applyFill="1" applyBorder="1" applyAlignment="1">
      <alignment horizontal="center" vertical="center" wrapText="1"/>
    </xf>
    <xf numFmtId="0" fontId="48" fillId="8" borderId="59" xfId="0" applyFont="1" applyFill="1" applyBorder="1" applyAlignment="1">
      <alignment horizontal="center" vertical="center" wrapText="1"/>
    </xf>
    <xf numFmtId="0" fontId="48" fillId="8" borderId="21" xfId="0" applyFont="1" applyFill="1" applyBorder="1" applyAlignment="1">
      <alignment horizontal="center" vertical="center" wrapText="1"/>
    </xf>
    <xf numFmtId="0" fontId="48" fillId="8" borderId="49" xfId="0" applyFont="1" applyFill="1" applyBorder="1" applyAlignment="1">
      <alignment horizontal="center" vertical="center" wrapText="1"/>
    </xf>
    <xf numFmtId="0" fontId="40" fillId="3" borderId="27" xfId="0" applyFont="1" applyFill="1" applyBorder="1" applyAlignment="1">
      <alignment horizontal="left" vertical="center"/>
    </xf>
    <xf numFmtId="3" fontId="41" fillId="3" borderId="20" xfId="0" applyNumberFormat="1" applyFont="1" applyFill="1" applyBorder="1" applyAlignment="1">
      <alignment horizontal="center" vertical="center"/>
    </xf>
    <xf numFmtId="3" fontId="41" fillId="3" borderId="28" xfId="0" applyNumberFormat="1" applyFont="1" applyFill="1" applyBorder="1" applyAlignment="1">
      <alignment horizontal="center"/>
    </xf>
    <xf numFmtId="0" fontId="40" fillId="3" borderId="68" xfId="0" applyFont="1" applyFill="1" applyBorder="1" applyAlignment="1">
      <alignment horizontal="left" vertical="center"/>
    </xf>
    <xf numFmtId="3" fontId="41" fillId="3" borderId="35" xfId="0" applyNumberFormat="1" applyFont="1" applyFill="1" applyBorder="1" applyAlignment="1">
      <alignment horizontal="center" vertical="center"/>
    </xf>
    <xf numFmtId="3" fontId="41" fillId="3" borderId="48" xfId="0" applyNumberFormat="1" applyFont="1" applyFill="1" applyBorder="1" applyAlignment="1">
      <alignment horizontal="center"/>
    </xf>
    <xf numFmtId="0" fontId="40" fillId="3" borderId="24" xfId="0" applyFont="1" applyFill="1" applyBorder="1" applyAlignment="1">
      <alignment horizontal="left" vertical="center"/>
    </xf>
    <xf numFmtId="3" fontId="41" fillId="3" borderId="25" xfId="0" applyNumberFormat="1" applyFont="1" applyFill="1" applyBorder="1" applyAlignment="1">
      <alignment horizontal="center" vertical="center"/>
    </xf>
    <xf numFmtId="3" fontId="41" fillId="3" borderId="26" xfId="0" applyNumberFormat="1" applyFont="1" applyFill="1" applyBorder="1" applyAlignment="1">
      <alignment horizontal="center"/>
    </xf>
    <xf numFmtId="0" fontId="40" fillId="3" borderId="29" xfId="0" applyFont="1" applyFill="1" applyBorder="1" applyAlignment="1">
      <alignment horizontal="left" vertical="center"/>
    </xf>
    <xf numFmtId="3" fontId="41" fillId="3" borderId="30" xfId="0" applyNumberFormat="1" applyFont="1" applyFill="1" applyBorder="1" applyAlignment="1">
      <alignment horizontal="center" vertical="center"/>
    </xf>
    <xf numFmtId="3" fontId="41" fillId="3" borderId="31" xfId="0" applyNumberFormat="1" applyFont="1" applyFill="1" applyBorder="1" applyAlignment="1">
      <alignment horizontal="center"/>
    </xf>
    <xf numFmtId="3" fontId="41" fillId="3" borderId="26" xfId="0" applyNumberFormat="1" applyFont="1" applyFill="1" applyBorder="1" applyAlignment="1">
      <alignment horizontal="center" vertical="center"/>
    </xf>
    <xf numFmtId="3" fontId="41" fillId="3" borderId="28" xfId="0" applyNumberFormat="1" applyFont="1" applyFill="1" applyBorder="1" applyAlignment="1">
      <alignment horizontal="center" vertical="center"/>
    </xf>
    <xf numFmtId="3" fontId="41" fillId="3" borderId="31" xfId="0" applyNumberFormat="1" applyFont="1" applyFill="1" applyBorder="1" applyAlignment="1">
      <alignment horizontal="center" vertical="center"/>
    </xf>
    <xf numFmtId="0" fontId="40" fillId="3" borderId="19" xfId="0" applyFont="1" applyFill="1" applyBorder="1" applyAlignment="1">
      <alignment horizontal="left" vertical="center"/>
    </xf>
    <xf numFmtId="3" fontId="41" fillId="3" borderId="19" xfId="0" applyNumberFormat="1" applyFont="1" applyFill="1" applyBorder="1" applyAlignment="1">
      <alignment horizontal="center" vertical="center"/>
    </xf>
    <xf numFmtId="3" fontId="41" fillId="3" borderId="14" xfId="0" applyNumberFormat="1" applyFont="1" applyFill="1" applyBorder="1" applyAlignment="1">
      <alignment horizontal="center" vertical="center"/>
    </xf>
    <xf numFmtId="3" fontId="41" fillId="3" borderId="33" xfId="0" applyNumberFormat="1" applyFont="1" applyFill="1" applyBorder="1" applyAlignment="1">
      <alignment horizontal="center" vertical="center"/>
    </xf>
    <xf numFmtId="0" fontId="40" fillId="3" borderId="34" xfId="0" applyFont="1" applyFill="1" applyBorder="1" applyAlignment="1">
      <alignment horizontal="left" vertical="center"/>
    </xf>
    <xf numFmtId="3" fontId="41" fillId="3" borderId="34" xfId="0" applyNumberFormat="1" applyFont="1" applyFill="1" applyBorder="1" applyAlignment="1">
      <alignment horizontal="center" vertical="center"/>
    </xf>
    <xf numFmtId="174" fontId="41" fillId="3" borderId="14" xfId="0" applyNumberFormat="1" applyFont="1" applyFill="1" applyBorder="1" applyAlignment="1">
      <alignment horizontal="center"/>
    </xf>
    <xf numFmtId="0" fontId="48" fillId="26" borderId="20" xfId="0" applyFont="1" applyFill="1" applyBorder="1" applyAlignment="1">
      <alignment horizontal="centerContinuous" vertical="center"/>
    </xf>
    <xf numFmtId="0" fontId="48" fillId="26" borderId="20" xfId="0" applyFont="1" applyFill="1" applyBorder="1" applyAlignment="1">
      <alignment horizontal="left" vertical="center" wrapText="1"/>
    </xf>
    <xf numFmtId="0" fontId="48" fillId="27" borderId="20" xfId="0" applyFont="1" applyFill="1" applyBorder="1" applyAlignment="1">
      <alignment horizontal="centerContinuous" vertical="center"/>
    </xf>
    <xf numFmtId="0" fontId="43" fillId="0" borderId="20" xfId="0" applyFont="1" applyBorder="1" applyAlignment="1">
      <alignment horizontal="left" vertical="center" wrapText="1"/>
    </xf>
    <xf numFmtId="0" fontId="40" fillId="3" borderId="20" xfId="0" applyFont="1" applyFill="1" applyBorder="1" applyAlignment="1">
      <alignment horizontal="left" vertical="center" wrapText="1"/>
    </xf>
    <xf numFmtId="0" fontId="40" fillId="8" borderId="20" xfId="0" applyFont="1" applyFill="1" applyBorder="1" applyAlignment="1">
      <alignment horizontal="left" vertical="center" wrapText="1"/>
    </xf>
    <xf numFmtId="0" fontId="43" fillId="0" borderId="20" xfId="0" applyFont="1" applyBorder="1" applyAlignment="1">
      <alignment vertical="center" wrapText="1"/>
    </xf>
    <xf numFmtId="0" fontId="48" fillId="8" borderId="20" xfId="0" applyFont="1" applyFill="1" applyBorder="1" applyAlignment="1">
      <alignment horizontal="left" vertical="center" wrapText="1"/>
    </xf>
    <xf numFmtId="0" fontId="40" fillId="7" borderId="20" xfId="0" applyFont="1" applyFill="1" applyBorder="1" applyAlignment="1">
      <alignment horizontal="left" vertical="center" wrapText="1"/>
    </xf>
    <xf numFmtId="0" fontId="48" fillId="7" borderId="20" xfId="0" applyFont="1" applyFill="1" applyBorder="1" applyAlignment="1">
      <alignment horizontal="left" vertical="center" wrapText="1"/>
    </xf>
    <xf numFmtId="0" fontId="48" fillId="27" borderId="35" xfId="0" applyFont="1" applyFill="1" applyBorder="1" applyAlignment="1">
      <alignment horizontal="centerContinuous" vertical="center"/>
    </xf>
    <xf numFmtId="0" fontId="48" fillId="3" borderId="20" xfId="0" applyFont="1" applyFill="1" applyBorder="1" applyAlignment="1">
      <alignment vertical="center" wrapText="1"/>
    </xf>
    <xf numFmtId="0" fontId="48" fillId="3" borderId="20" xfId="0" applyFont="1" applyFill="1" applyBorder="1" applyAlignment="1">
      <alignment vertical="center"/>
    </xf>
    <xf numFmtId="0" fontId="48" fillId="3" borderId="20" xfId="0" applyFont="1" applyFill="1" applyBorder="1" applyAlignment="1">
      <alignment horizontal="left" vertical="center" wrapText="1"/>
    </xf>
    <xf numFmtId="0" fontId="65" fillId="0" borderId="20" xfId="0" applyFont="1" applyBorder="1"/>
    <xf numFmtId="0" fontId="48" fillId="3" borderId="33" xfId="0" applyFont="1" applyFill="1" applyBorder="1" applyAlignment="1">
      <alignment horizontal="left" vertical="center" wrapText="1"/>
    </xf>
    <xf numFmtId="0" fontId="65" fillId="0" borderId="20" xfId="0" applyFont="1" applyBorder="1" applyAlignment="1">
      <alignment wrapText="1"/>
    </xf>
    <xf numFmtId="3" fontId="48" fillId="3" borderId="33" xfId="0" applyNumberFormat="1" applyFont="1" applyFill="1" applyBorder="1" applyAlignment="1">
      <alignment horizontal="left" vertical="center" wrapText="1"/>
    </xf>
    <xf numFmtId="0" fontId="48" fillId="28" borderId="35" xfId="0" applyFont="1" applyFill="1" applyBorder="1" applyAlignment="1">
      <alignment horizontal="centerContinuous" vertical="center"/>
    </xf>
    <xf numFmtId="0" fontId="48" fillId="28" borderId="20" xfId="0" applyFont="1" applyFill="1" applyBorder="1" applyAlignment="1">
      <alignment horizontal="centerContinuous" vertical="center"/>
    </xf>
    <xf numFmtId="0" fontId="48" fillId="8" borderId="35" xfId="0" applyFont="1" applyFill="1" applyBorder="1" applyAlignment="1">
      <alignment horizontal="left" vertical="center" wrapText="1"/>
    </xf>
    <xf numFmtId="0" fontId="48" fillId="3" borderId="15" xfId="0" applyFont="1" applyFill="1" applyBorder="1" applyAlignment="1">
      <alignment horizontal="left" vertical="center" wrapText="1"/>
    </xf>
    <xf numFmtId="0" fontId="2" fillId="0" borderId="1" xfId="0" applyFont="1" applyBorder="1" applyAlignment="1">
      <alignment vertical="top" wrapText="1"/>
    </xf>
    <xf numFmtId="0" fontId="2" fillId="0" borderId="2" xfId="0" applyFont="1" applyBorder="1" applyAlignment="1">
      <alignment wrapText="1"/>
    </xf>
  </cellXfs>
  <cellStyles count="17">
    <cellStyle name="Comma" xfId="16" builtinId="3"/>
    <cellStyle name="Comma 3" xfId="4" xr:uid="{00000000-0005-0000-0000-000001000000}"/>
    <cellStyle name="Currency" xfId="2" builtinId="4"/>
    <cellStyle name="Hyperlink" xfId="1" builtinId="8"/>
    <cellStyle name="Hyperlink 2" xfId="9" xr:uid="{00000000-0005-0000-0000-000004000000}"/>
    <cellStyle name="Hyperlink 2 2" xfId="12" xr:uid="{00000000-0005-0000-0000-000005000000}"/>
    <cellStyle name="Hyperlink 3" xfId="13" xr:uid="{00000000-0005-0000-0000-000006000000}"/>
    <cellStyle name="Hyperlink 4" xfId="15" xr:uid="{00000000-0005-0000-0000-000007000000}"/>
    <cellStyle name="Normal" xfId="0" builtinId="0"/>
    <cellStyle name="Normal 10" xfId="10" xr:uid="{00000000-0005-0000-0000-000009000000}"/>
    <cellStyle name="Normal 11" xfId="3" xr:uid="{00000000-0005-0000-0000-00000A000000}"/>
    <cellStyle name="Normal 13" xfId="6" xr:uid="{00000000-0005-0000-0000-00000B000000}"/>
    <cellStyle name="Normal 14" xfId="8" xr:uid="{00000000-0005-0000-0000-00000C000000}"/>
    <cellStyle name="Normal 16" xfId="11" xr:uid="{00000000-0005-0000-0000-00000D000000}"/>
    <cellStyle name="Normal 2" xfId="14" xr:uid="{00000000-0005-0000-0000-00000E000000}"/>
    <cellStyle name="Normal 3" xfId="7" xr:uid="{00000000-0005-0000-0000-00000F000000}"/>
    <cellStyle name="Normal 9" xfId="5" xr:uid="{00000000-0005-0000-0000-000010000000}"/>
  </cellStyles>
  <dxfs count="415">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strike val="0"/>
        <outline val="0"/>
        <shadow val="0"/>
        <u val="none"/>
        <vertAlign val="baseline"/>
        <sz val="12"/>
        <name val="Avenir LT Std 55 Roman"/>
        <scheme val="none"/>
      </font>
      <numFmt numFmtId="2" formatCode="0.00"/>
      <fill>
        <patternFill patternType="none">
          <fgColor indexed="64"/>
          <bgColor auto="1"/>
        </patternFill>
      </fill>
      <border diagonalUp="0" diagonalDown="0">
        <left style="thin">
          <color auto="1"/>
        </left>
        <right/>
        <top style="double">
          <color auto="1"/>
        </top>
        <bottom style="double">
          <color auto="1"/>
        </bottom>
        <vertical style="thin">
          <color auto="1"/>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b val="0"/>
        <i val="0"/>
        <strike val="0"/>
        <condense val="0"/>
        <extend val="0"/>
        <outline val="0"/>
        <shadow val="0"/>
        <u val="none"/>
        <vertAlign val="baseline"/>
        <sz val="12"/>
        <color theme="1"/>
        <name val="Avenir LT Std 55 Roman"/>
        <family val="2"/>
        <scheme val="none"/>
      </font>
      <numFmt numFmtId="4" formatCode="#,##0.00"/>
      <fill>
        <patternFill patternType="none">
          <fgColor indexed="64"/>
          <bgColor indexed="65"/>
        </patternFill>
      </fill>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strike val="0"/>
        <outline val="0"/>
        <shadow val="0"/>
        <u val="none"/>
        <vertAlign val="baseline"/>
        <sz val="12"/>
        <name val="Avenir LT Std 55 Roman"/>
        <scheme val="none"/>
      </font>
      <numFmt numFmtId="4" formatCode="#,##0.00"/>
      <fill>
        <patternFill patternType="none">
          <fgColor indexed="64"/>
          <bgColor auto="1"/>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1" hidden="0"/>
    </dxf>
    <dxf>
      <font>
        <strike val="0"/>
        <outline val="0"/>
        <shadow val="0"/>
        <u val="none"/>
        <vertAlign val="baseline"/>
        <sz val="12"/>
        <name val="Avenir LT Std 55 Roman"/>
        <scheme val="none"/>
      </font>
      <numFmt numFmtId="4" formatCode="#,##0.00"/>
      <fill>
        <patternFill patternType="none">
          <fgColor indexed="64"/>
          <bgColor indexed="65"/>
        </patternFill>
      </fill>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strike val="0"/>
        <outline val="0"/>
        <shadow val="0"/>
        <u val="none"/>
        <vertAlign val="baseline"/>
        <sz val="12"/>
        <name val="Avenir LT Std 55 Roman"/>
        <scheme val="none"/>
      </font>
      <numFmt numFmtId="4" formatCode="#,##0.0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strike val="0"/>
        <outline val="0"/>
        <shadow val="0"/>
        <u val="none"/>
        <vertAlign val="baseline"/>
        <sz val="12"/>
        <name val="Avenir LT Std 55 Roman"/>
        <scheme val="none"/>
      </font>
      <numFmt numFmtId="4" formatCode="#,##0.00"/>
      <fill>
        <patternFill patternType="none">
          <fgColor indexed="64"/>
          <bgColor auto="1"/>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strike val="0"/>
        <outline val="0"/>
        <shadow val="0"/>
        <u val="none"/>
        <vertAlign val="baseline"/>
        <sz val="12"/>
        <name val="Avenir LT Std 55 Roman"/>
        <scheme val="none"/>
      </font>
      <numFmt numFmtId="4" formatCode="#,##0.00"/>
      <fill>
        <patternFill patternType="none">
          <fgColor indexed="64"/>
          <bgColor auto="1"/>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strike val="0"/>
        <outline val="0"/>
        <shadow val="0"/>
        <u val="none"/>
        <vertAlign val="baseline"/>
        <sz val="12"/>
        <name val="Avenir LT Std 55 Roman"/>
        <scheme val="none"/>
      </font>
      <numFmt numFmtId="3" formatCode="#,##0"/>
      <fill>
        <patternFill patternType="none">
          <fgColor indexed="64"/>
          <bgColor auto="1"/>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strike val="0"/>
        <outline val="0"/>
        <shadow val="0"/>
        <u val="none"/>
        <vertAlign val="baseline"/>
        <sz val="12"/>
        <name val="Avenir LT Std 55 Roman"/>
        <scheme val="none"/>
      </font>
      <numFmt numFmtId="3" formatCode="#,##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strike val="0"/>
        <outline val="0"/>
        <shadow val="0"/>
        <u val="none"/>
        <vertAlign val="baseline"/>
        <sz val="12"/>
        <name val="Avenir LT Std 55 Roman"/>
        <scheme val="none"/>
      </font>
      <numFmt numFmtId="3" formatCode="#,##0"/>
      <fill>
        <patternFill patternType="none">
          <fgColor indexed="64"/>
          <bgColor indexed="65"/>
        </patternFill>
      </fill>
      <border diagonalUp="0" diagonalDown="0">
        <left style="thin">
          <color auto="1"/>
        </left>
        <right style="thin">
          <color auto="1"/>
        </right>
        <top style="double">
          <color auto="1"/>
        </top>
        <bottom style="double">
          <color auto="1"/>
        </bottom>
        <vertical style="thin">
          <color auto="1"/>
        </vertical>
        <horizontal style="double">
          <color auto="1"/>
        </horizontal>
      </border>
      <protection locked="0" hidden="0"/>
    </dxf>
    <dxf>
      <font>
        <strike val="0"/>
        <outline val="0"/>
        <shadow val="0"/>
        <u val="none"/>
        <vertAlign val="baseline"/>
        <sz val="12"/>
        <name val="Avenir LT Std 55 Roman"/>
        <scheme val="none"/>
      </font>
      <numFmt numFmtId="3" formatCode="#,##0"/>
      <fill>
        <patternFill patternType="none">
          <fgColor indexed="64"/>
          <bgColor indexed="65"/>
        </patternFill>
      </fill>
      <border diagonalUp="0" diagonalDown="0">
        <left/>
        <right style="thin">
          <color auto="1"/>
        </right>
        <top style="double">
          <color auto="1"/>
        </top>
        <bottom style="double">
          <color auto="1"/>
        </bottom>
        <vertical style="thin">
          <color auto="1"/>
        </vertical>
        <horizontal style="double">
          <color auto="1"/>
        </horizontal>
      </border>
      <protection locked="0" hidden="0"/>
    </dxf>
    <dxf>
      <border outline="0">
        <left style="medium">
          <color rgb="FF000000"/>
        </left>
        <right style="medium">
          <color rgb="FF000000"/>
        </right>
        <top style="medium">
          <color rgb="FF000000"/>
        </top>
        <bottom style="medium">
          <color rgb="FF000000"/>
        </bottom>
      </border>
    </dxf>
    <dxf>
      <font>
        <strike val="0"/>
        <outline val="0"/>
        <shadow val="0"/>
        <u val="none"/>
        <vertAlign val="baseline"/>
        <sz val="12"/>
        <name val="Avenir LT Std 55 Roman"/>
        <scheme val="none"/>
      </font>
      <fill>
        <patternFill patternType="none">
          <fgColor rgb="FF000000"/>
          <bgColor auto="1"/>
        </patternFill>
      </fill>
      <protection locked="1" hidden="0"/>
    </dxf>
    <dxf>
      <border outline="0">
        <bottom style="double">
          <color indexed="64"/>
        </bottom>
      </border>
    </dxf>
    <dxf>
      <font>
        <b/>
        <i val="0"/>
        <strike val="0"/>
        <condense val="0"/>
        <extend val="0"/>
        <outline val="0"/>
        <shadow val="0"/>
        <u val="none"/>
        <vertAlign val="baseline"/>
        <sz val="12"/>
        <color auto="1"/>
        <name val="Avenir LT Std 55 Roman"/>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name val="Avenir LT Std 55 Roman"/>
        <scheme val="none"/>
      </font>
      <numFmt numFmtId="183" formatCode="#,##0.0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border diagonalUp="0" diagonalDown="0">
        <left style="medium">
          <color indexed="64"/>
        </left>
      </border>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border diagonalUp="0" diagonalDown="0">
        <left/>
        <right style="medium">
          <color indexed="64"/>
        </right>
        <top/>
        <bottom/>
        <vertical/>
        <horizontal/>
      </border>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border diagonalUp="0" diagonalDown="0">
        <left style="medium">
          <color indexed="64"/>
        </left>
        <right/>
        <top/>
        <bottom/>
        <vertical/>
        <horizontal/>
      </border>
      <protection locked="1" hidden="0"/>
    </dxf>
    <dxf>
      <font>
        <strike val="0"/>
        <outline val="0"/>
        <shadow val="0"/>
        <u val="none"/>
        <vertAlign val="baseline"/>
        <sz val="12"/>
        <name val="Avenir LT Std 55 Roman"/>
        <scheme val="none"/>
      </font>
      <numFmt numFmtId="182" formatCode="#,##0.000000"/>
      <fill>
        <patternFill patternType="none">
          <fgColor indexed="64"/>
          <bgColor auto="1"/>
        </patternFill>
      </fill>
      <border diagonalUp="0" diagonalDown="0">
        <left/>
        <right style="medium">
          <color indexed="64"/>
        </right>
        <top/>
        <bottom/>
        <vertical/>
        <horizontal/>
      </border>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protection locked="1" hidden="0"/>
    </dxf>
    <dxf>
      <font>
        <strike val="0"/>
        <outline val="0"/>
        <shadow val="0"/>
        <u val="none"/>
        <vertAlign val="baseline"/>
        <sz val="12"/>
        <name val="Avenir LT Std 55 Roman"/>
        <scheme val="none"/>
      </font>
      <numFmt numFmtId="183" formatCode="#,##0.0000"/>
      <fill>
        <patternFill patternType="none">
          <fgColor indexed="64"/>
          <bgColor auto="1"/>
        </patternFill>
      </fill>
      <border diagonalUp="0" diagonalDown="0">
        <left style="medium">
          <color indexed="64"/>
        </left>
        <right/>
        <top/>
        <bottom/>
        <vertical/>
        <horizontal/>
      </border>
      <protection locked="1" hidden="0"/>
    </dxf>
    <dxf>
      <font>
        <strike val="0"/>
        <outline val="0"/>
        <shadow val="0"/>
        <u val="none"/>
        <vertAlign val="baseline"/>
        <sz val="12"/>
        <name val="Avenir LT Std 55 Roman"/>
        <scheme val="none"/>
      </font>
      <numFmt numFmtId="4" formatCode="#,##0.00"/>
      <fill>
        <patternFill patternType="none">
          <fgColor indexed="64"/>
          <bgColor auto="1"/>
        </patternFill>
      </fill>
      <border diagonalUp="0" diagonalDown="0">
        <left/>
        <right style="medium">
          <color indexed="64"/>
        </right>
        <top/>
        <bottom/>
        <vertical/>
        <horizontal/>
      </border>
      <protection locked="1" hidden="0"/>
    </dxf>
    <dxf>
      <font>
        <strike val="0"/>
        <outline val="0"/>
        <shadow val="0"/>
        <u val="none"/>
        <vertAlign val="baseline"/>
        <sz val="12"/>
        <name val="Avenir LT Std 55 Roman"/>
        <scheme val="none"/>
      </font>
      <numFmt numFmtId="3" formatCode="#,##0"/>
      <fill>
        <patternFill patternType="none">
          <fgColor indexed="64"/>
          <bgColor auto="1"/>
        </patternFill>
      </fill>
      <border diagonalUp="0" diagonalDown="0">
        <left style="medium">
          <color indexed="64"/>
        </left>
        <right/>
        <top/>
        <bottom/>
        <vertical/>
        <horizontal/>
      </border>
      <protection locked="1" hidden="0"/>
    </dxf>
    <dxf>
      <font>
        <b val="0"/>
        <i val="0"/>
        <strike val="0"/>
        <condense val="0"/>
        <extend val="0"/>
        <outline val="0"/>
        <shadow val="0"/>
        <u val="none"/>
        <vertAlign val="baseline"/>
        <sz val="12"/>
        <color theme="1"/>
        <name val="Avenir LT Std 55 Roman"/>
        <family val="2"/>
        <scheme val="none"/>
      </font>
      <numFmt numFmtId="174" formatCode="&quot;$&quot;#,##0"/>
      <fill>
        <patternFill patternType="none">
          <fgColor indexed="64"/>
          <bgColor indexed="65"/>
        </patternFill>
      </fill>
      <border diagonalUp="0" diagonalDown="0">
        <left/>
        <right style="medium">
          <color indexed="64"/>
        </right>
        <top/>
        <bottom/>
        <vertical/>
        <horizontal/>
      </border>
      <protection locked="1" hidden="0"/>
    </dxf>
    <dxf>
      <font>
        <b val="0"/>
        <i val="0"/>
        <strike val="0"/>
        <condense val="0"/>
        <extend val="0"/>
        <outline val="0"/>
        <shadow val="0"/>
        <u val="none"/>
        <vertAlign val="baseline"/>
        <sz val="12"/>
        <color theme="1"/>
        <name val="Avenir LT Std 55 Roman"/>
        <family val="2"/>
        <scheme val="none"/>
      </font>
      <numFmt numFmtId="3" formatCode="#,##0"/>
      <fill>
        <patternFill patternType="none">
          <fgColor indexed="64"/>
          <bgColor indexed="65"/>
        </patternFill>
      </fill>
      <protection locked="1" hidden="0"/>
    </dxf>
    <dxf>
      <font>
        <strike val="0"/>
        <outline val="0"/>
        <shadow val="0"/>
        <u val="none"/>
        <vertAlign val="baseline"/>
        <sz val="12"/>
        <name val="Avenir LT Std 55 Roman"/>
        <scheme val="none"/>
      </font>
      <numFmt numFmtId="3" formatCode="#,##0"/>
      <fill>
        <patternFill patternType="none">
          <fgColor indexed="64"/>
          <bgColor auto="1"/>
        </patternFill>
      </fill>
      <protection locked="1" hidden="0"/>
    </dxf>
    <dxf>
      <font>
        <strike val="0"/>
        <outline val="0"/>
        <shadow val="0"/>
        <u val="none"/>
        <vertAlign val="baseline"/>
        <sz val="12"/>
        <name val="Avenir LT Std 55 Roman"/>
        <scheme val="none"/>
      </font>
      <numFmt numFmtId="3" formatCode="#,##0"/>
      <fill>
        <patternFill patternType="none">
          <fgColor indexed="64"/>
          <bgColor auto="1"/>
        </patternFill>
      </fill>
      <protection locked="1" hidden="0"/>
    </dxf>
    <dxf>
      <font>
        <strike val="0"/>
        <outline val="0"/>
        <shadow val="0"/>
        <u val="none"/>
        <vertAlign val="baseline"/>
        <sz val="12"/>
        <name val="Avenir LT Std 55 Roman"/>
        <scheme val="none"/>
      </font>
      <numFmt numFmtId="3" formatCode="#,##0"/>
      <fill>
        <patternFill patternType="none">
          <fgColor indexed="64"/>
          <bgColor auto="1"/>
        </patternFill>
      </fill>
      <protection locked="1" hidden="0"/>
    </dxf>
    <dxf>
      <font>
        <strike val="0"/>
        <outline val="0"/>
        <shadow val="0"/>
        <u val="none"/>
        <vertAlign val="baseline"/>
        <sz val="12"/>
        <name val="Avenir LT Std 55 Roman"/>
        <scheme val="none"/>
      </font>
      <numFmt numFmtId="0" formatCode="General"/>
      <fill>
        <patternFill patternType="none">
          <fgColor indexed="64"/>
          <bgColor auto="1"/>
        </patternFill>
      </fill>
      <border diagonalUp="0" diagonalDown="0">
        <left style="medium">
          <color indexed="64"/>
        </left>
        <right/>
        <top/>
        <bottom/>
        <vertical/>
        <horizontal/>
      </border>
      <protection locked="1" hidden="0"/>
    </dxf>
    <dxf>
      <font>
        <b val="0"/>
        <i val="0"/>
        <strike val="0"/>
        <condense val="0"/>
        <extend val="0"/>
        <outline val="0"/>
        <shadow val="0"/>
        <u val="none"/>
        <vertAlign val="baseline"/>
        <sz val="12"/>
        <color theme="1"/>
        <name val="Avenir LT Std 55 Roman"/>
        <scheme val="none"/>
      </font>
      <numFmt numFmtId="174" formatCode="&quot;$&quot;#,##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2" formatCode="0.0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2" formatCode="0.0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2"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4" formatCode="#,##0.0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2" formatCode="0.0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4"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4" formatCode="#,##0.0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4" formatCode="#,##0.0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4" formatCode="#,##0.0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scheme val="none"/>
      </font>
      <numFmt numFmtId="3" formatCode="#,##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3" formatCode="#,##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font>
        <b val="0"/>
        <i val="0"/>
        <strike val="0"/>
        <condense val="0"/>
        <extend val="0"/>
        <outline val="0"/>
        <shadow val="0"/>
        <u val="none"/>
        <vertAlign val="baseline"/>
        <sz val="12"/>
        <color theme="1"/>
        <name val="Avenir LT Std 55 Roman"/>
        <family val="2"/>
        <scheme val="none"/>
      </font>
      <numFmt numFmtId="3" formatCode="#,##0"/>
      <fill>
        <patternFill patternType="none">
          <fgColor indexed="64"/>
          <bgColor indexed="65"/>
        </patternFill>
      </fill>
      <border diagonalUp="0" diagonalDown="0">
        <left/>
        <right style="thin">
          <color indexed="64"/>
        </right>
        <top/>
        <bottom style="thin">
          <color indexed="64"/>
        </bottom>
        <vertical/>
        <horizontal/>
      </border>
      <protection locked="1" hidden="0"/>
    </dxf>
    <dxf>
      <font>
        <strike val="0"/>
        <outline val="0"/>
        <shadow val="0"/>
        <u val="none"/>
        <vertAlign val="baseline"/>
        <sz val="12"/>
        <name val="Avenir LT Std 55 Roman"/>
        <scheme val="none"/>
      </font>
      <numFmt numFmtId="3" formatCode="#,##0"/>
      <fill>
        <patternFill patternType="none">
          <fgColor indexed="64"/>
          <bgColor indexed="65"/>
        </patternFill>
      </fill>
      <border diagonalUp="0" diagonalDown="0">
        <left/>
        <right/>
        <top style="double">
          <color auto="1"/>
        </top>
        <bottom style="double">
          <color auto="1"/>
        </bottom>
        <vertical/>
        <horizontal style="double">
          <color auto="1"/>
        </horizontal>
      </border>
      <protection locked="1" hidden="0"/>
    </dxf>
    <dxf>
      <font>
        <strike val="0"/>
        <outline val="0"/>
        <shadow val="0"/>
        <u val="none"/>
        <vertAlign val="baseline"/>
        <sz val="12"/>
        <name val="Avenir LT Std 55 Roman"/>
        <scheme val="none"/>
      </font>
      <numFmt numFmtId="3" formatCode="#,##0"/>
      <fill>
        <patternFill patternType="none">
          <fgColor indexed="64"/>
          <bgColor auto="1"/>
        </patternFill>
      </fill>
      <border diagonalUp="0" diagonalDown="0">
        <left/>
        <right/>
        <top style="double">
          <color auto="1"/>
        </top>
        <bottom style="double">
          <color auto="1"/>
        </bottom>
        <vertical/>
        <horizontal style="double">
          <color auto="1"/>
        </horizontal>
      </border>
      <protection locked="1"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2"/>
        <name val="Avenir LT Std 55 Roman"/>
        <scheme val="none"/>
      </font>
      <fill>
        <patternFill patternType="none">
          <fgColor indexed="64"/>
          <bgColor auto="1"/>
        </patternFill>
      </fill>
      <protection locked="1" hidden="0"/>
    </dxf>
    <dxf>
      <border outline="0">
        <bottom style="double">
          <color indexed="64"/>
        </bottom>
      </border>
    </dxf>
    <dxf>
      <font>
        <b/>
        <i val="0"/>
        <strike val="0"/>
        <condense val="0"/>
        <extend val="0"/>
        <outline val="0"/>
        <shadow val="0"/>
        <u val="none"/>
        <vertAlign val="baseline"/>
        <sz val="12"/>
        <color auto="1"/>
        <name val="Avenir LT Std 55 Roman"/>
        <scheme val="none"/>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Avenir Next LT Pro"/>
        <family val="2"/>
        <scheme val="none"/>
      </font>
    </dxf>
    <dxf>
      <border outline="0">
        <bottom style="thin">
          <color indexed="64"/>
        </bottom>
      </border>
    </dxf>
    <dxf>
      <font>
        <strike val="0"/>
        <outline val="0"/>
        <shadow val="0"/>
        <u val="none"/>
        <vertAlign val="baseline"/>
        <name val="Avenir Next LT Pro"/>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general" vertical="center" textRotation="0" wrapText="0" indent="0" justifyLastLine="0" shrinkToFit="0" readingOrder="0"/>
    </dxf>
    <dxf>
      <font>
        <b/>
        <strike val="0"/>
        <outline val="0"/>
        <shadow val="0"/>
        <name val="Avenir Next LT Pro"/>
        <family val="2"/>
        <scheme val="none"/>
      </font>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name val="Avenir Next LT Pro"/>
        <family val="2"/>
        <scheme val="none"/>
      </font>
    </dxf>
    <dxf>
      <border outline="0">
        <bottom style="thin">
          <color indexed="64"/>
        </bottom>
      </border>
    </dxf>
    <dxf>
      <font>
        <strike val="0"/>
        <outline val="0"/>
        <shadow val="0"/>
        <name val="Avenir Next LT Pro"/>
        <family val="2"/>
        <scheme val="none"/>
      </font>
    </dxf>
    <dxf>
      <font>
        <b val="0"/>
        <i val="0"/>
        <strike val="0"/>
        <condense val="0"/>
        <extend val="0"/>
        <outline val="0"/>
        <shadow val="0"/>
        <u val="none"/>
        <vertAlign val="baseline"/>
        <sz val="12"/>
        <color theme="1"/>
        <name val="Avenir Next LT Pro"/>
        <family val="2"/>
        <scheme val="none"/>
      </font>
      <numFmt numFmtId="165" formatCode="_(&quot;$&quot;* #,##0_);_(&quot;$&quot;* \(#,##0\);_(&quot;$&quot;* &quot;-&quot;??_);_(@_)"/>
      <fill>
        <patternFill patternType="solid">
          <fgColor indexed="64"/>
          <bgColor theme="0" tint="-4.9989318521683403E-2"/>
        </patternFill>
      </fill>
      <alignment horizontal="general" vertical="center" textRotation="0" wrapText="0" indent="0" justifyLastLine="0" shrinkToFit="0" readingOrder="0"/>
      <border diagonalUp="0" diagonalDown="0" outline="0">
        <left/>
        <right style="medium">
          <color indexed="64"/>
        </right>
        <top style="thin">
          <color auto="1"/>
        </top>
        <bottom style="thin">
          <color auto="1"/>
        </bottom>
      </border>
    </dxf>
    <dxf>
      <font>
        <b/>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general" vertical="bottom" textRotation="0" wrapText="0" indent="0" justifyLastLine="0" shrinkToFit="0" readingOrder="0"/>
      <border diagonalUp="0" diagonalDown="0" outline="0">
        <left style="medium">
          <color indexed="64"/>
        </left>
        <right/>
        <top style="thin">
          <color auto="1"/>
        </top>
        <bottom style="thin">
          <color auto="1"/>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name val="Avenir Next LT Pro"/>
        <family val="2"/>
        <scheme val="none"/>
      </font>
    </dxf>
    <dxf>
      <border outline="0">
        <bottom style="thin">
          <color indexed="64"/>
        </bottom>
      </border>
    </dxf>
    <dxf>
      <font>
        <strike val="0"/>
        <outline val="0"/>
        <shadow val="0"/>
        <name val="Avenir Next LT Pro"/>
        <family val="2"/>
        <scheme val="none"/>
      </font>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4"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protection locked="0" hidden="0"/>
    </dxf>
    <dxf>
      <border outline="0">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vertAlign val="baseline"/>
        <name val="Avenir Next LT Pro"/>
        <family val="2"/>
        <scheme val="none"/>
      </font>
      <alignment horizontal="center" vertical="center" textRotation="0" wrapText="0" indent="0" justifyLastLine="0" shrinkToFit="0" readingOrder="0"/>
    </dxf>
    <dxf>
      <border>
        <bottom style="double">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i/>
        <strike val="0"/>
        <outline val="0"/>
        <shadow val="0"/>
        <vertAlign val="baseline"/>
        <sz val="12"/>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strike val="0"/>
        <outline val="0"/>
        <shadow val="0"/>
        <vertAlign val="baseline"/>
        <sz val="12"/>
        <name val="Avenir Next LT Pro"/>
        <family val="2"/>
        <scheme val="none"/>
      </font>
      <numFmt numFmtId="3" formatCode="#,##0"/>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9"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double">
          <color auto="1"/>
        </top>
        <bottom style="double">
          <color auto="1"/>
        </bottom>
      </border>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style="medium">
          <color indexed="64"/>
        </left>
        <right/>
        <top style="double">
          <color auto="1"/>
        </top>
        <bottom style="double">
          <color auto="1"/>
        </bottom>
      </border>
      <protection locked="0" hidden="0"/>
    </dxf>
    <dxf>
      <border outline="0">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vertAlign val="baseline"/>
        <name val="Avenir Next LT Pro"/>
        <family val="2"/>
        <scheme val="none"/>
      </font>
      <alignment horizontal="center" vertical="center" textRotation="0" wrapText="0" indent="0" justifyLastLine="0" shrinkToFit="0" readingOrder="0"/>
    </dxf>
    <dxf>
      <border>
        <bottom style="double">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name val="Avenir Next LT Pro"/>
        <family val="2"/>
        <scheme val="none"/>
      </font>
    </dxf>
    <dxf>
      <font>
        <strike val="0"/>
        <outline val="0"/>
        <shadow val="0"/>
        <name val="Avenir Next LT Pro"/>
        <family val="2"/>
        <scheme val="none"/>
      </font>
      <numFmt numFmtId="3" formatCode="#,##0"/>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top style="thin">
          <color indexed="64"/>
        </top>
        <bottom style="thin">
          <color indexed="64"/>
        </bottom>
      </border>
    </dxf>
    <dxf>
      <border outline="0">
        <bottom style="medium">
          <color indexed="64"/>
        </bottom>
      </border>
    </dxf>
    <dxf>
      <font>
        <strike val="0"/>
        <outline val="0"/>
        <shadow val="0"/>
        <name val="Avenir Next LT Pro"/>
        <family val="2"/>
        <scheme val="none"/>
      </font>
    </dxf>
    <dxf>
      <font>
        <strike val="0"/>
        <outline val="0"/>
        <shadow val="0"/>
        <name val="Avenir Next LT Pro"/>
        <family val="2"/>
        <scheme val="none"/>
      </font>
    </dxf>
    <dxf>
      <font>
        <b val="0"/>
        <i val="0"/>
        <strike val="0"/>
        <condense val="0"/>
        <extend val="0"/>
        <outline val="0"/>
        <shadow val="0"/>
        <u val="none"/>
        <vertAlign val="baseline"/>
        <sz val="12"/>
        <color auto="1"/>
        <name val="Avenir Next LT Pro"/>
        <family val="2"/>
        <scheme val="none"/>
      </font>
      <numFmt numFmtId="3" formatCode="#,##0"/>
      <fill>
        <patternFill patternType="solid">
          <fgColor indexed="64"/>
          <bgColor theme="0" tint="-4.9989318521683403E-2"/>
        </patternFill>
      </fill>
      <alignment horizontal="right" vertical="center" textRotation="0" wrapText="0"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numFmt numFmtId="3" formatCode="#,##0"/>
      <fill>
        <patternFill patternType="solid">
          <fgColor indexed="64"/>
          <bgColor theme="0" tint="-4.9989318521683403E-2"/>
        </patternFill>
      </fill>
      <alignment horizontal="righ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venir Next LT Pro"/>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style="medium">
          <color indexed="64"/>
        </left>
        <right/>
        <top style="thin">
          <color indexed="64"/>
        </top>
        <bottom style="thin">
          <color indexed="64"/>
        </bottom>
      </border>
    </dxf>
    <dxf>
      <border outline="0">
        <bottom style="medium">
          <color indexed="64"/>
        </bottom>
      </border>
    </dxf>
    <dxf>
      <font>
        <strike val="0"/>
        <outline val="0"/>
        <shadow val="0"/>
        <name val="Avenir Next LT Pro"/>
        <family val="2"/>
        <scheme val="none"/>
      </font>
    </dxf>
    <dxf>
      <font>
        <strike val="0"/>
        <outline val="0"/>
        <shadow val="0"/>
        <name val="Avenir Next LT Pro"/>
        <family val="2"/>
        <scheme val="none"/>
      </font>
      <fill>
        <patternFill patternType="solid">
          <fgColor indexed="64"/>
          <bgColor theme="0"/>
        </patternFill>
      </fill>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249977111117893"/>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69" formatCode="0.0000000"/>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34998626667073579"/>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2"/>
        <color theme="1"/>
        <name val="Avenir Next LT Pro"/>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0" hidden="0"/>
    </dxf>
    <dxf>
      <border outline="0">
        <left style="thin">
          <color rgb="FF000000"/>
        </left>
        <right style="thin">
          <color rgb="FF000000"/>
        </right>
        <bottom style="thin">
          <color rgb="FF000000"/>
        </bottom>
      </border>
    </dxf>
    <dxf>
      <font>
        <b val="0"/>
        <i val="0"/>
        <strike val="0"/>
        <condense val="0"/>
        <extend val="0"/>
        <outline val="0"/>
        <shadow val="0"/>
        <u val="none"/>
        <vertAlign val="baseline"/>
        <sz val="12"/>
        <color rgb="FF000000"/>
        <name val="Avenir Next LT Pro"/>
        <family val="2"/>
        <scheme val="none"/>
      </font>
      <numFmt numFmtId="3" formatCode="#,##0"/>
      <fill>
        <patternFill patternType="solid">
          <fgColor rgb="FF000000"/>
          <bgColor rgb="FFF2F2F2"/>
        </patternFill>
      </fill>
      <alignment horizontal="center" vertical="bottom" textRotation="0" wrapText="0" indent="0" justifyLastLine="0" shrinkToFit="0" readingOrder="0"/>
      <protection locked="1" hidden="0"/>
    </dxf>
    <dxf>
      <border>
        <bottom style="double">
          <color indexed="64"/>
        </bottom>
      </border>
    </dxf>
    <dxf>
      <font>
        <b/>
        <i val="0"/>
        <strike val="0"/>
        <condense val="0"/>
        <extend val="0"/>
        <outline val="0"/>
        <shadow val="0"/>
        <u val="none"/>
        <vertAlign val="baseline"/>
        <sz val="12"/>
        <color auto="1"/>
        <name val="Avenir Next LT Pro"/>
        <family val="2"/>
        <scheme val="none"/>
      </font>
      <numFmt numFmtId="3" formatCode="#,##0"/>
      <fill>
        <patternFill patternType="solid">
          <fgColor indexed="64"/>
          <bgColor rgb="FFB7DEE8"/>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74" formatCode="&quot;$&quot;#,##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49998474074526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49998474074526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49998474074526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49998474074526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49998474074526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34998626667073579"/>
        </patternFill>
      </fill>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34998626667073579"/>
        </patternFill>
      </fill>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249977111117893"/>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0.249977111117893"/>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4"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2" formatCode="0.00"/>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4" formatCode="#,##0.00"/>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numFmt numFmtId="0" formatCode="General"/>
      <fill>
        <patternFill patternType="solid">
          <fgColor indexed="64"/>
          <bgColor theme="9"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venir Next LT Pro"/>
        <family val="2"/>
        <scheme val="none"/>
      </font>
      <fill>
        <patternFill patternType="solid">
          <fgColor indexed="64"/>
          <bgColor theme="9" tint="0.79998168889431442"/>
        </patternFill>
      </fill>
      <alignment horizontal="center" vertical="bottom" textRotation="0" wrapText="0" indent="0" justifyLastLine="0" shrinkToFit="0" readingOrder="0"/>
      <border diagonalUp="0" diagonalDown="0" outline="0">
        <left/>
        <right/>
        <top style="thin">
          <color indexed="64"/>
        </top>
        <bottom style="thin">
          <color indexed="64"/>
        </bottom>
      </border>
      <protection locked="0"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theme="1"/>
        <name val="Avenir Next LT Pro"/>
        <family val="2"/>
        <scheme val="none"/>
      </font>
      <numFmt numFmtId="3" formatCode="#,##0"/>
      <fill>
        <patternFill patternType="solid">
          <fgColor indexed="64"/>
          <bgColor theme="0" tint="-4.9989318521683403E-2"/>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2"/>
        <color auto="1"/>
        <name val="Avenir Next LT Pro"/>
        <family val="2"/>
        <scheme val="none"/>
      </font>
      <numFmt numFmtId="3" formatCode="#,##0"/>
      <fill>
        <patternFill patternType="solid">
          <fgColor indexed="64"/>
          <bgColor rgb="FFB7DEE8"/>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strike val="0"/>
        <condense val="0"/>
        <extend val="0"/>
        <outline val="0"/>
        <shadow val="0"/>
        <u val="none"/>
        <vertAlign val="baseline"/>
        <sz val="12"/>
        <color theme="1"/>
        <name val="Avenir Next LT Pro"/>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ont>
        <strike val="0"/>
        <outline val="0"/>
        <shadow val="0"/>
        <vertAlign val="baseline"/>
        <name val="Avenir Next LT Pro"/>
        <family val="2"/>
        <scheme val="none"/>
      </font>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2"/>
        <color auto="1"/>
        <name val="Avenir Next LT Pro"/>
        <family val="2"/>
        <scheme val="none"/>
      </font>
      <fill>
        <patternFill patternType="solid">
          <fgColor indexed="64"/>
          <bgColor theme="0" tint="-4.9989318521683403E-2"/>
        </patternFill>
      </fill>
      <alignment horizontal="general" vertical="center" textRotation="0" wrapText="0" indent="0" justifyLastLine="0" shrinkToFit="0" readingOrder="0"/>
      <border diagonalUp="0" diagonalDown="0" outline="0">
        <left style="medium">
          <color indexed="64"/>
        </left>
        <right/>
        <top style="thin">
          <color indexed="64"/>
        </top>
        <bottom style="thin">
          <color indexed="64"/>
        </bottom>
      </border>
      <protection locked="1" hidden="0"/>
    </dxf>
    <dxf>
      <font>
        <strike val="0"/>
        <outline val="0"/>
        <shadow val="0"/>
        <vertAlign val="baseline"/>
        <name val="Avenir Next LT Pro"/>
        <family val="2"/>
        <scheme val="none"/>
      </font>
      <protection locked="1" hidden="0"/>
    </dxf>
    <dxf>
      <font>
        <strike val="0"/>
        <outline val="0"/>
        <shadow val="0"/>
        <vertAlign val="baseline"/>
        <name val="Avenir Next LT Pro"/>
        <family val="2"/>
        <scheme val="none"/>
      </font>
      <alignment horizontal="center" vertical="center" textRotation="0" wrapText="0" indent="0" justifyLastLine="0" shrinkToFit="0" readingOrder="0"/>
      <protection locked="1" hidden="0"/>
    </dxf>
  </dxfs>
  <tableStyles count="0" defaultTableStyle="TableStyleMedium2" defaultPivotStyle="PivotStyleLight16"/>
  <colors>
    <mruColors>
      <color rgb="FF0563C1"/>
      <color rgb="FFFFFF66"/>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1743458</xdr:colOff>
      <xdr:row>5</xdr:row>
      <xdr:rowOff>180975</xdr:rowOff>
    </xdr:to>
    <xdr:pic>
      <xdr:nvPicPr>
        <xdr:cNvPr id="3" name="Picture 2" descr="Logo: California Climate Investments- Cap and Trade Dollars at Work">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43458" cy="1371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107950</xdr:colOff>
      <xdr:row>1</xdr:row>
      <xdr:rowOff>25400</xdr:rowOff>
    </xdr:from>
    <xdr:to>
      <xdr:col>0</xdr:col>
      <xdr:colOff>1854583</xdr:colOff>
      <xdr:row>6</xdr:row>
      <xdr:rowOff>206375</xdr:rowOff>
    </xdr:to>
    <xdr:pic>
      <xdr:nvPicPr>
        <xdr:cNvPr id="3" name="Picture 2" descr="Logo: California Climate Investments- Cap and Trade Dollars at Work">
          <a:extLst>
            <a:ext uri="{FF2B5EF4-FFF2-40B4-BE49-F238E27FC236}">
              <a16:creationId xmlns:a16="http://schemas.microsoft.com/office/drawing/2014/main" id="{B8A906E3-3AAF-42D8-A394-D9B149A9F6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950" y="254000"/>
          <a:ext cx="1743458" cy="1323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88900</xdr:colOff>
      <xdr:row>0</xdr:row>
      <xdr:rowOff>196850</xdr:rowOff>
    </xdr:from>
    <xdr:to>
      <xdr:col>2</xdr:col>
      <xdr:colOff>225808</xdr:colOff>
      <xdr:row>6</xdr:row>
      <xdr:rowOff>149225</xdr:rowOff>
    </xdr:to>
    <xdr:pic>
      <xdr:nvPicPr>
        <xdr:cNvPr id="4" name="Picture 3" descr="Logo: California Climate Investments- Cap and Trade Dollars at Work">
          <a:extLst>
            <a:ext uri="{FF2B5EF4-FFF2-40B4-BE49-F238E27FC236}">
              <a16:creationId xmlns:a16="http://schemas.microsoft.com/office/drawing/2014/main" id="{FA7C3EC6-BBA4-4DDB-B7D7-96CF3C3DC6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0" y="196850"/>
          <a:ext cx="1743458" cy="1323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12700</xdr:colOff>
      <xdr:row>0</xdr:row>
      <xdr:rowOff>196850</xdr:rowOff>
    </xdr:from>
    <xdr:to>
      <xdr:col>2</xdr:col>
      <xdr:colOff>149608</xdr:colOff>
      <xdr:row>6</xdr:row>
      <xdr:rowOff>149225</xdr:rowOff>
    </xdr:to>
    <xdr:pic>
      <xdr:nvPicPr>
        <xdr:cNvPr id="3" name="Picture 2" descr="Logo: California Climate Investments- Cap and Trade Dollars at Work">
          <a:extLst>
            <a:ext uri="{FF2B5EF4-FFF2-40B4-BE49-F238E27FC236}">
              <a16:creationId xmlns:a16="http://schemas.microsoft.com/office/drawing/2014/main" id="{73972850-E657-4321-BC7C-3650377E57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300" y="196850"/>
          <a:ext cx="1743458" cy="13239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458142</xdr:colOff>
      <xdr:row>6</xdr:row>
      <xdr:rowOff>19051</xdr:rowOff>
    </xdr:to>
    <xdr:pic>
      <xdr:nvPicPr>
        <xdr:cNvPr id="2" name="Picture 1" descr="California Climate Investments logo">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200026"/>
          <a:ext cx="2372667" cy="108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458142</xdr:colOff>
      <xdr:row>6</xdr:row>
      <xdr:rowOff>38100</xdr:rowOff>
    </xdr:to>
    <xdr:pic>
      <xdr:nvPicPr>
        <xdr:cNvPr id="2" name="Picture 1" descr="California Climate Investments logo">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190500"/>
          <a:ext cx="2372667" cy="108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2372667" cy="1085850"/>
    <xdr:pic>
      <xdr:nvPicPr>
        <xdr:cNvPr id="2" name="Picture 1" descr="California Climate Investments logo">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190500"/>
          <a:ext cx="2372667" cy="108585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2217092</xdr:colOff>
      <xdr:row>6</xdr:row>
      <xdr:rowOff>0</xdr:rowOff>
    </xdr:to>
    <xdr:pic>
      <xdr:nvPicPr>
        <xdr:cNvPr id="3" name="Picture 2" descr="California Climate Investments logo">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177800"/>
          <a:ext cx="2515542" cy="1079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0</xdr:row>
      <xdr:rowOff>91016</xdr:rowOff>
    </xdr:from>
    <xdr:to>
      <xdr:col>1</xdr:col>
      <xdr:colOff>1854583</xdr:colOff>
      <xdr:row>7</xdr:row>
      <xdr:rowOff>114300</xdr:rowOff>
    </xdr:to>
    <xdr:pic>
      <xdr:nvPicPr>
        <xdr:cNvPr id="4" name="Picture 3" descr="Logo: California Climate Investments- Cap and Trade Dollars at Work">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1800" y="91016"/>
          <a:ext cx="1743458" cy="15261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0</xdr:row>
      <xdr:rowOff>228600</xdr:rowOff>
    </xdr:from>
    <xdr:to>
      <xdr:col>1</xdr:col>
      <xdr:colOff>1857758</xdr:colOff>
      <xdr:row>7</xdr:row>
      <xdr:rowOff>139700</xdr:rowOff>
    </xdr:to>
    <xdr:pic>
      <xdr:nvPicPr>
        <xdr:cNvPr id="5" name="Picture 4" descr="Logo: California Climate Investments- Cap and Trade Dollars at Work">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0" y="228600"/>
          <a:ext cx="1743458" cy="1358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114300</xdr:colOff>
      <xdr:row>0</xdr:row>
      <xdr:rowOff>91016</xdr:rowOff>
    </xdr:from>
    <xdr:to>
      <xdr:col>3</xdr:col>
      <xdr:colOff>594109</xdr:colOff>
      <xdr:row>7</xdr:row>
      <xdr:rowOff>114300</xdr:rowOff>
    </xdr:to>
    <xdr:pic>
      <xdr:nvPicPr>
        <xdr:cNvPr id="2" name="Picture 1" descr="Logo: California Climate Investments- Cap and Trade Dollars at Work">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1800" y="91016"/>
          <a:ext cx="1743458" cy="15345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1743458</xdr:colOff>
      <xdr:row>6</xdr:row>
      <xdr:rowOff>180975</xdr:rowOff>
    </xdr:to>
    <xdr:pic>
      <xdr:nvPicPr>
        <xdr:cNvPr id="3" name="Picture 2" descr="Logo: California Climate Investments- Cap and Trade Dollars at Work">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0025"/>
          <a:ext cx="1743458" cy="13716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114300</xdr:colOff>
      <xdr:row>0</xdr:row>
      <xdr:rowOff>228600</xdr:rowOff>
    </xdr:from>
    <xdr:to>
      <xdr:col>1</xdr:col>
      <xdr:colOff>1857758</xdr:colOff>
      <xdr:row>7</xdr:row>
      <xdr:rowOff>76200</xdr:rowOff>
    </xdr:to>
    <xdr:pic>
      <xdr:nvPicPr>
        <xdr:cNvPr id="3" name="Picture 2" descr="Logo: California Climate Investments- Cap and Trade Dollars at Work">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228600"/>
          <a:ext cx="1743458"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54917</xdr:colOff>
      <xdr:row>6</xdr:row>
      <xdr:rowOff>139701</xdr:rowOff>
    </xdr:to>
    <xdr:pic>
      <xdr:nvPicPr>
        <xdr:cNvPr id="2" name="Picture 1" descr="California Climate Investments logo">
          <a:extLst>
            <a:ext uri="{FF2B5EF4-FFF2-40B4-BE49-F238E27FC236}">
              <a16:creationId xmlns:a16="http://schemas.microsoft.com/office/drawing/2014/main" id="{5E75A49C-7C3E-4B8A-940C-AFFE65E48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180976"/>
          <a:ext cx="2467917" cy="1044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848667</xdr:colOff>
      <xdr:row>6</xdr:row>
      <xdr:rowOff>142876</xdr:rowOff>
    </xdr:to>
    <xdr:pic>
      <xdr:nvPicPr>
        <xdr:cNvPr id="2" name="Picture 1" descr="California Climate Investments logo">
          <a:extLst>
            <a:ext uri="{FF2B5EF4-FFF2-40B4-BE49-F238E27FC236}">
              <a16:creationId xmlns:a16="http://schemas.microsoft.com/office/drawing/2014/main" id="{D64DC042-4BCD-420F-A94F-A009DF01EB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180976"/>
          <a:ext cx="2458392" cy="1044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9908</xdr:colOff>
      <xdr:row>6</xdr:row>
      <xdr:rowOff>180975</xdr:rowOff>
    </xdr:to>
    <xdr:pic>
      <xdr:nvPicPr>
        <xdr:cNvPr id="3" name="Picture 2" descr="Logo: California Climate Investments- Cap and Trade Dollars at Work">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228600"/>
          <a:ext cx="1743458" cy="1323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6733</xdr:colOff>
      <xdr:row>6</xdr:row>
      <xdr:rowOff>155574</xdr:rowOff>
    </xdr:to>
    <xdr:pic>
      <xdr:nvPicPr>
        <xdr:cNvPr id="2" name="Picture 1" descr="Logo: California Climate Investments- Cap and Trade Dollars at Work">
          <a:extLst>
            <a:ext uri="{FF2B5EF4-FFF2-40B4-BE49-F238E27FC236}">
              <a16:creationId xmlns:a16="http://schemas.microsoft.com/office/drawing/2014/main" id="{102317DF-D0AF-4F1F-B20C-8D6726D3A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200" y="228600"/>
          <a:ext cx="1743458" cy="1323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104775</xdr:rowOff>
    </xdr:from>
    <xdr:to>
      <xdr:col>1</xdr:col>
      <xdr:colOff>1562483</xdr:colOff>
      <xdr:row>6</xdr:row>
      <xdr:rowOff>47625</xdr:rowOff>
    </xdr:to>
    <xdr:pic>
      <xdr:nvPicPr>
        <xdr:cNvPr id="4" name="Picture 3" descr="Logo: California Climate Investments- Cap and Trade Dollars at Work">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04775"/>
          <a:ext cx="1629158" cy="1371600"/>
        </a:xfrm>
        <a:prstGeom prst="rect">
          <a:avLst/>
        </a:prstGeom>
      </xdr:spPr>
    </xdr:pic>
    <xdr:clientData/>
  </xdr:twoCellAnchor>
  <xdr:twoCellAnchor editAs="oneCell">
    <xdr:from>
      <xdr:col>0</xdr:col>
      <xdr:colOff>136525</xdr:colOff>
      <xdr:row>0</xdr:row>
      <xdr:rowOff>98425</xdr:rowOff>
    </xdr:from>
    <xdr:to>
      <xdr:col>1</xdr:col>
      <xdr:colOff>1568833</xdr:colOff>
      <xdr:row>6</xdr:row>
      <xdr:rowOff>47625</xdr:rowOff>
    </xdr:to>
    <xdr:pic>
      <xdr:nvPicPr>
        <xdr:cNvPr id="3" name="Picture 2" descr="Logo: California Climate Investments- Cap and Trade Dollars at Work">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525" y="98425"/>
          <a:ext cx="1635508" cy="1314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190499</xdr:colOff>
      <xdr:row>1</xdr:row>
      <xdr:rowOff>0</xdr:rowOff>
    </xdr:from>
    <xdr:to>
      <xdr:col>1</xdr:col>
      <xdr:colOff>1708149</xdr:colOff>
      <xdr:row>7</xdr:row>
      <xdr:rowOff>38100</xdr:rowOff>
    </xdr:to>
    <xdr:pic>
      <xdr:nvPicPr>
        <xdr:cNvPr id="4" name="Picture 3" descr="Logo: California Climate Investments- Cap and Trade Dollars at Work">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9" y="238125"/>
          <a:ext cx="1704975" cy="1466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1625983</xdr:colOff>
      <xdr:row>6</xdr:row>
      <xdr:rowOff>177800</xdr:rowOff>
    </xdr:to>
    <xdr:pic>
      <xdr:nvPicPr>
        <xdr:cNvPr id="3" name="Picture 2" descr="Logo: California Climate Investments- Cap and Trade Dollars at Work">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0025"/>
          <a:ext cx="1743458" cy="1371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1740283</xdr:colOff>
      <xdr:row>6</xdr:row>
      <xdr:rowOff>177800</xdr:rowOff>
    </xdr:to>
    <xdr:pic>
      <xdr:nvPicPr>
        <xdr:cNvPr id="4" name="Picture 3" descr="Logo: California Climate Investments- Cap and Trade Dollars at Work">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0025"/>
          <a:ext cx="1743458" cy="1371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1740283</xdr:colOff>
      <xdr:row>6</xdr:row>
      <xdr:rowOff>177800</xdr:rowOff>
    </xdr:to>
    <xdr:pic>
      <xdr:nvPicPr>
        <xdr:cNvPr id="3" name="Picture 2" descr="Logo: California Climate Investments- Cap and Trade Dollars at Work">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00025"/>
          <a:ext cx="1743458" cy="13716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7:D37" totalsRowShown="0" headerRowDxfId="414" dataDxfId="413">
  <autoFilter ref="B27:D37" xr:uid="{00000000-0009-0000-0100-000001000000}"/>
  <tableColumns count="3">
    <tableColumn id="1" xr3:uid="{00000000-0010-0000-0000-000001000000}" name="Category" dataDxfId="412" dataCellStyle="Normal 11"/>
    <tableColumn id="2" xr3:uid="{00000000-0010-0000-0000-000002000000}" name="Input" dataDxfId="411"/>
    <tableColumn id="4" xr3:uid="{00000000-0010-0000-0000-000004000000}" name="Required?" dataDxfId="410">
      <calculatedColumnFormula>IF(ISBLANK(C28),"Required","")</calculatedColumnFormula>
    </tableColumn>
  </tableColumns>
  <tableStyleInfo showFirstColumn="0" showLastColumn="0" showRowStripes="1" showColumnStripes="0"/>
  <extLst>
    <ext xmlns:x14="http://schemas.microsoft.com/office/spreadsheetml/2009/9/main" uri="{504A1905-F514-4f6f-8877-14C23A59335A}">
      <x14:table altTextSummary="General project informatio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e6" displayName="Table6" ref="B14:D29" totalsRowShown="0" headerRowDxfId="130" dataDxfId="128" headerRowBorderDxfId="129" tableBorderDxfId="127" totalsRowBorderDxfId="126">
  <autoFilter ref="B14:D29" xr:uid="{00000000-0009-0000-0100-000006000000}"/>
  <tableColumns count="3">
    <tableColumn id="1" xr3:uid="{00000000-0010-0000-0800-000001000000}" name="Co-benefits and Key Variables Summary" dataDxfId="125"/>
    <tableColumn id="2" xr3:uid="{00000000-0010-0000-0800-000002000000}" name="Per SADW Fund California _x000a_Climate Investments Funds" dataDxfId="124">
      <calculatedColumnFormula>Delivery_Calcs!#REF!</calculatedColumnFormula>
    </tableColumn>
    <tableColumn id="3" xr3:uid="{00000000-0010-0000-0800-000003000000}" name="Per Total Funds" dataDxfId="123"/>
  </tableColumns>
  <tableStyleInfo name="TableStyleMedium2" showFirstColumn="0" showLastColumn="0" showRowStripes="1" showColumnStripes="0"/>
  <extLst>
    <ext xmlns:x14="http://schemas.microsoft.com/office/spreadsheetml/2009/9/main" uri="{504A1905-F514-4f6f-8877-14C23A59335A}">
      <x14:table altTextSummary="Summary of Co-benefits"/>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7" displayName="Table7" ref="B11:AT44" totalsRowShown="0" headerRowDxfId="122" dataDxfId="120" headerRowBorderDxfId="121" tableBorderDxfId="119">
  <autoFilter ref="B11:AT44" xr:uid="{00000000-0009-0000-0100-000007000000}"/>
  <tableColumns count="45">
    <tableColumn id="1" xr3:uid="{00000000-0010-0000-0900-000001000000}" name="New Vehicle Type _x000a_(select from options)" dataDxfId="118">
      <calculatedColumnFormula>'Interim Water Delivery Inputs'!D19</calculatedColumnFormula>
    </tableColumn>
    <tableColumn id="17" xr3:uid="{00000000-0010-0000-0900-000011000000}" name="Fuel Type" dataDxfId="117">
      <calculatedColumnFormula>'Interim Water Delivery Inputs'!F19</calculatedColumnFormula>
    </tableColumn>
    <tableColumn id="2" xr3:uid="{77BC6E9A-81F1-4A6D-8B39-221FD1246D1C}" name="Number of Identical Vehicles" dataDxfId="116">
      <calculatedColumnFormula>'Interim Water Delivery Inputs'!H19</calculatedColumnFormula>
    </tableColumn>
    <tableColumn id="3" xr3:uid="{00000000-0010-0000-0900-000003000000}" name="Total Annual VMT _x000a_(Miles/Year)" dataDxfId="115">
      <calculatedColumnFormula>IF('Interim Water Delivery Inputs'!B19="",0,(IF('Interim Water Delivery Inputs'!J19="",(Defaults!$H$15*Table7[[#This Row],[Number of Identical Vehicles]]),'Interim Water Delivery Inputs'!J19)))</calculatedColumnFormula>
    </tableColumn>
    <tableColumn id="19" xr3:uid="{00000000-0010-0000-0900-000013000000}" name="Project Life_x000a_(Years)" dataDxfId="114">
      <calculatedColumnFormula>'Interim Water Delivery Inputs'!L19</calculatedColumnFormula>
    </tableColumn>
    <tableColumn id="4" xr3:uid="{00000000-0010-0000-0900-000004000000}" name="GHG Emission Factor _x000a_(g CO2e/mi)" dataDxfId="113">
      <calculatedColumnFormula>IF(AND(B12="Heavy Duty Truck",C12="Diesel"),'LCT - Heavy Duty'!$C$15,IF(AND(B12="Heavy Duty Truck",C12="Battery Electric"),'LCT - Heavy Duty'!$F$15,IF(AND(B12="Heavy Duty Truck",OR(C12="Natural Gas",C12="Propane")),'LCT - Heavy Duty'!$D$39,IF(AND(B12="Box Truck",C12="Gasoline"),'LCT - Light &amp; Light-Heavy Duty'!$C$15,IF(AND(B12="Box Truck",C12="Hybrid"),'LCT - Light &amp; Light-Heavy Duty'!$D$15,IF(AND(B12="Box Truck",C12="Plug-in Hybrid"),'LCT - Light &amp; Light-Heavy Duty'!$E$15,IF(AND(B12="Box Truck",C12="Battery Electric"),'LCT - Light &amp; Light-Heavy Duty'!$F$15,IF(AND(B12="Box Truck",C12="Fuel Cell Electric"),'LCT - Light &amp; Light-Heavy Duty'!$G$15,IF(AND(B12="Van",C12="Gasoline"),'LCT - Light &amp; Light-Heavy Duty'!$C$10,IF(AND(B12="Van",C12="Hybrid"),'LCT - Light &amp; Light-Heavy Duty'!$D$10,IF(AND(B12="Van",C12="Plug-in Hybrid"),'LCT - Light &amp; Light-Heavy Duty'!$E$10,IF(AND(B12="Van",'Interim Water Delivery Inputs'!F19="Battery Electric"),'LCT - Light &amp; Light-Heavy Duty'!$F$10,IF(AND(B12="Van",C12="Fuel Cell Electric"),'LCT - Light &amp; Light-Heavy Duty'!$G$10,IF(AND(B12="Sedan",C12="Gasoline"),'LCT - Light &amp; Light-Heavy Duty'!$C$23,IF(AND(B12="Sedan",C12="Hybrid"),'LCT - Light &amp; Light-Heavy Duty'!$D$23,IF(AND(B12="Sedan",C12="Plug-in Hybrid"),'LCT - Light &amp; Light-Heavy Duty'!$D$23,IF(AND(B12="Sedan",'Interim Water Delivery Inputs'!F19="Battery Electric"),'LCT - Light &amp; Light-Heavy Duty'!$E$23,IF(AND(B12="Sedan",C12="Fuel Cell Electric"),'LCT - Light &amp; Light-Heavy Duty'!$F$23,""))))))))))))))))))</calculatedColumnFormula>
    </tableColumn>
    <tableColumn id="5" xr3:uid="{00000000-0010-0000-0900-000005000000}" name="Annual Transportation GHG Emissions _x000a_(MTCO2e/Year)" dataDxfId="112">
      <calculatedColumnFormula>IFERROR(((Table7[[#This Row],[GHG Emission Factor 
(g CO2e/mi)]]*Table7[[#This Row],[Total Annual VMT 
(Miles/Year)]])*1/1000000),"")</calculatedColumnFormula>
    </tableColumn>
    <tableColumn id="18" xr3:uid="{00000000-0010-0000-0900-000012000000}" name="Total Transportation GHG Emissions _x000a_(MTCO2e)" dataDxfId="111">
      <calculatedColumnFormula>IFERROR(Table7[[#This Row],[Annual Transportation GHG Emissions 
(MTCO2e/Year)]]*Table7[[#This Row],[Project Life
(Years)]],"")</calculatedColumnFormula>
    </tableColumn>
    <tableColumn id="21" xr3:uid="{00000000-0010-0000-0900-000015000000}" name="ROG Emission Factor_x000a_(g/mi)" dataDxfId="110">
      <calculatedColumnFormula>IF(AND(B12="Heavy Duty Truck",C12="Diesel"),'LCT - Heavy Duty'!$C$16,IF(AND(B12="Heavy Duty Truck",C12="Battery Electric"),'LCT - Heavy Duty'!$F$16,IF(AND(B12="Heavy Duty Truck",OR(C12="Natural Gas",C12="Propane")),'LCT - Heavy Duty'!$D$40,IF(AND(B12="Box Truck",C12="Gasoline"),'LCT - Light &amp; Light-Heavy Duty'!$C$16,IF(AND(B12="Box Truck",C12="Hybrid"),'LCT - Light &amp; Light-Heavy Duty'!$D$16,IF(AND(B12="Box Truck",C12="Plug-in Hybrid"),'LCT - Light &amp; Light-Heavy Duty'!$E$16,IF(AND(B12="Box Truck",C12="Battery Electric"),'LCT - Light &amp; Light-Heavy Duty'!$F$16,IF(AND(B12="Box Truck",C12="Fuel Cell Electric"),'LCT - Light &amp; Light-Heavy Duty'!$G$16,IF(AND(B12="Van",C12="Gasoline"),'LCT - Light &amp; Light-Heavy Duty'!$C$11,IF(AND(B12="Van",C12="Hybrid"),'LCT - Light &amp; Light-Heavy Duty'!$D$11,IF(AND(B12="Van",C12="Plug-in Hybrid"),'LCT - Light &amp; Light-Heavy Duty'!$E$11,IF(AND(B12="Van",'Interim Water Delivery Inputs'!F19="Battery Electric"),'LCT - Light &amp; Light-Heavy Duty'!$F$11,IF(AND(B12="Van",C12="Fuel Cell Electric"),'LCT - Light &amp; Light-Heavy Duty'!$G$11,IF(AND(B12="Sedan",C12="Gasoline"),'LCT - Light &amp; Light-Heavy Duty'!$C$24,IF(AND(B12="Sedan",C12="Hybrid"),'LCT - Light &amp; Light-Heavy Duty'!$D$24,IF(AND(B12="Sedan",C12="Plug-in Hybrid"),'LCT - Light &amp; Light-Heavy Duty'!$D$24,IF(AND(B12="Sedan",'Interim Water Delivery Inputs'!F19="Battery Electric"),'LCT - Light &amp; Light-Heavy Duty'!$E$24,IF(AND(B12="Sedan",C12="Fuel Cell Electric"),'LCT - Light &amp; Light-Heavy Duty'!$F$24,""))))))))))))))))))</calculatedColumnFormula>
    </tableColumn>
    <tableColumn id="20" xr3:uid="{00000000-0010-0000-0900-000014000000}" name="Annual ROG Emissions _x000a_(lbs/year)" dataDxfId="109">
      <calculatedColumnFormula>IFERROR(((Table7[[#This Row],[ROG Emission Factor
(g/mi)]]*Table7[[#This Row],[Total Annual VMT 
(Miles/Year)]])*1/454),"")</calculatedColumnFormula>
    </tableColumn>
    <tableColumn id="11" xr3:uid="{00000000-0010-0000-0900-00000B000000}" name="Total ROG Emissions _x000a_(lbs)" dataDxfId="108">
      <calculatedColumnFormula>IFERROR((Table7[[#This Row],[Annual ROG Emissions 
(lbs/year)]]*Table7[[#This Row],[Project Life
(Years)]]),"")</calculatedColumnFormula>
    </tableColumn>
    <tableColumn id="12" xr3:uid="{00000000-0010-0000-0900-00000C000000}" name="NOx Emission Factor_x000a_(g/mi)" dataDxfId="107">
      <calculatedColumnFormula>IF(AND(B12="Heavy Duty Truck",C12="Diesel"),'LCT - Heavy Duty'!$C$17,IF(AND(B12="Heavy Duty Truck",C12="Battery Electric"),'LCT - Heavy Duty'!$F$17,IF(AND(B12="Heavy Duty Truck",OR(C12="Natural Gas",C12="Propane")),'LCT - Heavy Duty'!$D$41,IF(AND(B12="Box Truck",C12="Gasoline"),'LCT - Light &amp; Light-Heavy Duty'!$C$17,IF(AND(B12="Box Truck",C12="Hybrid"),'LCT - Light &amp; Light-Heavy Duty'!$D$17,IF(AND(B12="Box Truck",C12="Plug-in Hybrid"),'LCT - Light &amp; Light-Heavy Duty'!$E$17,IF(AND(B12="Box Truck",C12="Battery Electric"),'LCT - Light &amp; Light-Heavy Duty'!$F$17,IF(AND(B12="Box Truck",C12="Fuel Cell Electric"),'LCT - Light &amp; Light-Heavy Duty'!$G$17,IF(AND(B12="Van",C12="Gasoline"),'LCT - Light &amp; Light-Heavy Duty'!$C$12,IF(AND(B12="Van",C12="Hybrid"),'LCT - Light &amp; Light-Heavy Duty'!$D$12,IF(AND(B12="Van",C12="Plug-in Hybrid"),'LCT - Light &amp; Light-Heavy Duty'!$E$12,IF(AND(B12="Van",'Interim Water Delivery Inputs'!F19="Battery Electric"),'LCT - Light &amp; Light-Heavy Duty'!$F$12,IF(AND(B12="Van",C12="Fuel Cell Electric"),'LCT - Light &amp; Light-Heavy Duty'!$G$12,IF(AND(B12="Sedan",C12="Gasoline"),'LCT - Light &amp; Light-Heavy Duty'!$C$25,IF(AND(B12="Sedan",C12="Hybrid"),'LCT - Light &amp; Light-Heavy Duty'!$D$25,IF(AND(B12="Sedan",C12="Plug-in Hybrid"),'LCT - Light &amp; Light-Heavy Duty'!$D$25,IF(AND(B12="Sedan",'Interim Water Delivery Inputs'!F19="Battery Electric"),'LCT - Light &amp; Light-Heavy Duty'!$E$25,IF(AND(B12="Sedan",C12="Fuel Cell Electric"),'LCT - Light &amp; Light-Heavy Duty'!$F$25,""))))))))))))))))))</calculatedColumnFormula>
    </tableColumn>
    <tableColumn id="27" xr3:uid="{00000000-0010-0000-0900-00001B000000}" name="Annual NOx Emissions _x000a_(lbs/year)" dataDxfId="106">
      <calculatedColumnFormula>IFERROR(((Table7[[#This Row],[NOx Emission Factor
(g/mi)]]*Table7[[#This Row],[Total Annual VMT 
(Miles/Year)]])*1/454),"")</calculatedColumnFormula>
    </tableColumn>
    <tableColumn id="26" xr3:uid="{00000000-0010-0000-0900-00001A000000}" name="Total NOx Emissions _x000a_(lbs)" dataDxfId="105">
      <calculatedColumnFormula>IFERROR((Table7[[#This Row],[Annual NOx Emissions 
(lbs/year)]]*Table7[[#This Row],[Project Life
(Years)]]),"")</calculatedColumnFormula>
    </tableColumn>
    <tableColumn id="25" xr3:uid="{00000000-0010-0000-0900-000019000000}" name="PM2.5 Emission Factor_x000a_(g/mi)" dataDxfId="104">
      <calculatedColumnFormula>IF(AND(B12="Heavy Duty Truck",C12="Diesel"),'LCT - Heavy Duty'!$C$18,IF(AND(B12="Heavy Duty Truck",C12="Battery Electric"),'LCT - Heavy Duty'!$F$18,IF(AND(B12="Heavy Duty Truck",OR(C12="Natural Gas",C12="Propane")),'LCT - Heavy Duty'!$D$42,IF(AND(B12="Box Truck",C12="Gasoline"),'LCT - Light &amp; Light-Heavy Duty'!$C$18,IF(AND(B12="Box Truck",C12="Hybrid"),'LCT - Light &amp; Light-Heavy Duty'!$D$18,IF(AND(B12="Box Truck",C12="Plug-in Hybrid"),'LCT - Light &amp; Light-Heavy Duty'!$E$18,IF(AND(B12="Box Truck",C12="Battery Electric"),'LCT - Light &amp; Light-Heavy Duty'!$F$18,IF(AND(B12="Box Truck",C12="Fuel Cell Electric"),'LCT - Light &amp; Light-Heavy Duty'!$G$18,IF(AND(B12="Van",C12="Gasoline"),'LCT - Light &amp; Light-Heavy Duty'!$C$13,IF(AND(B12="Van",C12="Hybrid"),'LCT - Light &amp; Light-Heavy Duty'!$D$13,IF(AND(B12="Van",C12="Plug-in Hybrid"),'LCT - Light &amp; Light-Heavy Duty'!$E$13,IF(AND(B12="Van",'Interim Water Delivery Inputs'!F19="Battery Electric"),'LCT - Light &amp; Light-Heavy Duty'!$F$13,IF(AND(B12="Van",C12="Fuel Cell Electric"),'LCT - Light &amp; Light-Heavy Duty'!$G$13,IF(AND(B12="Sedan",C12="Gasoline"),'LCT - Light &amp; Light-Heavy Duty'!$C$26,IF(AND(B12="Sedan",C12="Hybrid"),'LCT - Light &amp; Light-Heavy Duty'!$D$26,IF(AND(B12="Sedan",C12="Plug-in Hybrid"),'LCT - Light &amp; Light-Heavy Duty'!$D$26,IF(AND(B12="Sedan",'Interim Water Delivery Inputs'!F19="Battery Electric"),'LCT - Light &amp; Light-Heavy Duty'!$E$26,IF(AND(B12="Sedan",C12="Fuel Cell Electric"),'LCT - Light &amp; Light-Heavy Duty'!$F$26,""))))))))))))))))))</calculatedColumnFormula>
    </tableColumn>
    <tableColumn id="24" xr3:uid="{00000000-0010-0000-0900-000018000000}" name="Annual PM2.5 Emissions _x000a_(lbs/year)" dataDxfId="103">
      <calculatedColumnFormula>IFERROR(((Table7[[#This Row],[PM2.5 Emission Factor
(g/mi)]]*Table7[[#This Row],[Total Annual VMT 
(Miles/Year)]])*1/454),"")</calculatedColumnFormula>
    </tableColumn>
    <tableColumn id="23" xr3:uid="{00000000-0010-0000-0900-000017000000}" name="Total PM2.5 Emissions _x000a_(lbs)" dataDxfId="102">
      <calculatedColumnFormula>IFERROR((Table7[[#This Row],[Annual PM2.5 Emissions 
(lbs/year)]]*Table7[[#This Row],[Project Life
(Years)]]),"")</calculatedColumnFormula>
    </tableColumn>
    <tableColumn id="22" xr3:uid="{00000000-0010-0000-0900-000016000000}" name="Diesel PM Emission Factor_x000a_(g/mi)" dataDxfId="101">
      <calculatedColumnFormula>IF(AND(B12="Heavy Duty Truck",C12="Diesel"),'LCT - Heavy Duty'!$C$19,IF(AND(B12="Heavy Duty Truck",C12="Battery Electric"),'LCT - Heavy Duty'!$F$19,IF(AND(B12="Heavy Duty Truck",OR(C12="Natural Gas",C12="Propane")),'LCT - Heavy Duty'!$D$43,IF(AND(B12="Box Truck",C12="Gasoline"),'LCT - Light &amp; Light-Heavy Duty'!$C$19,IF(AND(B12="Box Truck",C12="Hybrid"),'LCT - Light &amp; Light-Heavy Duty'!$D$19,IF(AND(B12="Box Truck",C12="Plug-in Hybrid"),'LCT - Light &amp; Light-Heavy Duty'!$E$19,IF(AND(B12="Box Truck",C12="Battery Electric"),'LCT - Light &amp; Light-Heavy Duty'!$F$19,IF(AND(B12="Box Truck",C12="Fuel Cell Electric"),'LCT - Light &amp; Light-Heavy Duty'!$G$19,IF(AND(B12="Van",C12="Gasoline"),'LCT - Light &amp; Light-Heavy Duty'!$C$14,IF(AND(B12="Van",C12="Hybrid"),'LCT - Light &amp; Light-Heavy Duty'!$D$14,IF(AND(B12="Van",C12="Plug-in Hybrid"),'LCT - Light &amp; Light-Heavy Duty'!$E$14,IF(AND(B12="Van",'Interim Water Delivery Inputs'!F19="Battery Electric"),'LCT - Light &amp; Light-Heavy Duty'!$F$14,IF(AND(B12="Van",C12="Fuel Cell Electric"),'LCT - Light &amp; Light-Heavy Duty'!$G$14,IF(AND(B12="Sedan",C12="Gasoline"),'LCT - Light &amp; Light-Heavy Duty'!$C$27,IF(AND(B12="Sedan",C12="Hybrid"),'LCT - Light &amp; Light-Heavy Duty'!$D$27,IF(AND(B12="Sedan",C12="Plug-in Hybrid"),'LCT - Light &amp; Light-Heavy Duty'!$D$27,IF(AND(B12="Sedan",'Interim Water Delivery Inputs'!F19="Battery Electric"),'LCT - Light &amp; Light-Heavy Duty'!$E$27,IF(AND(B12="Sedan",C12="Fuel Cell Electric"),'LCT - Light &amp; Light-Heavy Duty'!$F$27,""))))))))))))))))))</calculatedColumnFormula>
    </tableColumn>
    <tableColumn id="13" xr3:uid="{00000000-0010-0000-0900-00000D000000}" name="Annual Diesel PM Emissions _x000a_(lbs/year)" dataDxfId="100">
      <calculatedColumnFormula>IFERROR(((Table7[[#This Row],[Diesel PM Emission Factor
(g/mi)]]*Table7[[#This Row],[Total Annual VMT 
(Miles/Year)]])*1/454),"")</calculatedColumnFormula>
    </tableColumn>
    <tableColumn id="14" xr3:uid="{00000000-0010-0000-0900-00000E000000}" name="Total Diesel PM Emissions _x000a_(lbs)" dataDxfId="99">
      <calculatedColumnFormula>IFERROR((Table7[[#This Row],[Annual Diesel PM Emissions 
(lbs/year)]]*Table7[[#This Row],[Project Life
(Years)]]),"")</calculatedColumnFormula>
    </tableColumn>
    <tableColumn id="8" xr3:uid="{00000000-0010-0000-0900-000008000000}" name="Fuel Economy_x000a_( mi /_x000a_gal, kWh, or kg )" dataDxfId="98">
      <calculatedColumnFormula>IF(Table7[[#This Row],[Fuel Type]]="Diesel",Defaults!$C$42,IF(Table7[[#This Row],[Fuel Type]]="Natural Gas",Defaults!$C$42*'Fuel-Specific GHG'!C39,IF(Table7[[#This Row],[Fuel Type]]="Propane",Defaults!$C$42*'Fuel-Specific GHG'!C39,IF(AND(Table7[[#This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calculatedColumnFormula>
    </tableColumn>
    <tableColumn id="6" xr3:uid="{00000000-0010-0000-0900-000006000000}" name="Fuel Use _x000a_(gal, Kwh, or kg)" dataDxfId="97">
      <calculatedColumnFormula>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calculatedColumnFormula>
    </tableColumn>
    <tableColumn id="9" xr3:uid="{00000000-0010-0000-0900-000009000000}" name="Fuel Use _x000a_(gal)" dataDxfId="96">
      <calculatedColumnFormula>IF(OR(Table7[[#This Row],[Fuel Type]]="Diesel",Table7[[#This Row],[Fuel Type]]="Gasoline",Table7[[#This Row],[Fuel Type]]="Hybrid",Table7[[#This Row],[Fuel Type]]="Plug-in Hybrid",Table7[[#This Row],[Fuel Type]]="Natural Gas",Table7[[#This Row],[Fuel Type]]="Propane"),Table7[[#This Row],[Fuel Use 
(gal, Kwh, or kg)]],0)</calculatedColumnFormula>
    </tableColumn>
    <tableColumn id="7" xr3:uid="{00000000-0010-0000-0900-000007000000}" name="Fuel Cost ($)" dataDxfId="95">
      <calculatedColumnFormula>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calculatedColumnFormula>
    </tableColumn>
    <tableColumn id="10" xr3:uid="{51045C60-FDFD-48FB-AC45-1F14222D340E}" name="Column1" dataDxfId="94">
      <calculatedColumnFormula>IF(B12=0,0,IF('Project Info'!$C$33="",2023,YEAR('Project Info'!$C$33)))</calculatedColumnFormula>
    </tableColumn>
    <tableColumn id="15" xr3:uid="{703105AE-286C-4307-AB07-601863FCD0B9}" name="Column2" dataDxfId="93">
      <calculatedColumnFormula>'Interim Water Delivery Inputs'!N19*Table7[[#This Row],[Project Life
(Years)]]</calculatedColumnFormula>
    </tableColumn>
    <tableColumn id="16" xr3:uid="{F8270EB7-2870-4FF7-BFF1-B5CA41984E09}" name="Column3" dataDxfId="92">
      <calculatedColumnFormula>Table7[[#This Row],[Column2]]*Defaults!$C$59*12</calculatedColumnFormula>
    </tableColumn>
    <tableColumn id="28" xr3:uid="{51B7D4EA-6284-4F3D-840F-CCEF2D6329A7}" name="Column4" dataDxfId="91">
      <calculatedColumnFormula>Table7[[#This Row],[Column3]]*Defaults!$C$58</calculatedColumnFormula>
    </tableColumn>
    <tableColumn id="45" xr3:uid="{8DE894D3-50B8-4B44-A4C3-A48E0F5C0348}" name="Column42" dataDxfId="90">
      <calculatedColumnFormula>IF(B12=0,0,Table7[[#This Row],[Column4]]*VLOOKUP(Table7[[#This Row],[Column1]],'Passenger Auto C&amp;T'!$B$45:$D$80,3,FALSE))</calculatedColumnFormula>
    </tableColumn>
    <tableColumn id="46" xr3:uid="{CF2958A1-5B3E-4714-AF4E-03A8D7E7CE0D}" name="Column43" dataDxfId="89">
      <calculatedColumnFormula>Table7[[#This Row],[Column42]]*'Fuel Prices'!$C$11</calculatedColumnFormula>
    </tableColumn>
    <tableColumn id="29" xr3:uid="{52B89A87-C9ED-497D-83BA-1A2F143EC846}" name="Column5" dataDxfId="88">
      <calculatedColumnFormula>IF(B12=0,0,VLOOKUP(Table7[[#This Row],[Column1]],'Passenger Auto GHG'!$B$46:$D$81,3,FALSE))</calculatedColumnFormula>
    </tableColumn>
    <tableColumn id="30" xr3:uid="{BC1F5D3E-7041-4017-B5DC-964D3488986F}" name="Column6" dataDxfId="87">
      <calculatedColumnFormula>Table7[[#This Row],[Column5]]*Table7[[#This Row],[Column4]]/1000000</calculatedColumnFormula>
    </tableColumn>
    <tableColumn id="31" xr3:uid="{D42CDFEE-0FA0-4D26-B740-D5ED5C32A1AB}" name="Column7" dataDxfId="86">
      <calculatedColumnFormula>IF(B12=0,0,VLOOKUP(Table7[[#This Row],[Column1]],'Passenger Auto C&amp;T'!$B$45:$L$80,4,FALSE))</calculatedColumnFormula>
    </tableColumn>
    <tableColumn id="32" xr3:uid="{1CBE9D21-17A4-4AAB-8C8D-4E372802603D}" name="Column8" dataDxfId="85">
      <calculatedColumnFormula>IF(B12=0,0,VLOOKUP(Table7[[#This Row],[Column1]],'Passenger Auto C&amp;T'!$B$45:$L$80,5,FALSE))</calculatedColumnFormula>
    </tableColumn>
    <tableColumn id="33" xr3:uid="{85CAD226-7BD9-4935-BA0E-0DD5C036B2F7}" name="Column9" dataDxfId="84">
      <calculatedColumnFormula>IF(B12=0,0,SUM(VLOOKUP(Table7[[#This Row],[Column1]],'Passenger Auto C&amp;T'!$B$45:$L$80,6,FALSE),VLOOKUP(Table7[[#This Row],[Column1]],'Passenger Auto C&amp;T'!$B$45:$L$80,7,FALSE),VLOOKUP(Table7[[#This Row],[Column1]],'Passenger Auto C&amp;T'!$B$45:$L$80,8,FALSE)))</calculatedColumnFormula>
    </tableColumn>
    <tableColumn id="34" xr3:uid="{75A49639-6DEA-4848-9E41-E6C24060048E}" name="Column10" dataDxfId="83">
      <calculatedColumnFormula>IF(B12=0,0,VLOOKUP(Table7[[#This Row],[Column1]],'Passenger Auto C&amp;T'!$B$45:$L$80,10,FALSE))</calculatedColumnFormula>
    </tableColumn>
    <tableColumn id="35" xr3:uid="{BDC5191B-D5AF-4836-85A0-06E34109696E}" name="Column11" dataDxfId="82">
      <calculatedColumnFormula>Table7[[#This Row],[Column4]]*Table7[[#This Row],[Column7]]*0.00220462</calculatedColumnFormula>
    </tableColumn>
    <tableColumn id="36" xr3:uid="{E30FBCE0-D317-466D-BDC4-C537FAB2557E}" name="Column12" dataDxfId="81">
      <calculatedColumnFormula>Table7[[#This Row],[Column4]]*Table7[[#This Row],[Column8]]*0.00220462</calculatedColumnFormula>
    </tableColumn>
    <tableColumn id="37" xr3:uid="{83A83ED4-20F9-46A1-95E7-9C9F9BFE624C}" name="Column13" dataDxfId="80">
      <calculatedColumnFormula>Table7[[#This Row],[Column4]]*Table7[[#This Row],[Column9]]*0.00220462</calculatedColumnFormula>
    </tableColumn>
    <tableColumn id="38" xr3:uid="{9C8FA421-5DAD-46A7-A630-8CACBBBEABBC}" name="Column14" dataDxfId="79">
      <calculatedColumnFormula>Table7[[#This Row],[Column4]]*Table7[[#This Row],[Column10]]*0.00220462</calculatedColumnFormula>
    </tableColumn>
    <tableColumn id="39" xr3:uid="{274E3E5F-2247-4185-8438-364994CF29A7}" name="Column15" dataDxfId="78">
      <calculatedColumnFormula>IF(B12=0,0,Table7[[#This Row],[Column6]]-Table7[[#This Row],[Total Transportation GHG Emissions 
(MTCO2e)]])</calculatedColumnFormula>
    </tableColumn>
    <tableColumn id="40" xr3:uid="{3FED0FB1-4625-413F-BA2D-EA07923DC559}" name="Column16" dataDxfId="77">
      <calculatedColumnFormula>IF(B12=0,0,Table7[[#This Row],[Column11]]-Table7[[#This Row],[Total ROG Emissions 
(lbs)]])</calculatedColumnFormula>
    </tableColumn>
    <tableColumn id="41" xr3:uid="{71FC0388-393D-4581-8250-120D5A69DC3D}" name="Column17" dataDxfId="76">
      <calculatedColumnFormula>IF(B12=0,0,Table7[[#This Row],[Column12]]-Table7[[#This Row],[Total NOx Emissions 
(lbs)]])</calculatedColumnFormula>
    </tableColumn>
    <tableColumn id="42" xr3:uid="{41EEE734-1C38-4D51-8894-07080C5CF747}" name="Column18" dataDxfId="75">
      <calculatedColumnFormula>IF(B12=0,0,Table7[[#This Row],[Column13]]-Table7[[#This Row],[Total PM2.5 Emissions 
(lbs)]])</calculatedColumnFormula>
    </tableColumn>
    <tableColumn id="43" xr3:uid="{F9A4D224-99F9-4973-A9A7-FC0D45137BC9}" name="Column19" dataDxfId="74">
      <calculatedColumnFormula>IF(B12=0,0,Table7[[#This Row],[Column14]]-Table7[[#This Row],[Total Diesel PM Emissions 
(lbs)]])</calculatedColumnFormula>
    </tableColumn>
  </tableColumns>
  <tableStyleInfo name="TableStyleLight8" showFirstColumn="0" showLastColumn="0" showRowStripes="1" showColumnStripes="0"/>
  <extLst>
    <ext xmlns:x14="http://schemas.microsoft.com/office/spreadsheetml/2009/9/main" uri="{504A1905-F514-4f6f-8877-14C23A59335A}">
      <x14:table altText="Interim Water Delivery Calculations" altTextSummary="Calculations performed on this tab are described in the quantification metodology for the project component interim water delivery."/>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e716" displayName="Table716" ref="B11:V23" totalsRowShown="0" headerRowDxfId="73" dataDxfId="71" headerRowBorderDxfId="72" tableBorderDxfId="70">
  <autoFilter ref="B11:V23" xr:uid="{00000000-0009-0000-0100-00000F000000}"/>
  <tableColumns count="21">
    <tableColumn id="1" xr3:uid="{00000000-0010-0000-0A00-000001000000}" name="Baseline Equipment Watts _x000a_(Watts)" dataDxfId="69">
      <calculatedColumnFormula>IF(ISBLANK('Energy Efficiency Inputs'!D19),"",'Energy Efficiency Inputs'!D19)</calculatedColumnFormula>
    </tableColumn>
    <tableColumn id="17" xr3:uid="{00000000-0010-0000-0A00-000011000000}" name="Baseline Equipment Hours_x000a_(hr/yr)" dataDxfId="68">
      <calculatedColumnFormula>IF(ISBLANK('Energy Efficiency Inputs'!F19),"",'Energy Efficiency Inputs'!F19)</calculatedColumnFormula>
    </tableColumn>
    <tableColumn id="2" xr3:uid="{00000000-0010-0000-0A00-000002000000}" name="Baseline Equipment Energy Use _x000a_(kWh/yr)" dataDxfId="67">
      <calculatedColumnFormula>IFERROR((Table716[[#This Row],[Baseline Equipment Watts 
(Watts)]]/1000)*Table716[[#This Row],[Baseline Equipment Hours
(hr/yr)]]*Table716[[#This Row],[Quantity]],"")</calculatedColumnFormula>
    </tableColumn>
    <tableColumn id="3" xr3:uid="{00000000-0010-0000-0A00-000003000000}" name="Baseline GHG Emissions _x000a_(MTCO2e/Year)" dataDxfId="66">
      <calculatedColumnFormula>IFERROR(Table716[[#This Row],[Baseline Equipment Energy Use 
(kWh/yr)]]*'Grid Electricity'!$B$19,"")</calculatedColumnFormula>
    </tableColumn>
    <tableColumn id="19" xr3:uid="{00000000-0010-0000-0A00-000013000000}" name="Baseline ROG Emissions _x000a_(lbs/year)" dataDxfId="65">
      <calculatedColumnFormula>IFERROR(Table716[[#This Row],[Baseline Equipment Energy Use 
(kWh/yr)]]*'Grid Electricity'!$C$39,"")</calculatedColumnFormula>
    </tableColumn>
    <tableColumn id="4" xr3:uid="{00000000-0010-0000-0A00-000004000000}" name="Baseline NOx Emissions _x000a_(lbs/year)" dataDxfId="64">
      <calculatedColumnFormula>IFERROR(Table716[[#This Row],[Baseline Equipment Energy Use 
(kWh/yr)]]*'Grid Electricity'!$D$39,"")</calculatedColumnFormula>
    </tableColumn>
    <tableColumn id="5" xr3:uid="{00000000-0010-0000-0A00-000005000000}" name="Baseline PM2.5 Emissions _x000a_(lbs/year)" dataDxfId="63">
      <calculatedColumnFormula>IFERROR(Table716[[#This Row],[Baseline Equipment Energy Use 
(kWh/yr)]]*'Grid Electricity'!$G$39,"")</calculatedColumnFormula>
    </tableColumn>
    <tableColumn id="18" xr3:uid="{00000000-0010-0000-0A00-000012000000}" name="Project Equipment Watts _x000a_(Watts)" dataDxfId="62">
      <calculatedColumnFormula>IF(ISBLANK('Energy Efficiency Inputs'!H19),"",'Energy Efficiency Inputs'!H19)</calculatedColumnFormula>
    </tableColumn>
    <tableColumn id="21" xr3:uid="{00000000-0010-0000-0A00-000015000000}" name="Project Equipment Hours_x000a_(hr/yr)" dataDxfId="61">
      <calculatedColumnFormula>IF(ISBLANK('Energy Efficiency Inputs'!J19),"",'Energy Efficiency Inputs'!J19)</calculatedColumnFormula>
    </tableColumn>
    <tableColumn id="6" xr3:uid="{00000000-0010-0000-0A00-000006000000}" name="Project Useful Life_x000a_(yr)" dataDxfId="60">
      <calculatedColumnFormula>IF(ISBLANK('Energy Efficiency Inputs'!L19),"",'Energy Efficiency Inputs'!L19)</calculatedColumnFormula>
    </tableColumn>
    <tableColumn id="20" xr3:uid="{00000000-0010-0000-0A00-000014000000}" name="Quantity" dataDxfId="59">
      <calculatedColumnFormula>IF(ISBLANK('Energy Efficiency Inputs'!N19),"",'Energy Efficiency Inputs'!N19)</calculatedColumnFormula>
    </tableColumn>
    <tableColumn id="11" xr3:uid="{00000000-0010-0000-0A00-00000B000000}" name="Project Equipment Energy Use _x000a_(kWh/yr)" dataDxfId="58">
      <calculatedColumnFormula>IFERROR((Table716[[#This Row],[Project Equipment Watts 
(Watts)]]/1000)*Table716[[#This Row],[Project Equipment Hours
(hr/yr)]]*Table716[[#This Row],[Quantity]],"")</calculatedColumnFormula>
    </tableColumn>
    <tableColumn id="12" xr3:uid="{00000000-0010-0000-0A00-00000C000000}" name="Project GHG Emissions _x000a_(MTCO2e/Year)" dataDxfId="57">
      <calculatedColumnFormula>IFERROR(Table716[[#This Row],[Project Equipment Energy Use 
(kWh/yr)]]*'Grid Electricity'!$B$19,"")</calculatedColumnFormula>
    </tableColumn>
    <tableColumn id="27" xr3:uid="{00000000-0010-0000-0A00-00001B000000}" name="Project ROG Emissions _x000a_(lbs/year)" dataDxfId="56">
      <calculatedColumnFormula>IFERROR(Table716[[#This Row],[Project Equipment Energy Use 
(kWh/yr)]]*'Grid Electricity'!$C$39,"")</calculatedColumnFormula>
    </tableColumn>
    <tableColumn id="26" xr3:uid="{00000000-0010-0000-0A00-00001A000000}" name="Project NOx Emissions _x000a_(lbs/year)" dataDxfId="55">
      <calculatedColumnFormula>IFERROR(Table716[[#This Row],[Project Equipment Energy Use 
(kWh/yr)]]*'Grid Electricity'!$D$39,"")</calculatedColumnFormula>
    </tableColumn>
    <tableColumn id="25" xr3:uid="{00000000-0010-0000-0A00-000019000000}" name="Project PM2.5 Emissions _x000a_(lbs/year)" dataDxfId="54">
      <calculatedColumnFormula>IFERROR(Table716[[#This Row],[Project Equipment Energy Use 
(kWh/yr)]]*'Grid Electricity'!$G$39,"")</calculatedColumnFormula>
    </tableColumn>
    <tableColumn id="7" xr3:uid="{4855E62F-D789-4A04-A90D-4660158ECD8C}" name="Energy Savings (kWh)" dataDxfId="53">
      <calculatedColumnFormula>IFERROR(((Table716[[#This Row],[Project Equipment Energy Use 
(kWh/yr)]]-Table716[[#This Row],[Baseline Equipment Energy Use 
(kWh/yr)]])*Table716[[#This Row],[Project Useful Life
(yr)]]),"")</calculatedColumnFormula>
    </tableColumn>
    <tableColumn id="24" xr3:uid="{00000000-0010-0000-0A00-000018000000}" name="Total GHG Emissions _x000a_(MTCO2e)" dataDxfId="52">
      <calculatedColumnFormula>IFERROR((Table716[[#This Row],[Baseline GHG Emissions 
(MTCO2e/Year)]]-Table716[[#This Row],[Project GHG Emissions 
(MTCO2e/Year)]])*Table716[[#This Row],[Project Useful Life
(yr)]],"")</calculatedColumnFormula>
    </tableColumn>
    <tableColumn id="23" xr3:uid="{00000000-0010-0000-0A00-000017000000}" name="Total ROG Emissions _x000a_(lbs)" dataDxfId="51">
      <calculatedColumnFormula>IFERROR((Table716[[#This Row],[Baseline ROG Emissions 
(lbs/year)]]-Table716[[#This Row],[Project ROG Emissions 
(lbs/year)]])*15,"")</calculatedColumnFormula>
    </tableColumn>
    <tableColumn id="22" xr3:uid="{00000000-0010-0000-0A00-000016000000}" name="Total NOx Emissions _x000a_(lbs)" dataDxfId="50">
      <calculatedColumnFormula>IFERROR((Table716[[#This Row],[Baseline NOx Emissions 
(lbs/year)]]-Table716[[#This Row],[Project NOx Emissions 
(lbs/year)]])*15,"")</calculatedColumnFormula>
    </tableColumn>
    <tableColumn id="13" xr3:uid="{00000000-0010-0000-0A00-00000D000000}" name="Total PM2.5 Emissions _x000a_(lbs)" dataDxfId="49">
      <calculatedColumnFormula>IFERROR((Table716[[#This Row],[Baseline PM2.5 Emissions 
(lbs/year)]]-Table716[[#This Row],[Project PM2.5 Emissions 
(lbs/year)]])*15,"")</calculatedColumnFormula>
    </tableColumn>
  </tableColumns>
  <tableStyleInfo name="TableStyleLight8" showFirstColumn="0" showLastColumn="0" showRowStripes="1" showColumnStripes="0"/>
  <extLst>
    <ext xmlns:x14="http://schemas.microsoft.com/office/spreadsheetml/2009/9/main" uri="{504A1905-F514-4f6f-8877-14C23A59335A}">
      <x14:table altText="Energy Efficiency Calculations" altTextSummary="Calculations performed on this tab are described in the quantification metodology for the project component Energy Efficiency Retrofit Measure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19:DW103" totalsRowShown="0" headerRowDxfId="409" dataDxfId="408" tableBorderDxfId="407">
  <autoFilter ref="B19:DW103" xr:uid="{00000000-0009-0000-0100-000004000000}"/>
  <tableColumns count="126">
    <tableColumn id="1" xr3:uid="{00000000-0010-0000-0100-000001000000}" name="Project ID" dataDxfId="406"/>
    <tableColumn id="103" xr3:uid="{00000000-0010-0000-0100-000067000000}" name="Required_1?" dataDxfId="405">
      <calculatedColumnFormula>IF(ISBLANK(B20),"(Required)","")</calculatedColumnFormula>
    </tableColumn>
    <tableColumn id="2" xr3:uid="{00000000-0010-0000-0100-000002000000}" name="First Year of Replacement Equipment Operation_x000a_(Expected)" dataDxfId="404"/>
    <tableColumn id="104" xr3:uid="{00000000-0010-0000-0100-000068000000}" name="Required_1?2" dataDxfId="403">
      <calculatedColumnFormula>IF(ISBLANK(D20),"(Required)","")</calculatedColumnFormula>
    </tableColumn>
    <tableColumn id="3" xr3:uid="{00000000-0010-0000-0100-000003000000}" name="Project Life _x000a_(years)" dataDxfId="402"/>
    <tableColumn id="105" xr3:uid="{00000000-0010-0000-0100-000069000000}" name="Required_1?3" dataDxfId="401">
      <calculatedColumnFormula>IF(ISBLANK(F20),"(Required)","")</calculatedColumnFormula>
    </tableColumn>
    <tableColumn id="4" xr3:uid="{00000000-0010-0000-0100-000004000000}" name="Fuel Type" dataDxfId="400"/>
    <tableColumn id="106" xr3:uid="{00000000-0010-0000-0100-00006A000000}" name="Required_1?4" dataDxfId="399">
      <calculatedColumnFormula>IF(ISBLANK(H20),"(Required)","")</calculatedColumnFormula>
    </tableColumn>
    <tableColumn id="5" xr3:uid="{00000000-0010-0000-0100-000005000000}" name="Model Year" dataDxfId="398"/>
    <tableColumn id="107" xr3:uid="{00000000-0010-0000-0100-00006B000000}" name="Required_1?5" dataDxfId="397">
      <calculatedColumnFormula>IF(ISBLANK(J20),"(Required)","")</calculatedColumnFormula>
    </tableColumn>
    <tableColumn id="7" xr3:uid="{00000000-0010-0000-0100-000007000000}" name="Controlled/ Uncontrolled" dataDxfId="396"/>
    <tableColumn id="109" xr3:uid="{00000000-0010-0000-0100-00006D000000}" name="Required_1?7" dataDxfId="395">
      <calculatedColumnFormula>IF(ISBLANK(L20),"(Required)","")</calculatedColumnFormula>
    </tableColumn>
    <tableColumn id="6" xr3:uid="{00000000-0010-0000-0100-000006000000}" name="Engine Tier" dataDxfId="394"/>
    <tableColumn id="108" xr3:uid="{00000000-0010-0000-0100-00006C000000}" name="Required_1?6" dataDxfId="393">
      <calculatedColumnFormula>IF(ISBLANK(N20),"(Required)","")</calculatedColumnFormula>
    </tableColumn>
    <tableColumn id="8" xr3:uid="{00000000-0010-0000-0100-000008000000}" name="Horsepower" dataDxfId="392"/>
    <tableColumn id="110" xr3:uid="{00000000-0010-0000-0100-00006E000000}" name="Required_1?8" dataDxfId="391">
      <calculatedColumnFormula>IF(ISBLANK(P20),"(Required)","")</calculatedColumnFormula>
    </tableColumn>
    <tableColumn id="9" xr3:uid="{00000000-0010-0000-0100-000009000000}" name="Load Factor" dataDxfId="390"/>
    <tableColumn id="111" xr3:uid="{00000000-0010-0000-0100-00006F000000}" name="Required_1?9" dataDxfId="389">
      <calculatedColumnFormula>IF(ISBLANK(R20),"(Optional)","")</calculatedColumnFormula>
    </tableColumn>
    <tableColumn id="10" xr3:uid="{00000000-0010-0000-0100-00000A000000}" name="Usage _x000a_(hours/year)" dataDxfId="388"/>
    <tableColumn id="112" xr3:uid="{00000000-0010-0000-0100-000070000000}" name="Required_1?10" dataDxfId="387">
      <calculatedColumnFormula>IF(ISBLANK(T20),"(Required)","")</calculatedColumnFormula>
    </tableColumn>
    <tableColumn id="121" xr3:uid="{0ECAEE3B-3ECA-4AA2-8EC4-7B1F94A9BCD0}" name="Variable Frequency Drive Installation (Yes/No)" dataDxfId="386"/>
    <tableColumn id="120" xr3:uid="{BC443FBA-644B-451A-A170-E9C35DE06FE5}" name="Required_1?102" dataDxfId="385">
      <calculatedColumnFormula>IF(ISBLANK(V20),"(Optional)","")</calculatedColumnFormula>
    </tableColumn>
    <tableColumn id="11" xr3:uid="{00000000-0010-0000-0100-00000B000000}" name="Fuel Type2" dataDxfId="384"/>
    <tableColumn id="113" xr3:uid="{00000000-0010-0000-0100-000071000000}" name="Required_1?11" dataDxfId="383">
      <calculatedColumnFormula>IF(ISBLANK(X20),"(Required)","")</calculatedColumnFormula>
    </tableColumn>
    <tableColumn id="12" xr3:uid="{00000000-0010-0000-0100-00000C000000}" name="Model Year3" dataDxfId="382"/>
    <tableColumn id="114" xr3:uid="{00000000-0010-0000-0100-000072000000}" name="Required_1?12" dataDxfId="381">
      <calculatedColumnFormula>IF(ISBLANK(Z20),"(Required)","")</calculatedColumnFormula>
    </tableColumn>
    <tableColumn id="14" xr3:uid="{00000000-0010-0000-0100-00000E000000}" name="Controlled/ Uncontrolled5" dataDxfId="380"/>
    <tableColumn id="116" xr3:uid="{00000000-0010-0000-0100-000074000000}" name="Required_1?14" dataDxfId="379">
      <calculatedColumnFormula>IF(ISBLANK(AB20),"(Required)","")</calculatedColumnFormula>
    </tableColumn>
    <tableColumn id="13" xr3:uid="{00000000-0010-0000-0100-00000D000000}" name="Engine Tier4" dataDxfId="378"/>
    <tableColumn id="115" xr3:uid="{00000000-0010-0000-0100-000073000000}" name="Required_1?13" dataDxfId="377">
      <calculatedColumnFormula>IF(ISBLANK(AD20),"(Required)","")</calculatedColumnFormula>
    </tableColumn>
    <tableColumn id="15" xr3:uid="{00000000-0010-0000-0100-00000F000000}" name="Horsepower6" dataDxfId="376"/>
    <tableColumn id="117" xr3:uid="{00000000-0010-0000-0100-000075000000}" name="Required_1?15" dataDxfId="375">
      <calculatedColumnFormula>IF(ISBLANK(AF20),"(Required)","")</calculatedColumnFormula>
    </tableColumn>
    <tableColumn id="16" xr3:uid="{00000000-0010-0000-0100-000010000000}" name="Load Factor7" dataDxfId="374"/>
    <tableColumn id="118" xr3:uid="{00000000-0010-0000-0100-000076000000}" name="Required_1?16" dataDxfId="373">
      <calculatedColumnFormula>IF(ISBLANK(AH20),"(Optional)","")</calculatedColumnFormula>
    </tableColumn>
    <tableColumn id="17" xr3:uid="{00000000-0010-0000-0100-000011000000}" name="Usage _x000a_(hours/year)8" dataDxfId="372"/>
    <tableColumn id="119" xr3:uid="{00000000-0010-0000-0100-000077000000}" name="Required_1?17" dataDxfId="371">
      <calculatedColumnFormula>IF(ISBLANK(AJ20),"(Required)","")</calculatedColumnFormula>
    </tableColumn>
    <tableColumn id="18" xr3:uid="{00000000-0010-0000-0100-000012000000}" name="BSFC _x000a_(lbs/hp-hr)" dataDxfId="370">
      <calculatedColumnFormula>IF(P20="","",IF(AND(H20="DESL",P20&gt;100),"0.367",IF(AND(H20="DESL",P20&lt;=100),"0.408",IF(H20="CNG","0.507",IF(H20="LPG","0.507",IF(AND(H20="PROP",P20&gt;100),"0.367",IF(AND(H20="PROP",P20&lt;=100),"0.408",IF(H20="LNG","0.507",IF(H20="GAS","0.605")))))))))</calculatedColumnFormula>
    </tableColumn>
    <tableColumn id="19" xr3:uid="{00000000-0010-0000-0100-000013000000}" name="Fuel Density _x000a_(lb/gal, lb/scf for CNG)" dataDxfId="369">
      <calculatedColumnFormula>IF(H20="DESL",'Fuel Density'!$C$12,IF(H20="GAS",'Fuel Density'!$C$11,IF(H20="CNG",'Fuel Density'!$C$13,IF(H20="LNG",'Fuel Density'!$C$14,IF(H20="LPG",'Fuel Density'!$C$15,IF(H20="PROP",'Fuel Density'!$C$16,IF(H20="","","")))))))</calculatedColumnFormula>
    </tableColumn>
    <tableColumn id="20" xr3:uid="{00000000-0010-0000-0100-000014000000}" name="Energy Density _x000a_(MJ/gal, MJ/scf for CNG)" dataDxfId="368">
      <calculatedColumnFormula>IF(H20="DESL",'Fuel-Specific GHG'!$C$14,IF(H20="GAS",'Fuel-Specific GHG'!$C$16,IF(H20="CNG",'Fuel-Specific GHG'!$C$13,IF(H20="LNG",'Fuel-Specific GHG'!$C$18,IF(OR(H20="LPG",H20="PROP"),'Fuel-Specific GHG'!$C$19,IF(H20="","",""))))))</calculatedColumnFormula>
    </tableColumn>
    <tableColumn id="21" xr3:uid="{00000000-0010-0000-0100-000015000000}" name="Annual Fuel Use" dataDxfId="367">
      <calculatedColumnFormula>IFERROR(((P20*(IF(ISBLANK(R20),Defaults!$B$19,R20))*T20*AL20)/AM20),"")</calculatedColumnFormula>
    </tableColumn>
    <tableColumn id="22" xr3:uid="{00000000-0010-0000-0100-000016000000}" name="Fuel Unit" dataDxfId="366">
      <calculatedColumnFormula>IF(H20="CNG","scf/year",IF(H20="Electric","kWh/year",IF(H20="Hydrogen","kg/year",IF(H20="","","gallons/year"))))</calculatedColumnFormula>
    </tableColumn>
    <tableColumn id="23" xr3:uid="{00000000-0010-0000-0100-000017000000}" name="Fuel Carbon Content" dataDxfId="365">
      <calculatedColumnFormula>IF(H20="DESL",'Fuel-Specific GHG'!$E$14,IF(H20="GAS",'Fuel-Specific GHG'!$E$16,IF(H20="CNG",'Fuel-Specific GHG'!$E$13,IF(H20="LNG",'Fuel-Specific GHG'!$E$18,IF(OR(H20="LPG",H20="PROP"),'Fuel-Specific GHG'!$E$19,"")))))</calculatedColumnFormula>
    </tableColumn>
    <tableColumn id="24" xr3:uid="{00000000-0010-0000-0100-000018000000}" name="Carbon Content Unit" dataDxfId="364">
      <calculatedColumnFormula>IF(H20="CNG","gCO2e/scf",IF(H20="","","gCO2e/gallon"))</calculatedColumnFormula>
    </tableColumn>
    <tableColumn id="25" xr3:uid="{00000000-0010-0000-0100-000019000000}" name="BSFC _x000a_(lbs/hp-hr)9" dataDxfId="363">
      <calculatedColumnFormula>IF(AF20="","",IF(AND(X20="DESL",AF20&gt;100),"0.367",IF(AND(X20="DESL",AF20&lt;=100),"0.408",IF(AND(X20="PROP",AF20&gt;100),"0.367",IF(AND(X20="PROP",AF20&lt;=100),"0.408",IF(X20="CNG","0.507",IF(X20="LPG","0.507",IF(X20="LNG","0.507",IF(X20="GAS","0.605")))))))))</calculatedColumnFormula>
    </tableColumn>
    <tableColumn id="26" xr3:uid="{00000000-0010-0000-0100-00001A000000}" name="Fuel Density _x000a_(lb/gal, lb/scf for CNG)10" dataDxfId="362">
      <calculatedColumnFormula>IF(X20="DESL",'Fuel Density'!$C$12,IF(X20="PROP",'Fuel Density'!$C$16,IF(X20="GAS",'Fuel Density'!$C$11,IF(X20="CNG",'Fuel Density'!$C$13,IF(X20="LNG",'Fuel Density'!$C$14,IF(X20="LPG",'Fuel Density'!$C$15,IF(X20="","","")))))))</calculatedColumnFormula>
    </tableColumn>
    <tableColumn id="27" xr3:uid="{00000000-0010-0000-0100-00001B000000}" name="Annual Fuel Use11" dataDxfId="361">
      <calculatedColumnFormula>IFERROR(IF(X20="ELEC",AO20*AN20*(1/'Fuel-Specific GHG'!$C$15)*(1/IF(H20="GAS",3.4,IF(H20="DESL",2.7,3))),((AF20*(IF(ISBLANK(AH20),Defaults!$B$19,AH20))*AJ20*AS20)/AT20)),"")</calculatedColumnFormula>
    </tableColumn>
    <tableColumn id="28" xr3:uid="{00000000-0010-0000-0100-00001C000000}" name="Fuel Unit12" dataDxfId="360">
      <calculatedColumnFormula>IF(X20="CNG","scf/year",IF(X20="ELEC","kWh/year",IF(X20="","","gallons/year")))</calculatedColumnFormula>
    </tableColumn>
    <tableColumn id="29" xr3:uid="{00000000-0010-0000-0100-00001D000000}" name="Fuel Carbon Content13" dataDxfId="359">
      <calculatedColumnFormula>IF(X20="DESL",'Fuel-Specific GHG'!$E$14,IF(X20="PROP",'Fuel-Specific GHG'!$E$19,IF(X20="GAS",'Fuel-Specific GHG'!$E$16,IF(X20="CNG",'Fuel-Specific GHG'!$E$13,IF(X20="LNG",'Fuel-Specific GHG'!$E$18,IF(X20="LPG",'Fuel-Specific GHG'!$E$19,IF(X20="ELEC",'Fuel-Specific GHG'!$E$15,"")))))))</calculatedColumnFormula>
    </tableColumn>
    <tableColumn id="30" xr3:uid="{00000000-0010-0000-0100-00001E000000}" name="Carbon Content Unit14" dataDxfId="358">
      <calculatedColumnFormula>IF(X20="CNG","gCO2e/scf",IF(X20="ELEC","gCO2e/kWh",IF(X20="","","gCO2e/gallon")))</calculatedColumnFormula>
    </tableColumn>
    <tableColumn id="31" xr3:uid="{00000000-0010-0000-0100-00001F000000}" name="Baseline _x000a_(MTCO2e/year)" dataDxfId="357">
      <calculatedColumnFormula>IFERROR((AO20*AQ20)/1000000,"")</calculatedColumnFormula>
    </tableColumn>
    <tableColumn id="32" xr3:uid="{00000000-0010-0000-0100-000020000000}" name="Replacement _x000a_(MTCO2e/year)" dataDxfId="356">
      <calculatedColumnFormula>IFERROR((AU20*AW20)/1000000,"")</calculatedColumnFormula>
    </tableColumn>
    <tableColumn id="33" xr3:uid="{00000000-0010-0000-0100-000021000000}" name="Annual GHG _x000a_(MTCO2e/yr)" dataDxfId="355">
      <calculatedColumnFormula>IF(AND(AY20="",AZ20=""),"",SUM(AY20)-SUM(AZ20))</calculatedColumnFormula>
    </tableColumn>
    <tableColumn id="34" xr3:uid="{00000000-0010-0000-0100-000022000000}" name="Total GHG _x000a_(MTCO2e)" dataDxfId="354">
      <calculatedColumnFormula>IFERROR(SUM((BA20*F20),CR20),"")</calculatedColumnFormula>
    </tableColumn>
    <tableColumn id="35" xr3:uid="{00000000-0010-0000-0100-000023000000}" name="PM Conversion" dataDxfId="353">
      <calculatedColumnFormula>IF(AND(H20="",X20=""),"",IF(H20="DESL",0.92, IF(X20="DESL",0.92,0.76)))</calculatedColumnFormula>
    </tableColumn>
    <tableColumn id="36" xr3:uid="{00000000-0010-0000-0100-000024000000}" name="Model Year Range" dataDxfId="352"/>
    <tableColumn id="37" xr3:uid="{00000000-0010-0000-0100-000025000000}" name="Fuel Type Code" dataDxfId="351">
      <calculatedColumnFormula>IF(ISBLANK(H20),"",IF(AND(H20="DESL",L20="Uncontrolled"),"1",(IF(AND(H20="DESL",L20="Controlled"),"2",(IF(H20="GAS","3","4"))))))</calculatedColumnFormula>
    </tableColumn>
    <tableColumn id="38" xr3:uid="{00000000-0010-0000-0100-000026000000}" name="Horsepower Code" dataDxfId="350">
      <calculatedColumnFormula>IF(AND(BE20="1",P20&gt;=25,P20&lt;=49),"1",(IF(AND(BE20="1",P20&gt;=50,P20&lt;=119),"2",(IF(AND(BE20="1",P20&lt;=120),"3",(IF(AND(BE20="2",P20&gt;=25,P20&lt;=49),"1",(IF(AND(BE20="2",P20&gt;=50,P20&lt;=74),"2",(IF(AND(BE20="2",P20&gt;=75,P20&lt;=99),"3",(IF(AND(BE20="2",P20&gt;=100,P20&lt;=174),"4",(IF(AND(BE20="2",P20&gt;=175,P20&lt;=299),"5",(IF(AND(BE20="2",P20&gt;=300,P20&lt;=750),"6",(IF(AND(BE20="2",P20&gt;=751),"7",(IF(AND(OR(BE20="3",BE20="4"),P20&gt;=25,P20&lt;=50),"1",(IF(AND(OR(BE20="3",BE20="4"),P20&gt;=51,P20&lt;=120),"2",(IF(AND(OR(BE20="3",BE20="4"),P20&gt;=121),"3","")))))))))))))))))))))))))</calculatedColumnFormula>
    </tableColumn>
    <tableColumn id="39" xr3:uid="{00000000-0010-0000-0100-000027000000}" name="Tier/Model Year Code" dataDxfId="349">
      <calculatedColumnFormula>IF(AND(BE20="1",OR(BF20="1",BF20="2"),OR(BD20="1980-1987",BD20="1970-1979")),"1",(IF(AND(BE20="1",OR(BF20="1",BF20="2"),OR(BD20="1988-2000",BD20="2001-2006",BD20="2007-2009",BD20="2010+")),"2",(IF(AND(BE20="1",BF20="3",BD20="1970-1979"),"2",(IF(AND(BE20="1",BF20="3",BD20="1980-1987"),"3",(IF(AND(BE20="1",BF20="3",BD20="1988-2000"),"4",(IF(AND(BE20="2",N20=1),"1",(IF(AND(BE20="2",N20=2),"2",(IF(AND(BE20="2",N20=3),"3",(IF(AND(BE20="2",N20="4 (Phase-Out)"),"4",(IF(AND(OR(BF20="1",BF20="2",BF20="7"),BE20="2",N20="4 (Phase-In or Alt. NOx)"),"4",(IF(AND(OR(BF20="3",BF20="4",BF20="5", BF20="6"),BE20="2",N20="4 (Phase-In or Alt. NOx)"),"5",(IF(AND(BE20="2",N20="4 (Final)"),"6",(IF(AND(OR(BE20="3",BE20="4"),L20="Uncontrolled"),"1",(IF(AND(OR(BE20="3",BE20="4"),L20="Controlled",BD20="2001-2006"),"2",(IF(AND(OR(BE20="3",BE20="4"),L20="Controlled",BD20="2007-2009"),"3",(IF(AND(OR(BE20="3",BE20="4"),L20="Controlled",BD20="2010+"),"4","")))))))))))))))))))))))))))))))</calculatedColumnFormula>
    </tableColumn>
    <tableColumn id="40" xr3:uid="{00000000-0010-0000-0100-000028000000}" name="EF Code" dataDxfId="348">
      <calculatedColumnFormula>_xlfn.NUMBERVALUE(CONCATENATE(BE20,BF20,BG20))</calculatedColumnFormula>
    </tableColumn>
    <tableColumn id="41" xr3:uid="{00000000-0010-0000-0100-000029000000}" name="NOx EF _x000a_(g/bhp-hr)" dataDxfId="347">
      <calculatedColumnFormula>IFERROR(VLOOKUP(BH20,'Pump Emission Factors'!$B$11:$J$88,4,FALSE),"")</calculatedColumnFormula>
    </tableColumn>
    <tableColumn id="42" xr3:uid="{00000000-0010-0000-0100-00002A000000}" name="ROG EF _x000a_(g/bhp-hr)" dataDxfId="346">
      <calculatedColumnFormula>IFERROR(VLOOKUP(BH20,'Pump Emission Factors'!$B$11:$J$88,6,FALSE),"")</calculatedColumnFormula>
    </tableColumn>
    <tableColumn id="43" xr3:uid="{00000000-0010-0000-0100-00002B000000}" name="PM10 EF _x000a_(g/bhp-hr)" dataDxfId="345">
      <calculatedColumnFormula>IFERROR(VLOOKUP(BH20,'Pump Emission Factors'!$B$11:$J$88,8,FALSE),"")</calculatedColumnFormula>
    </tableColumn>
    <tableColumn id="44" xr3:uid="{00000000-0010-0000-0100-00002C000000}" name="NOx DR EF _x000a_(g/bhp-hr-hr)" dataDxfId="344">
      <calculatedColumnFormula>IFERROR(VLOOKUP(BH20,'Pump Emission Factors'!$B$11:$J$88,5,FALSE),"")</calculatedColumnFormula>
    </tableColumn>
    <tableColumn id="45" xr3:uid="{00000000-0010-0000-0100-00002D000000}" name="ROG DR EF _x000a_(g/bhp-hr-hr)" dataDxfId="343">
      <calculatedColumnFormula>IFERROR(VLOOKUP(BH20,'Pump Emission Factors'!$B$11:$J$88,7,FALSE),"")</calculatedColumnFormula>
    </tableColumn>
    <tableColumn id="46" xr3:uid="{00000000-0010-0000-0100-00002E000000}" name="PM10 DR EF _x000a_(g/bhp-hr-hr)" dataDxfId="342">
      <calculatedColumnFormula>IFERROR(VLOOKUP(BH20,'Pump Emission Factors'!$B$11:$J$88,9,FALSE),"")</calculatedColumnFormula>
    </tableColumn>
    <tableColumn id="47" xr3:uid="{00000000-0010-0000-0100-00002F000000}" name="Deterioration Life_x000a_(years)" dataDxfId="341">
      <calculatedColumnFormula>IF(ISBLANK(F20),"",(D20-J20+(F20/2)))</calculatedColumnFormula>
    </tableColumn>
    <tableColumn id="48" xr3:uid="{00000000-0010-0000-0100-000030000000}" name="Deterioration Product (years)" dataDxfId="340">
      <calculatedColumnFormula>IFERROR(T20*BO20,"")</calculatedColumnFormula>
    </tableColumn>
    <tableColumn id="49" xr3:uid="{00000000-0010-0000-0100-000031000000}" name="Total NOX _x000a_(lbs)" dataDxfId="339">
      <calculatedColumnFormula>IFERROR(((BI20+(BL20*BP20))*(IF(ISBLANK(R20),Defaults!$B$19,R20))*P20*T20)*F20*(1/454),0)</calculatedColumnFormula>
    </tableColumn>
    <tableColumn id="50" xr3:uid="{00000000-0010-0000-0100-000032000000}" name="Total ROG _x000a_(lbs)" dataDxfId="338">
      <calculatedColumnFormula>IFERROR(((BJ20+(BM20*BP20))*(IF(ISBLANK(R20),Defaults!$B$19,R20))*P20*T20)*F20*(1/454),0)</calculatedColumnFormula>
    </tableColumn>
    <tableColumn id="51" xr3:uid="{00000000-0010-0000-0100-000033000000}" name="Total PM10 _x000a_(lbs)" dataDxfId="337">
      <calculatedColumnFormula>IFERROR(((BK20+(BN20*BP20))*(IF(ISBLANK(R20),Defaults!$B$19,R20))*P20*T20)*F20*(1/454),0)</calculatedColumnFormula>
    </tableColumn>
    <tableColumn id="52" xr3:uid="{00000000-0010-0000-0100-000034000000}" name="Total Diesel PM _x000a_(lbs)" dataDxfId="336">
      <calculatedColumnFormula>IF(BS20="","",IF(H20="DESL",BS20,0))</calculatedColumnFormula>
    </tableColumn>
    <tableColumn id="53" xr3:uid="{00000000-0010-0000-0100-000035000000}" name="Total PM2.5 _x000a_(lbs)" dataDxfId="335">
      <calculatedColumnFormula>IF(BS20=0,0,BS20*BC20)</calculatedColumnFormula>
    </tableColumn>
    <tableColumn id="54" xr3:uid="{00000000-0010-0000-0100-000036000000}" name="Model Year Range15" dataDxfId="334">
      <calculatedColumnFormula>IF(AND(Z20&gt;=1970,Z20&lt;=1979),"1970-1979",IF(AND(Z20&gt;=1980,Z20&lt;=1987),"1980-1987",IF(AND(Z20&gt;=1988,Z20&lt;=2000),"1988-2000",IF(AND(Z20&gt;=2001,Z20&lt;=2006),"2001-2006",IF(AND(Z20&gt;=2007,Z20&lt;=2009),"2007-2009",IF(Z20&gt;=2010,"2010+",""))))))</calculatedColumnFormula>
    </tableColumn>
    <tableColumn id="55" xr3:uid="{00000000-0010-0000-0100-000037000000}" name="Fuel Type Code16" dataDxfId="333">
      <calculatedColumnFormula>IF(ISBLANK(X20),"",IF(AND(X20="DESL",AB20="Uncontrolled"),"1",(IF(AND(X20="DESL",AB20="Controlled"),"2",(IF(X20="GAS","3","4"))))))</calculatedColumnFormula>
    </tableColumn>
    <tableColumn id="56" xr3:uid="{00000000-0010-0000-0100-000038000000}" name="Horsepower Code17" dataDxfId="332">
      <calculatedColumnFormula>IF(AND(BW20="1",AF20&gt;=25,AF20&lt;=49),"1",(IF(AND(BW20="1",AF20&gt;=50,AF20&lt;=119),"2",(IF(AND(BW20="1",AF20&lt;=120),"3",(IF(AND(BW20="2",AF20&gt;=25,AF20&lt;=49),"1",(IF(AND(BW20="2",AF20&gt;=50,AF20&lt;=74),"2",(IF(AND(BW20="2",AF20&gt;=75,AF20&lt;=99),"3",(IF(AND(BW20="2",AF20&gt;=100,AF20&lt;=174),"4",(IF(AND(BW20="2",AF20&gt;=175,AF20&lt;=299),"5",(IF(AND(BW20="2",AF20&gt;=300,AF20&lt;=750),"6",(IF(AND(BW20="2",AF20&gt;=751),"7",(IF(AND(OR(BW20="3",BW20="4"),AF20&gt;=25,AF20&lt;=50),"1",(IF(AND(OR(BW20="3",BW20="4"),AF20&gt;=51,AF20&lt;=120),"2",(IF(AND(OR(BW20="3",BW20="4"),AF20&gt;=121),"3","")))))))))))))))))))))))))</calculatedColumnFormula>
    </tableColumn>
    <tableColumn id="57" xr3:uid="{00000000-0010-0000-0100-000039000000}" name="Tier/Model Year Code18" dataDxfId="331">
      <calculatedColumnFormula>IF(AND(BW20="1",OR(BX20="1",BX20="2"),OR(BV20="1980-1987",BV20="1970-1979")),"1",(IF(AND(BW20="1",OR(BX20="1",BX20="2"),OR(BV20="1988-2000",BV20="2001-2006",BV20="2007-2009",BV20="2010+")),"2",(IF(AND(BW20="1",BX20="3",BV20="1970-1979"),"2",(IF(AND(BW20="1",BX20="3",BV20="1980-1987"),"3",(IF(AND(BW20="1",BX20="3",BV20="1988-2000"),"4",(IF(AND(BW20="2",AD20=1),"1",(IF(AND(BW20="2",AD20=2),"2",(IF(AND(BW20="2",AD20=3),"3",(IF(AND(BW20="2",AD20="4 (Phase-Out)"),"4",(IF(AND(OR(BX20="1",BX20="2",BX20="7"),BW20="2",AD20="4 (Phase-In or Alt. NOx)"),"4",(IF(AND(OR(BX20="3",BX20="4",BX20="5", BX20="6"),BW20="2",AD20="4 (Phase-In or Alt. NOx)"),"5",(IF(AND(BW20="2",AD20="4 (Final)"),"6",(IF(AND(OR(BW20="3",BW20="4"),AB20="Uncontrolled"),"1",(IF(AND(OR(BW20="3",BW20="4"),AB20="Controlled",BV20="2001-2006"),"2",(IF(AND(OR(BW20="3",BW20="4"),AB20="Controlled",BV20="2007-2009"),"3",(IF(AND(OR(BW20="3",BW20="4"),AB20="Controlled",BV20="2010+"),"4","")))))))))))))))))))))))))))))))</calculatedColumnFormula>
    </tableColumn>
    <tableColumn id="58" xr3:uid="{00000000-0010-0000-0100-00003A000000}" name="EF Code19" dataDxfId="330">
      <calculatedColumnFormula>_xlfn.NUMBERVALUE(CONCATENATE(BW20,BX20,BY20))</calculatedColumnFormula>
    </tableColumn>
    <tableColumn id="59" xr3:uid="{00000000-0010-0000-0100-00003B000000}" name="NOx EF _x000a_(g/bhp-hr)20" dataDxfId="329">
      <calculatedColumnFormula>IFERROR(VLOOKUP(BZ20,'Pump Emission Factors'!$B$11:$J$88,4,FALSE),"")</calculatedColumnFormula>
    </tableColumn>
    <tableColumn id="60" xr3:uid="{00000000-0010-0000-0100-00003C000000}" name="ROG EF _x000a_(g/bhp-hr)21" dataDxfId="328">
      <calculatedColumnFormula>IFERROR(VLOOKUP(BZ20,'Pump Emission Factors'!$B$11:$J$88,6,FALSE),"")</calculatedColumnFormula>
    </tableColumn>
    <tableColumn id="61" xr3:uid="{00000000-0010-0000-0100-00003D000000}" name="PM10 EF _x000a_(g/bhp-hr)22" dataDxfId="327">
      <calculatedColumnFormula>IFERROR(VLOOKUP(BZ20,'Pump Emission Factors'!$B$11:$J$88,8,FALSE),"")</calculatedColumnFormula>
    </tableColumn>
    <tableColumn id="62" xr3:uid="{00000000-0010-0000-0100-00003E000000}" name="NOx DR EF _x000a_(g/bhp-hr-hr)23" dataDxfId="326">
      <calculatedColumnFormula>IFERROR(VLOOKUP(BZ20,'Pump Emission Factors'!$B$11:$J$88,5,FALSE),"")</calculatedColumnFormula>
    </tableColumn>
    <tableColumn id="63" xr3:uid="{00000000-0010-0000-0100-00003F000000}" name="ROG DR EF _x000a_(g/bhp-hr-hr)24" dataDxfId="325">
      <calculatedColumnFormula>IFERROR(VLOOKUP(BZ20,'Pump Emission Factors'!$B$11:$J$88,7,FALSE),"")</calculatedColumnFormula>
    </tableColumn>
    <tableColumn id="64" xr3:uid="{00000000-0010-0000-0100-000040000000}" name="PM10 DR EF _x000a_(g/bhp-hr-hr)25" dataDxfId="324">
      <calculatedColumnFormula>IFERROR(VLOOKUP(BZ20,'Pump Emission Factors'!$B$11:$J$88,9,FALSE),"")</calculatedColumnFormula>
    </tableColumn>
    <tableColumn id="65" xr3:uid="{00000000-0010-0000-0100-000041000000}" name="Deterioration Life_x000a_(years)26" dataDxfId="323">
      <calculatedColumnFormula>IF(ISBLANK(F20),"",(F20/2))</calculatedColumnFormula>
    </tableColumn>
    <tableColumn id="129" xr3:uid="{6791538B-B42C-48AB-9163-376507250474}" name="Deterioration Life_x000a_(years)27" dataDxfId="322">
      <calculatedColumnFormula>IFERROR(AJ20*CG20,"")</calculatedColumnFormula>
    </tableColumn>
    <tableColumn id="67" xr3:uid="{00000000-0010-0000-0100-000043000000}" name="Total NOX _x000a_(lbs)27" dataDxfId="321">
      <calculatedColumnFormula>IFERROR(IF($X20="ELEC",((($AU20*(IF($H20="DESL",'Fuel-Specific GHG'!$C$14,IF($H20="GAS",'Fuel-Specific GHG'!$C$16,IF($H20="CNG",'Fuel-Specific GHG'!$C$13,IF(OR($H20="LPG",$H20="PROP"),'Fuel-Specific GHG'!$C$19,"")))))*(1/'Fuel-Specific GHG'!$C$15)*(1/3.4)*$F20)*'Grid Electricity'!$D$39)/454),((CA20+(CD20*CH20))*(IF(ISBLANK(AH20),Defaults!$B$19,AH20))*$AF20*$AJ20*$F20)),0)</calculatedColumnFormula>
    </tableColumn>
    <tableColumn id="68" xr3:uid="{00000000-0010-0000-0100-000044000000}" name="Total ROG _x000a_(lbs)28" dataDxfId="320">
      <calculatedColumnFormula>IFERROR(IF($X20="ELEC",((($AU20*(IF($H20="DESL",'Fuel-Specific GHG'!$C$14,IF($H20="GAS",'Fuel-Specific GHG'!$C$16,IF($H20="CNG",'Fuel-Specific GHG'!$C$13,IF(OR($H20="LPG",$H20="PROP"),'Fuel-Specific GHG'!$C$19,"")))))*(1/'Fuel-Specific GHG'!$C$15)*(1/3.4)*$F20)*'Grid Electricity'!$C$39)/454),((CB20+(CE20*CH20))*(IF(ISBLANK(AH20),Defaults!$B$19,AH20))*$AF20*$AJ20*$F20)),0)</calculatedColumnFormula>
    </tableColumn>
    <tableColumn id="69" xr3:uid="{00000000-0010-0000-0100-000045000000}" name="Total PM10 _x000a_(lbs)29" dataDxfId="319">
      <calculatedColumnFormula>IFERROR(IF($X20="ELEC",((($AU20*(IF($H20="DESL",'Fuel-Specific GHG'!$C$14,IF($H20="GAS",'Fuel-Specific GHG'!$C$16,IF($H20="CNG",'Fuel-Specific GHG'!$C$13,IF(OR($H20="LPG",$H20="PROP"),'Fuel-Specific GHG'!$C$19,"")))))*(1/'Fuel-Specific GHG'!$C$15)*(1/3.4)*$F20)*'Grid Electricity'!$F$39)/454),((CC20+(CF20*CH20))*(IF(ISBLANK(AH20),Defaults!$B$19,AH20))*$AF20*$AJ20*$F20)),0)</calculatedColumnFormula>
    </tableColumn>
    <tableColumn id="70" xr3:uid="{00000000-0010-0000-0100-000046000000}" name="Total Diesel PM _x000a_(lbs)30" dataDxfId="318">
      <calculatedColumnFormula>IF(CK20="","",IF(X20="DESL",CK20,0))</calculatedColumnFormula>
    </tableColumn>
    <tableColumn id="71" xr3:uid="{00000000-0010-0000-0100-000047000000}" name="Total PM2.5 _x000a_(lbs)31" dataDxfId="317">
      <calculatedColumnFormula>IF(CK20=0,0,CK20*BC20)</calculatedColumnFormula>
    </tableColumn>
    <tableColumn id="72" xr3:uid="{00000000-0010-0000-0100-000048000000}" name="Remote NOx Emissions_x000a_(lbs)" dataDxfId="316">
      <calculatedColumnFormula>IFERROR(IF($X20="ELEC",CI20,""),"")</calculatedColumnFormula>
    </tableColumn>
    <tableColumn id="73" xr3:uid="{00000000-0010-0000-0100-000049000000}" name="Remote ROG Emissions_x000a_(lbs)" dataDxfId="315">
      <calculatedColumnFormula>IFERROR(IF($X20="ELEC",CJ20,""),"")</calculatedColumnFormula>
    </tableColumn>
    <tableColumn id="74" xr3:uid="{00000000-0010-0000-0100-00004A000000}" name="Remote PM10 Emissions_x000a_(lbs)" dataDxfId="314">
      <calculatedColumnFormula>IFERROR(IF($X20="ELEC",CK20,""),"")</calculatedColumnFormula>
    </tableColumn>
    <tableColumn id="75" xr3:uid="{00000000-0010-0000-0100-00004B000000}" name="Remote PM2.5 Emissions_x000a_(lbs)" dataDxfId="313">
      <calculatedColumnFormula>IFERROR(IF($X20="ELEC",CM20,""),"")</calculatedColumnFormula>
    </tableColumn>
    <tableColumn id="125" xr3:uid="{E201710D-65AA-4068-81CE-6EF245499180}" name="GHG EmissionReductions_x000a_(MTCO2e)" dataDxfId="312">
      <calculatedColumnFormula>IF(AND(V20="Yes, Booster Pump VFD",AF20&lt;=75),('Pump Emission Factors'!$F$95*F20),(IF(AND(V20="Yes, Booster Pump VFD",AF20&gt;75),('Pump Emission Factors'!$F$96*F20),(IF(AND(V20="Yes, Well Pump VFD",AF20&lt;=75),('Pump Emission Factors'!$F$97*F20),(IF(AND(V20="Yes, Well Pump VFD",AF20&gt;75),('Pump Emission Factors'!$F$98*F20),"")))))))</calculatedColumnFormula>
    </tableColumn>
    <tableColumn id="127" xr3:uid="{5358C18F-C737-40B9-862F-F91340CC1317}" name="Remote NOx Emissions_x000a_(lbs)2" dataDxfId="311">
      <calculatedColumnFormula>IF(AND(V20="Yes, Booster Pump VFD",AF20&lt;=75),('Pump Emission Factors'!$G$95*F20),(IF(AND(V20="Yes, Booster Pump VFD",AF20&gt;75),('Pump Emission Factors'!$G$96*F20),(IF(AND(V20="Yes, Well Pump VFD",AF20&lt;=75),('Pump Emission Factors'!$G$97*F20),(IF(AND(V20="Yes, Well Pump VFD",AF20&gt;75),('Pump Emission Factors'!$G$98*F20),"")))))))</calculatedColumnFormula>
    </tableColumn>
    <tableColumn id="124" xr3:uid="{68D1B5D4-0C12-4A32-ADF6-516B217A6213}" name="Remote ROG Emissions_x000a_(lbs)3" dataDxfId="310">
      <calculatedColumnFormula>IF(AND(V20="Yes, Booster Pump VFD",AF20&lt;=75),('Pump Emission Factors'!$H$95*F20),(IF(AND(V20="Yes, Booster Pump VFD",AF20&gt;75),('Pump Emission Factors'!$H$96*F20),(IF(AND(V20="Yes, Well Pump VFD",AF20&lt;=75),('Pump Emission Factors'!$H$97*F20),(IF(AND(V20="Yes, Well Pump VFD",AF20&gt;75),('Pump Emission Factors'!$H$98*F20),"")))))))</calculatedColumnFormula>
    </tableColumn>
    <tableColumn id="128" xr3:uid="{E95E006D-CD0E-4C87-8BCA-9768CF0AD017}" name="Remote ROG Emissions_x000a_(lbs)4" dataDxfId="309">
      <calculatedColumnFormula>IF(AND(V20="Yes, Booster Pump VFD",AF20&lt;=75),('Pump Emission Factors'!$J$95*F20),(IF(AND(V20="Yes, Booster Pump VFD",AF20&gt;75),('Pump Emission Factors'!$J$96*F20),(IF(AND(V20="Yes, Well Pump VFD",AF20&lt;=75),('Pump Emission Factors'!$J$97*F20),(IF(AND(V20="Yes, Well Pump VFD",AF20&gt;75),('Pump Emission Factors'!$J$98*F20),"")))))))</calculatedColumnFormula>
    </tableColumn>
    <tableColumn id="122" xr3:uid="{40E8396A-0877-43A8-A75B-55953FACECB1}" name="Remote PM2.5 Emissions_x000a_(lbs)4" dataDxfId="308">
      <calculatedColumnFormula>IF(AND(V20="Yes, Booster Pump VFD",AF20&lt;=75),('Pump Emission Factors'!$I$95*F20),(IF(AND(V20="Yes, Booster Pump VFD",AF20&gt;75),('Pump Emission Factors'!$I$96*F20),(IF(AND(V20="Yes, Well Pump VFD",AF20&lt;=75),('Pump Emission Factors'!$I$97*F20),(IF(AND(V20="Yes, Well Pump VFD",AF20&gt;75),('Pump Emission Factors'!$I$98*F20),"")))))))</calculatedColumnFormula>
    </tableColumn>
    <tableColumn id="76" xr3:uid="{00000000-0010-0000-0100-00004C000000}" name="Total NOX _x000a_(lbs)32" dataDxfId="307">
      <calculatedColumnFormula>IFERROR(SUM((BQ20-CI20),CS20),"")</calculatedColumnFormula>
    </tableColumn>
    <tableColumn id="77" xr3:uid="{00000000-0010-0000-0100-00004D000000}" name="Total ROG _x000a_(lbs)33" dataDxfId="306">
      <calculatedColumnFormula>IFERROR(SUM((BR20-CJ20),CT20),"")</calculatedColumnFormula>
    </tableColumn>
    <tableColumn id="78" xr3:uid="{00000000-0010-0000-0100-00004E000000}" name="Total PM10 _x000a_(lbs)34" dataDxfId="305">
      <calculatedColumnFormula>IFERROR(SUM((BS20-CK20),CU20),"")</calculatedColumnFormula>
    </tableColumn>
    <tableColumn id="79" xr3:uid="{00000000-0010-0000-0100-00004F000000}" name="Total Diesel PM _x000a_(lbs)35" dataDxfId="304">
      <calculatedColumnFormula>IFERROR(BT20-CL20,"")</calculatedColumnFormula>
    </tableColumn>
    <tableColumn id="80" xr3:uid="{00000000-0010-0000-0100-000050000000}" name="Total PM2.5 _x000a_(lbs)36" dataDxfId="303">
      <calculatedColumnFormula>IFERROR(SUM((BU20-CM20),CV20),"")</calculatedColumnFormula>
    </tableColumn>
    <tableColumn id="81" xr3:uid="{00000000-0010-0000-0100-000051000000}" name="Annual NOX_x000a_(short tons/year)" dataDxfId="302">
      <calculatedColumnFormula>IFERROR(CW20/2000*1/$F20,"")</calculatedColumnFormula>
    </tableColumn>
    <tableColumn id="82" xr3:uid="{00000000-0010-0000-0100-000052000000}" name="Annual ROG_x000a_(short tons/year)" dataDxfId="301">
      <calculatedColumnFormula>IFERROR(CX20/2000*1/$F20,"")</calculatedColumnFormula>
    </tableColumn>
    <tableColumn id="83" xr3:uid="{00000000-0010-0000-0100-000053000000}" name="Annual PM10_x000a_(short tons/year)" dataDxfId="300">
      <calculatedColumnFormula>IFERROR(CY20/2000*1/$F20,"")</calculatedColumnFormula>
    </tableColumn>
    <tableColumn id="84" xr3:uid="{00000000-0010-0000-0100-000054000000}" name="Baseline Diesel/Gas _x000a_(gal)" dataDxfId="299">
      <calculatedColumnFormula>IF(H20="DESL",AO20*F20,IF(H20="GAS",AO20*F20,""))</calculatedColumnFormula>
    </tableColumn>
    <tableColumn id="85" xr3:uid="{00000000-0010-0000-0100-000055000000}" name="Replacement Diesel/Gas _x000a_(gal)" dataDxfId="298">
      <calculatedColumnFormula>IF(X20="DESL",AU20*F20,IF(X20="GAS",AU20*F20,""))</calculatedColumnFormula>
    </tableColumn>
    <tableColumn id="86" xr3:uid="{00000000-0010-0000-0100-000056000000}" name="Annual Diesel/Gas Fuel Savings (gal/yr)" dataDxfId="297">
      <calculatedColumnFormula>IFERROR(DH20/F20,"")</calculatedColumnFormula>
    </tableColumn>
    <tableColumn id="87" xr3:uid="{00000000-0010-0000-0100-000057000000}" name="Total Diesel/Gas Fuel Savings _x000a_(gal)" dataDxfId="296">
      <calculatedColumnFormula>IF(B20="","",IF(AND(DE20="",DF20=""),0,IFERROR(SUM(DE20)-SUM(DF20),0)))</calculatedColumnFormula>
    </tableColumn>
    <tableColumn id="88" xr3:uid="{00000000-0010-0000-0100-000058000000}" name="Total Baseline Fuel Costs _x000a_($)" dataDxfId="295">
      <calculatedColumnFormula>IF(AO20="","",IF(H20="DESL",AO20*F20*'Fuel Prices'!$C$12,IF(H20="GAS",AO20*F20*'Fuel Prices'!$C$11,IF(H20="CNG",AO20*F20*'Fuel Prices'!$C$13,IF(H20="LNG",AO20*F20*'Fuel Prices'!$C$14,IF(H20="LPG",AO20*F20*'Fuel Prices'!$C$16,IF(H20="PROP",AO20*F20*'Fuel Prices'!$C$16,"0")))))))</calculatedColumnFormula>
    </tableColumn>
    <tableColumn id="89" xr3:uid="{00000000-0010-0000-0100-000059000000}" name="Total Replacement Fuel Costs _x000a_($)" dataDxfId="294">
      <calculatedColumnFormula>IF(AU20="","",IF(X20="DESL",AU20*F20*'Fuel Prices'!$C$12,IF(X20="GAS",AU20*F20*'Fuel Prices'!$C$11,IF(X20="CNG",AU20*F20*'Fuel Prices'!$C$13,IF(X20="LNG",AU20*F20*'Fuel Prices'!$C$14,IF(X20="LPG",AU20*F20*'Fuel Prices'!$C$16,IF(X20="PROP",AU20*F20*'Fuel Prices'!$C$16,IF(X20="ELEC",AU20*F20*'Fuel Prices'!$C$35,"0"))))))))</calculatedColumnFormula>
    </tableColumn>
    <tableColumn id="90" xr3:uid="{00000000-0010-0000-0100-00005A000000}" name="Annual Energy and Fuel Cost Savings _x000a_($/year)" dataDxfId="293">
      <calculatedColumnFormula>IFERROR(DL20/F20,"")</calculatedColumnFormula>
    </tableColumn>
    <tableColumn id="91" xr3:uid="{00000000-0010-0000-0100-00005B000000}" name="Total Energy and Fuel Cost Savings ($)" dataDxfId="292">
      <calculatedColumnFormula>IFERROR(DI20-DJ20,"")</calculatedColumnFormula>
    </tableColumn>
    <tableColumn id="92" xr3:uid="{00000000-0010-0000-0100-00005C000000}" name="Quantification Period (years)" dataDxfId="291">
      <calculatedColumnFormula>IF(OR(F20="",DN20=""),"",IFERROR(ROUND(F20,0),""))</calculatedColumnFormula>
    </tableColumn>
    <tableColumn id="93" xr3:uid="{00000000-0010-0000-0100-00005D000000}" name="GHG Emission Reductions (MTCO2e)" dataDxfId="290">
      <calculatedColumnFormula>IFERROR(ROUND(BB20,0),"")</calculatedColumnFormula>
    </tableColumn>
    <tableColumn id="94" xr3:uid="{00000000-0010-0000-0100-00005E000000}" name="Total_x000a_Diesel PM Reductions (lbs)" dataDxfId="289">
      <calculatedColumnFormula>IFERROR(ROUND(CZ20*IF(COUNTIF($B$20:B20,B20)=1,1,"")/IF(B20="",0,1),0),"")</calculatedColumnFormula>
    </tableColumn>
    <tableColumn id="95" xr3:uid="{00000000-0010-0000-0100-00005F000000}" name="Total_x000a_NOx Reductions _x000a_(lbs)" dataDxfId="288">
      <calculatedColumnFormula>IFERROR(ROUND(CW20*IF(COUNTIF($B$20:B20,B20)=1,1,"")/IF(B20="",0,1),0),"")</calculatedColumnFormula>
    </tableColumn>
    <tableColumn id="96" xr3:uid="{00000000-0010-0000-0100-000060000000}" name="Total_x000a_PM 2.5 Reductions (lbs)" dataDxfId="287">
      <calculatedColumnFormula>IFERROR(ROUND(DA20*IF(COUNTIF($B$20:B20,B20)=1,1,"")/IF(B20="",0,1),0),"")</calculatedColumnFormula>
    </tableColumn>
    <tableColumn id="97" xr3:uid="{00000000-0010-0000-0100-000061000000}" name="Total_x000a_Reactive Organic Gases Reductions (lbs)" dataDxfId="286">
      <calculatedColumnFormula>IFERROR(ROUND(CX20*IF(COUNTIF($B$20:B20,B20)=1,1,"")/IF(B20="",0,1),0),"")</calculatedColumnFormula>
    </tableColumn>
    <tableColumn id="98" xr3:uid="{00000000-0010-0000-0100-000062000000}" name="Remote_x000a_NOx Reductions _x000a_(lbs)" dataDxfId="285">
      <calculatedColumnFormula>SUM(CN20,CS20)</calculatedColumnFormula>
    </tableColumn>
    <tableColumn id="99" xr3:uid="{00000000-0010-0000-0100-000063000000}" name="Remote_x000a_PM 2.5 Reductions (lbs)" dataDxfId="284">
      <calculatedColumnFormula>SUM(CQ20,CV20)</calculatedColumnFormula>
    </tableColumn>
    <tableColumn id="100" xr3:uid="{00000000-0010-0000-0100-000064000000}" name="Remote_x000a_Reactive Organic Gases Reductions (lbs)" dataDxfId="283">
      <calculatedColumnFormula>SUM(CO20,CT20)</calculatedColumnFormula>
    </tableColumn>
    <tableColumn id="101" xr3:uid="{00000000-0010-0000-0100-000065000000}" name="Energy and Fuel Cost Savings ($)" dataDxfId="282">
      <calculatedColumnFormula>IFERROR(ROUND(DL20,0),"")</calculatedColumnFormula>
    </tableColumn>
    <tableColumn id="102" xr3:uid="{00000000-0010-0000-0100-000066000000}" name="Fossil Fuel Based Transportation Fuel Use Reductions (gallons)" dataDxfId="281">
      <calculatedColumnFormula>IFERROR(ROUND(DH20,0),"")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454979-D72D-4E0A-9F21-49F1F606AAB4}" name="Table411" displayName="Table411" ref="B19:CG103" totalsRowShown="0" headerRowDxfId="280" dataDxfId="278" headerRowBorderDxfId="279" tableBorderDxfId="277">
  <autoFilter ref="B19:CG103" xr:uid="{00000000-0009-0000-0100-000004000000}"/>
  <tableColumns count="84">
    <tableColumn id="1" xr3:uid="{907E11C0-8914-4EB9-850D-2FD2FFEBBE55}" name="Project ID" dataDxfId="276"/>
    <tableColumn id="103" xr3:uid="{8C0EF2B4-63D2-4E79-B127-5B3C4183614B}" name="Required_1?" dataDxfId="275">
      <calculatedColumnFormula>IF(ISBLANK(B20),"(Required)","")</calculatedColumnFormula>
    </tableColumn>
    <tableColumn id="3" xr3:uid="{5A9B4D42-E663-478C-9C20-223674C0DFF7}" name="Project Life _x000a_(years)" dataDxfId="274"/>
    <tableColumn id="105" xr3:uid="{3BD53065-8FA6-4CA0-A218-E6D50C29A9D5}" name="Required_1?3" dataDxfId="273">
      <calculatedColumnFormula>IF(ISBLANK(D20),"(Required)","")</calculatedColumnFormula>
    </tableColumn>
    <tableColumn id="4" xr3:uid="{19718EB6-294F-4BA4-A42B-8CC52648E61D}" name="Is Baseline Pump Motor Energy Use Known? (Yes/No)" dataDxfId="272"/>
    <tableColumn id="106" xr3:uid="{BAEA88C0-6BA5-44C7-BD7C-4580F70453B7}" name="Required_1?4" dataDxfId="271">
      <calculatedColumnFormula>IF(ISBLANK(F20),"(Required)","")</calculatedColumnFormula>
    </tableColumn>
    <tableColumn id="5" xr3:uid="{B879D6B6-9798-4262-8FD5-9318F304FCE5}" name="Annual Baseline Energy Use (kWh/yr)" dataDxfId="270"/>
    <tableColumn id="107" xr3:uid="{AD7B4C39-C533-457D-8C37-E7E2DFAEEDD6}" name="Required_1?5" dataDxfId="269">
      <calculatedColumnFormula>IF(ISBLANK(H20),"(Required)","")</calculatedColumnFormula>
    </tableColumn>
    <tableColumn id="7" xr3:uid="{A6297490-97AD-49A6-98DF-A9C6F48675A1}" name="Baseline Flow (gal/minute)" dataDxfId="268"/>
    <tableColumn id="109" xr3:uid="{64B1F866-65D3-4ADB-93C7-1EB7113E9F61}" name="Required_1?7" dataDxfId="267">
      <calculatedColumnFormula>IF(ISBLANK(J20),"(Required)","")</calculatedColumnFormula>
    </tableColumn>
    <tableColumn id="6" xr3:uid="{26A44EF0-182A-497C-A81F-64CC0AF13F9E}" name="Baseline Head (feet water column)" dataDxfId="266"/>
    <tableColumn id="108" xr3:uid="{F4788A9F-87EA-4E46-BA43-092A10E280D2}" name="Required_1?6" dataDxfId="265">
      <calculatedColumnFormula>IF(ISBLANK(L20),"(Required)","")</calculatedColumnFormula>
    </tableColumn>
    <tableColumn id="8" xr3:uid="{DD60DAE4-BFEE-4B94-8A8A-40CB1B440493}" name="Baseline Pump Efficiency (%)" dataDxfId="264"/>
    <tableColumn id="110" xr3:uid="{21A7AF9C-EFA6-4682-ADB7-F3CF95E48F2A}" name="Required_1?8" dataDxfId="263">
      <calculatedColumnFormula>IF(ISBLANK(N20),"(Required)","")</calculatedColumnFormula>
    </tableColumn>
    <tableColumn id="9" xr3:uid="{EEF0D2ED-3787-49FF-BC2D-6445689B4788}" name="Baseline Motor Efficiency (%)" dataDxfId="262"/>
    <tableColumn id="111" xr3:uid="{FFEC4C40-8104-4EFF-B898-CF02C55AC38F}" name="Required_1?9" dataDxfId="261">
      <calculatedColumnFormula>IF(ISBLANK(P20),"(Optional)","")</calculatedColumnFormula>
    </tableColumn>
    <tableColumn id="10" xr3:uid="{C2D25EF4-EB1D-457A-A337-A006E5E3FA6F}" name="Baseline VFD?" dataDxfId="260"/>
    <tableColumn id="112" xr3:uid="{AAC2E187-8B94-4783-946C-3C9AC77D93A3}" name="Required_1?92" dataDxfId="259">
      <calculatedColumnFormula>IF(ISBLANK(R20),"(Required)","")</calculatedColumnFormula>
    </tableColumn>
    <tableColumn id="121" xr3:uid="{A5CAEE9C-AE64-40F3-AB69-7AA42CD9C2B9}" name="Baseline VFD Efficiency (%)" dataDxfId="258"/>
    <tableColumn id="120" xr3:uid="{A81A876D-4C41-4467-9699-F297BF33BBEE}" name="Required_1?93" dataDxfId="257">
      <calculatedColumnFormula>IF(ISBLANK(T20),"(Optional)","")</calculatedColumnFormula>
    </tableColumn>
    <tableColumn id="133" xr3:uid="{32D9956D-20D9-4AEA-B583-38D351809B61}" name="Baseline VFD Energy Use Reductions (kWh/yr)" dataDxfId="256"/>
    <tableColumn id="132" xr3:uid="{2DB2583D-96A0-4484-AB3E-1039F978E367}" name="Required_1?94" dataDxfId="255">
      <calculatedColumnFormula>IF(ISBLANK(V20),"(Optional)","")</calculatedColumnFormula>
    </tableColumn>
    <tableColumn id="146" xr3:uid="{5BC3666D-B73D-4371-BDE2-2781AC1C9DF2}" name="Baseline Usage_x000a_(hours/year)" dataDxfId="254"/>
    <tableColumn id="147" xr3:uid="{EDBDF422-2A85-40AC-89F2-166462731610}" name="Required_1?943" dataDxfId="253">
      <calculatedColumnFormula>IF(ISBLANK(X20),"(Required)","")</calculatedColumnFormula>
    </tableColumn>
    <tableColumn id="137" xr3:uid="{FD20BEE7-27BD-4238-98F9-07E581DDA6F6}" name="Baseline Horsepower (Hp)" dataDxfId="252"/>
    <tableColumn id="136" xr3:uid="{149DF64A-8772-45AF-8C6D-994E3BA00854}" name="Required_1?95" dataDxfId="251">
      <calculatedColumnFormula>IF(ISBLANK(Z20),"(Required)","")</calculatedColumnFormula>
    </tableColumn>
    <tableColumn id="131" xr3:uid="{5E639D0B-D9C7-4E1D-A0B6-6CB68E1988AD}" name="Baseline VFD Energy Savings (kWh)" dataDxfId="250">
      <calculatedColumnFormula>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calculatedColumnFormula>
    </tableColumn>
    <tableColumn id="144" xr3:uid="{6BD701D4-1E9D-4E1B-AC4F-53F0EF1A065C}" name="Baseline Motor Energy Use (kWh)" dataDxfId="249">
      <calculatedColumnFormula>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calculatedColumnFormula>
    </tableColumn>
    <tableColumn id="11" xr3:uid="{B39A6FB1-A94F-407A-A377-75D7AEB3B8A6}" name="Is Replacement Pump Motor Energy Use Known? (Yes/No)" dataDxfId="248"/>
    <tableColumn id="113" xr3:uid="{FBDCB534-8EF7-4437-95F0-B7A7A91B16B1}" name="Required_1?43" dataDxfId="247">
      <calculatedColumnFormula>IF(ISBLANK(AD20),"(Required)","")</calculatedColumnFormula>
    </tableColumn>
    <tableColumn id="12" xr3:uid="{B1FFB350-853B-410A-9AAF-ECA1E7EE9453}" name="Annual Replacement Energy Use (kWh/yr)" dataDxfId="246"/>
    <tableColumn id="114" xr3:uid="{DE5B467A-281F-44B6-88C2-09A94E40FD0C}" name="Required_1?55" dataDxfId="245">
      <calculatedColumnFormula>IF(ISBLANK(AF20),"(Required)","")</calculatedColumnFormula>
    </tableColumn>
    <tableColumn id="14" xr3:uid="{8C1CB7EC-D0F2-4A8D-BBC9-A53DBDB76FD9}" name="Replacement Flow (gal/minute)" dataDxfId="244"/>
    <tableColumn id="116" xr3:uid="{09F84A28-702B-463E-ABDD-EAE3B78B90EB}" name="Required_1?73" dataDxfId="243">
      <calculatedColumnFormula>IF(ISBLANK(AH20),"(Required)","")</calculatedColumnFormula>
    </tableColumn>
    <tableColumn id="13" xr3:uid="{E96219D5-6C48-4590-8261-6336C8C6EACF}" name="Replacement Head (feet water column)" dataDxfId="242"/>
    <tableColumn id="115" xr3:uid="{550236A7-B014-462B-957B-FBD9D040C82A}" name="Required_1?65" dataDxfId="241">
      <calculatedColumnFormula>IF(ISBLANK(AJ20),"(Required)","")</calculatedColumnFormula>
    </tableColumn>
    <tableColumn id="15" xr3:uid="{39D40C78-6AD9-4D5A-BF9F-4805F09E34F0}" name="Replacement Pump Efficiency (%)" dataDxfId="240"/>
    <tableColumn id="117" xr3:uid="{75AF0BEA-B45F-45A5-962F-CE119E51DEE8}" name="Required_1?87" dataDxfId="239">
      <calculatedColumnFormula>IF(ISBLANK(AL20),"(Required)","")</calculatedColumnFormula>
    </tableColumn>
    <tableColumn id="16" xr3:uid="{FFCC11A1-3DD3-47AD-9F63-3072B78DF4EA}" name="Replacement Motor Efficiency (%)" dataDxfId="238"/>
    <tableColumn id="118" xr3:uid="{BF2D94EF-F8EB-45F9-9375-CA9594E3E893}" name="Required_1?99" dataDxfId="237">
      <calculatedColumnFormula>IF(ISBLANK(AN20),"(Required)","")</calculatedColumnFormula>
    </tableColumn>
    <tableColumn id="18" xr3:uid="{0526E36D-9DD7-45EE-AE0F-E1E6CED37034}" name="Replacement VFD?" dataDxfId="236"/>
    <tableColumn id="19" xr3:uid="{72914E0F-734C-4C9F-A38B-5EEBF5FAC97D}" name="Required_1?993" dataDxfId="235">
      <calculatedColumnFormula>IF(ISBLANK(AP20),"(Required)","")</calculatedColumnFormula>
    </tableColumn>
    <tableColumn id="17" xr3:uid="{66B0E3F5-43FE-4243-B7FD-ACFA36C38622}" name="Replacement VFD Efficiency (%)" dataDxfId="234"/>
    <tableColumn id="119" xr3:uid="{C1E1B970-2653-4A68-95B0-ACFC9E4D72C2}" name="Required_1?992" dataDxfId="233">
      <calculatedColumnFormula>IF(ISBLANK(AR20),"(Optional)","")</calculatedColumnFormula>
    </tableColumn>
    <tableColumn id="135" xr3:uid="{FA63B271-D2DB-49B1-9FA2-62BECF67F45E}" name="Replacement Variable Frequency Energy Savings (kWh/yr)" dataDxfId="232"/>
    <tableColumn id="134" xr3:uid="{94AC501C-140C-483D-ABB7-451A6E09015B}" name="Required_1?9933" dataDxfId="231">
      <calculatedColumnFormula>IF(ISBLANK(AT20),"(Optional)","")</calculatedColumnFormula>
    </tableColumn>
    <tableColumn id="148" xr3:uid="{2105E6E7-3B3E-45C1-A4F4-72C6D6B3DA52}" name="Replacement Usage (hr/yr)" dataDxfId="230"/>
    <tableColumn id="149" xr3:uid="{99F7B68A-FBDA-4F65-AB4F-002C4AEFEC93}" name="Required_1?9934" dataDxfId="229">
      <calculatedColumnFormula>IF(ISBLANK(AV20),"(Required)","")</calculatedColumnFormula>
    </tableColumn>
    <tableColumn id="139" xr3:uid="{F847E76F-2C4D-418A-8527-0FC6A60300A5}" name="Replacement Horsepower (Hp)" dataDxfId="228"/>
    <tableColumn id="138" xr3:uid="{C3BBB8D7-61CC-4A38-8EA4-6C0E2F370C55}" name="Required_1?99343" dataDxfId="227">
      <calculatedColumnFormula>IF(ISBLANK(AX20),"(Required)","")</calculatedColumnFormula>
    </tableColumn>
    <tableColumn id="142" xr3:uid="{B3B78146-A417-444C-A39B-230DD7304B92}" name="Replacement VFD Energy Savings (kWh)" dataDxfId="226">
      <calculatedColumnFormula>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calculatedColumnFormula>
    </tableColumn>
    <tableColumn id="143" xr3:uid="{06F48976-D949-47D7-B20F-EB256387CFDC}" name="Replacement Motor Energy Use (kWh)" dataDxfId="225">
      <calculatedColumnFormula>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calculatedColumnFormula>
    </tableColumn>
    <tableColumn id="140" xr3:uid="{E903155D-C459-4119-BA2E-14B86D12B7BB}" name="Baseline Annual Energy Use" dataDxfId="224">
      <calculatedColumnFormula>IFERROR(IF(Table411[[#This Row],[Is Baseline Pump Motor Energy Use Known? (Yes/No)]]="Yes",(Table411[[#This Row],[Annual Baseline Energy Use (kWh/yr)]]),(Table411[[#This Row],[Baseline Motor Energy Use (kWh)]])),0)</calculatedColumnFormula>
    </tableColumn>
    <tableColumn id="27" xr3:uid="{3DEE4DF4-B8D6-4A95-81D7-63E95B7A9759}" name="Replacement Annual Energy Use" dataDxfId="223">
      <calculatedColumnFormula>IFERROR(IF(Table411[[#This Row],[Is Replacement Pump Motor Energy Use Known? (Yes/No)]]="Yes",(Table411[[#This Row],[Annual Replacement Energy Use (kWh/yr)]]),(Table411[[#This Row],[Replacement Motor Energy Use (kWh)]])),0)</calculatedColumnFormula>
    </tableColumn>
    <tableColumn id="145" xr3:uid="{CC634291-AF21-400B-933D-6A0861A9479A}" name="Total Energy Use Reductions (kWh)" dataDxfId="222">
      <calculatedColumnFormula>SUM((Table411[[#This Row],[Baseline Annual Energy Use]]-Table411[[#This Row],[Replacement Annual Energy Use]]),(Table411[[#This Row],[Replacement VFD Energy Savings (kWh)]]-Table411[[#This Row],[Baseline VFD Energy Savings (kWh)]]))</calculatedColumnFormula>
    </tableColumn>
    <tableColumn id="29" xr3:uid="{9401EE52-85DF-484B-8E18-886902B16153}" name="Fuel Carbon Content" dataDxfId="221">
      <calculatedColumnFormula>'Grid Electricity'!$B$19</calculatedColumnFormula>
    </tableColumn>
    <tableColumn id="30" xr3:uid="{350D584F-91A5-424D-AA3F-1E0636196004}" name="Carbon Content Unit14" dataDxfId="220">
      <calculatedColumnFormula>IF(AD20="CNG","gCO2e/scf",IF(AD20="ELEC","gCO2e/kWh",IF(AD20="","","gCO2e/gallon")))</calculatedColumnFormula>
    </tableColumn>
    <tableColumn id="31" xr3:uid="{9ADBCE09-7C6F-4A74-8850-65606CC0E68F}" name="Baseline _x000a_(MTCO2e/year)" dataDxfId="219">
      <calculatedColumnFormula>Table411[[#This Row],[Baseline Annual Energy Use]]*Table411[[#This Row],[Fuel Carbon Content]]</calculatedColumnFormula>
    </tableColumn>
    <tableColumn id="32" xr3:uid="{568B7774-5B3A-4551-A7A1-3EAE9E1B88D8}" name="Replacement _x000a_(MTCO2e/year)" dataDxfId="218">
      <calculatedColumnFormula>Table411[[#This Row],[Replacement Annual Energy Use]]*Table411[[#This Row],[Fuel Carbon Content]]</calculatedColumnFormula>
    </tableColumn>
    <tableColumn id="33" xr3:uid="{66AE6218-D3A0-47CF-8736-D8E6AA3B2627}" name="Annual GHG _x000a_(MTCO2e/yr)" dataDxfId="217">
      <calculatedColumnFormula>IF(AND(BG20="",BH20=""),"",(BG20-BH20))</calculatedColumnFormula>
    </tableColumn>
    <tableColumn id="34" xr3:uid="{52D2E49A-C7D2-499D-9541-BB5E0D6850D1}" name="Total GHG _x000a_(MTCO2e)" dataDxfId="216">
      <calculatedColumnFormula>IFERROR((BI20*D20),"")</calculatedColumnFormula>
    </tableColumn>
    <tableColumn id="35" xr3:uid="{B11EBFBE-0E9B-48DC-AD28-AC072C2105E6}" name="PM Conversion" dataDxfId="215">
      <calculatedColumnFormula>IF(AND(F20="",AD20=""),"",IF(F20="DESL",0.92, IF(AD20="DESL",0.92,0.76)))</calculatedColumnFormula>
    </tableColumn>
    <tableColumn id="67" xr3:uid="{6B5CC410-BF46-4BD6-8963-E62F6EEF8111}" name="Total NOX _x000a_(lbs)" dataDxfId="214">
      <calculatedColumnFormula>IFERROR(BD20*'Grid Electricity'!$D$39,0)</calculatedColumnFormula>
    </tableColumn>
    <tableColumn id="68" xr3:uid="{97DD5BEE-1A56-4D3D-845B-A1BFE25C697D}" name="Total ROG _x000a_(lbs)" dataDxfId="213">
      <calculatedColumnFormula>IFERROR(BD20*'Grid Electricity'!$C$39,0)</calculatedColumnFormula>
    </tableColumn>
    <tableColumn id="69" xr3:uid="{AC0B5471-970E-410F-B286-9B83D1561CD8}" name="Total PM10 _x000a_(lbs)" dataDxfId="212">
      <calculatedColumnFormula>IFERROR(BD20*'Grid Electricity'!$F$39,0)</calculatedColumnFormula>
    </tableColumn>
    <tableColumn id="71" xr3:uid="{9537C4F1-801E-4EB7-BD8E-9C06088C1063}" name="Total PM2.5 _x000a_(lbs)" dataDxfId="211">
      <calculatedColumnFormula>IF(BN20=0,0,BN20*BK20)</calculatedColumnFormula>
    </tableColumn>
    <tableColumn id="72" xr3:uid="{C6B998BB-8826-4634-8775-2C8D9FBEE904}" name="Remote NOx Emissions_x000a_(lbs)" dataDxfId="210">
      <calculatedColumnFormula>BL20</calculatedColumnFormula>
    </tableColumn>
    <tableColumn id="73" xr3:uid="{6CA254D5-A097-4F37-8D37-67913BDBAA98}" name="Remote ROG Emissions_x000a_(lbs)" dataDxfId="209">
      <calculatedColumnFormula>BM20</calculatedColumnFormula>
    </tableColumn>
    <tableColumn id="74" xr3:uid="{3C731082-41D0-47AE-B04F-477340A2372C}" name="Remote PM10 Emissions_x000a_(lbs)" dataDxfId="208">
      <calculatedColumnFormula>BN20</calculatedColumnFormula>
    </tableColumn>
    <tableColumn id="75" xr3:uid="{32DADC02-8A13-4573-8CE9-CC822BFC8454}" name="Remote PM2.5 Emissions_x000a_(lbs)" dataDxfId="207">
      <calculatedColumnFormula>BO20</calculatedColumnFormula>
    </tableColumn>
    <tableColumn id="88" xr3:uid="{B7ACE546-4869-4BA8-B9DB-056EA7A80712}" name="Total Baseline Fuel Costs _x000a_($)" dataDxfId="206">
      <calculatedColumnFormula>((BB20-AB20)*'Fuel Prices'!$C$27)*(IF(ISBLANK(D20),15,D20))</calculatedColumnFormula>
    </tableColumn>
    <tableColumn id="89" xr3:uid="{03459C0F-C95F-4553-B88C-C2A1FF77BFBE}" name="Total Replacement Fuel Costs _x000a_($)" dataDxfId="205">
      <calculatedColumnFormula>((BC20-AZ20)*'Fuel Prices'!$C$27)*(IF(ISBLANK(D20),15,D20))</calculatedColumnFormula>
    </tableColumn>
    <tableColumn id="90" xr3:uid="{AB1F5419-B90A-4240-BA5F-0413B5BB7DB1}" name="Annual Energy and Fuel Cost Savings _x000a_($/year)" dataDxfId="204">
      <calculatedColumnFormula>BW20/(IF(ISBLANK(D20),15,D20))</calculatedColumnFormula>
    </tableColumn>
    <tableColumn id="91" xr3:uid="{A96E983A-DEC4-4489-A097-3331A4E58FAC}" name="Total Energy and Fuel Cost Savings ($)" dataDxfId="203">
      <calculatedColumnFormula>IFERROR(BT20-BU20,"")</calculatedColumnFormula>
    </tableColumn>
    <tableColumn id="92" xr3:uid="{8E1D1E7B-065D-4A63-8062-E5D6F9E1F38A}" name="Quantification Period (years)" dataDxfId="202">
      <calculatedColumnFormula>IF(AND(D20="",B20=""),"",IF(D20="",15,""))</calculatedColumnFormula>
    </tableColumn>
    <tableColumn id="93" xr3:uid="{833DEB01-80C7-4732-AC0D-231E4AF5D323}" name="GHG Emission Reductions (MTCO2e)" dataDxfId="201">
      <calculatedColumnFormula>IFERROR(ROUND(BJ20,0),"")</calculatedColumnFormula>
    </tableColumn>
    <tableColumn id="94" xr3:uid="{DC002A36-376B-4266-A8C8-FAB5EBBC87B4}" name="Total_x000a_Diesel PM Reductions (lbs)" dataDxfId="200">
      <calculatedColumnFormula>IFERROR(ROUND(#REF!*IF(COUNTIF($B$20:B20,B20)=1,1,"")/IF(B20="",0,1),0),"")</calculatedColumnFormula>
    </tableColumn>
    <tableColumn id="95" xr3:uid="{86B9CB04-C472-4321-9067-7ECADF7BA89A}" name="Total_x000a_NOx Reductions _x000a_(lbs)" dataDxfId="199">
      <calculatedColumnFormula>IFERROR(ROUND(BL20,1),"")</calculatedColumnFormula>
    </tableColumn>
    <tableColumn id="96" xr3:uid="{E9706047-AFD5-4890-B9B2-BAC47D616845}" name="Total_x000a_PM 2.5 Reductions (lbs)" dataDxfId="198">
      <calculatedColumnFormula>IFERROR(ROUND(BO20,1),"")</calculatedColumnFormula>
    </tableColumn>
    <tableColumn id="97" xr3:uid="{5D38FE87-C685-4B12-AA46-D34E213F66EB}" name="Total_x000a_Reactive Organic Gases Reductions (lbs)" dataDxfId="197">
      <calculatedColumnFormula>IFERROR(ROUND(BM20,1),"")</calculatedColumnFormula>
    </tableColumn>
    <tableColumn id="98" xr3:uid="{DFD4376F-F1C1-4AE8-86BD-13E83DF459F5}" name="Remote_x000a_NOx Reductions _x000a_(lbs)" dataDxfId="196">
      <calculatedColumnFormula>IFERROR(ROUND(BP20,1),"")</calculatedColumnFormula>
    </tableColumn>
    <tableColumn id="99" xr3:uid="{9089DA89-3210-4435-8EBB-52D71BD0C651}" name="Remote_x000a_PM 2.5 Reductions (lbs)" dataDxfId="195">
      <calculatedColumnFormula>IFERROR(ROUND(BS20,1),"")</calculatedColumnFormula>
    </tableColumn>
    <tableColumn id="100" xr3:uid="{0252ABFE-3441-4B9B-89A6-08566F94DAF9}" name="Remote_x000a_Reactive Organic Gases Reductions (lbs)" dataDxfId="194">
      <calculatedColumnFormula>IFERROR(ROUND(BQ20,1),"")</calculatedColumnFormula>
    </tableColumn>
    <tableColumn id="101" xr3:uid="{A08D9986-8837-4452-847C-23E919630662}" name="Energy and Fuel Cost Savings ($)" dataDxfId="193">
      <calculatedColumnFormula>IFERROR(ROUND(BW20,0),"")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8" displayName="Table8" ref="B24:D28" totalsRowShown="0" headerRowDxfId="192" dataDxfId="191" tableBorderDxfId="190">
  <autoFilter ref="B24:D28" xr:uid="{00000000-0009-0000-0100-000008000000}"/>
  <tableColumns count="3">
    <tableColumn id="1" xr3:uid="{00000000-0010-0000-0200-000001000000}" name="Heading Name" dataDxfId="189"/>
    <tableColumn id="2" xr3:uid="{00000000-0010-0000-0200-000002000000}" name="Value" dataDxfId="188"/>
    <tableColumn id="3" xr3:uid="{00000000-0010-0000-0200-000003000000}" name="Required_1?" dataDxfId="187"/>
  </tableColumns>
  <tableStyleInfo name="TableStyleMedium2" showFirstColumn="0" showLastColumn="0" showRowStripes="1" showColumnStripes="0"/>
  <extLst>
    <ext xmlns:x14="http://schemas.microsoft.com/office/spreadsheetml/2009/9/main" uri="{504A1905-F514-4f6f-8877-14C23A59335A}">
      <x14:table altText="Emission Reductions from Solar PV" altTextSummary="Calculations performed on this tab are described in the quantification metodology for the project component solar PV electricity generation."/>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Table9" displayName="Table9" ref="B18:D21" totalsRowShown="0" headerRowDxfId="186" dataDxfId="185" tableBorderDxfId="184">
  <autoFilter ref="B18:D21" xr:uid="{00000000-0009-0000-0100-000009000000}"/>
  <tableColumns count="3">
    <tableColumn id="1" xr3:uid="{00000000-0010-0000-0300-000001000000}" name="Heading Name" dataDxfId="183"/>
    <tableColumn id="2" xr3:uid="{00000000-0010-0000-0300-000002000000}" name="Value" dataDxfId="182">
      <calculatedColumnFormula>IF(OR(AnnualkWh="",ElectricityUse=""),0,AnnualkWh*(SUMPRODUCT((1-0.5%)^ROW(INDIRECT("1:"&amp;30-1)))+1))</calculatedColumnFormula>
    </tableColumn>
    <tableColumn id="3" xr3:uid="{00000000-0010-0000-0300-000003000000}" name="Required_1?" dataDxfId="181"/>
  </tableColumns>
  <tableStyleInfo name="TableStyleMedium2" showFirstColumn="0" showLastColumn="0" showRowStripes="1" showColumnStripes="0"/>
  <extLst>
    <ext xmlns:x14="http://schemas.microsoft.com/office/spreadsheetml/2009/9/main" uri="{504A1905-F514-4f6f-8877-14C23A59335A}">
      <x14:table altText="Solar PV Electricity Generation Inputs" altTextSummary="Calculations performed on this tab are described in the quantification metodology for the project component solar PV electricity generatio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Table315" displayName="Table315" ref="B18:O30" totalsRowShown="0" headerRowDxfId="180" dataDxfId="178" headerRowBorderDxfId="179" tableBorderDxfId="177" totalsRowBorderDxfId="176">
  <autoFilter ref="B18:O30" xr:uid="{00000000-0009-0000-0100-00000E000000}"/>
  <tableColumns count="14">
    <tableColumn id="1" xr3:uid="{00000000-0010-0000-0400-000001000000}" name="Energy Efficiency Measure Type" dataDxfId="175"/>
    <tableColumn id="4" xr3:uid="{00000000-0010-0000-0400-000004000000}" name="Required_1?" dataDxfId="174">
      <calculatedColumnFormula>IF(ISBLANK(B19),"(Required)","")</calculatedColumnFormula>
    </tableColumn>
    <tableColumn id="2" xr3:uid="{00000000-0010-0000-0400-000002000000}" name="Baseline Equipment Watts _x000a_(Watts)" dataDxfId="173"/>
    <tableColumn id="5" xr3:uid="{00000000-0010-0000-0400-000005000000}" name="Required_2?" dataDxfId="172">
      <calculatedColumnFormula>IF(ISBLANK(D19),"(Required)","")</calculatedColumnFormula>
    </tableColumn>
    <tableColumn id="8" xr3:uid="{00000000-0010-0000-0400-000008000000}" name="Baseline Equipment Hours_x000a_(hr/yr)" dataDxfId="171"/>
    <tableColumn id="7" xr3:uid="{00000000-0010-0000-0400-000007000000}" name="Required_3?" dataDxfId="170">
      <calculatedColumnFormula>IF(ISBLANK(F19),"(Required)","")</calculatedColumnFormula>
    </tableColumn>
    <tableColumn id="10" xr3:uid="{00000000-0010-0000-0400-00000A000000}" name="Project Equipment Watts _x000a_(Watts)" dataDxfId="169"/>
    <tableColumn id="9" xr3:uid="{00000000-0010-0000-0400-000009000000}" name="Required_4?" dataDxfId="168">
      <calculatedColumnFormula>IF(ISBLANK(H19),"(Required)","")</calculatedColumnFormula>
    </tableColumn>
    <tableColumn id="11" xr3:uid="{00000000-0010-0000-0400-00000B000000}" name="Project Equipment Operation Hours_x000a_(hr/yr)" dataDxfId="167"/>
    <tableColumn id="6" xr3:uid="{00000000-0010-0000-0400-000006000000}" name="Required_5?" dataDxfId="166">
      <calculatedColumnFormula>IF(ISBLANK(J19),"(Required)","")</calculatedColumnFormula>
    </tableColumn>
    <tableColumn id="16" xr3:uid="{00000000-0010-0000-0400-000010000000}" name="Project Equipment Useful Life_x000a_(yr)" dataDxfId="165"/>
    <tableColumn id="15" xr3:uid="{00000000-0010-0000-0400-00000F000000}" name="Required_6?" dataDxfId="164">
      <calculatedColumnFormula>IF(ISBLANK(J19),"(Required)","")</calculatedColumnFormula>
    </tableColumn>
    <tableColumn id="13" xr3:uid="{00000000-0010-0000-0400-00000D000000}" name="Quantity" dataDxfId="163"/>
    <tableColumn id="14" xr3:uid="{00000000-0010-0000-0400-00000E000000}" name="Required_7?" dataDxfId="162">
      <calculatedColumnFormula>IF(ISBLANK(N19),"(Required)","")</calculatedColumnFormula>
    </tableColumn>
  </tableColumns>
  <tableStyleInfo name="TableStyleMedium2" showFirstColumn="0" showLastColumn="0" showRowStripes="1" showColumnStripes="0"/>
  <extLst>
    <ext xmlns:x14="http://schemas.microsoft.com/office/spreadsheetml/2009/9/main" uri="{504A1905-F514-4f6f-8877-14C23A59335A}">
      <x14:table altTextSummary="Project-specific inputs"/>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3" displayName="Table3" ref="B18:M51" totalsRowShown="0" headerRowDxfId="161" dataDxfId="159" headerRowBorderDxfId="160" tableBorderDxfId="158" totalsRowBorderDxfId="157">
  <autoFilter ref="B18:M51" xr:uid="{00000000-0009-0000-0100-000003000000}"/>
  <tableColumns count="12">
    <tableColumn id="1" xr3:uid="{00000000-0010-0000-0500-000001000000}" name="Project Type" dataDxfId="156"/>
    <tableColumn id="4" xr3:uid="{00000000-0010-0000-0500-000004000000}" name="Required_1?" dataDxfId="155">
      <calculatedColumnFormula>IF(ISBLANK(B19),"(Required)","")</calculatedColumnFormula>
    </tableColumn>
    <tableColumn id="2" xr3:uid="{00000000-0010-0000-0500-000002000000}" name="Vehicle Type" dataDxfId="154"/>
    <tableColumn id="5" xr3:uid="{00000000-0010-0000-0500-000005000000}" name="Required_2?" dataDxfId="153">
      <calculatedColumnFormula>IF(ISBLANK(D19),"(Required)","")</calculatedColumnFormula>
    </tableColumn>
    <tableColumn id="8" xr3:uid="{00000000-0010-0000-0500-000008000000}" name="Fuel Type" dataDxfId="152"/>
    <tableColumn id="7" xr3:uid="{00000000-0010-0000-0500-000007000000}" name="Required_3?" dataDxfId="151">
      <calculatedColumnFormula>IF(ISBLANK(F19),"(Required)","")</calculatedColumnFormula>
    </tableColumn>
    <tableColumn id="10" xr3:uid="{00000000-0010-0000-0500-00000A000000}" name="Number of Identical Vehicles" dataDxfId="150"/>
    <tableColumn id="9" xr3:uid="{00000000-0010-0000-0500-000009000000}" name="Required_4?" dataDxfId="149">
      <calculatedColumnFormula>IF(ISBLANK(H19),"(Required)","")</calculatedColumnFormula>
    </tableColumn>
    <tableColumn id="3" xr3:uid="{00000000-0010-0000-0500-000003000000}" name="Miles Traveled / Year_x000a_(Annual Total for All Vehicles)" dataDxfId="148"/>
    <tableColumn id="12" xr3:uid="{00000000-0010-0000-0500-00000C000000}" name="Required_5?" dataDxfId="147">
      <calculatedColumnFormula>IF(ISBLANK(J19),"(Optional)","")</calculatedColumnFormula>
    </tableColumn>
    <tableColumn id="11" xr3:uid="{00000000-0010-0000-0500-00000B000000}" name="Project Life_x000a_(Years)" dataDxfId="146"/>
    <tableColumn id="6" xr3:uid="{00000000-0010-0000-0500-000006000000}" name="Required_6?" dataDxfId="145">
      <calculatedColumnFormula>IF(ISBLANK(L19),"(Required)","")</calculatedColumnFormula>
    </tableColumn>
  </tableColumns>
  <tableStyleInfo name="TableStyleMedium2" showFirstColumn="0" showLastColumn="0" showRowStripes="1" showColumnStripes="0"/>
  <extLst>
    <ext xmlns:x14="http://schemas.microsoft.com/office/spreadsheetml/2009/9/main" uri="{504A1905-F514-4f6f-8877-14C23A59335A}">
      <x14:table altTextSummary="Project-specific inputs"/>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e2" displayName="Table2" ref="B14:C18" totalsRowShown="0" headerRowDxfId="144" dataDxfId="142" headerRowBorderDxfId="143" tableBorderDxfId="141" totalsRowBorderDxfId="140">
  <autoFilter ref="B14:C18" xr:uid="{00000000-0009-0000-0100-000002000000}"/>
  <tableColumns count="2">
    <tableColumn id="1" xr3:uid="{00000000-0010-0000-0600-000001000000}" name="Project Information" dataDxfId="139"/>
    <tableColumn id="2" xr3:uid="{00000000-0010-0000-0600-000002000000}" name="Result" dataDxfId="138">
      <calculatedColumnFormula>IF(ISBLANK('Project Info'!C34),"",'Project Info'!C34)</calculatedColumnFormula>
    </tableColumn>
  </tableColumns>
  <tableStyleInfo name="TableStyleMedium2" showFirstColumn="0" showLastColumn="0" showRowStripes="1" showColumnStripes="0"/>
  <extLst>
    <ext xmlns:x14="http://schemas.microsoft.com/office/spreadsheetml/2009/9/main" uri="{504A1905-F514-4f6f-8877-14C23A59335A}">
      <x14:table altTextSummary="Summary of Project Information"/>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Table5" displayName="Table5" ref="B21:C25" totalsRowShown="0" headerRowDxfId="137" dataDxfId="135" headerRowBorderDxfId="136" tableBorderDxfId="134" totalsRowBorderDxfId="133">
  <autoFilter ref="B21:C25" xr:uid="{00000000-0009-0000-0100-000005000000}"/>
  <tableColumns count="2">
    <tableColumn id="1" xr3:uid="{00000000-0010-0000-0700-000001000000}" name="GHG Emission Reductions" dataDxfId="132"/>
    <tableColumn id="2" xr3:uid="{00000000-0010-0000-0700-000002000000}" name="Result" dataDxfId="131"/>
  </tableColumns>
  <tableStyleInfo name="TableStyleMedium2" showFirstColumn="0" showLastColumn="0" showRowStripes="1" showColumnStripes="0"/>
  <extLst>
    <ext xmlns:x14="http://schemas.microsoft.com/office/spreadsheetml/2009/9/main" uri="{504A1905-F514-4f6f-8877-14C23A59335A}">
      <x14:table altTextSummary="Summary of GHG Benefit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SAFER@waterboards.ca.gov" TargetMode="External"/><Relationship Id="rId7" Type="http://schemas.openxmlformats.org/officeDocument/2006/relationships/printerSettings" Target="../printerSettings/printerSettings1.bin"/><Relationship Id="rId2" Type="http://schemas.openxmlformats.org/officeDocument/2006/relationships/hyperlink" Target="http://www.caclimateinvestments.ca.gov/" TargetMode="External"/><Relationship Id="rId1" Type="http://schemas.openxmlformats.org/officeDocument/2006/relationships/hyperlink" Target="mailto:GGRFProgram@arb.ca.gov" TargetMode="External"/><Relationship Id="rId6" Type="http://schemas.openxmlformats.org/officeDocument/2006/relationships/hyperlink" Target="http://www.arb.ca.gov/cci-resources" TargetMode="External"/><Relationship Id="rId5" Type="http://schemas.openxmlformats.org/officeDocument/2006/relationships/hyperlink" Target="https://ww2.arb.ca.gov/sites/default/files/classic/cc/capandtrade/auctionproceeds/swrcb_sadw_finaluserguide_11-14-23.pdf" TargetMode="External"/><Relationship Id="rId4" Type="http://schemas.openxmlformats.org/officeDocument/2006/relationships/hyperlink" Target="http://www.arb.ca.gov/cci-cobenefit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arb.ca.gov/emfac/2017/" TargetMode="External"/><Relationship Id="rId1" Type="http://schemas.openxmlformats.org/officeDocument/2006/relationships/hyperlink" Target="https://www.arb.ca.gov/emfac/2017/"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arb.ca.gov/emfac/2017/" TargetMode="External"/><Relationship Id="rId1" Type="http://schemas.openxmlformats.org/officeDocument/2006/relationships/hyperlink" Target="https://www.arb.ca.gov/emfac/2017/"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hyperlink" Target="http://www.energy.ca.gov/almanac/electricity_data/electricity_generation.html" TargetMode="External"/><Relationship Id="rId2" Type="http://schemas.openxmlformats.org/officeDocument/2006/relationships/hyperlink" Target="https://www.arb.ca.gov/app/emsinv/2017/emssumcat_query.php?F_YR=2012&amp;F_DIV=-4&amp;F_SEASON=A&amp;SP=SIP105ADJ&amp;F_AREA=CA" TargetMode="External"/><Relationship Id="rId1" Type="http://schemas.openxmlformats.org/officeDocument/2006/relationships/hyperlink" Target="http://www.energy.ca.gov/almanac/electricity_data/electricity_generation.html"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ww2.arb.ca.gov/sites/default/files/classic/cc/inventory/ghg_inventory_sector_sum_2000-20.pdf"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2.arb.ca.gov/sites/default/files/classic/fuels/lcfs/fuelpathways/comments/tier2/elec_update.pdf" TargetMode="External"/><Relationship Id="rId1" Type="http://schemas.openxmlformats.org/officeDocument/2006/relationships/hyperlink" Target="https://www.arb.ca.gov/regact/2018/lcfs18/frolcfs.pdf"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rb.ca.gov/fuels/lcfs/ca-greet/ca-greet.ht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caetrm.com/measure/SWWP005/02/value-table/194772/" TargetMode="External"/><Relationship Id="rId1" Type="http://schemas.openxmlformats.org/officeDocument/2006/relationships/hyperlink" Target="https://ww2.arb.ca.gov/sites/default/files/classic/msprog/moyer/guidelines/2017/2017_cmpgl.pdf"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2.arb.ca.gov/sites/default/files/classic/cc/capandtrade/auctionproceeds/swrcb_sadw_finaluserguide_11-14-23.pdf" TargetMode="External"/><Relationship Id="rId1" Type="http://schemas.openxmlformats.org/officeDocument/2006/relationships/hyperlink" Target="https://pvwatts.nrel.gov/" TargetMode="External"/><Relationship Id="rId5" Type="http://schemas.openxmlformats.org/officeDocument/2006/relationships/table" Target="../tables/table1.x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www.arb.ca.gov/cci-cobenefits" TargetMode="External"/><Relationship Id="rId2" Type="http://schemas.openxmlformats.org/officeDocument/2006/relationships/hyperlink" Target="https://www.arb.ca.gov/emfac/2017/" TargetMode="External"/><Relationship Id="rId1" Type="http://schemas.openxmlformats.org/officeDocument/2006/relationships/hyperlink" Target="http://www.arb.ca.gov/cci-cobenefits" TargetMode="External"/><Relationship Id="rId6" Type="http://schemas.openxmlformats.org/officeDocument/2006/relationships/drawing" Target="../drawings/drawing20.xml"/><Relationship Id="rId5" Type="http://schemas.openxmlformats.org/officeDocument/2006/relationships/printerSettings" Target="../printerSettings/printerSettings20.bin"/><Relationship Id="rId4" Type="http://schemas.openxmlformats.org/officeDocument/2006/relationships/hyperlink" Target="http://www.arb.ca.gov/guidelines-carl-moyer"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arb.ca.gov/emfac/2017/"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www.arb.ca.gov/emfac/2017/"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2.arb.ca.gov/sites/default/files/classic/cc/capandtrade/auctionproceeds/swrcb_sadw_finaluserguide_11-14-23.pdf"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2.arb.ca.gov/sites/default/files/classic/cc/capandtrade/auctionproceeds/swrcb_sadw_finaluserguide_11-14-23.pdf" TargetMode="Externa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2.arb.ca.gov/sites/default/files/classic/cc/capandtrade/auctionproceeds/swrcb_sadw_finaluserguide_11-14-23.pdf" TargetMode="External"/><Relationship Id="rId5" Type="http://schemas.openxmlformats.org/officeDocument/2006/relationships/table" Target="../tables/table5.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2.arb.ca.gov/sites/default/files/classic/cc/capandtrade/auctionproceeds/swrcb_sadw_finaluserguide_11-14-23.pdf" TargetMode="Externa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2.arb.ca.gov/sites/default/files/classic/cc/capandtrade/auctionproceeds/swrcb_sadw_finaluserguide_11-14-23.pdf" TargetMode="Externa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7C80"/>
    <pageSetUpPr fitToPage="1"/>
  </sheetPr>
  <dimension ref="B1:B26"/>
  <sheetViews>
    <sheetView showGridLines="0" tabSelected="1" showWhiteSpace="0" zoomScaleNormal="100" workbookViewId="0">
      <selection activeCell="B35" sqref="B35"/>
    </sheetView>
  </sheetViews>
  <sheetFormatPr defaultColWidth="9.1796875" defaultRowHeight="14.5" x14ac:dyDescent="0.35"/>
  <cols>
    <col min="1" max="1" width="2.1796875" style="616" customWidth="1"/>
    <col min="2" max="2" width="155" style="630" customWidth="1"/>
    <col min="3" max="3" width="2.81640625" style="616" customWidth="1"/>
    <col min="4" max="16384" width="9.1796875" style="616"/>
  </cols>
  <sheetData>
    <row r="1" spans="2:2" ht="18" x14ac:dyDescent="0.35">
      <c r="B1" s="615" t="s">
        <v>0</v>
      </c>
    </row>
    <row r="2" spans="2:2" ht="18" x14ac:dyDescent="0.35">
      <c r="B2" s="617"/>
    </row>
    <row r="3" spans="2:2" ht="18" x14ac:dyDescent="0.35">
      <c r="B3" s="615" t="s">
        <v>504</v>
      </c>
    </row>
    <row r="4" spans="2:2" ht="18" x14ac:dyDescent="0.35">
      <c r="B4" s="618" t="s">
        <v>276</v>
      </c>
    </row>
    <row r="5" spans="2:2" ht="18" x14ac:dyDescent="0.35">
      <c r="B5" s="618" t="s">
        <v>277</v>
      </c>
    </row>
    <row r="6" spans="2:2" ht="18" x14ac:dyDescent="0.35">
      <c r="B6" s="617"/>
    </row>
    <row r="7" spans="2:2" ht="18" x14ac:dyDescent="0.35">
      <c r="B7" s="615"/>
    </row>
    <row r="8" spans="2:2" ht="18" x14ac:dyDescent="0.35">
      <c r="B8" s="615" t="s">
        <v>1</v>
      </c>
    </row>
    <row r="9" spans="2:2" ht="18" x14ac:dyDescent="0.35">
      <c r="B9" s="615"/>
    </row>
    <row r="10" spans="2:2" ht="16" thickBot="1" x14ac:dyDescent="0.4">
      <c r="B10" s="621" t="s">
        <v>2</v>
      </c>
    </row>
    <row r="11" spans="2:2" ht="63.75" customHeight="1" x14ac:dyDescent="0.35">
      <c r="B11" s="1142" t="s">
        <v>3648</v>
      </c>
    </row>
    <row r="12" spans="2:2" ht="15.5" x14ac:dyDescent="0.35">
      <c r="B12" s="622" t="s">
        <v>5</v>
      </c>
    </row>
    <row r="13" spans="2:2" ht="15.5" x14ac:dyDescent="0.35">
      <c r="B13" s="623"/>
    </row>
    <row r="14" spans="2:2" ht="49.5" customHeight="1" x14ac:dyDescent="0.35">
      <c r="B14" s="1143" t="s">
        <v>3649</v>
      </c>
    </row>
    <row r="15" spans="2:2" ht="15.5" x14ac:dyDescent="0.35">
      <c r="B15" s="622" t="s">
        <v>6</v>
      </c>
    </row>
    <row r="16" spans="2:2" ht="15.5" x14ac:dyDescent="0.35">
      <c r="B16" s="624"/>
    </row>
    <row r="17" spans="2:2" ht="15.5" x14ac:dyDescent="0.35">
      <c r="B17" s="625" t="s">
        <v>3616</v>
      </c>
    </row>
    <row r="18" spans="2:2" ht="15.5" x14ac:dyDescent="0.35">
      <c r="B18" s="626" t="s">
        <v>3650</v>
      </c>
    </row>
    <row r="19" spans="2:2" ht="15.5" x14ac:dyDescent="0.35">
      <c r="B19" s="623"/>
    </row>
    <row r="20" spans="2:2" ht="15.5" x14ac:dyDescent="0.35">
      <c r="B20" s="627" t="s">
        <v>3</v>
      </c>
    </row>
    <row r="21" spans="2:2" ht="15.5" x14ac:dyDescent="0.35">
      <c r="B21" s="623" t="s">
        <v>7</v>
      </c>
    </row>
    <row r="22" spans="2:2" ht="15.5" x14ac:dyDescent="0.35">
      <c r="B22" s="628" t="s">
        <v>4</v>
      </c>
    </row>
    <row r="23" spans="2:2" ht="15.5" x14ac:dyDescent="0.35">
      <c r="B23" s="623" t="s">
        <v>275</v>
      </c>
    </row>
    <row r="24" spans="2:2" ht="15.5" x14ac:dyDescent="0.35">
      <c r="B24" s="628" t="s">
        <v>50</v>
      </c>
    </row>
    <row r="25" spans="2:2" ht="15.5" x14ac:dyDescent="0.35">
      <c r="B25" s="623" t="s">
        <v>49</v>
      </c>
    </row>
    <row r="26" spans="2:2" ht="16" thickBot="1" x14ac:dyDescent="0.4">
      <c r="B26" s="629" t="s">
        <v>48</v>
      </c>
    </row>
  </sheetData>
  <sheetProtection algorithmName="SHA-512" hashValue="779by3aoEDQlDZmC49bJ1YuL02iO724A9h3uUN8XGUT/K/XrMneNxJ7uOAsmsABlUhSxinKOGKfWOryjB5cmMA==" saltValue="HJOGU9VqDQx6wqKAYITCXA==" spinCount="100000" sheet="1"/>
  <hyperlinks>
    <hyperlink ref="B22" r:id="rId1" tooltip="California Climate Investments program email" xr:uid="{00000000-0004-0000-0000-000000000000}"/>
    <hyperlink ref="B26" r:id="rId2" tooltip="California Climate Investments program webpage" xr:uid="{00000000-0004-0000-0000-000002000000}"/>
    <hyperlink ref="B24" r:id="rId3" tooltip="SAFER Drinking Water Program email" xr:uid="{00000000-0004-0000-0000-000003000000}"/>
    <hyperlink ref="B15" r:id="rId4" xr:uid="{00000000-0004-0000-0000-000004000000}"/>
    <hyperlink ref="B18" r:id="rId5" xr:uid="{00000000-0004-0000-0000-000005000000}"/>
    <hyperlink ref="B12" r:id="rId6" xr:uid="{00000000-0004-0000-0000-000001000000}"/>
  </hyperlinks>
  <pageMargins left="0.7" right="0.7" top="0.75" bottom="0.75" header="0.3" footer="0.3"/>
  <pageSetup scale="72" orientation="landscape" r:id="rId7"/>
  <headerFooter>
    <oddFooter>&amp;L&amp;"Avenir LT Std 55 Roman,Regular"&amp;12FINAL June 1, 2022&amp;C&amp;"Avenir LT Std 55 Roman,Regular"&amp;12Page &amp;P of &amp;N&amp;R&amp;"Avenir LT Std 55 Roman,Regular"&amp;12&amp;A</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6686-A0FB-42CC-B611-3AD879A6E175}">
  <sheetPr codeName="Sheet10">
    <tabColor theme="0" tint="-0.499984740745262"/>
  </sheetPr>
  <dimension ref="A1:D121"/>
  <sheetViews>
    <sheetView showGridLines="0" showWhiteSpace="0" zoomScaleNormal="100" workbookViewId="0">
      <selection activeCell="C90" sqref="C90"/>
    </sheetView>
  </sheetViews>
  <sheetFormatPr defaultRowHeight="14.5" x14ac:dyDescent="0.35"/>
  <cols>
    <col min="1" max="1" width="52" customWidth="1"/>
    <col min="2" max="2" width="35.54296875" customWidth="1"/>
    <col min="3" max="3" width="80.81640625" customWidth="1"/>
  </cols>
  <sheetData>
    <row r="1" spans="1:4" s="2" customFormat="1" ht="18" x14ac:dyDescent="0.35">
      <c r="B1" s="19" t="str">
        <f>'Read Me'!B1</f>
        <v>California Air Resources Board</v>
      </c>
      <c r="C1" s="19"/>
      <c r="D1" s="14"/>
    </row>
    <row r="2" spans="1:4" s="2" customFormat="1" ht="18" x14ac:dyDescent="0.4">
      <c r="B2" s="440"/>
      <c r="C2" s="12"/>
      <c r="D2" s="11"/>
    </row>
    <row r="3" spans="1:4" s="2" customFormat="1" ht="18" x14ac:dyDescent="0.4">
      <c r="B3" s="12" t="str">
        <f>'Read Me'!B3</f>
        <v>Benefits Calculator Tool</v>
      </c>
      <c r="C3" s="12"/>
      <c r="D3" s="11"/>
    </row>
    <row r="4" spans="1:4" s="2" customFormat="1" ht="18" x14ac:dyDescent="0.4">
      <c r="B4" s="20" t="str">
        <f>'Read Me'!B4</f>
        <v>Safe and Affordable Drinking Water</v>
      </c>
      <c r="C4" s="13"/>
      <c r="D4" s="11"/>
    </row>
    <row r="5" spans="1:4" s="2" customFormat="1" ht="18" x14ac:dyDescent="0.4">
      <c r="B5" s="20" t="str">
        <f>'Read Me'!B5</f>
        <v>(SADW) Fund</v>
      </c>
      <c r="C5" s="13"/>
      <c r="D5" s="11"/>
    </row>
    <row r="6" spans="1:4" s="2" customFormat="1" ht="18" x14ac:dyDescent="0.4">
      <c r="B6" s="12"/>
      <c r="C6" s="12"/>
      <c r="D6" s="11"/>
    </row>
    <row r="7" spans="1:4" s="2" customFormat="1" ht="18" x14ac:dyDescent="0.4">
      <c r="B7" s="12" t="str">
        <f>'Read Me'!B8</f>
        <v xml:space="preserve">California Climate Investments </v>
      </c>
      <c r="C7" s="12"/>
      <c r="D7" s="11"/>
    </row>
    <row r="8" spans="1:4" s="2" customFormat="1" ht="15.5" x14ac:dyDescent="0.35">
      <c r="B8" s="1"/>
    </row>
    <row r="9" spans="1:4" s="2" customFormat="1" ht="15.5" x14ac:dyDescent="0.35">
      <c r="B9" s="1"/>
    </row>
    <row r="10" spans="1:4" ht="15.5" x14ac:dyDescent="0.35">
      <c r="A10" s="1120" t="s">
        <v>621</v>
      </c>
      <c r="B10" s="1120"/>
      <c r="C10" s="1120"/>
    </row>
    <row r="11" spans="1:4" ht="15.5" x14ac:dyDescent="0.35">
      <c r="A11" s="1121" t="s">
        <v>622</v>
      </c>
      <c r="B11" s="1121" t="s">
        <v>623</v>
      </c>
      <c r="C11" s="1121" t="s">
        <v>624</v>
      </c>
    </row>
    <row r="12" spans="1:4" ht="15.5" x14ac:dyDescent="0.35">
      <c r="A12" s="1122" t="s">
        <v>628</v>
      </c>
      <c r="B12" s="1122"/>
      <c r="C12" s="1122"/>
    </row>
    <row r="13" spans="1:4" ht="15.5" x14ac:dyDescent="0.35">
      <c r="A13" s="1121" t="s">
        <v>10</v>
      </c>
      <c r="B13" s="1123" t="s">
        <v>625</v>
      </c>
      <c r="C13" s="1123" t="s">
        <v>632</v>
      </c>
    </row>
    <row r="14" spans="1:4" ht="15.5" x14ac:dyDescent="0.35">
      <c r="A14" s="1121" t="s">
        <v>208</v>
      </c>
      <c r="B14" s="1123" t="s">
        <v>625</v>
      </c>
      <c r="C14" s="1123" t="s">
        <v>668</v>
      </c>
    </row>
    <row r="15" spans="1:4" ht="15.5" x14ac:dyDescent="0.35">
      <c r="A15" s="1121" t="s">
        <v>11</v>
      </c>
      <c r="B15" s="1123" t="s">
        <v>625</v>
      </c>
      <c r="C15" s="1123" t="s">
        <v>634</v>
      </c>
    </row>
    <row r="16" spans="1:4" ht="15.5" x14ac:dyDescent="0.35">
      <c r="A16" s="1121" t="s">
        <v>12</v>
      </c>
      <c r="B16" s="1123" t="s">
        <v>625</v>
      </c>
      <c r="C16" s="1123" t="s">
        <v>633</v>
      </c>
    </row>
    <row r="17" spans="1:3" ht="15.5" x14ac:dyDescent="0.35">
      <c r="A17" s="1121" t="s">
        <v>13</v>
      </c>
      <c r="B17" s="1123" t="s">
        <v>626</v>
      </c>
      <c r="C17" s="1123" t="s">
        <v>635</v>
      </c>
    </row>
    <row r="18" spans="1:3" ht="15.5" x14ac:dyDescent="0.35">
      <c r="A18" s="1121" t="s">
        <v>14</v>
      </c>
      <c r="B18" s="1123" t="s">
        <v>679</v>
      </c>
      <c r="C18" s="1123" t="s">
        <v>636</v>
      </c>
    </row>
    <row r="19" spans="1:3" ht="46.5" x14ac:dyDescent="0.35">
      <c r="A19" s="1121" t="s">
        <v>279</v>
      </c>
      <c r="B19" s="1123" t="s">
        <v>627</v>
      </c>
      <c r="C19" s="1123" t="s">
        <v>637</v>
      </c>
    </row>
    <row r="20" spans="1:3" ht="31" x14ac:dyDescent="0.35">
      <c r="A20" s="1121" t="s">
        <v>46</v>
      </c>
      <c r="B20" s="1123" t="s">
        <v>627</v>
      </c>
      <c r="C20" s="1123" t="s">
        <v>638</v>
      </c>
    </row>
    <row r="21" spans="1:3" ht="15.5" x14ac:dyDescent="0.35">
      <c r="A21" s="1121" t="s">
        <v>47</v>
      </c>
      <c r="B21" s="1123" t="s">
        <v>627</v>
      </c>
      <c r="C21" s="1123" t="s">
        <v>639</v>
      </c>
    </row>
    <row r="22" spans="1:3" ht="15.5" x14ac:dyDescent="0.35">
      <c r="A22" s="1121" t="s">
        <v>15</v>
      </c>
      <c r="B22" s="1123" t="s">
        <v>630</v>
      </c>
      <c r="C22" s="1123" t="s">
        <v>629</v>
      </c>
    </row>
    <row r="23" spans="1:3" ht="15.5" x14ac:dyDescent="0.35">
      <c r="A23" s="1122" t="s">
        <v>640</v>
      </c>
      <c r="B23" s="1122"/>
      <c r="C23" s="1122"/>
    </row>
    <row r="24" spans="1:3" ht="15.5" x14ac:dyDescent="0.35">
      <c r="A24" s="1124" t="s">
        <v>379</v>
      </c>
      <c r="B24" s="1123" t="s">
        <v>626</v>
      </c>
      <c r="C24" s="1123" t="s">
        <v>631</v>
      </c>
    </row>
    <row r="25" spans="1:3" ht="46.5" x14ac:dyDescent="0.35">
      <c r="A25" s="1124" t="s">
        <v>434</v>
      </c>
      <c r="B25" s="1123" t="s">
        <v>680</v>
      </c>
      <c r="C25" s="1123" t="s">
        <v>670</v>
      </c>
    </row>
    <row r="26" spans="1:3" ht="31" x14ac:dyDescent="0.35">
      <c r="A26" s="1124" t="s">
        <v>381</v>
      </c>
      <c r="B26" s="1123" t="s">
        <v>681</v>
      </c>
      <c r="C26" s="1123" t="s">
        <v>669</v>
      </c>
    </row>
    <row r="27" spans="1:3" ht="46.5" x14ac:dyDescent="0.35">
      <c r="A27" s="1125" t="s">
        <v>507</v>
      </c>
      <c r="B27" s="1123" t="s">
        <v>671</v>
      </c>
      <c r="C27" s="1123" t="s">
        <v>672</v>
      </c>
    </row>
    <row r="28" spans="1:3" ht="15.5" x14ac:dyDescent="0.35">
      <c r="A28" s="1125" t="s">
        <v>508</v>
      </c>
      <c r="B28" s="1123" t="s">
        <v>671</v>
      </c>
      <c r="C28" s="1123" t="s">
        <v>673</v>
      </c>
    </row>
    <row r="29" spans="1:3" ht="31" x14ac:dyDescent="0.35">
      <c r="A29" s="1125" t="s">
        <v>510</v>
      </c>
      <c r="B29" s="1123" t="s">
        <v>671</v>
      </c>
      <c r="C29" s="1126" t="s">
        <v>674</v>
      </c>
    </row>
    <row r="30" spans="1:3" ht="31" x14ac:dyDescent="0.35">
      <c r="A30" s="1125" t="s">
        <v>509</v>
      </c>
      <c r="B30" s="1123" t="s">
        <v>671</v>
      </c>
      <c r="C30" s="1123" t="s">
        <v>675</v>
      </c>
    </row>
    <row r="31" spans="1:3" ht="31" x14ac:dyDescent="0.35">
      <c r="A31" s="1125" t="s">
        <v>511</v>
      </c>
      <c r="B31" s="1123" t="s">
        <v>676</v>
      </c>
      <c r="C31" s="1123" t="s">
        <v>677</v>
      </c>
    </row>
    <row r="32" spans="1:3" ht="62" x14ac:dyDescent="0.35">
      <c r="A32" s="1125" t="s">
        <v>512</v>
      </c>
      <c r="B32" s="1123" t="s">
        <v>678</v>
      </c>
      <c r="C32" s="1123" t="s">
        <v>691</v>
      </c>
    </row>
    <row r="33" spans="1:3" ht="31" x14ac:dyDescent="0.35">
      <c r="A33" s="1125" t="s">
        <v>513</v>
      </c>
      <c r="B33" s="1123" t="s">
        <v>681</v>
      </c>
      <c r="C33" s="1123" t="s">
        <v>682</v>
      </c>
    </row>
    <row r="34" spans="1:3" ht="46.5" x14ac:dyDescent="0.35">
      <c r="A34" s="1127" t="s">
        <v>530</v>
      </c>
      <c r="B34" s="1123" t="s">
        <v>684</v>
      </c>
      <c r="C34" s="1123" t="s">
        <v>683</v>
      </c>
    </row>
    <row r="35" spans="1:3" ht="46.5" x14ac:dyDescent="0.35">
      <c r="A35" s="1128" t="s">
        <v>514</v>
      </c>
      <c r="B35" s="1123" t="s">
        <v>671</v>
      </c>
      <c r="C35" s="1123" t="s">
        <v>685</v>
      </c>
    </row>
    <row r="36" spans="1:3" ht="15.5" x14ac:dyDescent="0.35">
      <c r="A36" s="1128" t="s">
        <v>515</v>
      </c>
      <c r="B36" s="1123" t="s">
        <v>671</v>
      </c>
      <c r="C36" s="1123" t="s">
        <v>686</v>
      </c>
    </row>
    <row r="37" spans="1:3" ht="31" x14ac:dyDescent="0.35">
      <c r="A37" s="1129" t="s">
        <v>517</v>
      </c>
      <c r="B37" s="1123" t="s">
        <v>671</v>
      </c>
      <c r="C37" s="1126" t="s">
        <v>674</v>
      </c>
    </row>
    <row r="38" spans="1:3" ht="46.5" x14ac:dyDescent="0.35">
      <c r="A38" s="1128" t="s">
        <v>516</v>
      </c>
      <c r="B38" s="1123" t="s">
        <v>671</v>
      </c>
      <c r="C38" s="1123" t="s">
        <v>687</v>
      </c>
    </row>
    <row r="39" spans="1:3" ht="31" x14ac:dyDescent="0.35">
      <c r="A39" s="1128" t="s">
        <v>518</v>
      </c>
      <c r="B39" s="1123" t="s">
        <v>676</v>
      </c>
      <c r="C39" s="1123" t="s">
        <v>688</v>
      </c>
    </row>
    <row r="40" spans="1:3" ht="62" x14ac:dyDescent="0.35">
      <c r="A40" s="1128" t="s">
        <v>519</v>
      </c>
      <c r="B40" s="1123" t="s">
        <v>678</v>
      </c>
      <c r="C40" s="1123" t="s">
        <v>690</v>
      </c>
    </row>
    <row r="41" spans="1:3" ht="31" x14ac:dyDescent="0.35">
      <c r="A41" s="1128" t="s">
        <v>520</v>
      </c>
      <c r="B41" s="1123" t="s">
        <v>681</v>
      </c>
      <c r="C41" s="1123" t="s">
        <v>689</v>
      </c>
    </row>
    <row r="42" spans="1:3" ht="15.5" x14ac:dyDescent="0.35">
      <c r="A42" s="1122" t="s">
        <v>641</v>
      </c>
      <c r="B42" s="1122"/>
      <c r="C42" s="1122"/>
    </row>
    <row r="43" spans="1:3" ht="15.5" x14ac:dyDescent="0.35">
      <c r="A43" s="1124" t="s">
        <v>379</v>
      </c>
      <c r="B43" s="1123" t="s">
        <v>626</v>
      </c>
      <c r="C43" s="1123" t="s">
        <v>631</v>
      </c>
    </row>
    <row r="44" spans="1:3" ht="31" x14ac:dyDescent="0.35">
      <c r="A44" s="1124" t="s">
        <v>381</v>
      </c>
      <c r="B44" s="1123" t="s">
        <v>681</v>
      </c>
      <c r="C44" s="1123" t="s">
        <v>669</v>
      </c>
    </row>
    <row r="45" spans="1:3" ht="31" x14ac:dyDescent="0.35">
      <c r="A45" s="1125" t="s">
        <v>557</v>
      </c>
      <c r="B45" s="1123" t="s">
        <v>671</v>
      </c>
      <c r="C45" s="1123" t="s">
        <v>692</v>
      </c>
    </row>
    <row r="46" spans="1:3" ht="31" x14ac:dyDescent="0.35">
      <c r="A46" s="1125" t="s">
        <v>611</v>
      </c>
      <c r="B46" s="1123" t="s">
        <v>676</v>
      </c>
      <c r="C46" s="1123" t="s">
        <v>693</v>
      </c>
    </row>
    <row r="47" spans="1:3" ht="31" x14ac:dyDescent="0.35">
      <c r="A47" s="1125" t="s">
        <v>644</v>
      </c>
      <c r="B47" s="1123" t="s">
        <v>676</v>
      </c>
      <c r="C47" s="1123" t="s">
        <v>694</v>
      </c>
    </row>
    <row r="48" spans="1:3" ht="31" x14ac:dyDescent="0.35">
      <c r="A48" s="1125" t="s">
        <v>645</v>
      </c>
      <c r="B48" s="1126" t="s">
        <v>676</v>
      </c>
      <c r="C48" s="1123" t="s">
        <v>695</v>
      </c>
    </row>
    <row r="49" spans="1:3" ht="31" x14ac:dyDescent="0.35">
      <c r="A49" s="1125" t="s">
        <v>646</v>
      </c>
      <c r="B49" s="1123" t="s">
        <v>696</v>
      </c>
      <c r="C49" s="1123" t="s">
        <v>697</v>
      </c>
    </row>
    <row r="50" spans="1:3" ht="31" x14ac:dyDescent="0.35">
      <c r="A50" s="1125" t="s">
        <v>647</v>
      </c>
      <c r="B50" s="1123" t="s">
        <v>696</v>
      </c>
      <c r="C50" s="1123" t="s">
        <v>698</v>
      </c>
    </row>
    <row r="51" spans="1:3" ht="31" x14ac:dyDescent="0.35">
      <c r="A51" s="1125" t="s">
        <v>648</v>
      </c>
      <c r="B51" s="1123" t="s">
        <v>671</v>
      </c>
      <c r="C51" s="1123" t="s">
        <v>699</v>
      </c>
    </row>
    <row r="52" spans="1:3" ht="46.5" x14ac:dyDescent="0.35">
      <c r="A52" s="1125" t="s">
        <v>649</v>
      </c>
      <c r="B52" s="1123" t="s">
        <v>766</v>
      </c>
      <c r="C52" s="1123" t="s">
        <v>767</v>
      </c>
    </row>
    <row r="53" spans="1:3" ht="62" x14ac:dyDescent="0.35">
      <c r="A53" s="1125" t="s">
        <v>650</v>
      </c>
      <c r="B53" s="1123" t="s">
        <v>678</v>
      </c>
      <c r="C53" s="1123" t="s">
        <v>700</v>
      </c>
    </row>
    <row r="54" spans="1:3" ht="31" x14ac:dyDescent="0.35">
      <c r="A54" s="1127" t="s">
        <v>704</v>
      </c>
      <c r="B54" s="1123" t="s">
        <v>676</v>
      </c>
      <c r="C54" s="1123" t="s">
        <v>682</v>
      </c>
    </row>
    <row r="55" spans="1:3" ht="31" x14ac:dyDescent="0.35">
      <c r="A55" s="1127" t="s">
        <v>578</v>
      </c>
      <c r="B55" s="1123" t="s">
        <v>676</v>
      </c>
      <c r="C55" s="1123" t="s">
        <v>677</v>
      </c>
    </row>
    <row r="56" spans="1:3" ht="46.5" x14ac:dyDescent="0.35">
      <c r="A56" s="1128" t="s">
        <v>560</v>
      </c>
      <c r="B56" s="1123" t="s">
        <v>671</v>
      </c>
      <c r="C56" s="1123" t="s">
        <v>705</v>
      </c>
    </row>
    <row r="57" spans="1:3" ht="31" x14ac:dyDescent="0.35">
      <c r="A57" s="1128" t="s">
        <v>651</v>
      </c>
      <c r="B57" s="1123" t="s">
        <v>676</v>
      </c>
      <c r="C57" s="1123" t="s">
        <v>706</v>
      </c>
    </row>
    <row r="58" spans="1:3" ht="31" x14ac:dyDescent="0.35">
      <c r="A58" s="1128" t="s">
        <v>652</v>
      </c>
      <c r="B58" s="1123" t="s">
        <v>676</v>
      </c>
      <c r="C58" s="1123" t="s">
        <v>707</v>
      </c>
    </row>
    <row r="59" spans="1:3" ht="31" x14ac:dyDescent="0.35">
      <c r="A59" s="1128" t="s">
        <v>615</v>
      </c>
      <c r="B59" s="1126" t="s">
        <v>676</v>
      </c>
      <c r="C59" s="1123" t="s">
        <v>708</v>
      </c>
    </row>
    <row r="60" spans="1:3" ht="31" x14ac:dyDescent="0.35">
      <c r="A60" s="1128" t="s">
        <v>653</v>
      </c>
      <c r="B60" s="1123" t="s">
        <v>696</v>
      </c>
      <c r="C60" s="1123" t="s">
        <v>709</v>
      </c>
    </row>
    <row r="61" spans="1:3" ht="31" x14ac:dyDescent="0.35">
      <c r="A61" s="1128" t="s">
        <v>654</v>
      </c>
      <c r="B61" s="1123" t="s">
        <v>696</v>
      </c>
      <c r="C61" s="1123" t="s">
        <v>710</v>
      </c>
    </row>
    <row r="62" spans="1:3" ht="31" x14ac:dyDescent="0.35">
      <c r="A62" s="1128" t="s">
        <v>655</v>
      </c>
      <c r="B62" s="1123" t="s">
        <v>671</v>
      </c>
      <c r="C62" s="1123" t="s">
        <v>699</v>
      </c>
    </row>
    <row r="63" spans="1:3" ht="31" x14ac:dyDescent="0.35">
      <c r="A63" s="1128" t="s">
        <v>656</v>
      </c>
      <c r="B63" s="1123" t="s">
        <v>696</v>
      </c>
      <c r="C63" s="1123" t="s">
        <v>711</v>
      </c>
    </row>
    <row r="64" spans="1:3" ht="62" x14ac:dyDescent="0.35">
      <c r="A64" s="1128" t="s">
        <v>657</v>
      </c>
      <c r="B64" s="1123" t="s">
        <v>678</v>
      </c>
      <c r="C64" s="1123" t="s">
        <v>712</v>
      </c>
    </row>
    <row r="65" spans="1:3" ht="31" x14ac:dyDescent="0.35">
      <c r="A65" s="1128" t="s">
        <v>702</v>
      </c>
      <c r="B65" s="1123" t="s">
        <v>676</v>
      </c>
      <c r="C65" s="1123" t="s">
        <v>689</v>
      </c>
    </row>
    <row r="66" spans="1:3" ht="31" x14ac:dyDescent="0.35">
      <c r="A66" s="1128" t="s">
        <v>658</v>
      </c>
      <c r="B66" s="1123" t="s">
        <v>676</v>
      </c>
      <c r="C66" s="1123" t="s">
        <v>688</v>
      </c>
    </row>
    <row r="67" spans="1:3" ht="15.5" x14ac:dyDescent="0.35">
      <c r="A67" s="1130" t="s">
        <v>642</v>
      </c>
      <c r="B67" s="1122"/>
      <c r="C67" s="1122"/>
    </row>
    <row r="68" spans="1:3" ht="31" x14ac:dyDescent="0.35">
      <c r="A68" s="1131" t="s">
        <v>659</v>
      </c>
      <c r="B68" s="1123" t="s">
        <v>676</v>
      </c>
      <c r="C68" s="1123" t="s">
        <v>717</v>
      </c>
    </row>
    <row r="69" spans="1:3" ht="46.5" x14ac:dyDescent="0.35">
      <c r="A69" s="1132" t="s">
        <v>167</v>
      </c>
      <c r="B69" s="1123" t="s">
        <v>671</v>
      </c>
      <c r="C69" s="1123" t="s">
        <v>768</v>
      </c>
    </row>
    <row r="70" spans="1:3" ht="31" x14ac:dyDescent="0.35">
      <c r="A70" s="1131" t="s">
        <v>660</v>
      </c>
      <c r="B70" s="1123" t="s">
        <v>630</v>
      </c>
      <c r="C70" s="1123" t="s">
        <v>718</v>
      </c>
    </row>
    <row r="71" spans="1:3" ht="33" x14ac:dyDescent="0.35">
      <c r="A71" s="1131" t="s">
        <v>3644</v>
      </c>
      <c r="B71" s="1123" t="s">
        <v>630</v>
      </c>
      <c r="C71" s="1123" t="s">
        <v>713</v>
      </c>
    </row>
    <row r="72" spans="1:3" ht="31" x14ac:dyDescent="0.35">
      <c r="A72" s="1131" t="s">
        <v>661</v>
      </c>
      <c r="B72" s="1123" t="s">
        <v>630</v>
      </c>
      <c r="C72" s="1123" t="s">
        <v>714</v>
      </c>
    </row>
    <row r="73" spans="1:3" ht="33" x14ac:dyDescent="0.35">
      <c r="A73" s="1131" t="s">
        <v>3645</v>
      </c>
      <c r="B73" s="1123" t="s">
        <v>630</v>
      </c>
      <c r="C73" s="1123" t="s">
        <v>715</v>
      </c>
    </row>
    <row r="74" spans="1:3" ht="36.65" customHeight="1" x14ac:dyDescent="0.35">
      <c r="A74" s="1131" t="s">
        <v>3646</v>
      </c>
      <c r="B74" s="1123" t="s">
        <v>630</v>
      </c>
      <c r="C74" s="1123" t="s">
        <v>716</v>
      </c>
    </row>
    <row r="75" spans="1:3" ht="15.5" x14ac:dyDescent="0.35">
      <c r="A75" s="1130" t="s">
        <v>643</v>
      </c>
      <c r="B75" s="1122"/>
      <c r="C75" s="1122"/>
    </row>
    <row r="76" spans="1:3" ht="15.5" x14ac:dyDescent="0.35">
      <c r="A76" s="1133" t="s">
        <v>210</v>
      </c>
      <c r="B76" s="1123" t="s">
        <v>626</v>
      </c>
      <c r="C76" s="1123" t="s">
        <v>719</v>
      </c>
    </row>
    <row r="77" spans="1:3" ht="31" x14ac:dyDescent="0.35">
      <c r="A77" s="1133" t="s">
        <v>213</v>
      </c>
      <c r="B77" s="1123" t="s">
        <v>676</v>
      </c>
      <c r="C77" s="1123" t="s">
        <v>769</v>
      </c>
    </row>
    <row r="78" spans="1:3" ht="31" x14ac:dyDescent="0.35">
      <c r="A78" s="1133" t="s">
        <v>223</v>
      </c>
      <c r="B78" s="1123" t="s">
        <v>676</v>
      </c>
      <c r="C78" s="1123" t="s">
        <v>720</v>
      </c>
    </row>
    <row r="79" spans="1:3" ht="31" x14ac:dyDescent="0.35">
      <c r="A79" s="1133" t="s">
        <v>215</v>
      </c>
      <c r="B79" s="1123" t="s">
        <v>676</v>
      </c>
      <c r="C79" s="1123" t="s">
        <v>770</v>
      </c>
    </row>
    <row r="80" spans="1:3" ht="31" x14ac:dyDescent="0.35">
      <c r="A80" s="1133" t="s">
        <v>224</v>
      </c>
      <c r="B80" s="1123" t="s">
        <v>676</v>
      </c>
      <c r="C80" s="1123" t="s">
        <v>721</v>
      </c>
    </row>
    <row r="81" spans="1:3" ht="46.5" x14ac:dyDescent="0.35">
      <c r="A81" s="1133" t="s">
        <v>273</v>
      </c>
      <c r="B81" s="1123" t="s">
        <v>681</v>
      </c>
      <c r="C81" s="1123" t="s">
        <v>722</v>
      </c>
    </row>
    <row r="82" spans="1:3" ht="15.5" x14ac:dyDescent="0.35">
      <c r="A82" s="1133" t="s">
        <v>211</v>
      </c>
      <c r="B82" s="1134" t="s">
        <v>681</v>
      </c>
      <c r="C82" s="1134" t="s">
        <v>723</v>
      </c>
    </row>
    <row r="83" spans="1:3" ht="15.5" x14ac:dyDescent="0.35">
      <c r="A83" s="1130" t="s">
        <v>662</v>
      </c>
      <c r="B83" s="1122"/>
      <c r="C83" s="1122"/>
    </row>
    <row r="84" spans="1:3" ht="15.5" x14ac:dyDescent="0.35">
      <c r="A84" s="1135" t="s">
        <v>56</v>
      </c>
      <c r="B84" s="1134" t="s">
        <v>671</v>
      </c>
      <c r="C84" s="1134" t="s">
        <v>728</v>
      </c>
    </row>
    <row r="85" spans="1:3" ht="31" x14ac:dyDescent="0.35">
      <c r="A85" s="1135" t="s">
        <v>55</v>
      </c>
      <c r="B85" s="1134" t="s">
        <v>671</v>
      </c>
      <c r="C85" s="1136" t="s">
        <v>727</v>
      </c>
    </row>
    <row r="86" spans="1:3" ht="31" x14ac:dyDescent="0.35">
      <c r="A86" s="1135" t="s">
        <v>68</v>
      </c>
      <c r="B86" s="1134" t="s">
        <v>671</v>
      </c>
      <c r="C86" s="1136" t="s">
        <v>726</v>
      </c>
    </row>
    <row r="87" spans="1:3" ht="15.5" x14ac:dyDescent="0.35">
      <c r="A87" s="1135" t="s">
        <v>106</v>
      </c>
      <c r="B87" s="1134" t="s">
        <v>681</v>
      </c>
      <c r="C87" s="1136" t="s">
        <v>725</v>
      </c>
    </row>
    <row r="88" spans="1:3" ht="62" x14ac:dyDescent="0.35">
      <c r="A88" s="1137" t="s">
        <v>620</v>
      </c>
      <c r="B88" s="1134" t="s">
        <v>678</v>
      </c>
      <c r="C88" s="1136" t="s">
        <v>771</v>
      </c>
    </row>
    <row r="89" spans="1:3" ht="31" x14ac:dyDescent="0.35">
      <c r="A89" s="1135" t="s">
        <v>146</v>
      </c>
      <c r="B89" s="1134" t="s">
        <v>681</v>
      </c>
      <c r="C89" s="1134" t="s">
        <v>724</v>
      </c>
    </row>
    <row r="90" spans="1:3" ht="15.5" x14ac:dyDescent="0.35">
      <c r="A90" s="1141" t="s">
        <v>772</v>
      </c>
      <c r="B90" s="1134" t="s">
        <v>681</v>
      </c>
      <c r="C90" s="1134" t="s">
        <v>3647</v>
      </c>
    </row>
    <row r="91" spans="1:3" ht="15.5" x14ac:dyDescent="0.35">
      <c r="A91" s="1138" t="s">
        <v>663</v>
      </c>
      <c r="B91" s="1139"/>
      <c r="C91" s="1139"/>
    </row>
    <row r="92" spans="1:3" ht="46.5" x14ac:dyDescent="0.35">
      <c r="A92" s="1133" t="s">
        <v>437</v>
      </c>
      <c r="B92" s="1123" t="s">
        <v>729</v>
      </c>
      <c r="C92" s="1123" t="s">
        <v>637</v>
      </c>
    </row>
    <row r="93" spans="1:3" ht="31" x14ac:dyDescent="0.35">
      <c r="A93" s="1133" t="s">
        <v>438</v>
      </c>
      <c r="B93" s="1123" t="s">
        <v>729</v>
      </c>
      <c r="C93" s="1123" t="s">
        <v>638</v>
      </c>
    </row>
    <row r="94" spans="1:3" ht="31" x14ac:dyDescent="0.35">
      <c r="A94" s="1133" t="s">
        <v>439</v>
      </c>
      <c r="B94" s="1123" t="s">
        <v>729</v>
      </c>
      <c r="C94" s="1123" t="s">
        <v>639</v>
      </c>
    </row>
    <row r="95" spans="1:3" ht="31" x14ac:dyDescent="0.35">
      <c r="A95" s="1133" t="s">
        <v>44</v>
      </c>
      <c r="B95" s="1123" t="s">
        <v>729</v>
      </c>
      <c r="C95" s="1123" t="s">
        <v>629</v>
      </c>
    </row>
    <row r="96" spans="1:3" ht="31" x14ac:dyDescent="0.35">
      <c r="A96" s="1133" t="s">
        <v>665</v>
      </c>
      <c r="B96" s="1134" t="s">
        <v>630</v>
      </c>
      <c r="C96" s="1136" t="s">
        <v>746</v>
      </c>
    </row>
    <row r="97" spans="1:3" ht="15.5" x14ac:dyDescent="0.35">
      <c r="A97" s="1133" t="s">
        <v>666</v>
      </c>
      <c r="B97" s="1134" t="s">
        <v>630</v>
      </c>
      <c r="C97" s="1134" t="s">
        <v>747</v>
      </c>
    </row>
    <row r="98" spans="1:3" ht="46.5" x14ac:dyDescent="0.35">
      <c r="A98" s="1133" t="s">
        <v>441</v>
      </c>
      <c r="B98" s="1134" t="s">
        <v>630</v>
      </c>
      <c r="C98" s="1136" t="s">
        <v>748</v>
      </c>
    </row>
    <row r="99" spans="1:3" ht="31" x14ac:dyDescent="0.35">
      <c r="A99" s="1133" t="s">
        <v>664</v>
      </c>
      <c r="B99" s="1134" t="s">
        <v>630</v>
      </c>
      <c r="C99" s="1134" t="s">
        <v>749</v>
      </c>
    </row>
    <row r="100" spans="1:3" ht="15.5" x14ac:dyDescent="0.35">
      <c r="A100" s="1138" t="s">
        <v>667</v>
      </c>
      <c r="B100" s="1139"/>
      <c r="C100" s="1139"/>
    </row>
    <row r="101" spans="1:3" ht="31" x14ac:dyDescent="0.35">
      <c r="A101" s="1127" t="s">
        <v>280</v>
      </c>
      <c r="B101" s="1134" t="s">
        <v>630</v>
      </c>
      <c r="C101" s="1134" t="s">
        <v>744</v>
      </c>
    </row>
    <row r="102" spans="1:3" ht="15.5" x14ac:dyDescent="0.35">
      <c r="A102" s="1140" t="s">
        <v>42</v>
      </c>
      <c r="B102" s="1134" t="s">
        <v>630</v>
      </c>
      <c r="C102" s="1134" t="s">
        <v>745</v>
      </c>
    </row>
    <row r="103" spans="1:3" ht="62" x14ac:dyDescent="0.35">
      <c r="A103" s="1124" t="s">
        <v>730</v>
      </c>
      <c r="B103" s="1134" t="s">
        <v>630</v>
      </c>
      <c r="C103" s="1123" t="s">
        <v>757</v>
      </c>
    </row>
    <row r="104" spans="1:3" ht="62" x14ac:dyDescent="0.35">
      <c r="A104" s="1124" t="s">
        <v>731</v>
      </c>
      <c r="B104" s="1134" t="s">
        <v>630</v>
      </c>
      <c r="C104" s="1136" t="s">
        <v>758</v>
      </c>
    </row>
    <row r="105" spans="1:3" ht="62" x14ac:dyDescent="0.35">
      <c r="A105" s="1124" t="s">
        <v>732</v>
      </c>
      <c r="B105" s="1134" t="s">
        <v>630</v>
      </c>
      <c r="C105" s="1136" t="s">
        <v>759</v>
      </c>
    </row>
    <row r="106" spans="1:3" ht="62" x14ac:dyDescent="0.35">
      <c r="A106" s="1124" t="s">
        <v>733</v>
      </c>
      <c r="B106" s="1134" t="s">
        <v>630</v>
      </c>
      <c r="C106" s="1136" t="s">
        <v>760</v>
      </c>
    </row>
    <row r="107" spans="1:3" ht="62" x14ac:dyDescent="0.35">
      <c r="A107" s="1124" t="s">
        <v>734</v>
      </c>
      <c r="B107" s="1134" t="s">
        <v>630</v>
      </c>
      <c r="C107" s="1123" t="s">
        <v>754</v>
      </c>
    </row>
    <row r="108" spans="1:3" ht="62" x14ac:dyDescent="0.35">
      <c r="A108" s="1124" t="s">
        <v>735</v>
      </c>
      <c r="B108" s="1134" t="s">
        <v>630</v>
      </c>
      <c r="C108" s="1136" t="s">
        <v>755</v>
      </c>
    </row>
    <row r="109" spans="1:3" ht="62" x14ac:dyDescent="0.35">
      <c r="A109" s="1124" t="s">
        <v>736</v>
      </c>
      <c r="B109" s="1134" t="s">
        <v>630</v>
      </c>
      <c r="C109" s="1136" t="s">
        <v>756</v>
      </c>
    </row>
    <row r="110" spans="1:3" ht="62" x14ac:dyDescent="0.35">
      <c r="A110" s="1124" t="s">
        <v>737</v>
      </c>
      <c r="B110" s="1134" t="s">
        <v>630</v>
      </c>
      <c r="C110" s="1136" t="s">
        <v>750</v>
      </c>
    </row>
    <row r="111" spans="1:3" ht="62" x14ac:dyDescent="0.35">
      <c r="A111" s="1124" t="s">
        <v>738</v>
      </c>
      <c r="B111" s="1134" t="s">
        <v>630</v>
      </c>
      <c r="C111" s="1136" t="s">
        <v>751</v>
      </c>
    </row>
    <row r="112" spans="1:3" ht="62" x14ac:dyDescent="0.35">
      <c r="A112" s="1124" t="s">
        <v>739</v>
      </c>
      <c r="B112" s="1134" t="s">
        <v>630</v>
      </c>
      <c r="C112" s="1136" t="s">
        <v>752</v>
      </c>
    </row>
    <row r="113" spans="1:3" ht="46.5" x14ac:dyDescent="0.35">
      <c r="A113" s="1124" t="s">
        <v>740</v>
      </c>
      <c r="B113" s="1134" t="s">
        <v>630</v>
      </c>
      <c r="C113" s="1136" t="s">
        <v>753</v>
      </c>
    </row>
    <row r="114" spans="1:3" ht="31" x14ac:dyDescent="0.35">
      <c r="A114" s="1124" t="s">
        <v>741</v>
      </c>
      <c r="B114" s="1134" t="s">
        <v>630</v>
      </c>
      <c r="C114" s="1136" t="s">
        <v>761</v>
      </c>
    </row>
    <row r="115" spans="1:3" ht="62" x14ac:dyDescent="0.35">
      <c r="A115" s="1124" t="s">
        <v>763</v>
      </c>
      <c r="B115" s="1134" t="s">
        <v>630</v>
      </c>
      <c r="C115" s="1136" t="s">
        <v>762</v>
      </c>
    </row>
    <row r="116" spans="1:3" ht="31" x14ac:dyDescent="0.35">
      <c r="A116" s="1124" t="s">
        <v>742</v>
      </c>
      <c r="B116" s="1134" t="s">
        <v>630</v>
      </c>
      <c r="C116" s="1136" t="s">
        <v>764</v>
      </c>
    </row>
    <row r="117" spans="1:3" ht="46.5" x14ac:dyDescent="0.35">
      <c r="A117" s="1124" t="s">
        <v>743</v>
      </c>
      <c r="B117" s="1134" t="s">
        <v>630</v>
      </c>
      <c r="C117" s="1136" t="s">
        <v>765</v>
      </c>
    </row>
    <row r="118" spans="1:3" x14ac:dyDescent="0.35">
      <c r="A118" s="441"/>
      <c r="B118" s="442"/>
      <c r="C118" s="442"/>
    </row>
    <row r="119" spans="1:3" x14ac:dyDescent="0.35">
      <c r="A119" s="441"/>
      <c r="B119" s="442"/>
      <c r="C119" s="442"/>
    </row>
    <row r="120" spans="1:3" x14ac:dyDescent="0.35">
      <c r="A120" s="441"/>
      <c r="B120" s="442"/>
      <c r="C120" s="442"/>
    </row>
    <row r="121" spans="1:3" x14ac:dyDescent="0.35">
      <c r="A121" s="441"/>
      <c r="B121" s="442"/>
      <c r="C121" s="442"/>
    </row>
  </sheetData>
  <sheetProtection algorithmName="SHA-512" hashValue="YE4zNU8Zfdleu0xZB14jtgUKFsuy3pitlFg+DS0DxQ6OuNlwJ9//MEkTiDZ90a4U2THTDJc/j5VtdYOQz0TOlg==" saltValue="NCf0mD7+x7rh0ZzRS3ta5g==" spinCount="100000" sheet="1" objects="1" scenarios="1"/>
  <pageMargins left="0.7" right="0.7" top="0.75" bottom="0.75" header="0.3" footer="0.3"/>
  <pageSetup scale="51" orientation="portrait" r:id="rId1"/>
  <headerFooter>
    <oddFooter>&amp;L&amp;"Avenir LT Std 55 Roman,Regular"&amp;12FINAL June 1, 2022&amp;C&amp;"Avenir LT Std 55 Roman,Regular"&amp;12Page &amp;P of &amp;N&amp;R&amp;"Avenir LT Std 55 Roman,Regular"&amp;12&amp;A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pageSetUpPr fitToPage="1"/>
  </sheetPr>
  <dimension ref="B1:AV45"/>
  <sheetViews>
    <sheetView showGridLines="0" showWhiteSpace="0" topLeftCell="A3" zoomScaleNormal="100" zoomScaleSheetLayoutView="100" workbookViewId="0">
      <selection activeCell="G12" sqref="G12"/>
    </sheetView>
  </sheetViews>
  <sheetFormatPr defaultRowHeight="14.5" x14ac:dyDescent="0.35"/>
  <cols>
    <col min="1" max="1" width="3.1796875" customWidth="1"/>
    <col min="2" max="2" width="22.453125" customWidth="1"/>
    <col min="3" max="4" width="20.453125" customWidth="1"/>
    <col min="5" max="6" width="19.81640625" customWidth="1"/>
    <col min="7" max="7" width="20" customWidth="1"/>
    <col min="8" max="8" width="28.54296875" customWidth="1"/>
    <col min="9" max="10" width="26.1796875" customWidth="1"/>
    <col min="11" max="11" width="18.453125" customWidth="1"/>
    <col min="12" max="12" width="29.7265625" customWidth="1"/>
    <col min="13" max="19" width="19.1796875" customWidth="1"/>
    <col min="20" max="20" width="21" customWidth="1"/>
    <col min="21" max="24" width="24.81640625" customWidth="1"/>
    <col min="25" max="25" width="24.81640625" style="300" customWidth="1"/>
    <col min="26" max="26" width="12.81640625" customWidth="1"/>
    <col min="27" max="28" width="24.453125" customWidth="1"/>
    <col min="29" max="31" width="24.26953125" customWidth="1"/>
    <col min="32" max="32" width="23.453125" customWidth="1"/>
    <col min="33" max="33" width="23.26953125" customWidth="1"/>
    <col min="34" max="34" width="16.54296875" customWidth="1"/>
    <col min="35" max="35" width="11.81640625" customWidth="1"/>
    <col min="36" max="36" width="23.54296875" customWidth="1"/>
    <col min="37" max="38" width="20.26953125" customWidth="1"/>
    <col min="39" max="39" width="21.453125" customWidth="1"/>
    <col min="40" max="40" width="21.1796875" customWidth="1"/>
    <col min="41" max="41" width="21.81640625" customWidth="1"/>
    <col min="42" max="42" width="12.7265625" customWidth="1"/>
    <col min="43" max="43" width="16.81640625" customWidth="1"/>
    <col min="44" max="45" width="12.453125" customWidth="1"/>
    <col min="46" max="46" width="13.453125" customWidth="1"/>
    <col min="47" max="47" width="13.54296875" customWidth="1"/>
    <col min="48" max="48" width="16.81640625" customWidth="1"/>
  </cols>
  <sheetData>
    <row r="1" spans="2:48" s="2" customFormat="1" ht="18" x14ac:dyDescent="0.4">
      <c r="D1" s="12" t="str">
        <f>'Read Me'!B1</f>
        <v>California Air Resources Board</v>
      </c>
      <c r="E1" s="11"/>
      <c r="F1" s="11"/>
      <c r="G1" s="14"/>
      <c r="H1" s="14"/>
      <c r="I1" s="14"/>
      <c r="J1" s="14"/>
      <c r="K1" s="14"/>
      <c r="Y1" s="298"/>
    </row>
    <row r="2" spans="2:48" s="2" customFormat="1" ht="18" x14ac:dyDescent="0.4">
      <c r="D2" s="440"/>
      <c r="E2" s="11"/>
      <c r="F2" s="11"/>
      <c r="G2" s="14"/>
      <c r="H2" s="14"/>
      <c r="I2" s="14"/>
      <c r="J2" s="14"/>
      <c r="K2" s="14"/>
      <c r="Y2" s="298"/>
    </row>
    <row r="3" spans="2:48" s="2" customFormat="1" ht="18" x14ac:dyDescent="0.4">
      <c r="D3" s="12" t="str">
        <f>'Read Me'!B3</f>
        <v>Benefits Calculator Tool</v>
      </c>
      <c r="E3" s="11"/>
      <c r="F3" s="11"/>
      <c r="G3" s="14"/>
      <c r="H3" s="14"/>
      <c r="I3" s="14"/>
      <c r="J3" s="14"/>
      <c r="K3" s="14"/>
      <c r="Y3" s="298"/>
    </row>
    <row r="4" spans="2:48" s="2" customFormat="1" ht="18" x14ac:dyDescent="0.4">
      <c r="D4" s="20" t="str">
        <f>'Read Me'!B4</f>
        <v>Safe and Affordable Drinking Water</v>
      </c>
      <c r="E4" s="11"/>
      <c r="F4" s="11"/>
      <c r="G4" s="14"/>
      <c r="H4" s="14"/>
      <c r="I4" s="14"/>
      <c r="J4" s="14"/>
      <c r="K4" s="14"/>
      <c r="Y4" s="298"/>
    </row>
    <row r="5" spans="2:48" s="2" customFormat="1" ht="18" x14ac:dyDescent="0.4">
      <c r="D5" s="20" t="str">
        <f>'Read Me'!B5</f>
        <v>(SADW) Fund</v>
      </c>
      <c r="E5" s="11"/>
      <c r="F5" s="11"/>
      <c r="G5" s="14"/>
      <c r="H5" s="14"/>
      <c r="I5" s="14"/>
      <c r="J5" s="14"/>
      <c r="K5" s="14"/>
      <c r="Y5" s="298"/>
    </row>
    <row r="6" spans="2:48" s="2" customFormat="1" ht="18" x14ac:dyDescent="0.4">
      <c r="D6" s="12"/>
      <c r="E6" s="11"/>
      <c r="F6" s="11"/>
      <c r="G6" s="14"/>
      <c r="H6" s="14"/>
      <c r="I6" s="14"/>
      <c r="J6" s="14"/>
      <c r="K6" s="14"/>
      <c r="Y6" s="298"/>
    </row>
    <row r="7" spans="2:48" s="2" customFormat="1" ht="18" x14ac:dyDescent="0.4">
      <c r="D7" s="12" t="str">
        <f>'Read Me'!B8</f>
        <v xml:space="preserve">California Climate Investments </v>
      </c>
      <c r="E7" s="11"/>
      <c r="F7" s="11"/>
      <c r="G7" s="14"/>
      <c r="H7" s="14"/>
      <c r="I7" s="14"/>
      <c r="J7" s="14"/>
      <c r="K7" s="14"/>
      <c r="Y7" s="298"/>
    </row>
    <row r="8" spans="2:48" s="2" customFormat="1" ht="15.5" x14ac:dyDescent="0.35">
      <c r="G8" s="3"/>
      <c r="H8" s="3"/>
      <c r="I8" s="3"/>
      <c r="J8" s="3"/>
      <c r="K8" s="3"/>
      <c r="Y8" s="298"/>
    </row>
    <row r="9" spans="2:48" s="2" customFormat="1" ht="16" thickBot="1" x14ac:dyDescent="0.4">
      <c r="E9" s="3"/>
      <c r="F9" s="3"/>
      <c r="H9" s="3"/>
      <c r="I9" s="3"/>
      <c r="J9" s="3"/>
      <c r="K9" s="3"/>
      <c r="Y9" s="298"/>
    </row>
    <row r="10" spans="2:48" s="2" customFormat="1" ht="46.5" customHeight="1" thickBot="1" x14ac:dyDescent="0.4">
      <c r="B10" s="76" t="s">
        <v>149</v>
      </c>
      <c r="C10" s="77" t="s">
        <v>68</v>
      </c>
      <c r="D10" s="77" t="s">
        <v>106</v>
      </c>
      <c r="E10" s="77" t="s">
        <v>618</v>
      </c>
      <c r="F10" s="177" t="s">
        <v>146</v>
      </c>
      <c r="G10" s="180" t="s">
        <v>152</v>
      </c>
      <c r="H10" s="175" t="s">
        <v>162</v>
      </c>
      <c r="I10" s="182" t="s">
        <v>161</v>
      </c>
      <c r="J10" s="181" t="s">
        <v>266</v>
      </c>
      <c r="K10" s="175" t="s">
        <v>154</v>
      </c>
      <c r="L10" s="182" t="s">
        <v>153</v>
      </c>
      <c r="M10" s="181" t="s">
        <v>267</v>
      </c>
      <c r="N10" s="175" t="s">
        <v>155</v>
      </c>
      <c r="O10" s="182" t="s">
        <v>156</v>
      </c>
      <c r="P10" s="181" t="s">
        <v>268</v>
      </c>
      <c r="Q10" s="175" t="s">
        <v>157</v>
      </c>
      <c r="R10" s="182" t="s">
        <v>158</v>
      </c>
      <c r="S10" s="181" t="s">
        <v>269</v>
      </c>
      <c r="T10" s="175" t="s">
        <v>159</v>
      </c>
      <c r="U10" s="175" t="s">
        <v>160</v>
      </c>
      <c r="V10" s="180" t="s">
        <v>265</v>
      </c>
      <c r="W10" s="175" t="s">
        <v>261</v>
      </c>
      <c r="X10" s="175" t="s">
        <v>263</v>
      </c>
      <c r="Y10" s="317" t="s">
        <v>262</v>
      </c>
      <c r="Z10" s="563" t="s">
        <v>183</v>
      </c>
      <c r="AA10" s="564" t="s">
        <v>3534</v>
      </c>
      <c r="AB10" s="564" t="s">
        <v>3539</v>
      </c>
      <c r="AC10" s="564" t="s">
        <v>3538</v>
      </c>
      <c r="AD10" s="564" t="s">
        <v>3576</v>
      </c>
      <c r="AE10" s="564" t="s">
        <v>3580</v>
      </c>
      <c r="AF10" s="564" t="s">
        <v>3545</v>
      </c>
      <c r="AG10" s="564" t="s">
        <v>3547</v>
      </c>
      <c r="AH10" s="564" t="s">
        <v>3552</v>
      </c>
      <c r="AI10" s="564" t="s">
        <v>3553</v>
      </c>
      <c r="AJ10" s="564" t="s">
        <v>3554</v>
      </c>
      <c r="AK10" s="564" t="s">
        <v>3555</v>
      </c>
      <c r="AL10" s="564" t="s">
        <v>3556</v>
      </c>
      <c r="AM10" s="564" t="s">
        <v>3557</v>
      </c>
      <c r="AN10" s="564" t="s">
        <v>3558</v>
      </c>
      <c r="AO10" s="564" t="s">
        <v>3559</v>
      </c>
      <c r="AP10" s="564" t="s">
        <v>3567</v>
      </c>
      <c r="AQ10" s="564" t="s">
        <v>3574</v>
      </c>
      <c r="AR10" s="564" t="s">
        <v>3564</v>
      </c>
      <c r="AS10" s="564" t="s">
        <v>3565</v>
      </c>
      <c r="AT10" s="564" t="s">
        <v>3566</v>
      </c>
      <c r="AU10" s="564" t="s">
        <v>3577</v>
      </c>
      <c r="AV10" s="565" t="s">
        <v>3581</v>
      </c>
    </row>
    <row r="11" spans="2:48" s="2" customFormat="1" ht="47.5" hidden="1" thickTop="1" thickBot="1" x14ac:dyDescent="0.4">
      <c r="B11" s="184" t="s">
        <v>105</v>
      </c>
      <c r="C11" s="170" t="s">
        <v>68</v>
      </c>
      <c r="D11" s="77" t="s">
        <v>106</v>
      </c>
      <c r="E11" s="77" t="s">
        <v>618</v>
      </c>
      <c r="F11" s="177" t="s">
        <v>146</v>
      </c>
      <c r="G11" s="180" t="s">
        <v>152</v>
      </c>
      <c r="H11" s="178" t="s">
        <v>150</v>
      </c>
      <c r="I11" s="183" t="s">
        <v>151</v>
      </c>
      <c r="J11" s="181" t="s">
        <v>266</v>
      </c>
      <c r="K11" s="178" t="s">
        <v>154</v>
      </c>
      <c r="L11" s="183" t="s">
        <v>153</v>
      </c>
      <c r="M11" s="181" t="s">
        <v>267</v>
      </c>
      <c r="N11" s="178" t="s">
        <v>155</v>
      </c>
      <c r="O11" s="183" t="s">
        <v>156</v>
      </c>
      <c r="P11" s="181" t="s">
        <v>268</v>
      </c>
      <c r="Q11" s="178" t="s">
        <v>157</v>
      </c>
      <c r="R11" s="183" t="s">
        <v>158</v>
      </c>
      <c r="S11" s="181" t="s">
        <v>269</v>
      </c>
      <c r="T11" s="178" t="s">
        <v>159</v>
      </c>
      <c r="U11" s="179" t="s">
        <v>160</v>
      </c>
      <c r="V11" s="176" t="s">
        <v>265</v>
      </c>
      <c r="W11" s="316" t="s">
        <v>256</v>
      </c>
      <c r="X11" s="316" t="s">
        <v>263</v>
      </c>
      <c r="Y11" s="299" t="s">
        <v>241</v>
      </c>
      <c r="Z11" s="562" t="s">
        <v>3536</v>
      </c>
      <c r="AA11" s="562" t="s">
        <v>3537</v>
      </c>
      <c r="AB11" s="562" t="s">
        <v>3542</v>
      </c>
      <c r="AC11" s="562" t="s">
        <v>3543</v>
      </c>
      <c r="AD11" s="562" t="s">
        <v>3575</v>
      </c>
      <c r="AE11" s="562" t="s">
        <v>3579</v>
      </c>
      <c r="AF11" s="562" t="s">
        <v>3544</v>
      </c>
      <c r="AG11" s="562" t="s">
        <v>3546</v>
      </c>
      <c r="AH11" s="562" t="s">
        <v>3548</v>
      </c>
      <c r="AI11" s="562" t="s">
        <v>3549</v>
      </c>
      <c r="AJ11" s="562" t="s">
        <v>3550</v>
      </c>
      <c r="AK11" s="562" t="s">
        <v>3551</v>
      </c>
      <c r="AL11" s="562" t="s">
        <v>3560</v>
      </c>
      <c r="AM11" s="562" t="s">
        <v>3561</v>
      </c>
      <c r="AN11" s="562" t="s">
        <v>3562</v>
      </c>
      <c r="AO11" s="562" t="s">
        <v>3563</v>
      </c>
      <c r="AP11" s="562" t="s">
        <v>3568</v>
      </c>
      <c r="AQ11" s="562" t="s">
        <v>3569</v>
      </c>
      <c r="AR11" s="562" t="s">
        <v>3570</v>
      </c>
      <c r="AS11" s="562" t="s">
        <v>3571</v>
      </c>
      <c r="AT11" s="562" t="s">
        <v>3572</v>
      </c>
      <c r="AU11" s="562" t="s">
        <v>3573</v>
      </c>
      <c r="AV11" s="562" t="s">
        <v>3578</v>
      </c>
    </row>
    <row r="12" spans="2:48" s="2" customFormat="1" ht="16" thickTop="1" x14ac:dyDescent="0.35">
      <c r="B12" s="579">
        <f>'Interim Water Delivery Inputs'!D19</f>
        <v>0</v>
      </c>
      <c r="C12" s="580">
        <f>'Interim Water Delivery Inputs'!F19</f>
        <v>0</v>
      </c>
      <c r="D12" s="580">
        <f>'Interim Water Delivery Inputs'!H19</f>
        <v>0</v>
      </c>
      <c r="E12" s="581">
        <f>IF('Interim Water Delivery Inputs'!B19="",0,(IF('Interim Water Delivery Inputs'!J19="",(Defaults!$H$15*Table7[[#This Row],[Number of Identical Vehicles]]),'Interim Water Delivery Inputs'!J19)))</f>
        <v>0</v>
      </c>
      <c r="F12" s="581">
        <f>'Interim Water Delivery Inputs'!L19</f>
        <v>0</v>
      </c>
      <c r="G12" s="582" t="str">
        <f>IF(AND(B12="Heavy Duty Truck",C12="Diesel"),'LCT - Heavy Duty'!$C$15,IF(AND(B12="Heavy Duty Truck",C12="Battery Electric"),'LCT - Heavy Duty'!$F$15,IF(AND(B12="Heavy Duty Truck",OR(C12="Natural Gas",C12="Propane")),'LCT - Heavy Duty'!$D$39,IF(AND(B12="Box Truck",C12="Gasoline"),'LCT - Light &amp; Light-Heavy Duty'!$C$15,IF(AND(B12="Box Truck",C12="Hybrid"),'LCT - Light &amp; Light-Heavy Duty'!$D$15,IF(AND(B12="Box Truck",C12="Plug-in Hybrid"),'LCT - Light &amp; Light-Heavy Duty'!$E$15,IF(AND(B12="Box Truck",C12="Battery Electric"),'LCT - Light &amp; Light-Heavy Duty'!$F$15,IF(AND(B12="Box Truck",C12="Fuel Cell Electric"),'LCT - Light &amp; Light-Heavy Duty'!$G$15,IF(AND(B12="Van",C12="Gasoline"),'LCT - Light &amp; Light-Heavy Duty'!$C$10,IF(AND(B12="Van",C12="Hybrid"),'LCT - Light &amp; Light-Heavy Duty'!$D$10,IF(AND(B12="Van",C12="Plug-in Hybrid"),'LCT - Light &amp; Light-Heavy Duty'!$E$10,IF(AND(B12="Van",'Interim Water Delivery Inputs'!F19="Battery Electric"),'LCT - Light &amp; Light-Heavy Duty'!$F$10,IF(AND(B12="Van",C12="Fuel Cell Electric"),'LCT - Light &amp; Light-Heavy Duty'!$G$10,IF(AND(B12="Sedan",C12="Gasoline"),'LCT - Light &amp; Light-Heavy Duty'!$C$23,IF(AND(B12="Sedan",C12="Hybrid"),'LCT - Light &amp; Light-Heavy Duty'!$D$23,IF(AND(B12="Sedan",C12="Plug-in Hybrid"),'LCT - Light &amp; Light-Heavy Duty'!$D$23,IF(AND(B12="Sedan",'Interim Water Delivery Inputs'!F19="Battery Electric"),'LCT - Light &amp; Light-Heavy Duty'!$E$23,IF(AND(B12="Sedan",C12="Fuel Cell Electric"),'LCT - Light &amp; Light-Heavy Duty'!$F$23,""))))))))))))))))))</f>
        <v/>
      </c>
      <c r="H12" s="582" t="str">
        <f>IFERROR(((Table7[[#This Row],[GHG Emission Factor 
(g CO2e/mi)]]*Table7[[#This Row],[Total Annual VMT 
(Miles/Year)]])*1/1000000),"")</f>
        <v/>
      </c>
      <c r="I12" s="582" t="str">
        <f>IFERROR(Table7[[#This Row],[Annual Transportation GHG Emissions 
(MTCO2e/Year)]]*Table7[[#This Row],[Project Life
(Years)]],"")</f>
        <v/>
      </c>
      <c r="J12" s="582" t="str">
        <f>IF(AND(B12="Heavy Duty Truck",C12="Diesel"),'LCT - Heavy Duty'!$C$16,IF(AND(B12="Heavy Duty Truck",C12="Battery Electric"),'LCT - Heavy Duty'!$F$16,IF(AND(B12="Heavy Duty Truck",OR(C12="Natural Gas",C12="Propane")),'LCT - Heavy Duty'!$D$40,IF(AND(B12="Box Truck",C12="Gasoline"),'LCT - Light &amp; Light-Heavy Duty'!$C$16,IF(AND(B12="Box Truck",C12="Hybrid"),'LCT - Light &amp; Light-Heavy Duty'!$D$16,IF(AND(B12="Box Truck",C12="Plug-in Hybrid"),'LCT - Light &amp; Light-Heavy Duty'!$E$16,IF(AND(B12="Box Truck",C12="Battery Electric"),'LCT - Light &amp; Light-Heavy Duty'!$F$16,IF(AND(B12="Box Truck",C12="Fuel Cell Electric"),'LCT - Light &amp; Light-Heavy Duty'!$G$16,IF(AND(B12="Van",C12="Gasoline"),'LCT - Light &amp; Light-Heavy Duty'!$C$11,IF(AND(B12="Van",C12="Hybrid"),'LCT - Light &amp; Light-Heavy Duty'!$D$11,IF(AND(B12="Van",C12="Plug-in Hybrid"),'LCT - Light &amp; Light-Heavy Duty'!$E$11,IF(AND(B12="Van",'Interim Water Delivery Inputs'!F19="Battery Electric"),'LCT - Light &amp; Light-Heavy Duty'!$F$11,IF(AND(B12="Van",C12="Fuel Cell Electric"),'LCT - Light &amp; Light-Heavy Duty'!$G$11,IF(AND(B12="Sedan",C12="Gasoline"),'LCT - Light &amp; Light-Heavy Duty'!$C$24,IF(AND(B12="Sedan",C12="Hybrid"),'LCT - Light &amp; Light-Heavy Duty'!$D$24,IF(AND(B12="Sedan",C12="Plug-in Hybrid"),'LCT - Light &amp; Light-Heavy Duty'!$D$24,IF(AND(B12="Sedan",'Interim Water Delivery Inputs'!F19="Battery Electric"),'LCT - Light &amp; Light-Heavy Duty'!$E$24,IF(AND(B12="Sedan",C12="Fuel Cell Electric"),'LCT - Light &amp; Light-Heavy Duty'!$F$24,""))))))))))))))))))</f>
        <v/>
      </c>
      <c r="K12" s="582" t="str">
        <f>IFERROR(((Table7[[#This Row],[ROG Emission Factor
(g/mi)]]*Table7[[#This Row],[Total Annual VMT 
(Miles/Year)]])*1/454),"")</f>
        <v/>
      </c>
      <c r="L12" s="174" t="str">
        <f>IFERROR((Table7[[#This Row],[Annual ROG Emissions 
(lbs/year)]]*Table7[[#This Row],[Project Life
(Years)]]),"")</f>
        <v/>
      </c>
      <c r="M12" s="582" t="str">
        <f>IF(AND(B12="Heavy Duty Truck",C12="Diesel"),'LCT - Heavy Duty'!$C$17,IF(AND(B12="Heavy Duty Truck",C12="Battery Electric"),'LCT - Heavy Duty'!$F$17,IF(AND(B12="Heavy Duty Truck",OR(C12="Natural Gas",C12="Propane")),'LCT - Heavy Duty'!$D$41,IF(AND(B12="Box Truck",C12="Gasoline"),'LCT - Light &amp; Light-Heavy Duty'!$C$17,IF(AND(B12="Box Truck",C12="Hybrid"),'LCT - Light &amp; Light-Heavy Duty'!$D$17,IF(AND(B12="Box Truck",C12="Plug-in Hybrid"),'LCT - Light &amp; Light-Heavy Duty'!$E$17,IF(AND(B12="Box Truck",C12="Battery Electric"),'LCT - Light &amp; Light-Heavy Duty'!$F$17,IF(AND(B12="Box Truck",C12="Fuel Cell Electric"),'LCT - Light &amp; Light-Heavy Duty'!$G$17,IF(AND(B12="Van",C12="Gasoline"),'LCT - Light &amp; Light-Heavy Duty'!$C$12,IF(AND(B12="Van",C12="Hybrid"),'LCT - Light &amp; Light-Heavy Duty'!$D$12,IF(AND(B12="Van",C12="Plug-in Hybrid"),'LCT - Light &amp; Light-Heavy Duty'!$E$12,IF(AND(B12="Van",'Interim Water Delivery Inputs'!F19="Battery Electric"),'LCT - Light &amp; Light-Heavy Duty'!$F$12,IF(AND(B12="Van",C12="Fuel Cell Electric"),'LCT - Light &amp; Light-Heavy Duty'!$G$12,IF(AND(B12="Sedan",C12="Gasoline"),'LCT - Light &amp; Light-Heavy Duty'!$C$25,IF(AND(B12="Sedan",C12="Hybrid"),'LCT - Light &amp; Light-Heavy Duty'!$D$25,IF(AND(B12="Sedan",C12="Plug-in Hybrid"),'LCT - Light &amp; Light-Heavy Duty'!$D$25,IF(AND(B12="Sedan",'Interim Water Delivery Inputs'!F19="Battery Electric"),'LCT - Light &amp; Light-Heavy Duty'!$E$25,IF(AND(B12="Sedan",C12="Fuel Cell Electric"),'LCT - Light &amp; Light-Heavy Duty'!$F$25,""))))))))))))))))))</f>
        <v/>
      </c>
      <c r="N12" s="174" t="str">
        <f>IFERROR(((Table7[[#This Row],[NOx Emission Factor
(g/mi)]]*Table7[[#This Row],[Total Annual VMT 
(Miles/Year)]])*1/454),"")</f>
        <v/>
      </c>
      <c r="O12" s="174" t="str">
        <f>IFERROR((Table7[[#This Row],[Annual NOx Emissions 
(lbs/year)]]*Table7[[#This Row],[Project Life
(Years)]]),"")</f>
        <v/>
      </c>
      <c r="P12" s="174" t="str">
        <f>IF(AND(B12="Heavy Duty Truck",C12="Diesel"),'LCT - Heavy Duty'!$C$18,IF(AND(B12="Heavy Duty Truck",C12="Battery Electric"),'LCT - Heavy Duty'!$F$18,IF(AND(B12="Heavy Duty Truck",OR(C12="Natural Gas",C12="Propane")),'LCT - Heavy Duty'!$D$42,IF(AND(B12="Box Truck",C12="Gasoline"),'LCT - Light &amp; Light-Heavy Duty'!$C$18,IF(AND(B12="Box Truck",C12="Hybrid"),'LCT - Light &amp; Light-Heavy Duty'!$D$18,IF(AND(B12="Box Truck",C12="Plug-in Hybrid"),'LCT - Light &amp; Light-Heavy Duty'!$E$18,IF(AND(B12="Box Truck",C12="Battery Electric"),'LCT - Light &amp; Light-Heavy Duty'!$F$18,IF(AND(B12="Box Truck",C12="Fuel Cell Electric"),'LCT - Light &amp; Light-Heavy Duty'!$G$18,IF(AND(B12="Van",C12="Gasoline"),'LCT - Light &amp; Light-Heavy Duty'!$C$13,IF(AND(B12="Van",C12="Hybrid"),'LCT - Light &amp; Light-Heavy Duty'!$D$13,IF(AND(B12="Van",C12="Plug-in Hybrid"),'LCT - Light &amp; Light-Heavy Duty'!$E$13,IF(AND(B12="Van",'Interim Water Delivery Inputs'!F19="Battery Electric"),'LCT - Light &amp; Light-Heavy Duty'!$F$13,IF(AND(B12="Van",C12="Fuel Cell Electric"),'LCT - Light &amp; Light-Heavy Duty'!$G$13,IF(AND(B12="Sedan",C12="Gasoline"),'LCT - Light &amp; Light-Heavy Duty'!$C$26,IF(AND(B12="Sedan",C12="Hybrid"),'LCT - Light &amp; Light-Heavy Duty'!$D$26,IF(AND(B12="Sedan",C12="Plug-in Hybrid"),'LCT - Light &amp; Light-Heavy Duty'!$D$26,IF(AND(B12="Sedan",'Interim Water Delivery Inputs'!F19="Battery Electric"),'LCT - Light &amp; Light-Heavy Duty'!$E$26,IF(AND(B12="Sedan",C12="Fuel Cell Electric"),'LCT - Light &amp; Light-Heavy Duty'!$F$26,""))))))))))))))))))</f>
        <v/>
      </c>
      <c r="Q12" s="174" t="str">
        <f>IFERROR(((Table7[[#This Row],[PM2.5 Emission Factor
(g/mi)]]*Table7[[#This Row],[Total Annual VMT 
(Miles/Year)]])*1/454),"")</f>
        <v/>
      </c>
      <c r="R12" s="174" t="str">
        <f>IFERROR((Table7[[#This Row],[Annual PM2.5 Emissions 
(lbs/year)]]*Table7[[#This Row],[Project Life
(Years)]]),"")</f>
        <v/>
      </c>
      <c r="S12" s="174" t="str">
        <f>IF(AND(B12="Heavy Duty Truck",C12="Diesel"),'LCT - Heavy Duty'!$C$19,IF(AND(B12="Heavy Duty Truck",C12="Battery Electric"),'LCT - Heavy Duty'!$F$19,IF(AND(B12="Heavy Duty Truck",OR(C12="Natural Gas",C12="Propane")),'LCT - Heavy Duty'!$D$43,IF(AND(B12="Box Truck",C12="Gasoline"),'LCT - Light &amp; Light-Heavy Duty'!$C$19,IF(AND(B12="Box Truck",C12="Hybrid"),'LCT - Light &amp; Light-Heavy Duty'!$D$19,IF(AND(B12="Box Truck",C12="Plug-in Hybrid"),'LCT - Light &amp; Light-Heavy Duty'!$E$19,IF(AND(B12="Box Truck",C12="Battery Electric"),'LCT - Light &amp; Light-Heavy Duty'!$F$19,IF(AND(B12="Box Truck",C12="Fuel Cell Electric"),'LCT - Light &amp; Light-Heavy Duty'!$G$19,IF(AND(B12="Van",C12="Gasoline"),'LCT - Light &amp; Light-Heavy Duty'!$C$14,IF(AND(B12="Van",C12="Hybrid"),'LCT - Light &amp; Light-Heavy Duty'!$D$14,IF(AND(B12="Van",C12="Plug-in Hybrid"),'LCT - Light &amp; Light-Heavy Duty'!$E$14,IF(AND(B12="Van",'Interim Water Delivery Inputs'!F19="Battery Electric"),'LCT - Light &amp; Light-Heavy Duty'!$F$14,IF(AND(B12="Van",C12="Fuel Cell Electric"),'LCT - Light &amp; Light-Heavy Duty'!$G$14,IF(AND(B12="Sedan",C12="Gasoline"),'LCT - Light &amp; Light-Heavy Duty'!$C$27,IF(AND(B12="Sedan",C12="Hybrid"),'LCT - Light &amp; Light-Heavy Duty'!$D$27,IF(AND(B12="Sedan",C12="Plug-in Hybrid"),'LCT - Light &amp; Light-Heavy Duty'!$D$27,IF(AND(B12="Sedan",'Interim Water Delivery Inputs'!F19="Battery Electric"),'LCT - Light &amp; Light-Heavy Duty'!$E$27,IF(AND(B12="Sedan",C12="Fuel Cell Electric"),'LCT - Light &amp; Light-Heavy Duty'!$F$27,""))))))))))))))))))</f>
        <v/>
      </c>
      <c r="T12" s="174" t="str">
        <f>IFERROR(((Table7[[#This Row],[Diesel PM Emission Factor
(g/mi)]]*Table7[[#This Row],[Total Annual VMT 
(Miles/Year)]])*1/454),"")</f>
        <v/>
      </c>
      <c r="U12" s="186" t="str">
        <f>IFERROR((Table7[[#This Row],[Annual Diesel PM Emissions 
(lbs/year)]]*Table7[[#This Row],[Project Life
(Years)]]),"")</f>
        <v/>
      </c>
      <c r="V12" s="186" t="str">
        <f>IF(Table7[[#This Row],[Fuel Type]]="Diesel",Defaults!$C$42,IF(Table7[[#This Row],[Fuel Type]]="Natural Gas",Defaults!$C$42*'Fuel-Specific GHG'!C39,IF(Table7[[#This Row],[Fuel Type]]="Propane",Defaults!$C$42*'Fuel-Specific GHG'!C39,IF(AND(Table7[[#This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2"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2" s="583">
        <f>IF(OR(Table7[[#This Row],[Fuel Type]]="Diesel",Table7[[#This Row],[Fuel Type]]="Gasoline",Table7[[#This Row],[Fuel Type]]="Hybrid",Table7[[#This Row],[Fuel Type]]="Plug-in Hybrid",Table7[[#This Row],[Fuel Type]]="Natural Gas",Table7[[#This Row],[Fuel Type]]="Propane"),Table7[[#This Row],[Fuel Use 
(gal, Kwh, or kg)]],0)</f>
        <v>0</v>
      </c>
      <c r="Y12"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2" s="578">
        <f>IF(B12=0,0,IF('Project Info'!$C$33="",2023,YEAR('Project Info'!$C$33)))</f>
        <v>0</v>
      </c>
      <c r="AA12" s="571">
        <f>'Interim Water Delivery Inputs'!N19*Table7[[#This Row],[Project Life
(Years)]]</f>
        <v>0</v>
      </c>
      <c r="AB12" s="571">
        <f>Table7[[#This Row],[Column2]]*Defaults!$C$59*12</f>
        <v>0</v>
      </c>
      <c r="AC12" s="571">
        <f>Table7[[#This Row],[Column3]]*Defaults!$C$58</f>
        <v>0</v>
      </c>
      <c r="AD12" s="571">
        <f>IF(B12=0,0,Table7[[#This Row],[Column4]]*VLOOKUP(Table7[[#This Row],[Column1]],'Passenger Auto C&amp;T'!$B$45:$D$80,3,FALSE))</f>
        <v>0</v>
      </c>
      <c r="AE12" s="572">
        <f>Table7[[#This Row],[Column42]]*'Fuel Prices'!$C$11</f>
        <v>0</v>
      </c>
      <c r="AF12" s="573">
        <f>IF(B12=0,0,VLOOKUP(Table7[[#This Row],[Column1]],'Passenger Auto GHG'!$B$46:$D$81,3,FALSE))</f>
        <v>0</v>
      </c>
      <c r="AG12" s="574">
        <f>Table7[[#This Row],[Column5]]*Table7[[#This Row],[Column4]]/1000000</f>
        <v>0</v>
      </c>
      <c r="AH12" s="570">
        <f>IF(B12=0,0,VLOOKUP(Table7[[#This Row],[Column1]],'Passenger Auto C&amp;T'!$B$45:$L$80,4,FALSE))</f>
        <v>0</v>
      </c>
      <c r="AI12" s="575">
        <f>IF(B12=0,0,VLOOKUP(Table7[[#This Row],[Column1]],'Passenger Auto C&amp;T'!$B$45:$L$80,5,FALSE))</f>
        <v>0</v>
      </c>
      <c r="AJ12" s="575">
        <f>IF(B12=0,0,SUM(VLOOKUP(Table7[[#This Row],[Column1]],'Passenger Auto C&amp;T'!$B$45:$L$80,6,FALSE),VLOOKUP(Table7[[#This Row],[Column1]],'Passenger Auto C&amp;T'!$B$45:$L$80,7,FALSE),VLOOKUP(Table7[[#This Row],[Column1]],'Passenger Auto C&amp;T'!$B$45:$L$80,8,FALSE)))</f>
        <v>0</v>
      </c>
      <c r="AK12" s="576">
        <f>IF(B12=0,0,VLOOKUP(Table7[[#This Row],[Column1]],'Passenger Auto C&amp;T'!$B$45:$L$80,10,FALSE))</f>
        <v>0</v>
      </c>
      <c r="AL12" s="570">
        <f>Table7[[#This Row],[Column4]]*Table7[[#This Row],[Column7]]*0.00220462</f>
        <v>0</v>
      </c>
      <c r="AM12" s="575">
        <f>Table7[[#This Row],[Column4]]*Table7[[#This Row],[Column8]]*0.00220462</f>
        <v>0</v>
      </c>
      <c r="AN12" s="575">
        <f>Table7[[#This Row],[Column4]]*Table7[[#This Row],[Column9]]*0.00220462</f>
        <v>0</v>
      </c>
      <c r="AO12" s="577">
        <f>Table7[[#This Row],[Column4]]*Table7[[#This Row],[Column10]]*0.00220462</f>
        <v>0</v>
      </c>
      <c r="AP12" s="570">
        <f>IF(B12=0,0,Table7[[#This Row],[Column6]]-Table7[[#This Row],[Total Transportation GHG Emissions 
(MTCO2e)]])</f>
        <v>0</v>
      </c>
      <c r="AQ12" s="575">
        <f>IF(B12=0,0,Table7[[#This Row],[Column11]]-Table7[[#This Row],[Total ROG Emissions 
(lbs)]])</f>
        <v>0</v>
      </c>
      <c r="AR12" s="575">
        <f>IF(B12=0,0,Table7[[#This Row],[Column12]]-Table7[[#This Row],[Total NOx Emissions 
(lbs)]])</f>
        <v>0</v>
      </c>
      <c r="AS12" s="575">
        <f>IF(B12=0,0,Table7[[#This Row],[Column13]]-Table7[[#This Row],[Total PM2.5 Emissions 
(lbs)]])</f>
        <v>0</v>
      </c>
      <c r="AT12" s="585">
        <f>IF(B12=0,0,Table7[[#This Row],[Column14]]-Table7[[#This Row],[Total Diesel PM Emissions 
(lbs)]])</f>
        <v>0</v>
      </c>
      <c r="AU12" s="586">
        <f>IF(B12=0,0,Table7[[#This Row],[Column42]]-Table7[[#This Row],[Fuel Use 
(gal)]])</f>
        <v>0</v>
      </c>
      <c r="AV12" s="587">
        <f>IF(B12=0,0,Table7[[#This Row],[Column43]]-Table7[[#This Row],[Fuel Cost ($)]])</f>
        <v>0</v>
      </c>
    </row>
    <row r="13" spans="2:48" s="2" customFormat="1" ht="15.5" x14ac:dyDescent="0.35">
      <c r="B13" s="588">
        <f>'Interim Water Delivery Inputs'!D20</f>
        <v>0</v>
      </c>
      <c r="C13" s="580">
        <f>'Interim Water Delivery Inputs'!F20</f>
        <v>0</v>
      </c>
      <c r="D13" s="580">
        <f>'Interim Water Delivery Inputs'!H20</f>
        <v>0</v>
      </c>
      <c r="E13" s="581">
        <f>IF('Interim Water Delivery Inputs'!B20="",0,(IF('Interim Water Delivery Inputs'!J20="",(Defaults!$H$15*Table7[[#This Row],[Number of Identical Vehicles]]),'Interim Water Delivery Inputs'!J20)))</f>
        <v>0</v>
      </c>
      <c r="F13" s="581">
        <f>'Interim Water Delivery Inputs'!L20</f>
        <v>0</v>
      </c>
      <c r="G13" s="582" t="str">
        <f>IF(AND(B13="Heavy Duty Truck",C13="Diesel"),'LCT - Heavy Duty'!$C$15,IF(AND(B13="Heavy Duty Truck",C13="Battery Electric"),'LCT - Heavy Duty'!$F$15,IF(AND(B13="Heavy Duty Truck",OR(C13="Natural Gas",C13="Propane")),'LCT - Heavy Duty'!$D$39,IF(AND(B13="Box Truck",C13="Gasoline"),'LCT - Light &amp; Light-Heavy Duty'!$C$15,IF(AND(B13="Box Truck",C13="Hybrid"),'LCT - Light &amp; Light-Heavy Duty'!$D$15,IF(AND(B13="Box Truck",C13="Plug-in Hybrid"),'LCT - Light &amp; Light-Heavy Duty'!$E$15,IF(AND(B13="Box Truck",C13="Battery Electric"),'LCT - Light &amp; Light-Heavy Duty'!$F$15,IF(AND(B13="Box Truck",C13="Fuel Cell Electric"),'LCT - Light &amp; Light-Heavy Duty'!$G$15,IF(AND(B13="Van",C13="Gasoline"),'LCT - Light &amp; Light-Heavy Duty'!$C$10,IF(AND(B13="Van",C13="Hybrid"),'LCT - Light &amp; Light-Heavy Duty'!$D$10,IF(AND(B13="Van",C13="Plug-in Hybrid"),'LCT - Light &amp; Light-Heavy Duty'!$E$10,IF(AND(B13="Van",'Interim Water Delivery Inputs'!F20="Battery Electric"),'LCT - Light &amp; Light-Heavy Duty'!$F$10,IF(AND(B13="Van",C13="Fuel Cell Electric"),'LCT - Light &amp; Light-Heavy Duty'!$G$10,IF(AND(B13="Sedan",C13="Gasoline"),'LCT - Light &amp; Light-Heavy Duty'!$C$23,IF(AND(B13="Sedan",C13="Hybrid"),'LCT - Light &amp; Light-Heavy Duty'!$D$23,IF(AND(B13="Sedan",C13="Plug-in Hybrid"),'LCT - Light &amp; Light-Heavy Duty'!$D$23,IF(AND(B13="Sedan",'Interim Water Delivery Inputs'!F20="Battery Electric"),'LCT - Light &amp; Light-Heavy Duty'!$E$23,IF(AND(B13="Sedan",C13="Fuel Cell Electric"),'LCT - Light &amp; Light-Heavy Duty'!$F$23,""))))))))))))))))))</f>
        <v/>
      </c>
      <c r="H13" s="582" t="str">
        <f>IFERROR(((Table7[[#This Row],[GHG Emission Factor 
(g CO2e/mi)]]*Table7[[#This Row],[Total Annual VMT 
(Miles/Year)]])*1/1000000),"")</f>
        <v/>
      </c>
      <c r="I13" s="582" t="str">
        <f>IFERROR(Table7[[#This Row],[Annual Transportation GHG Emissions 
(MTCO2e/Year)]]*Table7[[#This Row],[Project Life
(Years)]],"")</f>
        <v/>
      </c>
      <c r="J13" s="582" t="str">
        <f>IF(AND(B13="Heavy Duty Truck",C13="Diesel"),'LCT - Heavy Duty'!$C$16,IF(AND(B13="Heavy Duty Truck",C13="Battery Electric"),'LCT - Heavy Duty'!$F$16,IF(AND(B13="Heavy Duty Truck",OR(C13="Natural Gas",C13="Propane")),'LCT - Heavy Duty'!$D$40,IF(AND(B13="Box Truck",C13="Gasoline"),'LCT - Light &amp; Light-Heavy Duty'!$C$16,IF(AND(B13="Box Truck",C13="Hybrid"),'LCT - Light &amp; Light-Heavy Duty'!$D$16,IF(AND(B13="Box Truck",C13="Plug-in Hybrid"),'LCT - Light &amp; Light-Heavy Duty'!$E$16,IF(AND(B13="Box Truck",C13="Battery Electric"),'LCT - Light &amp; Light-Heavy Duty'!$F$16,IF(AND(B13="Box Truck",C13="Fuel Cell Electric"),'LCT - Light &amp; Light-Heavy Duty'!$G$16,IF(AND(B13="Van",C13="Gasoline"),'LCT - Light &amp; Light-Heavy Duty'!$C$11,IF(AND(B13="Van",C13="Hybrid"),'LCT - Light &amp; Light-Heavy Duty'!$D$11,IF(AND(B13="Van",C13="Plug-in Hybrid"),'LCT - Light &amp; Light-Heavy Duty'!$E$11,IF(AND(B13="Van",'Interim Water Delivery Inputs'!F20="Battery Electric"),'LCT - Light &amp; Light-Heavy Duty'!$F$11,IF(AND(B13="Van",C13="Fuel Cell Electric"),'LCT - Light &amp; Light-Heavy Duty'!$G$11,IF(AND(B13="Sedan",C13="Gasoline"),'LCT - Light &amp; Light-Heavy Duty'!$C$24,IF(AND(B13="Sedan",C13="Hybrid"),'LCT - Light &amp; Light-Heavy Duty'!$D$24,IF(AND(B13="Sedan",C13="Plug-in Hybrid"),'LCT - Light &amp; Light-Heavy Duty'!$D$24,IF(AND(B13="Sedan",'Interim Water Delivery Inputs'!F20="Battery Electric"),'LCT - Light &amp; Light-Heavy Duty'!$E$24,IF(AND(B13="Sedan",C13="Fuel Cell Electric"),'LCT - Light &amp; Light-Heavy Duty'!$F$24,""))))))))))))))))))</f>
        <v/>
      </c>
      <c r="K13" s="582" t="str">
        <f>IFERROR(((Table7[[#This Row],[ROG Emission Factor
(g/mi)]]*Table7[[#This Row],[Total Annual VMT 
(Miles/Year)]])*1/454),"")</f>
        <v/>
      </c>
      <c r="L13" s="174" t="str">
        <f>IFERROR((Table7[[#This Row],[Annual ROG Emissions 
(lbs/year)]]*Table7[[#This Row],[Project Life
(Years)]]),"")</f>
        <v/>
      </c>
      <c r="M13" s="582" t="str">
        <f>IF(AND(B13="Heavy Duty Truck",C13="Diesel"),'LCT - Heavy Duty'!$C$17,IF(AND(B13="Heavy Duty Truck",C13="Battery Electric"),'LCT - Heavy Duty'!$F$17,IF(AND(B13="Heavy Duty Truck",OR(C13="Natural Gas",C13="Propane")),'LCT - Heavy Duty'!$D$41,IF(AND(B13="Box Truck",C13="Gasoline"),'LCT - Light &amp; Light-Heavy Duty'!$C$17,IF(AND(B13="Box Truck",C13="Hybrid"),'LCT - Light &amp; Light-Heavy Duty'!$D$17,IF(AND(B13="Box Truck",C13="Plug-in Hybrid"),'LCT - Light &amp; Light-Heavy Duty'!$E$17,IF(AND(B13="Box Truck",C13="Battery Electric"),'LCT - Light &amp; Light-Heavy Duty'!$F$17,IF(AND(B13="Box Truck",C13="Fuel Cell Electric"),'LCT - Light &amp; Light-Heavy Duty'!$G$17,IF(AND(B13="Van",C13="Gasoline"),'LCT - Light &amp; Light-Heavy Duty'!$C$12,IF(AND(B13="Van",C13="Hybrid"),'LCT - Light &amp; Light-Heavy Duty'!$D$12,IF(AND(B13="Van",C13="Plug-in Hybrid"),'LCT - Light &amp; Light-Heavy Duty'!$E$12,IF(AND(B13="Van",'Interim Water Delivery Inputs'!F20="Battery Electric"),'LCT - Light &amp; Light-Heavy Duty'!$F$12,IF(AND(B13="Van",C13="Fuel Cell Electric"),'LCT - Light &amp; Light-Heavy Duty'!$G$12,IF(AND(B13="Sedan",C13="Gasoline"),'LCT - Light &amp; Light-Heavy Duty'!$C$25,IF(AND(B13="Sedan",C13="Hybrid"),'LCT - Light &amp; Light-Heavy Duty'!$D$25,IF(AND(B13="Sedan",C13="Plug-in Hybrid"),'LCT - Light &amp; Light-Heavy Duty'!$D$25,IF(AND(B13="Sedan",'Interim Water Delivery Inputs'!F20="Battery Electric"),'LCT - Light &amp; Light-Heavy Duty'!$E$25,IF(AND(B13="Sedan",C13="Fuel Cell Electric"),'LCT - Light &amp; Light-Heavy Duty'!$F$25,""))))))))))))))))))</f>
        <v/>
      </c>
      <c r="N13" s="174" t="str">
        <f>IFERROR(((Table7[[#This Row],[NOx Emission Factor
(g/mi)]]*Table7[[#This Row],[Total Annual VMT 
(Miles/Year)]])*1/454),"")</f>
        <v/>
      </c>
      <c r="O13" s="174" t="str">
        <f>IFERROR((Table7[[#This Row],[Annual NOx Emissions 
(lbs/year)]]*Table7[[#This Row],[Project Life
(Years)]]),"")</f>
        <v/>
      </c>
      <c r="P13" s="174" t="str">
        <f>IF(AND(B13="Heavy Duty Truck",C13="Diesel"),'LCT - Heavy Duty'!$C$18,IF(AND(B13="Heavy Duty Truck",C13="Battery Electric"),'LCT - Heavy Duty'!$F$18,IF(AND(B13="Heavy Duty Truck",OR(C13="Natural Gas",C13="Propane")),'LCT - Heavy Duty'!$D$42,IF(AND(B13="Box Truck",C13="Gasoline"),'LCT - Light &amp; Light-Heavy Duty'!$C$18,IF(AND(B13="Box Truck",C13="Hybrid"),'LCT - Light &amp; Light-Heavy Duty'!$D$18,IF(AND(B13="Box Truck",C13="Plug-in Hybrid"),'LCT - Light &amp; Light-Heavy Duty'!$E$18,IF(AND(B13="Box Truck",C13="Battery Electric"),'LCT - Light &amp; Light-Heavy Duty'!$F$18,IF(AND(B13="Box Truck",C13="Fuel Cell Electric"),'LCT - Light &amp; Light-Heavy Duty'!$G$18,IF(AND(B13="Van",C13="Gasoline"),'LCT - Light &amp; Light-Heavy Duty'!$C$13,IF(AND(B13="Van",C13="Hybrid"),'LCT - Light &amp; Light-Heavy Duty'!$D$13,IF(AND(B13="Van",C13="Plug-in Hybrid"),'LCT - Light &amp; Light-Heavy Duty'!$E$13,IF(AND(B13="Van",'Interim Water Delivery Inputs'!F20="Battery Electric"),'LCT - Light &amp; Light-Heavy Duty'!$F$13,IF(AND(B13="Van",C13="Fuel Cell Electric"),'LCT - Light &amp; Light-Heavy Duty'!$G$13,IF(AND(B13="Sedan",C13="Gasoline"),'LCT - Light &amp; Light-Heavy Duty'!$C$26,IF(AND(B13="Sedan",C13="Hybrid"),'LCT - Light &amp; Light-Heavy Duty'!$D$26,IF(AND(B13="Sedan",C13="Plug-in Hybrid"),'LCT - Light &amp; Light-Heavy Duty'!$D$26,IF(AND(B13="Sedan",'Interim Water Delivery Inputs'!F20="Battery Electric"),'LCT - Light &amp; Light-Heavy Duty'!$E$26,IF(AND(B13="Sedan",C13="Fuel Cell Electric"),'LCT - Light &amp; Light-Heavy Duty'!$F$26,""))))))))))))))))))</f>
        <v/>
      </c>
      <c r="Q13" s="174" t="str">
        <f>IFERROR(((Table7[[#This Row],[PM2.5 Emission Factor
(g/mi)]]*Table7[[#This Row],[Total Annual VMT 
(Miles/Year)]])*1/454),"")</f>
        <v/>
      </c>
      <c r="R13" s="174" t="str">
        <f>IFERROR((Table7[[#This Row],[Annual PM2.5 Emissions 
(lbs/year)]]*Table7[[#This Row],[Project Life
(Years)]]),"")</f>
        <v/>
      </c>
      <c r="S13" s="174" t="str">
        <f>IF(AND(B13="Heavy Duty Truck",C13="Diesel"),'LCT - Heavy Duty'!$C$19,IF(AND(B13="Heavy Duty Truck",C13="Battery Electric"),'LCT - Heavy Duty'!$F$19,IF(AND(B13="Heavy Duty Truck",OR(C13="Natural Gas",C13="Propane")),'LCT - Heavy Duty'!$D$43,IF(AND(B13="Box Truck",C13="Gasoline"),'LCT - Light &amp; Light-Heavy Duty'!$C$19,IF(AND(B13="Box Truck",C13="Hybrid"),'LCT - Light &amp; Light-Heavy Duty'!$D$19,IF(AND(B13="Box Truck",C13="Plug-in Hybrid"),'LCT - Light &amp; Light-Heavy Duty'!$E$19,IF(AND(B13="Box Truck",C13="Battery Electric"),'LCT - Light &amp; Light-Heavy Duty'!$F$19,IF(AND(B13="Box Truck",C13="Fuel Cell Electric"),'LCT - Light &amp; Light-Heavy Duty'!$G$19,IF(AND(B13="Van",C13="Gasoline"),'LCT - Light &amp; Light-Heavy Duty'!$C$14,IF(AND(B13="Van",C13="Hybrid"),'LCT - Light &amp; Light-Heavy Duty'!$D$14,IF(AND(B13="Van",C13="Plug-in Hybrid"),'LCT - Light &amp; Light-Heavy Duty'!$E$14,IF(AND(B13="Van",'Interim Water Delivery Inputs'!F20="Battery Electric"),'LCT - Light &amp; Light-Heavy Duty'!$F$14,IF(AND(B13="Van",C13="Fuel Cell Electric"),'LCT - Light &amp; Light-Heavy Duty'!$G$14,IF(AND(B13="Sedan",C13="Gasoline"),'LCT - Light &amp; Light-Heavy Duty'!$C$27,IF(AND(B13="Sedan",C13="Hybrid"),'LCT - Light &amp; Light-Heavy Duty'!$D$27,IF(AND(B13="Sedan",C13="Plug-in Hybrid"),'LCT - Light &amp; Light-Heavy Duty'!$D$27,IF(AND(B13="Sedan",'Interim Water Delivery Inputs'!F20="Battery Electric"),'LCT - Light &amp; Light-Heavy Duty'!$E$27,IF(AND(B13="Sedan",C13="Fuel Cell Electric"),'LCT - Light &amp; Light-Heavy Duty'!$F$27,""))))))))))))))))))</f>
        <v/>
      </c>
      <c r="T13" s="174" t="str">
        <f>IFERROR(((Table7[[#This Row],[Diesel PM Emission Factor
(g/mi)]]*Table7[[#This Row],[Total Annual VMT 
(Miles/Year)]])*1/454),"")</f>
        <v/>
      </c>
      <c r="U13" s="186" t="str">
        <f>IFERROR((Table7[[#This Row],[Annual Diesel PM Emissions 
(lbs/year)]]*Table7[[#This Row],[Project Life
(Years)]]),"")</f>
        <v/>
      </c>
      <c r="V13" s="186" t="str">
        <f>IF(Table7[[#This Row],[Fuel Type]]="Diesel",Defaults!$C$42,IF(Table7[[#This Row],[Fuel Type]]="Natural Gas",Defaults!$C$42*'Fuel-Specific GHG'!C40,IF(Table7[[#This Row],[Fuel Type]]="Propane",Defaults!$C$42*'Fuel-Specific GHG'!C40,IF(AND(Table7[[#This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3"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3" s="583">
        <f>IF(OR(Table7[[#This Row],[Fuel Type]]="Diesel",Table7[[#This Row],[Fuel Type]]="Gasoline",Table7[[#This Row],[Fuel Type]]="Hybrid",Table7[[#This Row],[Fuel Type]]="Plug-in Hybrid",Table7[[#This Row],[Fuel Type]]="Natural Gas",Table7[[#This Row],[Fuel Type]]="Propane"),Table7[[#This Row],[Fuel Use 
(gal, Kwh, or kg)]],0)</f>
        <v>0</v>
      </c>
      <c r="Y13"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3" s="26">
        <f>IF(B13=0,0,IF('Project Info'!$C$33="",2023,YEAR('Project Info'!$C$33)))</f>
        <v>0</v>
      </c>
      <c r="AA13" s="193">
        <f>'Interim Water Delivery Inputs'!N20*Table7[[#This Row],[Project Life
(Years)]]</f>
        <v>0</v>
      </c>
      <c r="AB13" s="193">
        <f>Table7[[#This Row],[Column2]]*Defaults!$C$59*12</f>
        <v>0</v>
      </c>
      <c r="AC13" s="193">
        <f>Table7[[#This Row],[Column3]]*Defaults!$C$58</f>
        <v>0</v>
      </c>
      <c r="AD13" s="193">
        <f>IF(B13=0,0,Table7[[#This Row],[Column4]]*VLOOKUP(Table7[[#This Row],[Column1]],'Passenger Auto C&amp;T'!$B$45:$D$80,3,FALSE))</f>
        <v>0</v>
      </c>
      <c r="AE13" s="589">
        <f>Table7[[#This Row],[Column42]]*'Fuel Prices'!$C$11</f>
        <v>0</v>
      </c>
      <c r="AF13" s="590">
        <f>IF(B13=0,0,VLOOKUP(Table7[[#This Row],[Column1]],'Passenger Auto GHG'!$B$46:$D$81,3,FALSE))</f>
        <v>0</v>
      </c>
      <c r="AG13" s="591">
        <f>Table7[[#This Row],[Column5]]*Table7[[#This Row],[Column4]]/1000000</f>
        <v>0</v>
      </c>
      <c r="AH13" s="592">
        <f>IF(B13=0,0,VLOOKUP(Table7[[#This Row],[Column1]],'Passenger Auto C&amp;T'!$B$45:$L$80,4,FALSE))</f>
        <v>0</v>
      </c>
      <c r="AI13" s="593">
        <f>IF(B13=0,0,VLOOKUP(Table7[[#This Row],[Column1]],'Passenger Auto C&amp;T'!$B$45:$L$80,5,FALSE))</f>
        <v>0</v>
      </c>
      <c r="AJ13" s="593">
        <f>IF(B13=0,0,SUM(VLOOKUP(Table7[[#This Row],[Column1]],'Passenger Auto C&amp;T'!$B$45:$L$80,6,FALSE),VLOOKUP(Table7[[#This Row],[Column1]],'Passenger Auto C&amp;T'!$B$45:$L$80,7,FALSE),VLOOKUP(Table7[[#This Row],[Column1]],'Passenger Auto C&amp;T'!$B$45:$L$80,8,FALSE)))</f>
        <v>0</v>
      </c>
      <c r="AK13" s="594">
        <f>IF(B13=0,0,VLOOKUP(Table7[[#This Row],[Column1]],'Passenger Auto C&amp;T'!$B$45:$L$80,10,FALSE))</f>
        <v>0</v>
      </c>
      <c r="AL13" s="592">
        <f>Table7[[#This Row],[Column4]]*Table7[[#This Row],[Column7]]*0.00220462</f>
        <v>0</v>
      </c>
      <c r="AM13" s="593">
        <f>Table7[[#This Row],[Column4]]*Table7[[#This Row],[Column8]]*0.00220462</f>
        <v>0</v>
      </c>
      <c r="AN13" s="593">
        <f>Table7[[#This Row],[Column4]]*Table7[[#This Row],[Column9]]*0.00220462</f>
        <v>0</v>
      </c>
      <c r="AO13" s="595">
        <f>Table7[[#This Row],[Column4]]*Table7[[#This Row],[Column10]]*0.00220462</f>
        <v>0</v>
      </c>
      <c r="AP13" s="592">
        <f>IF(B13=0,0,Table7[[#This Row],[Column6]]-Table7[[#This Row],[Total Transportation GHG Emissions 
(MTCO2e)]])</f>
        <v>0</v>
      </c>
      <c r="AQ13" s="593">
        <f>IF(B13=0,0,Table7[[#This Row],[Column11]]-Table7[[#This Row],[Total ROG Emissions 
(lbs)]])</f>
        <v>0</v>
      </c>
      <c r="AR13" s="593">
        <f>IF(B13=0,0,Table7[[#This Row],[Column12]]-Table7[[#This Row],[Total NOx Emissions 
(lbs)]])</f>
        <v>0</v>
      </c>
      <c r="AS13" s="593">
        <f>IF(B13=0,0,Table7[[#This Row],[Column13]]-Table7[[#This Row],[Total PM2.5 Emissions 
(lbs)]])</f>
        <v>0</v>
      </c>
      <c r="AT13" s="596">
        <f>IF(B13=0,0,Table7[[#This Row],[Column14]]-Table7[[#This Row],[Total Diesel PM Emissions 
(lbs)]])</f>
        <v>0</v>
      </c>
      <c r="AU13" s="588">
        <f>IF(B13=0,0,Table7[[#This Row],[Column42]]-Table7[[#This Row],[Fuel Use 
(gal)]])</f>
        <v>0</v>
      </c>
      <c r="AV13" s="597">
        <f>IF(B13=0,0,Table7[[#This Row],[Column43]]-Table7[[#This Row],[Fuel Cost ($)]])</f>
        <v>0</v>
      </c>
    </row>
    <row r="14" spans="2:48" s="2" customFormat="1" ht="15.5" x14ac:dyDescent="0.35">
      <c r="B14" s="588">
        <f>'Interim Water Delivery Inputs'!D21</f>
        <v>0</v>
      </c>
      <c r="C14" s="580">
        <f>'Interim Water Delivery Inputs'!F21</f>
        <v>0</v>
      </c>
      <c r="D14" s="580">
        <f>'Interim Water Delivery Inputs'!H21</f>
        <v>0</v>
      </c>
      <c r="E14" s="581">
        <f>IF('Interim Water Delivery Inputs'!B21="",0,(IF('Interim Water Delivery Inputs'!J21="",(Defaults!$H$15*Table7[[#This Row],[Number of Identical Vehicles]]),'Interim Water Delivery Inputs'!J21)))</f>
        <v>0</v>
      </c>
      <c r="F14" s="581">
        <f>'Interim Water Delivery Inputs'!L21</f>
        <v>0</v>
      </c>
      <c r="G14" s="582" t="str">
        <f>IF(AND(B14="Heavy Duty Truck",C14="Diesel"),'LCT - Heavy Duty'!$C$15,IF(AND(B14="Heavy Duty Truck",C14="Battery Electric"),'LCT - Heavy Duty'!$F$15,IF(AND(B14="Heavy Duty Truck",OR(C14="Natural Gas",C14="Propane")),'LCT - Heavy Duty'!$D$39,IF(AND(B14="Box Truck",C14="Gasoline"),'LCT - Light &amp; Light-Heavy Duty'!$C$15,IF(AND(B14="Box Truck",C14="Hybrid"),'LCT - Light &amp; Light-Heavy Duty'!$D$15,IF(AND(B14="Box Truck",C14="Plug-in Hybrid"),'LCT - Light &amp; Light-Heavy Duty'!$E$15,IF(AND(B14="Box Truck",C14="Battery Electric"),'LCT - Light &amp; Light-Heavy Duty'!$F$15,IF(AND(B14="Box Truck",C14="Fuel Cell Electric"),'LCT - Light &amp; Light-Heavy Duty'!$G$15,IF(AND(B14="Van",C14="Gasoline"),'LCT - Light &amp; Light-Heavy Duty'!$C$10,IF(AND(B14="Van",C14="Hybrid"),'LCT - Light &amp; Light-Heavy Duty'!$D$10,IF(AND(B14="Van",C14="Plug-in Hybrid"),'LCT - Light &amp; Light-Heavy Duty'!$E$10,IF(AND(B14="Van",'Interim Water Delivery Inputs'!F21="Battery Electric"),'LCT - Light &amp; Light-Heavy Duty'!$F$10,IF(AND(B14="Van",C14="Fuel Cell Electric"),'LCT - Light &amp; Light-Heavy Duty'!$G$10,IF(AND(B14="Sedan",C14="Gasoline"),'LCT - Light &amp; Light-Heavy Duty'!$C$23,IF(AND(B14="Sedan",C14="Hybrid"),'LCT - Light &amp; Light-Heavy Duty'!$D$23,IF(AND(B14="Sedan",C14="Plug-in Hybrid"),'LCT - Light &amp; Light-Heavy Duty'!$D$23,IF(AND(B14="Sedan",'Interim Water Delivery Inputs'!F21="Battery Electric"),'LCT - Light &amp; Light-Heavy Duty'!$E$23,IF(AND(B14="Sedan",C14="Fuel Cell Electric"),'LCT - Light &amp; Light-Heavy Duty'!$F$23,""))))))))))))))))))</f>
        <v/>
      </c>
      <c r="H14" s="582" t="str">
        <f>IFERROR(((Table7[[#This Row],[GHG Emission Factor 
(g CO2e/mi)]]*Table7[[#This Row],[Total Annual VMT 
(Miles/Year)]])*1/1000000),"")</f>
        <v/>
      </c>
      <c r="I14" s="582" t="str">
        <f>IFERROR(Table7[[#This Row],[Annual Transportation GHG Emissions 
(MTCO2e/Year)]]*Table7[[#This Row],[Project Life
(Years)]],"")</f>
        <v/>
      </c>
      <c r="J14" s="582" t="str">
        <f>IF(AND(B14="Heavy Duty Truck",C14="Diesel"),'LCT - Heavy Duty'!$C$16,IF(AND(B14="Heavy Duty Truck",C14="Battery Electric"),'LCT - Heavy Duty'!$F$16,IF(AND(B14="Heavy Duty Truck",OR(C14="Natural Gas",C14="Propane")),'LCT - Heavy Duty'!$D$40,IF(AND(B14="Box Truck",C14="Gasoline"),'LCT - Light &amp; Light-Heavy Duty'!$C$16,IF(AND(B14="Box Truck",C14="Hybrid"),'LCT - Light &amp; Light-Heavy Duty'!$D$16,IF(AND(B14="Box Truck",C14="Plug-in Hybrid"),'LCT - Light &amp; Light-Heavy Duty'!$E$16,IF(AND(B14="Box Truck",C14="Battery Electric"),'LCT - Light &amp; Light-Heavy Duty'!$F$16,IF(AND(B14="Box Truck",C14="Fuel Cell Electric"),'LCT - Light &amp; Light-Heavy Duty'!$G$16,IF(AND(B14="Van",C14="Gasoline"),'LCT - Light &amp; Light-Heavy Duty'!$C$11,IF(AND(B14="Van",C14="Hybrid"),'LCT - Light &amp; Light-Heavy Duty'!$D$11,IF(AND(B14="Van",C14="Plug-in Hybrid"),'LCT - Light &amp; Light-Heavy Duty'!$E$11,IF(AND(B14="Van",'Interim Water Delivery Inputs'!F21="Battery Electric"),'LCT - Light &amp; Light-Heavy Duty'!$F$11,IF(AND(B14="Van",C14="Fuel Cell Electric"),'LCT - Light &amp; Light-Heavy Duty'!$G$11,IF(AND(B14="Sedan",C14="Gasoline"),'LCT - Light &amp; Light-Heavy Duty'!$C$24,IF(AND(B14="Sedan",C14="Hybrid"),'LCT - Light &amp; Light-Heavy Duty'!$D$24,IF(AND(B14="Sedan",C14="Plug-in Hybrid"),'LCT - Light &amp; Light-Heavy Duty'!$D$24,IF(AND(B14="Sedan",'Interim Water Delivery Inputs'!F21="Battery Electric"),'LCT - Light &amp; Light-Heavy Duty'!$E$24,IF(AND(B14="Sedan",C14="Fuel Cell Electric"),'LCT - Light &amp; Light-Heavy Duty'!$F$24,""))))))))))))))))))</f>
        <v/>
      </c>
      <c r="K14" s="582" t="str">
        <f>IFERROR(((Table7[[#This Row],[ROG Emission Factor
(g/mi)]]*Table7[[#This Row],[Total Annual VMT 
(Miles/Year)]])*1/454),"")</f>
        <v/>
      </c>
      <c r="L14" s="174" t="str">
        <f>IFERROR((Table7[[#This Row],[Annual ROG Emissions 
(lbs/year)]]*Table7[[#This Row],[Project Life
(Years)]]),"")</f>
        <v/>
      </c>
      <c r="M14" s="582" t="str">
        <f>IF(AND(B14="Heavy Duty Truck",C14="Diesel"),'LCT - Heavy Duty'!$C$17,IF(AND(B14="Heavy Duty Truck",C14="Battery Electric"),'LCT - Heavy Duty'!$F$17,IF(AND(B14="Heavy Duty Truck",OR(C14="Natural Gas",C14="Propane")),'LCT - Heavy Duty'!$D$41,IF(AND(B14="Box Truck",C14="Gasoline"),'LCT - Light &amp; Light-Heavy Duty'!$C$17,IF(AND(B14="Box Truck",C14="Hybrid"),'LCT - Light &amp; Light-Heavy Duty'!$D$17,IF(AND(B14="Box Truck",C14="Plug-in Hybrid"),'LCT - Light &amp; Light-Heavy Duty'!$E$17,IF(AND(B14="Box Truck",C14="Battery Electric"),'LCT - Light &amp; Light-Heavy Duty'!$F$17,IF(AND(B14="Box Truck",C14="Fuel Cell Electric"),'LCT - Light &amp; Light-Heavy Duty'!$G$17,IF(AND(B14="Van",C14="Gasoline"),'LCT - Light &amp; Light-Heavy Duty'!$C$12,IF(AND(B14="Van",C14="Hybrid"),'LCT - Light &amp; Light-Heavy Duty'!$D$12,IF(AND(B14="Van",C14="Plug-in Hybrid"),'LCT - Light &amp; Light-Heavy Duty'!$E$12,IF(AND(B14="Van",'Interim Water Delivery Inputs'!F21="Battery Electric"),'LCT - Light &amp; Light-Heavy Duty'!$F$12,IF(AND(B14="Van",C14="Fuel Cell Electric"),'LCT - Light &amp; Light-Heavy Duty'!$G$12,IF(AND(B14="Sedan",C14="Gasoline"),'LCT - Light &amp; Light-Heavy Duty'!$C$25,IF(AND(B14="Sedan",C14="Hybrid"),'LCT - Light &amp; Light-Heavy Duty'!$D$25,IF(AND(B14="Sedan",C14="Plug-in Hybrid"),'LCT - Light &amp; Light-Heavy Duty'!$D$25,IF(AND(B14="Sedan",'Interim Water Delivery Inputs'!F21="Battery Electric"),'LCT - Light &amp; Light-Heavy Duty'!$E$25,IF(AND(B14="Sedan",C14="Fuel Cell Electric"),'LCT - Light &amp; Light-Heavy Duty'!$F$25,""))))))))))))))))))</f>
        <v/>
      </c>
      <c r="N14" s="174" t="str">
        <f>IFERROR(((Table7[[#This Row],[NOx Emission Factor
(g/mi)]]*Table7[[#This Row],[Total Annual VMT 
(Miles/Year)]])*1/454),"")</f>
        <v/>
      </c>
      <c r="O14" s="174" t="str">
        <f>IFERROR((Table7[[#This Row],[Annual NOx Emissions 
(lbs/year)]]*Table7[[#This Row],[Project Life
(Years)]]),"")</f>
        <v/>
      </c>
      <c r="P14" s="174" t="str">
        <f>IF(AND(B14="Heavy Duty Truck",C14="Diesel"),'LCT - Heavy Duty'!$C$18,IF(AND(B14="Heavy Duty Truck",C14="Battery Electric"),'LCT - Heavy Duty'!$F$18,IF(AND(B14="Heavy Duty Truck",OR(C14="Natural Gas",C14="Propane")),'LCT - Heavy Duty'!$D$42,IF(AND(B14="Box Truck",C14="Gasoline"),'LCT - Light &amp; Light-Heavy Duty'!$C$18,IF(AND(B14="Box Truck",C14="Hybrid"),'LCT - Light &amp; Light-Heavy Duty'!$D$18,IF(AND(B14="Box Truck",C14="Plug-in Hybrid"),'LCT - Light &amp; Light-Heavy Duty'!$E$18,IF(AND(B14="Box Truck",C14="Battery Electric"),'LCT - Light &amp; Light-Heavy Duty'!$F$18,IF(AND(B14="Box Truck",C14="Fuel Cell Electric"),'LCT - Light &amp; Light-Heavy Duty'!$G$18,IF(AND(B14="Van",C14="Gasoline"),'LCT - Light &amp; Light-Heavy Duty'!$C$13,IF(AND(B14="Van",C14="Hybrid"),'LCT - Light &amp; Light-Heavy Duty'!$D$13,IF(AND(B14="Van",C14="Plug-in Hybrid"),'LCT - Light &amp; Light-Heavy Duty'!$E$13,IF(AND(B14="Van",'Interim Water Delivery Inputs'!F21="Battery Electric"),'LCT - Light &amp; Light-Heavy Duty'!$F$13,IF(AND(B14="Van",C14="Fuel Cell Electric"),'LCT - Light &amp; Light-Heavy Duty'!$G$13,IF(AND(B14="Sedan",C14="Gasoline"),'LCT - Light &amp; Light-Heavy Duty'!$C$26,IF(AND(B14="Sedan",C14="Hybrid"),'LCT - Light &amp; Light-Heavy Duty'!$D$26,IF(AND(B14="Sedan",C14="Plug-in Hybrid"),'LCT - Light &amp; Light-Heavy Duty'!$D$26,IF(AND(B14="Sedan",'Interim Water Delivery Inputs'!F21="Battery Electric"),'LCT - Light &amp; Light-Heavy Duty'!$E$26,IF(AND(B14="Sedan",C14="Fuel Cell Electric"),'LCT - Light &amp; Light-Heavy Duty'!$F$26,""))))))))))))))))))</f>
        <v/>
      </c>
      <c r="Q14" s="174" t="str">
        <f>IFERROR(((Table7[[#This Row],[PM2.5 Emission Factor
(g/mi)]]*Table7[[#This Row],[Total Annual VMT 
(Miles/Year)]])*1/454),"")</f>
        <v/>
      </c>
      <c r="R14" s="174" t="str">
        <f>IFERROR((Table7[[#This Row],[Annual PM2.5 Emissions 
(lbs/year)]]*Table7[[#This Row],[Project Life
(Years)]]),"")</f>
        <v/>
      </c>
      <c r="S14" s="174" t="str">
        <f>IF(AND(B14="Heavy Duty Truck",C14="Diesel"),'LCT - Heavy Duty'!$C$19,IF(AND(B14="Heavy Duty Truck",C14="Battery Electric"),'LCT - Heavy Duty'!$F$19,IF(AND(B14="Heavy Duty Truck",OR(C14="Natural Gas",C14="Propane")),'LCT - Heavy Duty'!$D$43,IF(AND(B14="Box Truck",C14="Gasoline"),'LCT - Light &amp; Light-Heavy Duty'!$C$19,IF(AND(B14="Box Truck",C14="Hybrid"),'LCT - Light &amp; Light-Heavy Duty'!$D$19,IF(AND(B14="Box Truck",C14="Plug-in Hybrid"),'LCT - Light &amp; Light-Heavy Duty'!$E$19,IF(AND(B14="Box Truck",C14="Battery Electric"),'LCT - Light &amp; Light-Heavy Duty'!$F$19,IF(AND(B14="Box Truck",C14="Fuel Cell Electric"),'LCT - Light &amp; Light-Heavy Duty'!$G$19,IF(AND(B14="Van",C14="Gasoline"),'LCT - Light &amp; Light-Heavy Duty'!$C$14,IF(AND(B14="Van",C14="Hybrid"),'LCT - Light &amp; Light-Heavy Duty'!$D$14,IF(AND(B14="Van",C14="Plug-in Hybrid"),'LCT - Light &amp; Light-Heavy Duty'!$E$14,IF(AND(B14="Van",'Interim Water Delivery Inputs'!F21="Battery Electric"),'LCT - Light &amp; Light-Heavy Duty'!$F$14,IF(AND(B14="Van",C14="Fuel Cell Electric"),'LCT - Light &amp; Light-Heavy Duty'!$G$14,IF(AND(B14="Sedan",C14="Gasoline"),'LCT - Light &amp; Light-Heavy Duty'!$C$27,IF(AND(B14="Sedan",C14="Hybrid"),'LCT - Light &amp; Light-Heavy Duty'!$D$27,IF(AND(B14="Sedan",C14="Plug-in Hybrid"),'LCT - Light &amp; Light-Heavy Duty'!$D$27,IF(AND(B14="Sedan",'Interim Water Delivery Inputs'!F21="Battery Electric"),'LCT - Light &amp; Light-Heavy Duty'!$E$27,IF(AND(B14="Sedan",C14="Fuel Cell Electric"),'LCT - Light &amp; Light-Heavy Duty'!$F$27,""))))))))))))))))))</f>
        <v/>
      </c>
      <c r="T14" s="174" t="str">
        <f>IFERROR(((Table7[[#This Row],[Diesel PM Emission Factor
(g/mi)]]*Table7[[#This Row],[Total Annual VMT 
(Miles/Year)]])*1/454),"")</f>
        <v/>
      </c>
      <c r="U14" s="186" t="str">
        <f>IFERROR((Table7[[#This Row],[Annual Diesel PM Emissions 
(lbs/year)]]*Table7[[#This Row],[Project Life
(Years)]]),"")</f>
        <v/>
      </c>
      <c r="V14" s="186" t="str">
        <f>IF(Table7[[#This Row],[Fuel Type]]="Diesel",Defaults!$C$42,IF(Table7[[#This Row],[Fuel Type]]="Natural Gas",Defaults!$C$42*'Fuel-Specific GHG'!C41,IF(Table7[[#This Row],[Fuel Type]]="Propane",Defaults!$C$42*'Fuel-Specific GHG'!C41,IF(AND(Table7[[#This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4"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4" s="583">
        <f>IF(OR(Table7[[#This Row],[Fuel Type]]="Diesel",Table7[[#This Row],[Fuel Type]]="Gasoline",Table7[[#This Row],[Fuel Type]]="Hybrid",Table7[[#This Row],[Fuel Type]]="Plug-in Hybrid",Table7[[#This Row],[Fuel Type]]="Natural Gas",Table7[[#This Row],[Fuel Type]]="Propane"),Table7[[#This Row],[Fuel Use 
(gal, Kwh, or kg)]],0)</f>
        <v>0</v>
      </c>
      <c r="Y14"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4" s="26">
        <f>IF(B14=0,0,IF('Project Info'!$C$33="",2023,YEAR('Project Info'!$C$33)))</f>
        <v>0</v>
      </c>
      <c r="AA14" s="193">
        <f>'Interim Water Delivery Inputs'!N21*Table7[[#This Row],[Project Life
(Years)]]</f>
        <v>0</v>
      </c>
      <c r="AB14" s="193">
        <f>Table7[[#This Row],[Column2]]*Defaults!$C$59*12</f>
        <v>0</v>
      </c>
      <c r="AC14" s="193">
        <f>Table7[[#This Row],[Column3]]*Defaults!$C$58</f>
        <v>0</v>
      </c>
      <c r="AD14" s="193">
        <f>IF(B14=0,0,Table7[[#This Row],[Column4]]*VLOOKUP(Table7[[#This Row],[Column1]],'Passenger Auto C&amp;T'!$B$45:$D$80,3,FALSE))</f>
        <v>0</v>
      </c>
      <c r="AE14" s="589">
        <f>Table7[[#This Row],[Column42]]*'Fuel Prices'!$C$11</f>
        <v>0</v>
      </c>
      <c r="AF14" s="590">
        <f>IF(B14=0,0,VLOOKUP(Table7[[#This Row],[Column1]],'Passenger Auto GHG'!$B$46:$D$81,3,FALSE))</f>
        <v>0</v>
      </c>
      <c r="AG14" s="591">
        <f>Table7[[#This Row],[Column5]]*Table7[[#This Row],[Column4]]/1000000</f>
        <v>0</v>
      </c>
      <c r="AH14" s="592">
        <f>IF(B14=0,0,VLOOKUP(Table7[[#This Row],[Column1]],'Passenger Auto C&amp;T'!$B$45:$L$80,4,FALSE))</f>
        <v>0</v>
      </c>
      <c r="AI14" s="593">
        <f>IF(B14=0,0,VLOOKUP(Table7[[#This Row],[Column1]],'Passenger Auto C&amp;T'!$B$45:$L$80,5,FALSE))</f>
        <v>0</v>
      </c>
      <c r="AJ14" s="593">
        <f>IF(B14=0,0,SUM(VLOOKUP(Table7[[#This Row],[Column1]],'Passenger Auto C&amp;T'!$B$45:$L$80,6,FALSE),VLOOKUP(Table7[[#This Row],[Column1]],'Passenger Auto C&amp;T'!$B$45:$L$80,7,FALSE),VLOOKUP(Table7[[#This Row],[Column1]],'Passenger Auto C&amp;T'!$B$45:$L$80,8,FALSE)))</f>
        <v>0</v>
      </c>
      <c r="AK14" s="594">
        <f>IF(B14=0,0,VLOOKUP(Table7[[#This Row],[Column1]],'Passenger Auto C&amp;T'!$B$45:$L$80,10,FALSE))</f>
        <v>0</v>
      </c>
      <c r="AL14" s="592">
        <f>Table7[[#This Row],[Column4]]*Table7[[#This Row],[Column7]]*0.00220462</f>
        <v>0</v>
      </c>
      <c r="AM14" s="593">
        <f>Table7[[#This Row],[Column4]]*Table7[[#This Row],[Column8]]*0.00220462</f>
        <v>0</v>
      </c>
      <c r="AN14" s="593">
        <f>Table7[[#This Row],[Column4]]*Table7[[#This Row],[Column9]]*0.00220462</f>
        <v>0</v>
      </c>
      <c r="AO14" s="595">
        <f>Table7[[#This Row],[Column4]]*Table7[[#This Row],[Column10]]*0.00220462</f>
        <v>0</v>
      </c>
      <c r="AP14" s="592">
        <f>IF(B14=0,0,Table7[[#This Row],[Column6]]-Table7[[#This Row],[Total Transportation GHG Emissions 
(MTCO2e)]])</f>
        <v>0</v>
      </c>
      <c r="AQ14" s="593">
        <f>IF(B14=0,0,Table7[[#This Row],[Column11]]-Table7[[#This Row],[Total ROG Emissions 
(lbs)]])</f>
        <v>0</v>
      </c>
      <c r="AR14" s="593">
        <f>IF(B14=0,0,Table7[[#This Row],[Column12]]-Table7[[#This Row],[Total NOx Emissions 
(lbs)]])</f>
        <v>0</v>
      </c>
      <c r="AS14" s="593">
        <f>IF(B14=0,0,Table7[[#This Row],[Column13]]-Table7[[#This Row],[Total PM2.5 Emissions 
(lbs)]])</f>
        <v>0</v>
      </c>
      <c r="AT14" s="596">
        <f>IF(B14=0,0,Table7[[#This Row],[Column14]]-Table7[[#This Row],[Total Diesel PM Emissions 
(lbs)]])</f>
        <v>0</v>
      </c>
      <c r="AU14" s="588">
        <f>IF(B14=0,0,Table7[[#This Row],[Column42]]-Table7[[#This Row],[Fuel Use 
(gal)]])</f>
        <v>0</v>
      </c>
      <c r="AV14" s="597">
        <f>IF(B14=0,0,Table7[[#This Row],[Column43]]-Table7[[#This Row],[Fuel Cost ($)]])</f>
        <v>0</v>
      </c>
    </row>
    <row r="15" spans="2:48" s="2" customFormat="1" ht="15.5" x14ac:dyDescent="0.35">
      <c r="B15" s="588">
        <f>'Interim Water Delivery Inputs'!D22</f>
        <v>0</v>
      </c>
      <c r="C15" s="580">
        <f>'Interim Water Delivery Inputs'!F22</f>
        <v>0</v>
      </c>
      <c r="D15" s="580">
        <f>'Interim Water Delivery Inputs'!H22</f>
        <v>0</v>
      </c>
      <c r="E15" s="581">
        <f>IF('Interim Water Delivery Inputs'!B22="",0,(IF('Interim Water Delivery Inputs'!J22="",(Defaults!$H$15*Table7[[#This Row],[Number of Identical Vehicles]]),'Interim Water Delivery Inputs'!J22)))</f>
        <v>0</v>
      </c>
      <c r="F15" s="581">
        <f>'Interim Water Delivery Inputs'!L22</f>
        <v>0</v>
      </c>
      <c r="G15" s="582" t="str">
        <f>IF(AND(B15="Heavy Duty Truck",C15="Diesel"),'LCT - Heavy Duty'!$C$15,IF(AND(B15="Heavy Duty Truck",C15="Battery Electric"),'LCT - Heavy Duty'!$F$15,IF(AND(B15="Heavy Duty Truck",OR(C15="Natural Gas",C15="Propane")),'LCT - Heavy Duty'!$D$39,IF(AND(B15="Box Truck",C15="Gasoline"),'LCT - Light &amp; Light-Heavy Duty'!$C$15,IF(AND(B15="Box Truck",C15="Hybrid"),'LCT - Light &amp; Light-Heavy Duty'!$D$15,IF(AND(B15="Box Truck",C15="Plug-in Hybrid"),'LCT - Light &amp; Light-Heavy Duty'!$E$15,IF(AND(B15="Box Truck",C15="Battery Electric"),'LCT - Light &amp; Light-Heavy Duty'!$F$15,IF(AND(B15="Box Truck",C15="Fuel Cell Electric"),'LCT - Light &amp; Light-Heavy Duty'!$G$15,IF(AND(B15="Van",C15="Gasoline"),'LCT - Light &amp; Light-Heavy Duty'!$C$10,IF(AND(B15="Van",C15="Hybrid"),'LCT - Light &amp; Light-Heavy Duty'!$D$10,IF(AND(B15="Van",C15="Plug-in Hybrid"),'LCT - Light &amp; Light-Heavy Duty'!$E$10,IF(AND(B15="Van",'Interim Water Delivery Inputs'!F22="Battery Electric"),'LCT - Light &amp; Light-Heavy Duty'!$F$10,IF(AND(B15="Van",C15="Fuel Cell Electric"),'LCT - Light &amp; Light-Heavy Duty'!$G$10,IF(AND(B15="Sedan",C15="Gasoline"),'LCT - Light &amp; Light-Heavy Duty'!$C$23,IF(AND(B15="Sedan",C15="Hybrid"),'LCT - Light &amp; Light-Heavy Duty'!$D$23,IF(AND(B15="Sedan",C15="Plug-in Hybrid"),'LCT - Light &amp; Light-Heavy Duty'!$D$23,IF(AND(B15="Sedan",'Interim Water Delivery Inputs'!F22="Battery Electric"),'LCT - Light &amp; Light-Heavy Duty'!$E$23,IF(AND(B15="Sedan",C15="Fuel Cell Electric"),'LCT - Light &amp; Light-Heavy Duty'!$F$23,""))))))))))))))))))</f>
        <v/>
      </c>
      <c r="H15" s="582" t="str">
        <f>IFERROR(((Table7[[#This Row],[GHG Emission Factor 
(g CO2e/mi)]]*Table7[[#This Row],[Total Annual VMT 
(Miles/Year)]])*1/1000000),"")</f>
        <v/>
      </c>
      <c r="I15" s="582" t="str">
        <f>IFERROR(Table7[[#This Row],[Annual Transportation GHG Emissions 
(MTCO2e/Year)]]*Table7[[#This Row],[Project Life
(Years)]],"")</f>
        <v/>
      </c>
      <c r="J15" s="582" t="str">
        <f>IF(AND(B15="Heavy Duty Truck",C15="Diesel"),'LCT - Heavy Duty'!$C$16,IF(AND(B15="Heavy Duty Truck",C15="Battery Electric"),'LCT - Heavy Duty'!$F$16,IF(AND(B15="Heavy Duty Truck",OR(C15="Natural Gas",C15="Propane")),'LCT - Heavy Duty'!$D$40,IF(AND(B15="Box Truck",C15="Gasoline"),'LCT - Light &amp; Light-Heavy Duty'!$C$16,IF(AND(B15="Box Truck",C15="Hybrid"),'LCT - Light &amp; Light-Heavy Duty'!$D$16,IF(AND(B15="Box Truck",C15="Plug-in Hybrid"),'LCT - Light &amp; Light-Heavy Duty'!$E$16,IF(AND(B15="Box Truck",C15="Battery Electric"),'LCT - Light &amp; Light-Heavy Duty'!$F$16,IF(AND(B15="Box Truck",C15="Fuel Cell Electric"),'LCT - Light &amp; Light-Heavy Duty'!$G$16,IF(AND(B15="Van",C15="Gasoline"),'LCT - Light &amp; Light-Heavy Duty'!$C$11,IF(AND(B15="Van",C15="Hybrid"),'LCT - Light &amp; Light-Heavy Duty'!$D$11,IF(AND(B15="Van",C15="Plug-in Hybrid"),'LCT - Light &amp; Light-Heavy Duty'!$E$11,IF(AND(B15="Van",'Interim Water Delivery Inputs'!F22="Battery Electric"),'LCT - Light &amp; Light-Heavy Duty'!$F$11,IF(AND(B15="Van",C15="Fuel Cell Electric"),'LCT - Light &amp; Light-Heavy Duty'!$G$11,IF(AND(B15="Sedan",C15="Gasoline"),'LCT - Light &amp; Light-Heavy Duty'!$C$24,IF(AND(B15="Sedan",C15="Hybrid"),'LCT - Light &amp; Light-Heavy Duty'!$D$24,IF(AND(B15="Sedan",C15="Plug-in Hybrid"),'LCT - Light &amp; Light-Heavy Duty'!$D$24,IF(AND(B15="Sedan",'Interim Water Delivery Inputs'!F22="Battery Electric"),'LCT - Light &amp; Light-Heavy Duty'!$E$24,IF(AND(B15="Sedan",C15="Fuel Cell Electric"),'LCT - Light &amp; Light-Heavy Duty'!$F$24,""))))))))))))))))))</f>
        <v/>
      </c>
      <c r="K15" s="582" t="str">
        <f>IFERROR(((Table7[[#This Row],[ROG Emission Factor
(g/mi)]]*Table7[[#This Row],[Total Annual VMT 
(Miles/Year)]])*1/454),"")</f>
        <v/>
      </c>
      <c r="L15" s="174" t="str">
        <f>IFERROR((Table7[[#This Row],[Annual ROG Emissions 
(lbs/year)]]*Table7[[#This Row],[Project Life
(Years)]]),"")</f>
        <v/>
      </c>
      <c r="M15" s="582" t="str">
        <f>IF(AND(B15="Heavy Duty Truck",C15="Diesel"),'LCT - Heavy Duty'!$C$17,IF(AND(B15="Heavy Duty Truck",C15="Battery Electric"),'LCT - Heavy Duty'!$F$17,IF(AND(B15="Heavy Duty Truck",OR(C15="Natural Gas",C15="Propane")),'LCT - Heavy Duty'!$D$41,IF(AND(B15="Box Truck",C15="Gasoline"),'LCT - Light &amp; Light-Heavy Duty'!$C$17,IF(AND(B15="Box Truck",C15="Hybrid"),'LCT - Light &amp; Light-Heavy Duty'!$D$17,IF(AND(B15="Box Truck",C15="Plug-in Hybrid"),'LCT - Light &amp; Light-Heavy Duty'!$E$17,IF(AND(B15="Box Truck",C15="Battery Electric"),'LCT - Light &amp; Light-Heavy Duty'!$F$17,IF(AND(B15="Box Truck",C15="Fuel Cell Electric"),'LCT - Light &amp; Light-Heavy Duty'!$G$17,IF(AND(B15="Van",C15="Gasoline"),'LCT - Light &amp; Light-Heavy Duty'!$C$12,IF(AND(B15="Van",C15="Hybrid"),'LCT - Light &amp; Light-Heavy Duty'!$D$12,IF(AND(B15="Van",C15="Plug-in Hybrid"),'LCT - Light &amp; Light-Heavy Duty'!$E$12,IF(AND(B15="Van",'Interim Water Delivery Inputs'!F22="Battery Electric"),'LCT - Light &amp; Light-Heavy Duty'!$F$12,IF(AND(B15="Van",C15="Fuel Cell Electric"),'LCT - Light &amp; Light-Heavy Duty'!$G$12,IF(AND(B15="Sedan",C15="Gasoline"),'LCT - Light &amp; Light-Heavy Duty'!$C$25,IF(AND(B15="Sedan",C15="Hybrid"),'LCT - Light &amp; Light-Heavy Duty'!$D$25,IF(AND(B15="Sedan",C15="Plug-in Hybrid"),'LCT - Light &amp; Light-Heavy Duty'!$D$25,IF(AND(B15="Sedan",'Interim Water Delivery Inputs'!F22="Battery Electric"),'LCT - Light &amp; Light-Heavy Duty'!$E$25,IF(AND(B15="Sedan",C15="Fuel Cell Electric"),'LCT - Light &amp; Light-Heavy Duty'!$F$25,""))))))))))))))))))</f>
        <v/>
      </c>
      <c r="N15" s="174" t="str">
        <f>IFERROR(((Table7[[#This Row],[NOx Emission Factor
(g/mi)]]*Table7[[#This Row],[Total Annual VMT 
(Miles/Year)]])*1/454),"")</f>
        <v/>
      </c>
      <c r="O15" s="174" t="str">
        <f>IFERROR((Table7[[#This Row],[Annual NOx Emissions 
(lbs/year)]]*Table7[[#This Row],[Project Life
(Years)]]),"")</f>
        <v/>
      </c>
      <c r="P15" s="174" t="str">
        <f>IF(AND(B15="Heavy Duty Truck",C15="Diesel"),'LCT - Heavy Duty'!$C$18,IF(AND(B15="Heavy Duty Truck",C15="Battery Electric"),'LCT - Heavy Duty'!$F$18,IF(AND(B15="Heavy Duty Truck",OR(C15="Natural Gas",C15="Propane")),'LCT - Heavy Duty'!$D$42,IF(AND(B15="Box Truck",C15="Gasoline"),'LCT - Light &amp; Light-Heavy Duty'!$C$18,IF(AND(B15="Box Truck",C15="Hybrid"),'LCT - Light &amp; Light-Heavy Duty'!$D$18,IF(AND(B15="Box Truck",C15="Plug-in Hybrid"),'LCT - Light &amp; Light-Heavy Duty'!$E$18,IF(AND(B15="Box Truck",C15="Battery Electric"),'LCT - Light &amp; Light-Heavy Duty'!$F$18,IF(AND(B15="Box Truck",C15="Fuel Cell Electric"),'LCT - Light &amp; Light-Heavy Duty'!$G$18,IF(AND(B15="Van",C15="Gasoline"),'LCT - Light &amp; Light-Heavy Duty'!$C$13,IF(AND(B15="Van",C15="Hybrid"),'LCT - Light &amp; Light-Heavy Duty'!$D$13,IF(AND(B15="Van",C15="Plug-in Hybrid"),'LCT - Light &amp; Light-Heavy Duty'!$E$13,IF(AND(B15="Van",'Interim Water Delivery Inputs'!F22="Battery Electric"),'LCT - Light &amp; Light-Heavy Duty'!$F$13,IF(AND(B15="Van",C15="Fuel Cell Electric"),'LCT - Light &amp; Light-Heavy Duty'!$G$13,IF(AND(B15="Sedan",C15="Gasoline"),'LCT - Light &amp; Light-Heavy Duty'!$C$26,IF(AND(B15="Sedan",C15="Hybrid"),'LCT - Light &amp; Light-Heavy Duty'!$D$26,IF(AND(B15="Sedan",C15="Plug-in Hybrid"),'LCT - Light &amp; Light-Heavy Duty'!$D$26,IF(AND(B15="Sedan",'Interim Water Delivery Inputs'!F22="Battery Electric"),'LCT - Light &amp; Light-Heavy Duty'!$E$26,IF(AND(B15="Sedan",C15="Fuel Cell Electric"),'LCT - Light &amp; Light-Heavy Duty'!$F$26,""))))))))))))))))))</f>
        <v/>
      </c>
      <c r="Q15" s="174" t="str">
        <f>IFERROR(((Table7[[#This Row],[PM2.5 Emission Factor
(g/mi)]]*Table7[[#This Row],[Total Annual VMT 
(Miles/Year)]])*1/454),"")</f>
        <v/>
      </c>
      <c r="R15" s="174" t="str">
        <f>IFERROR((Table7[[#This Row],[Annual PM2.5 Emissions 
(lbs/year)]]*Table7[[#This Row],[Project Life
(Years)]]),"")</f>
        <v/>
      </c>
      <c r="S15" s="174" t="str">
        <f>IF(AND(B15="Heavy Duty Truck",C15="Diesel"),'LCT - Heavy Duty'!$C$19,IF(AND(B15="Heavy Duty Truck",C15="Battery Electric"),'LCT - Heavy Duty'!$F$19,IF(AND(B15="Heavy Duty Truck",OR(C15="Natural Gas",C15="Propane")),'LCT - Heavy Duty'!$D$43,IF(AND(B15="Box Truck",C15="Gasoline"),'LCT - Light &amp; Light-Heavy Duty'!$C$19,IF(AND(B15="Box Truck",C15="Hybrid"),'LCT - Light &amp; Light-Heavy Duty'!$D$19,IF(AND(B15="Box Truck",C15="Plug-in Hybrid"),'LCT - Light &amp; Light-Heavy Duty'!$E$19,IF(AND(B15="Box Truck",C15="Battery Electric"),'LCT - Light &amp; Light-Heavy Duty'!$F$19,IF(AND(B15="Box Truck",C15="Fuel Cell Electric"),'LCT - Light &amp; Light-Heavy Duty'!$G$19,IF(AND(B15="Van",C15="Gasoline"),'LCT - Light &amp; Light-Heavy Duty'!$C$14,IF(AND(B15="Van",C15="Hybrid"),'LCT - Light &amp; Light-Heavy Duty'!$D$14,IF(AND(B15="Van",C15="Plug-in Hybrid"),'LCT - Light &amp; Light-Heavy Duty'!$E$14,IF(AND(B15="Van",'Interim Water Delivery Inputs'!F22="Battery Electric"),'LCT - Light &amp; Light-Heavy Duty'!$F$14,IF(AND(B15="Van",C15="Fuel Cell Electric"),'LCT - Light &amp; Light-Heavy Duty'!$G$14,IF(AND(B15="Sedan",C15="Gasoline"),'LCT - Light &amp; Light-Heavy Duty'!$C$27,IF(AND(B15="Sedan",C15="Hybrid"),'LCT - Light &amp; Light-Heavy Duty'!$D$27,IF(AND(B15="Sedan",C15="Plug-in Hybrid"),'LCT - Light &amp; Light-Heavy Duty'!$D$27,IF(AND(B15="Sedan",'Interim Water Delivery Inputs'!F22="Battery Electric"),'LCT - Light &amp; Light-Heavy Duty'!$E$27,IF(AND(B15="Sedan",C15="Fuel Cell Electric"),'LCT - Light &amp; Light-Heavy Duty'!$F$27,""))))))))))))))))))</f>
        <v/>
      </c>
      <c r="T15" s="174" t="str">
        <f>IFERROR(((Table7[[#This Row],[Diesel PM Emission Factor
(g/mi)]]*Table7[[#This Row],[Total Annual VMT 
(Miles/Year)]])*1/454),"")</f>
        <v/>
      </c>
      <c r="U15" s="186" t="str">
        <f>IFERROR((Table7[[#This Row],[Annual Diesel PM Emissions 
(lbs/year)]]*Table7[[#This Row],[Project Life
(Years)]]),"")</f>
        <v/>
      </c>
      <c r="V15" s="186" t="str">
        <f>IF(Table7[[#This Row],[Fuel Type]]="Diesel",Defaults!$C$42,IF(Table7[[#This Row],[Fuel Type]]="Natural Gas",Defaults!$C$42*'Fuel-Specific GHG'!C42,IF(Table7[[#This Row],[Fuel Type]]="Propane",Defaults!$C$42*'Fuel-Specific GHG'!C42,IF(AND(Table7[[#This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5"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5" s="583">
        <f>IF(OR(Table7[[#This Row],[Fuel Type]]="Diesel",Table7[[#This Row],[Fuel Type]]="Gasoline",Table7[[#This Row],[Fuel Type]]="Hybrid",Table7[[#This Row],[Fuel Type]]="Plug-in Hybrid",Table7[[#This Row],[Fuel Type]]="Natural Gas",Table7[[#This Row],[Fuel Type]]="Propane"),Table7[[#This Row],[Fuel Use 
(gal, Kwh, or kg)]],0)</f>
        <v>0</v>
      </c>
      <c r="Y15"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5" s="26">
        <f>IF(B15=0,0,IF('Project Info'!$C$33="",2023,YEAR('Project Info'!$C$33)))</f>
        <v>0</v>
      </c>
      <c r="AA15" s="193">
        <f>'Interim Water Delivery Inputs'!N22*Table7[[#This Row],[Project Life
(Years)]]</f>
        <v>0</v>
      </c>
      <c r="AB15" s="193">
        <f>Table7[[#This Row],[Column2]]*Defaults!$C$59*12</f>
        <v>0</v>
      </c>
      <c r="AC15" s="193">
        <f>Table7[[#This Row],[Column3]]*Defaults!$C$58</f>
        <v>0</v>
      </c>
      <c r="AD15" s="193">
        <f>IF(B15=0,0,Table7[[#This Row],[Column4]]*VLOOKUP(Table7[[#This Row],[Column1]],'Passenger Auto C&amp;T'!$B$45:$D$80,3,FALSE))</f>
        <v>0</v>
      </c>
      <c r="AE15" s="589">
        <f>Table7[[#This Row],[Column42]]*'Fuel Prices'!$C$11</f>
        <v>0</v>
      </c>
      <c r="AF15" s="590">
        <f>IF(B15=0,0,VLOOKUP(Table7[[#This Row],[Column1]],'Passenger Auto GHG'!$B$46:$D$81,3,FALSE))</f>
        <v>0</v>
      </c>
      <c r="AG15" s="591">
        <f>Table7[[#This Row],[Column5]]*Table7[[#This Row],[Column4]]/1000000</f>
        <v>0</v>
      </c>
      <c r="AH15" s="592">
        <f>IF(B15=0,0,VLOOKUP(Table7[[#This Row],[Column1]],'Passenger Auto C&amp;T'!$B$45:$L$80,4,FALSE))</f>
        <v>0</v>
      </c>
      <c r="AI15" s="593">
        <f>IF(B15=0,0,VLOOKUP(Table7[[#This Row],[Column1]],'Passenger Auto C&amp;T'!$B$45:$L$80,5,FALSE))</f>
        <v>0</v>
      </c>
      <c r="AJ15" s="593">
        <f>IF(B15=0,0,SUM(VLOOKUP(Table7[[#This Row],[Column1]],'Passenger Auto C&amp;T'!$B$45:$L$80,6,FALSE),VLOOKUP(Table7[[#This Row],[Column1]],'Passenger Auto C&amp;T'!$B$45:$L$80,7,FALSE),VLOOKUP(Table7[[#This Row],[Column1]],'Passenger Auto C&amp;T'!$B$45:$L$80,8,FALSE)))</f>
        <v>0</v>
      </c>
      <c r="AK15" s="594">
        <f>IF(B15=0,0,VLOOKUP(Table7[[#This Row],[Column1]],'Passenger Auto C&amp;T'!$B$45:$L$80,10,FALSE))</f>
        <v>0</v>
      </c>
      <c r="AL15" s="592">
        <f>Table7[[#This Row],[Column4]]*Table7[[#This Row],[Column7]]*0.00220462</f>
        <v>0</v>
      </c>
      <c r="AM15" s="593">
        <f>Table7[[#This Row],[Column4]]*Table7[[#This Row],[Column8]]*0.00220462</f>
        <v>0</v>
      </c>
      <c r="AN15" s="593">
        <f>Table7[[#This Row],[Column4]]*Table7[[#This Row],[Column9]]*0.00220462</f>
        <v>0</v>
      </c>
      <c r="AO15" s="595">
        <f>Table7[[#This Row],[Column4]]*Table7[[#This Row],[Column10]]*0.00220462</f>
        <v>0</v>
      </c>
      <c r="AP15" s="592">
        <f>IF(B15=0,0,Table7[[#This Row],[Column6]]-Table7[[#This Row],[Total Transportation GHG Emissions 
(MTCO2e)]])</f>
        <v>0</v>
      </c>
      <c r="AQ15" s="593">
        <f>IF(B15=0,0,Table7[[#This Row],[Column11]]-Table7[[#This Row],[Total ROG Emissions 
(lbs)]])</f>
        <v>0</v>
      </c>
      <c r="AR15" s="593">
        <f>IF(B15=0,0,Table7[[#This Row],[Column12]]-Table7[[#This Row],[Total NOx Emissions 
(lbs)]])</f>
        <v>0</v>
      </c>
      <c r="AS15" s="593">
        <f>IF(B15=0,0,Table7[[#This Row],[Column13]]-Table7[[#This Row],[Total PM2.5 Emissions 
(lbs)]])</f>
        <v>0</v>
      </c>
      <c r="AT15" s="596">
        <f>IF(B15=0,0,Table7[[#This Row],[Column14]]-Table7[[#This Row],[Total Diesel PM Emissions 
(lbs)]])</f>
        <v>0</v>
      </c>
      <c r="AU15" s="588">
        <f>IF(B15=0,0,Table7[[#This Row],[Column42]]-Table7[[#This Row],[Fuel Use 
(gal)]])</f>
        <v>0</v>
      </c>
      <c r="AV15" s="597">
        <f>IF(B15=0,0,Table7[[#This Row],[Column43]]-Table7[[#This Row],[Fuel Cost ($)]])</f>
        <v>0</v>
      </c>
    </row>
    <row r="16" spans="2:48" s="2" customFormat="1" ht="15.5" x14ac:dyDescent="0.35">
      <c r="B16" s="588">
        <f>'Interim Water Delivery Inputs'!D23</f>
        <v>0</v>
      </c>
      <c r="C16" s="580">
        <f>'Interim Water Delivery Inputs'!F23</f>
        <v>0</v>
      </c>
      <c r="D16" s="580">
        <f>'Interim Water Delivery Inputs'!H23</f>
        <v>0</v>
      </c>
      <c r="E16" s="581">
        <f>IF('Interim Water Delivery Inputs'!B23="",0,(IF('Interim Water Delivery Inputs'!J23="",(Defaults!$H$15*Table7[[#This Row],[Number of Identical Vehicles]]),'Interim Water Delivery Inputs'!J23)))</f>
        <v>0</v>
      </c>
      <c r="F16" s="581">
        <f>'Interim Water Delivery Inputs'!L23</f>
        <v>0</v>
      </c>
      <c r="G16" s="582" t="str">
        <f>IF(AND(B16="Heavy Duty Truck",C16="Diesel"),'LCT - Heavy Duty'!$C$15,IF(AND(B16="Heavy Duty Truck",C16="Battery Electric"),'LCT - Heavy Duty'!$F$15,IF(AND(B16="Heavy Duty Truck",OR(C16="Natural Gas",C16="Propane")),'LCT - Heavy Duty'!$D$39,IF(AND(B16="Box Truck",C16="Gasoline"),'LCT - Light &amp; Light-Heavy Duty'!$C$15,IF(AND(B16="Box Truck",C16="Hybrid"),'LCT - Light &amp; Light-Heavy Duty'!$D$15,IF(AND(B16="Box Truck",C16="Plug-in Hybrid"),'LCT - Light &amp; Light-Heavy Duty'!$E$15,IF(AND(B16="Box Truck",C16="Battery Electric"),'LCT - Light &amp; Light-Heavy Duty'!$F$15,IF(AND(B16="Box Truck",C16="Fuel Cell Electric"),'LCT - Light &amp; Light-Heavy Duty'!$G$15,IF(AND(B16="Van",C16="Gasoline"),'LCT - Light &amp; Light-Heavy Duty'!$C$10,IF(AND(B16="Van",C16="Hybrid"),'LCT - Light &amp; Light-Heavy Duty'!$D$10,IF(AND(B16="Van",C16="Plug-in Hybrid"),'LCT - Light &amp; Light-Heavy Duty'!$E$10,IF(AND(B16="Van",'Interim Water Delivery Inputs'!F23="Battery Electric"),'LCT - Light &amp; Light-Heavy Duty'!$F$10,IF(AND(B16="Van",C16="Fuel Cell Electric"),'LCT - Light &amp; Light-Heavy Duty'!$G$10,IF(AND(B16="Sedan",C16="Gasoline"),'LCT - Light &amp; Light-Heavy Duty'!$C$23,IF(AND(B16="Sedan",C16="Hybrid"),'LCT - Light &amp; Light-Heavy Duty'!$D$23,IF(AND(B16="Sedan",C16="Plug-in Hybrid"),'LCT - Light &amp; Light-Heavy Duty'!$D$23,IF(AND(B16="Sedan",'Interim Water Delivery Inputs'!F23="Battery Electric"),'LCT - Light &amp; Light-Heavy Duty'!$E$23,IF(AND(B16="Sedan",C16="Fuel Cell Electric"),'LCT - Light &amp; Light-Heavy Duty'!$F$23,""))))))))))))))))))</f>
        <v/>
      </c>
      <c r="H16" s="582" t="str">
        <f>IFERROR(((Table7[[#This Row],[GHG Emission Factor 
(g CO2e/mi)]]*Table7[[#This Row],[Total Annual VMT 
(Miles/Year)]])*1/1000000),"")</f>
        <v/>
      </c>
      <c r="I16" s="582" t="str">
        <f>IFERROR(Table7[[#This Row],[Annual Transportation GHG Emissions 
(MTCO2e/Year)]]*Table7[[#This Row],[Project Life
(Years)]],"")</f>
        <v/>
      </c>
      <c r="J16" s="582" t="str">
        <f>IF(AND(B16="Heavy Duty Truck",C16="Diesel"),'LCT - Heavy Duty'!$C$16,IF(AND(B16="Heavy Duty Truck",C16="Battery Electric"),'LCT - Heavy Duty'!$F$16,IF(AND(B16="Heavy Duty Truck",OR(C16="Natural Gas",C16="Propane")),'LCT - Heavy Duty'!$D$40,IF(AND(B16="Box Truck",C16="Gasoline"),'LCT - Light &amp; Light-Heavy Duty'!$C$16,IF(AND(B16="Box Truck",C16="Hybrid"),'LCT - Light &amp; Light-Heavy Duty'!$D$16,IF(AND(B16="Box Truck",C16="Plug-in Hybrid"),'LCT - Light &amp; Light-Heavy Duty'!$E$16,IF(AND(B16="Box Truck",C16="Battery Electric"),'LCT - Light &amp; Light-Heavy Duty'!$F$16,IF(AND(B16="Box Truck",C16="Fuel Cell Electric"),'LCT - Light &amp; Light-Heavy Duty'!$G$16,IF(AND(B16="Van",C16="Gasoline"),'LCT - Light &amp; Light-Heavy Duty'!$C$11,IF(AND(B16="Van",C16="Hybrid"),'LCT - Light &amp; Light-Heavy Duty'!$D$11,IF(AND(B16="Van",C16="Plug-in Hybrid"),'LCT - Light &amp; Light-Heavy Duty'!$E$11,IF(AND(B16="Van",'Interim Water Delivery Inputs'!F23="Battery Electric"),'LCT - Light &amp; Light-Heavy Duty'!$F$11,IF(AND(B16="Van",C16="Fuel Cell Electric"),'LCT - Light &amp; Light-Heavy Duty'!$G$11,IF(AND(B16="Sedan",C16="Gasoline"),'LCT - Light &amp; Light-Heavy Duty'!$C$24,IF(AND(B16="Sedan",C16="Hybrid"),'LCT - Light &amp; Light-Heavy Duty'!$D$24,IF(AND(B16="Sedan",C16="Plug-in Hybrid"),'LCT - Light &amp; Light-Heavy Duty'!$D$24,IF(AND(B16="Sedan",'Interim Water Delivery Inputs'!F23="Battery Electric"),'LCT - Light &amp; Light-Heavy Duty'!$E$24,IF(AND(B16="Sedan",C16="Fuel Cell Electric"),'LCT - Light &amp; Light-Heavy Duty'!$F$24,""))))))))))))))))))</f>
        <v/>
      </c>
      <c r="K16" s="582" t="str">
        <f>IFERROR(((Table7[[#This Row],[ROG Emission Factor
(g/mi)]]*Table7[[#This Row],[Total Annual VMT 
(Miles/Year)]])*1/454),"")</f>
        <v/>
      </c>
      <c r="L16" s="174" t="str">
        <f>IFERROR((Table7[[#This Row],[Annual ROG Emissions 
(lbs/year)]]*Table7[[#This Row],[Project Life
(Years)]]),"")</f>
        <v/>
      </c>
      <c r="M16" s="582" t="str">
        <f>IF(AND(B16="Heavy Duty Truck",C16="Diesel"),'LCT - Heavy Duty'!$C$17,IF(AND(B16="Heavy Duty Truck",C16="Battery Electric"),'LCT - Heavy Duty'!$F$17,IF(AND(B16="Heavy Duty Truck",OR(C16="Natural Gas",C16="Propane")),'LCT - Heavy Duty'!$D$41,IF(AND(B16="Box Truck",C16="Gasoline"),'LCT - Light &amp; Light-Heavy Duty'!$C$17,IF(AND(B16="Box Truck",C16="Hybrid"),'LCT - Light &amp; Light-Heavy Duty'!$D$17,IF(AND(B16="Box Truck",C16="Plug-in Hybrid"),'LCT - Light &amp; Light-Heavy Duty'!$E$17,IF(AND(B16="Box Truck",C16="Battery Electric"),'LCT - Light &amp; Light-Heavy Duty'!$F$17,IF(AND(B16="Box Truck",C16="Fuel Cell Electric"),'LCT - Light &amp; Light-Heavy Duty'!$G$17,IF(AND(B16="Van",C16="Gasoline"),'LCT - Light &amp; Light-Heavy Duty'!$C$12,IF(AND(B16="Van",C16="Hybrid"),'LCT - Light &amp; Light-Heavy Duty'!$D$12,IF(AND(B16="Van",C16="Plug-in Hybrid"),'LCT - Light &amp; Light-Heavy Duty'!$E$12,IF(AND(B16="Van",'Interim Water Delivery Inputs'!F23="Battery Electric"),'LCT - Light &amp; Light-Heavy Duty'!$F$12,IF(AND(B16="Van",C16="Fuel Cell Electric"),'LCT - Light &amp; Light-Heavy Duty'!$G$12,IF(AND(B16="Sedan",C16="Gasoline"),'LCT - Light &amp; Light-Heavy Duty'!$C$25,IF(AND(B16="Sedan",C16="Hybrid"),'LCT - Light &amp; Light-Heavy Duty'!$D$25,IF(AND(B16="Sedan",C16="Plug-in Hybrid"),'LCT - Light &amp; Light-Heavy Duty'!$D$25,IF(AND(B16="Sedan",'Interim Water Delivery Inputs'!F23="Battery Electric"),'LCT - Light &amp; Light-Heavy Duty'!$E$25,IF(AND(B16="Sedan",C16="Fuel Cell Electric"),'LCT - Light &amp; Light-Heavy Duty'!$F$25,""))))))))))))))))))</f>
        <v/>
      </c>
      <c r="N16" s="174" t="str">
        <f>IFERROR(((Table7[[#This Row],[NOx Emission Factor
(g/mi)]]*Table7[[#This Row],[Total Annual VMT 
(Miles/Year)]])*1/454),"")</f>
        <v/>
      </c>
      <c r="O16" s="174" t="str">
        <f>IFERROR((Table7[[#This Row],[Annual NOx Emissions 
(lbs/year)]]*Table7[[#This Row],[Project Life
(Years)]]),"")</f>
        <v/>
      </c>
      <c r="P16" s="174" t="str">
        <f>IF(AND(B16="Heavy Duty Truck",C16="Diesel"),'LCT - Heavy Duty'!$C$18,IF(AND(B16="Heavy Duty Truck",C16="Battery Electric"),'LCT - Heavy Duty'!$F$18,IF(AND(B16="Heavy Duty Truck",OR(C16="Natural Gas",C16="Propane")),'LCT - Heavy Duty'!$D$42,IF(AND(B16="Box Truck",C16="Gasoline"),'LCT - Light &amp; Light-Heavy Duty'!$C$18,IF(AND(B16="Box Truck",C16="Hybrid"),'LCT - Light &amp; Light-Heavy Duty'!$D$18,IF(AND(B16="Box Truck",C16="Plug-in Hybrid"),'LCT - Light &amp; Light-Heavy Duty'!$E$18,IF(AND(B16="Box Truck",C16="Battery Electric"),'LCT - Light &amp; Light-Heavy Duty'!$F$18,IF(AND(B16="Box Truck",C16="Fuel Cell Electric"),'LCT - Light &amp; Light-Heavy Duty'!$G$18,IF(AND(B16="Van",C16="Gasoline"),'LCT - Light &amp; Light-Heavy Duty'!$C$13,IF(AND(B16="Van",C16="Hybrid"),'LCT - Light &amp; Light-Heavy Duty'!$D$13,IF(AND(B16="Van",C16="Plug-in Hybrid"),'LCT - Light &amp; Light-Heavy Duty'!$E$13,IF(AND(B16="Van",'Interim Water Delivery Inputs'!F23="Battery Electric"),'LCT - Light &amp; Light-Heavy Duty'!$F$13,IF(AND(B16="Van",C16="Fuel Cell Electric"),'LCT - Light &amp; Light-Heavy Duty'!$G$13,IF(AND(B16="Sedan",C16="Gasoline"),'LCT - Light &amp; Light-Heavy Duty'!$C$26,IF(AND(B16="Sedan",C16="Hybrid"),'LCT - Light &amp; Light-Heavy Duty'!$D$26,IF(AND(B16="Sedan",C16="Plug-in Hybrid"),'LCT - Light &amp; Light-Heavy Duty'!$D$26,IF(AND(B16="Sedan",'Interim Water Delivery Inputs'!F23="Battery Electric"),'LCT - Light &amp; Light-Heavy Duty'!$E$26,IF(AND(B16="Sedan",C16="Fuel Cell Electric"),'LCT - Light &amp; Light-Heavy Duty'!$F$26,""))))))))))))))))))</f>
        <v/>
      </c>
      <c r="Q16" s="174" t="str">
        <f>IFERROR(((Table7[[#This Row],[PM2.5 Emission Factor
(g/mi)]]*Table7[[#This Row],[Total Annual VMT 
(Miles/Year)]])*1/454),"")</f>
        <v/>
      </c>
      <c r="R16" s="174" t="str">
        <f>IFERROR((Table7[[#This Row],[Annual PM2.5 Emissions 
(lbs/year)]]*Table7[[#This Row],[Project Life
(Years)]]),"")</f>
        <v/>
      </c>
      <c r="S16" s="174" t="str">
        <f>IF(AND(B16="Heavy Duty Truck",C16="Diesel"),'LCT - Heavy Duty'!$C$19,IF(AND(B16="Heavy Duty Truck",C16="Battery Electric"),'LCT - Heavy Duty'!$F$19,IF(AND(B16="Heavy Duty Truck",OR(C16="Natural Gas",C16="Propane")),'LCT - Heavy Duty'!$D$43,IF(AND(B16="Box Truck",C16="Gasoline"),'LCT - Light &amp; Light-Heavy Duty'!$C$19,IF(AND(B16="Box Truck",C16="Hybrid"),'LCT - Light &amp; Light-Heavy Duty'!$D$19,IF(AND(B16="Box Truck",C16="Plug-in Hybrid"),'LCT - Light &amp; Light-Heavy Duty'!$E$19,IF(AND(B16="Box Truck",C16="Battery Electric"),'LCT - Light &amp; Light-Heavy Duty'!$F$19,IF(AND(B16="Box Truck",C16="Fuel Cell Electric"),'LCT - Light &amp; Light-Heavy Duty'!$G$19,IF(AND(B16="Van",C16="Gasoline"),'LCT - Light &amp; Light-Heavy Duty'!$C$14,IF(AND(B16="Van",C16="Hybrid"),'LCT - Light &amp; Light-Heavy Duty'!$D$14,IF(AND(B16="Van",C16="Plug-in Hybrid"),'LCT - Light &amp; Light-Heavy Duty'!$E$14,IF(AND(B16="Van",'Interim Water Delivery Inputs'!F23="Battery Electric"),'LCT - Light &amp; Light-Heavy Duty'!$F$14,IF(AND(B16="Van",C16="Fuel Cell Electric"),'LCT - Light &amp; Light-Heavy Duty'!$G$14,IF(AND(B16="Sedan",C16="Gasoline"),'LCT - Light &amp; Light-Heavy Duty'!$C$27,IF(AND(B16="Sedan",C16="Hybrid"),'LCT - Light &amp; Light-Heavy Duty'!$D$27,IF(AND(B16="Sedan",C16="Plug-in Hybrid"),'LCT - Light &amp; Light-Heavy Duty'!$D$27,IF(AND(B16="Sedan",'Interim Water Delivery Inputs'!F23="Battery Electric"),'LCT - Light &amp; Light-Heavy Duty'!$E$27,IF(AND(B16="Sedan",C16="Fuel Cell Electric"),'LCT - Light &amp; Light-Heavy Duty'!$F$27,""))))))))))))))))))</f>
        <v/>
      </c>
      <c r="T16" s="174" t="str">
        <f>IFERROR(((Table7[[#This Row],[Diesel PM Emission Factor
(g/mi)]]*Table7[[#This Row],[Total Annual VMT 
(Miles/Year)]])*1/454),"")</f>
        <v/>
      </c>
      <c r="U16" s="186" t="str">
        <f>IFERROR((Table7[[#This Row],[Annual Diesel PM Emissions 
(lbs/year)]]*Table7[[#This Row],[Project Life
(Years)]]),"")</f>
        <v/>
      </c>
      <c r="V16" s="186" t="str">
        <f>IF(Table7[[#This Row],[Fuel Type]]="Diesel",Defaults!$C$42,IF(Table7[[#This Row],[Fuel Type]]="Natural Gas",Defaults!$C$42*'Fuel-Specific GHG'!C43,IF(Table7[[#This Row],[Fuel Type]]="Propane",Defaults!$C$42*'Fuel-Specific GHG'!C43,IF(AND(Table7[[#This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6"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6" s="583">
        <f>IF(OR(Table7[[#This Row],[Fuel Type]]="Diesel",Table7[[#This Row],[Fuel Type]]="Gasoline",Table7[[#This Row],[Fuel Type]]="Hybrid",Table7[[#This Row],[Fuel Type]]="Plug-in Hybrid",Table7[[#This Row],[Fuel Type]]="Natural Gas",Table7[[#This Row],[Fuel Type]]="Propane"),Table7[[#This Row],[Fuel Use 
(gal, Kwh, or kg)]],0)</f>
        <v>0</v>
      </c>
      <c r="Y16"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6" s="26">
        <f>IF(B16=0,0,IF('Project Info'!$C$33="",2023,YEAR('Project Info'!$C$33)))</f>
        <v>0</v>
      </c>
      <c r="AA16" s="193">
        <f>'Interim Water Delivery Inputs'!N23*Table7[[#This Row],[Project Life
(Years)]]</f>
        <v>0</v>
      </c>
      <c r="AB16" s="193">
        <f>Table7[[#This Row],[Column2]]*Defaults!$C$59*12</f>
        <v>0</v>
      </c>
      <c r="AC16" s="193">
        <f>Table7[[#This Row],[Column3]]*Defaults!$C$58</f>
        <v>0</v>
      </c>
      <c r="AD16" s="193">
        <f>IF(B16=0,0,Table7[[#This Row],[Column4]]*VLOOKUP(Table7[[#This Row],[Column1]],'Passenger Auto C&amp;T'!$B$45:$D$80,3,FALSE))</f>
        <v>0</v>
      </c>
      <c r="AE16" s="589">
        <f>Table7[[#This Row],[Column42]]*'Fuel Prices'!$C$11</f>
        <v>0</v>
      </c>
      <c r="AF16" s="590">
        <f>IF(B16=0,0,VLOOKUP(Table7[[#This Row],[Column1]],'Passenger Auto GHG'!$B$46:$D$81,3,FALSE))</f>
        <v>0</v>
      </c>
      <c r="AG16" s="591">
        <f>Table7[[#This Row],[Column5]]*Table7[[#This Row],[Column4]]/1000000</f>
        <v>0</v>
      </c>
      <c r="AH16" s="592">
        <f>IF(B16=0,0,VLOOKUP(Table7[[#This Row],[Column1]],'Passenger Auto C&amp;T'!$B$45:$L$80,4,FALSE))</f>
        <v>0</v>
      </c>
      <c r="AI16" s="593">
        <f>IF(B16=0,0,VLOOKUP(Table7[[#This Row],[Column1]],'Passenger Auto C&amp;T'!$B$45:$L$80,5,FALSE))</f>
        <v>0</v>
      </c>
      <c r="AJ16" s="593">
        <f>IF(B16=0,0,SUM(VLOOKUP(Table7[[#This Row],[Column1]],'Passenger Auto C&amp;T'!$B$45:$L$80,6,FALSE),VLOOKUP(Table7[[#This Row],[Column1]],'Passenger Auto C&amp;T'!$B$45:$L$80,7,FALSE),VLOOKUP(Table7[[#This Row],[Column1]],'Passenger Auto C&amp;T'!$B$45:$L$80,8,FALSE)))</f>
        <v>0</v>
      </c>
      <c r="AK16" s="594">
        <f>IF(B16=0,0,VLOOKUP(Table7[[#This Row],[Column1]],'Passenger Auto C&amp;T'!$B$45:$L$80,10,FALSE))</f>
        <v>0</v>
      </c>
      <c r="AL16" s="592">
        <f>Table7[[#This Row],[Column4]]*Table7[[#This Row],[Column7]]*0.00220462</f>
        <v>0</v>
      </c>
      <c r="AM16" s="593">
        <f>Table7[[#This Row],[Column4]]*Table7[[#This Row],[Column8]]*0.00220462</f>
        <v>0</v>
      </c>
      <c r="AN16" s="593">
        <f>Table7[[#This Row],[Column4]]*Table7[[#This Row],[Column9]]*0.00220462</f>
        <v>0</v>
      </c>
      <c r="AO16" s="595">
        <f>Table7[[#This Row],[Column4]]*Table7[[#This Row],[Column10]]*0.00220462</f>
        <v>0</v>
      </c>
      <c r="AP16" s="592">
        <f>IF(B16=0,0,Table7[[#This Row],[Column6]]-Table7[[#This Row],[Total Transportation GHG Emissions 
(MTCO2e)]])</f>
        <v>0</v>
      </c>
      <c r="AQ16" s="593">
        <f>IF(B16=0,0,Table7[[#This Row],[Column11]]-Table7[[#This Row],[Total ROG Emissions 
(lbs)]])</f>
        <v>0</v>
      </c>
      <c r="AR16" s="593">
        <f>IF(B16=0,0,Table7[[#This Row],[Column12]]-Table7[[#This Row],[Total NOx Emissions 
(lbs)]])</f>
        <v>0</v>
      </c>
      <c r="AS16" s="593">
        <f>IF(B16=0,0,Table7[[#This Row],[Column13]]-Table7[[#This Row],[Total PM2.5 Emissions 
(lbs)]])</f>
        <v>0</v>
      </c>
      <c r="AT16" s="596">
        <f>IF(B16=0,0,Table7[[#This Row],[Column14]]-Table7[[#This Row],[Total Diesel PM Emissions 
(lbs)]])</f>
        <v>0</v>
      </c>
      <c r="AU16" s="588">
        <f>IF(B16=0,0,Table7[[#This Row],[Column42]]-Table7[[#This Row],[Fuel Use 
(gal)]])</f>
        <v>0</v>
      </c>
      <c r="AV16" s="597">
        <f>IF(B16=0,0,Table7[[#This Row],[Column43]]-Table7[[#This Row],[Fuel Cost ($)]])</f>
        <v>0</v>
      </c>
    </row>
    <row r="17" spans="2:48" s="2" customFormat="1" ht="15.5" x14ac:dyDescent="0.35">
      <c r="B17" s="588">
        <f>'Interim Water Delivery Inputs'!D24</f>
        <v>0</v>
      </c>
      <c r="C17" s="580">
        <f>'Interim Water Delivery Inputs'!F24</f>
        <v>0</v>
      </c>
      <c r="D17" s="580">
        <f>'Interim Water Delivery Inputs'!H24</f>
        <v>0</v>
      </c>
      <c r="E17" s="581">
        <f>IF('Interim Water Delivery Inputs'!B24="",0,(IF('Interim Water Delivery Inputs'!J24="",(Defaults!$H$15*Table7[[#This Row],[Number of Identical Vehicles]]),'Interim Water Delivery Inputs'!J24)))</f>
        <v>0</v>
      </c>
      <c r="F17" s="581">
        <f>'Interim Water Delivery Inputs'!L24</f>
        <v>0</v>
      </c>
      <c r="G17" s="582" t="str">
        <f>IF(AND(B17="Heavy Duty Truck",C17="Diesel"),'LCT - Heavy Duty'!$C$15,IF(AND(B17="Heavy Duty Truck",C17="Battery Electric"),'LCT - Heavy Duty'!$F$15,IF(AND(B17="Heavy Duty Truck",OR(C17="Natural Gas",C17="Propane")),'LCT - Heavy Duty'!$D$39,IF(AND(B17="Box Truck",C17="Gasoline"),'LCT - Light &amp; Light-Heavy Duty'!$C$15,IF(AND(B17="Box Truck",C17="Hybrid"),'LCT - Light &amp; Light-Heavy Duty'!$D$15,IF(AND(B17="Box Truck",C17="Plug-in Hybrid"),'LCT - Light &amp; Light-Heavy Duty'!$E$15,IF(AND(B17="Box Truck",C17="Battery Electric"),'LCT - Light &amp; Light-Heavy Duty'!$F$15,IF(AND(B17="Box Truck",C17="Fuel Cell Electric"),'LCT - Light &amp; Light-Heavy Duty'!$G$15,IF(AND(B17="Van",C17="Gasoline"),'LCT - Light &amp; Light-Heavy Duty'!$C$10,IF(AND(B17="Van",C17="Hybrid"),'LCT - Light &amp; Light-Heavy Duty'!$D$10,IF(AND(B17="Van",C17="Plug-in Hybrid"),'LCT - Light &amp; Light-Heavy Duty'!$E$10,IF(AND(B17="Van",'Interim Water Delivery Inputs'!F24="Battery Electric"),'LCT - Light &amp; Light-Heavy Duty'!$F$10,IF(AND(B17="Van",C17="Fuel Cell Electric"),'LCT - Light &amp; Light-Heavy Duty'!$G$10,IF(AND(B17="Sedan",C17="Gasoline"),'LCT - Light &amp; Light-Heavy Duty'!$C$23,IF(AND(B17="Sedan",C17="Hybrid"),'LCT - Light &amp; Light-Heavy Duty'!$D$23,IF(AND(B17="Sedan",C17="Plug-in Hybrid"),'LCT - Light &amp; Light-Heavy Duty'!$D$23,IF(AND(B17="Sedan",'Interim Water Delivery Inputs'!F24="Battery Electric"),'LCT - Light &amp; Light-Heavy Duty'!$E$23,IF(AND(B17="Sedan",C17="Fuel Cell Electric"),'LCT - Light &amp; Light-Heavy Duty'!$F$23,""))))))))))))))))))</f>
        <v/>
      </c>
      <c r="H17" s="582" t="str">
        <f>IFERROR(((Table7[[#This Row],[GHG Emission Factor 
(g CO2e/mi)]]*Table7[[#This Row],[Total Annual VMT 
(Miles/Year)]])*1/1000000),"")</f>
        <v/>
      </c>
      <c r="I17" s="582" t="str">
        <f>IFERROR(Table7[[#This Row],[Annual Transportation GHG Emissions 
(MTCO2e/Year)]]*Table7[[#This Row],[Project Life
(Years)]],"")</f>
        <v/>
      </c>
      <c r="J17" s="582" t="str">
        <f>IF(AND(B17="Heavy Duty Truck",C17="Diesel"),'LCT - Heavy Duty'!$C$16,IF(AND(B17="Heavy Duty Truck",C17="Battery Electric"),'LCT - Heavy Duty'!$F$16,IF(AND(B17="Heavy Duty Truck",OR(C17="Natural Gas",C17="Propane")),'LCT - Heavy Duty'!$D$40,IF(AND(B17="Box Truck",C17="Gasoline"),'LCT - Light &amp; Light-Heavy Duty'!$C$16,IF(AND(B17="Box Truck",C17="Hybrid"),'LCT - Light &amp; Light-Heavy Duty'!$D$16,IF(AND(B17="Box Truck",C17="Plug-in Hybrid"),'LCT - Light &amp; Light-Heavy Duty'!$E$16,IF(AND(B17="Box Truck",C17="Battery Electric"),'LCT - Light &amp; Light-Heavy Duty'!$F$16,IF(AND(B17="Box Truck",C17="Fuel Cell Electric"),'LCT - Light &amp; Light-Heavy Duty'!$G$16,IF(AND(B17="Van",C17="Gasoline"),'LCT - Light &amp; Light-Heavy Duty'!$C$11,IF(AND(B17="Van",C17="Hybrid"),'LCT - Light &amp; Light-Heavy Duty'!$D$11,IF(AND(B17="Van",C17="Plug-in Hybrid"),'LCT - Light &amp; Light-Heavy Duty'!$E$11,IF(AND(B17="Van",'Interim Water Delivery Inputs'!F24="Battery Electric"),'LCT - Light &amp; Light-Heavy Duty'!$F$11,IF(AND(B17="Van",C17="Fuel Cell Electric"),'LCT - Light &amp; Light-Heavy Duty'!$G$11,IF(AND(B17="Sedan",C17="Gasoline"),'LCT - Light &amp; Light-Heavy Duty'!$C$24,IF(AND(B17="Sedan",C17="Hybrid"),'LCT - Light &amp; Light-Heavy Duty'!$D$24,IF(AND(B17="Sedan",C17="Plug-in Hybrid"),'LCT - Light &amp; Light-Heavy Duty'!$D$24,IF(AND(B17="Sedan",'Interim Water Delivery Inputs'!F24="Battery Electric"),'LCT - Light &amp; Light-Heavy Duty'!$E$24,IF(AND(B17="Sedan",C17="Fuel Cell Electric"),'LCT - Light &amp; Light-Heavy Duty'!$F$24,""))))))))))))))))))</f>
        <v/>
      </c>
      <c r="K17" s="582" t="str">
        <f>IFERROR(((Table7[[#This Row],[ROG Emission Factor
(g/mi)]]*Table7[[#This Row],[Total Annual VMT 
(Miles/Year)]])*1/454),"")</f>
        <v/>
      </c>
      <c r="L17" s="174" t="str">
        <f>IFERROR((Table7[[#This Row],[Annual ROG Emissions 
(lbs/year)]]*Table7[[#This Row],[Project Life
(Years)]]),"")</f>
        <v/>
      </c>
      <c r="M17" s="582" t="str">
        <f>IF(AND(B17="Heavy Duty Truck",C17="Diesel"),'LCT - Heavy Duty'!$C$17,IF(AND(B17="Heavy Duty Truck",C17="Battery Electric"),'LCT - Heavy Duty'!$F$17,IF(AND(B17="Heavy Duty Truck",OR(C17="Natural Gas",C17="Propane")),'LCT - Heavy Duty'!$D$41,IF(AND(B17="Box Truck",C17="Gasoline"),'LCT - Light &amp; Light-Heavy Duty'!$C$17,IF(AND(B17="Box Truck",C17="Hybrid"),'LCT - Light &amp; Light-Heavy Duty'!$D$17,IF(AND(B17="Box Truck",C17="Plug-in Hybrid"),'LCT - Light &amp; Light-Heavy Duty'!$E$17,IF(AND(B17="Box Truck",C17="Battery Electric"),'LCT - Light &amp; Light-Heavy Duty'!$F$17,IF(AND(B17="Box Truck",C17="Fuel Cell Electric"),'LCT - Light &amp; Light-Heavy Duty'!$G$17,IF(AND(B17="Van",C17="Gasoline"),'LCT - Light &amp; Light-Heavy Duty'!$C$12,IF(AND(B17="Van",C17="Hybrid"),'LCT - Light &amp; Light-Heavy Duty'!$D$12,IF(AND(B17="Van",C17="Plug-in Hybrid"),'LCT - Light &amp; Light-Heavy Duty'!$E$12,IF(AND(B17="Van",'Interim Water Delivery Inputs'!F24="Battery Electric"),'LCT - Light &amp; Light-Heavy Duty'!$F$12,IF(AND(B17="Van",C17="Fuel Cell Electric"),'LCT - Light &amp; Light-Heavy Duty'!$G$12,IF(AND(B17="Sedan",C17="Gasoline"),'LCT - Light &amp; Light-Heavy Duty'!$C$25,IF(AND(B17="Sedan",C17="Hybrid"),'LCT - Light &amp; Light-Heavy Duty'!$D$25,IF(AND(B17="Sedan",C17="Plug-in Hybrid"),'LCT - Light &amp; Light-Heavy Duty'!$D$25,IF(AND(B17="Sedan",'Interim Water Delivery Inputs'!F24="Battery Electric"),'LCT - Light &amp; Light-Heavy Duty'!$E$25,IF(AND(B17="Sedan",C17="Fuel Cell Electric"),'LCT - Light &amp; Light-Heavy Duty'!$F$25,""))))))))))))))))))</f>
        <v/>
      </c>
      <c r="N17" s="174" t="str">
        <f>IFERROR(((Table7[[#This Row],[NOx Emission Factor
(g/mi)]]*Table7[[#This Row],[Total Annual VMT 
(Miles/Year)]])*1/454),"")</f>
        <v/>
      </c>
      <c r="O17" s="174" t="str">
        <f>IFERROR((Table7[[#This Row],[Annual NOx Emissions 
(lbs/year)]]*Table7[[#This Row],[Project Life
(Years)]]),"")</f>
        <v/>
      </c>
      <c r="P17" s="174" t="str">
        <f>IF(AND(B17="Heavy Duty Truck",C17="Diesel"),'LCT - Heavy Duty'!$C$18,IF(AND(B17="Heavy Duty Truck",C17="Battery Electric"),'LCT - Heavy Duty'!$F$18,IF(AND(B17="Heavy Duty Truck",OR(C17="Natural Gas",C17="Propane")),'LCT - Heavy Duty'!$D$42,IF(AND(B17="Box Truck",C17="Gasoline"),'LCT - Light &amp; Light-Heavy Duty'!$C$18,IF(AND(B17="Box Truck",C17="Hybrid"),'LCT - Light &amp; Light-Heavy Duty'!$D$18,IF(AND(B17="Box Truck",C17="Plug-in Hybrid"),'LCT - Light &amp; Light-Heavy Duty'!$E$18,IF(AND(B17="Box Truck",C17="Battery Electric"),'LCT - Light &amp; Light-Heavy Duty'!$F$18,IF(AND(B17="Box Truck",C17="Fuel Cell Electric"),'LCT - Light &amp; Light-Heavy Duty'!$G$18,IF(AND(B17="Van",C17="Gasoline"),'LCT - Light &amp; Light-Heavy Duty'!$C$13,IF(AND(B17="Van",C17="Hybrid"),'LCT - Light &amp; Light-Heavy Duty'!$D$13,IF(AND(B17="Van",C17="Plug-in Hybrid"),'LCT - Light &amp; Light-Heavy Duty'!$E$13,IF(AND(B17="Van",'Interim Water Delivery Inputs'!F24="Battery Electric"),'LCT - Light &amp; Light-Heavy Duty'!$F$13,IF(AND(B17="Van",C17="Fuel Cell Electric"),'LCT - Light &amp; Light-Heavy Duty'!$G$13,IF(AND(B17="Sedan",C17="Gasoline"),'LCT - Light &amp; Light-Heavy Duty'!$C$26,IF(AND(B17="Sedan",C17="Hybrid"),'LCT - Light &amp; Light-Heavy Duty'!$D$26,IF(AND(B17="Sedan",C17="Plug-in Hybrid"),'LCT - Light &amp; Light-Heavy Duty'!$D$26,IF(AND(B17="Sedan",'Interim Water Delivery Inputs'!F24="Battery Electric"),'LCT - Light &amp; Light-Heavy Duty'!$E$26,IF(AND(B17="Sedan",C17="Fuel Cell Electric"),'LCT - Light &amp; Light-Heavy Duty'!$F$26,""))))))))))))))))))</f>
        <v/>
      </c>
      <c r="Q17" s="174" t="str">
        <f>IFERROR(((Table7[[#This Row],[PM2.5 Emission Factor
(g/mi)]]*Table7[[#This Row],[Total Annual VMT 
(Miles/Year)]])*1/454),"")</f>
        <v/>
      </c>
      <c r="R17" s="174" t="str">
        <f>IFERROR((Table7[[#This Row],[Annual PM2.5 Emissions 
(lbs/year)]]*Table7[[#This Row],[Project Life
(Years)]]),"")</f>
        <v/>
      </c>
      <c r="S17" s="174" t="str">
        <f>IF(AND(B17="Heavy Duty Truck",C17="Diesel"),'LCT - Heavy Duty'!$C$19,IF(AND(B17="Heavy Duty Truck",C17="Battery Electric"),'LCT - Heavy Duty'!$F$19,IF(AND(B17="Heavy Duty Truck",OR(C17="Natural Gas",C17="Propane")),'LCT - Heavy Duty'!$D$43,IF(AND(B17="Box Truck",C17="Gasoline"),'LCT - Light &amp; Light-Heavy Duty'!$C$19,IF(AND(B17="Box Truck",C17="Hybrid"),'LCT - Light &amp; Light-Heavy Duty'!$D$19,IF(AND(B17="Box Truck",C17="Plug-in Hybrid"),'LCT - Light &amp; Light-Heavy Duty'!$E$19,IF(AND(B17="Box Truck",C17="Battery Electric"),'LCT - Light &amp; Light-Heavy Duty'!$F$19,IF(AND(B17="Box Truck",C17="Fuel Cell Electric"),'LCT - Light &amp; Light-Heavy Duty'!$G$19,IF(AND(B17="Van",C17="Gasoline"),'LCT - Light &amp; Light-Heavy Duty'!$C$14,IF(AND(B17="Van",C17="Hybrid"),'LCT - Light &amp; Light-Heavy Duty'!$D$14,IF(AND(B17="Van",C17="Plug-in Hybrid"),'LCT - Light &amp; Light-Heavy Duty'!$E$14,IF(AND(B17="Van",'Interim Water Delivery Inputs'!F24="Battery Electric"),'LCT - Light &amp; Light-Heavy Duty'!$F$14,IF(AND(B17="Van",C17="Fuel Cell Electric"),'LCT - Light &amp; Light-Heavy Duty'!$G$14,IF(AND(B17="Sedan",C17="Gasoline"),'LCT - Light &amp; Light-Heavy Duty'!$C$27,IF(AND(B17="Sedan",C17="Hybrid"),'LCT - Light &amp; Light-Heavy Duty'!$D$27,IF(AND(B17="Sedan",C17="Plug-in Hybrid"),'LCT - Light &amp; Light-Heavy Duty'!$D$27,IF(AND(B17="Sedan",'Interim Water Delivery Inputs'!F24="Battery Electric"),'LCT - Light &amp; Light-Heavy Duty'!$E$27,IF(AND(B17="Sedan",C17="Fuel Cell Electric"),'LCT - Light &amp; Light-Heavy Duty'!$F$27,""))))))))))))))))))</f>
        <v/>
      </c>
      <c r="T17" s="174" t="str">
        <f>IFERROR(((Table7[[#This Row],[Diesel PM Emission Factor
(g/mi)]]*Table7[[#This Row],[Total Annual VMT 
(Miles/Year)]])*1/454),"")</f>
        <v/>
      </c>
      <c r="U17" s="186" t="str">
        <f>IFERROR((Table7[[#This Row],[Annual Diesel PM Emissions 
(lbs/year)]]*Table7[[#This Row],[Project Life
(Years)]]),"")</f>
        <v/>
      </c>
      <c r="V17" s="186" t="str">
        <f>IF(Table7[[#This Row],[Fuel Type]]="Diesel",Defaults!$C$42,IF(Table7[[#This Row],[Fuel Type]]="Natural Gas",Defaults!$C$42*'Fuel-Specific GHG'!C44,IF(Table7[[#This Row],[Fuel Type]]="Propane",Defaults!$C$42*'Fuel-Specific GHG'!C44,IF(AND(Table7[[#This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7"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7" s="583">
        <f>IF(OR(Table7[[#This Row],[Fuel Type]]="Diesel",Table7[[#This Row],[Fuel Type]]="Gasoline",Table7[[#This Row],[Fuel Type]]="Hybrid",Table7[[#This Row],[Fuel Type]]="Plug-in Hybrid",Table7[[#This Row],[Fuel Type]]="Natural Gas",Table7[[#This Row],[Fuel Type]]="Propane"),Table7[[#This Row],[Fuel Use 
(gal, Kwh, or kg)]],0)</f>
        <v>0</v>
      </c>
      <c r="Y17"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7" s="26">
        <f>IF(B17=0,0,IF('Project Info'!$C$33="",2023,YEAR('Project Info'!$C$33)))</f>
        <v>0</v>
      </c>
      <c r="AA17" s="193">
        <f>'Interim Water Delivery Inputs'!N24*Table7[[#This Row],[Project Life
(Years)]]</f>
        <v>0</v>
      </c>
      <c r="AB17" s="193">
        <f>Table7[[#This Row],[Column2]]*Defaults!$C$59*12</f>
        <v>0</v>
      </c>
      <c r="AC17" s="193">
        <f>Table7[[#This Row],[Column3]]*Defaults!$C$58</f>
        <v>0</v>
      </c>
      <c r="AD17" s="193">
        <f>IF(B17=0,0,Table7[[#This Row],[Column4]]*VLOOKUP(Table7[[#This Row],[Column1]],'Passenger Auto C&amp;T'!$B$45:$D$80,3,FALSE))</f>
        <v>0</v>
      </c>
      <c r="AE17" s="589">
        <f>Table7[[#This Row],[Column42]]*'Fuel Prices'!$C$11</f>
        <v>0</v>
      </c>
      <c r="AF17" s="590">
        <f>IF(B17=0,0,VLOOKUP(Table7[[#This Row],[Column1]],'Passenger Auto GHG'!$B$46:$D$81,3,FALSE))</f>
        <v>0</v>
      </c>
      <c r="AG17" s="591">
        <f>Table7[[#This Row],[Column5]]*Table7[[#This Row],[Column4]]/1000000</f>
        <v>0</v>
      </c>
      <c r="AH17" s="592">
        <f>IF(B17=0,0,VLOOKUP(Table7[[#This Row],[Column1]],'Passenger Auto C&amp;T'!$B$45:$L$80,4,FALSE))</f>
        <v>0</v>
      </c>
      <c r="AI17" s="593">
        <f>IF(B17=0,0,VLOOKUP(Table7[[#This Row],[Column1]],'Passenger Auto C&amp;T'!$B$45:$L$80,5,FALSE))</f>
        <v>0</v>
      </c>
      <c r="AJ17" s="593">
        <f>IF(B17=0,0,SUM(VLOOKUP(Table7[[#This Row],[Column1]],'Passenger Auto C&amp;T'!$B$45:$L$80,6,FALSE),VLOOKUP(Table7[[#This Row],[Column1]],'Passenger Auto C&amp;T'!$B$45:$L$80,7,FALSE),VLOOKUP(Table7[[#This Row],[Column1]],'Passenger Auto C&amp;T'!$B$45:$L$80,8,FALSE)))</f>
        <v>0</v>
      </c>
      <c r="AK17" s="594">
        <f>IF(B17=0,0,VLOOKUP(Table7[[#This Row],[Column1]],'Passenger Auto C&amp;T'!$B$45:$L$80,10,FALSE))</f>
        <v>0</v>
      </c>
      <c r="AL17" s="592">
        <f>Table7[[#This Row],[Column4]]*Table7[[#This Row],[Column7]]*0.00220462</f>
        <v>0</v>
      </c>
      <c r="AM17" s="593">
        <f>Table7[[#This Row],[Column4]]*Table7[[#This Row],[Column8]]*0.00220462</f>
        <v>0</v>
      </c>
      <c r="AN17" s="593">
        <f>Table7[[#This Row],[Column4]]*Table7[[#This Row],[Column9]]*0.00220462</f>
        <v>0</v>
      </c>
      <c r="AO17" s="595">
        <f>Table7[[#This Row],[Column4]]*Table7[[#This Row],[Column10]]*0.00220462</f>
        <v>0</v>
      </c>
      <c r="AP17" s="592">
        <f>IF(B17=0,0,Table7[[#This Row],[Column6]]-Table7[[#This Row],[Total Transportation GHG Emissions 
(MTCO2e)]])</f>
        <v>0</v>
      </c>
      <c r="AQ17" s="593">
        <f>IF(B17=0,0,Table7[[#This Row],[Column11]]-Table7[[#This Row],[Total ROG Emissions 
(lbs)]])</f>
        <v>0</v>
      </c>
      <c r="AR17" s="593">
        <f>IF(B17=0,0,Table7[[#This Row],[Column12]]-Table7[[#This Row],[Total NOx Emissions 
(lbs)]])</f>
        <v>0</v>
      </c>
      <c r="AS17" s="593">
        <f>IF(B17=0,0,Table7[[#This Row],[Column13]]-Table7[[#This Row],[Total PM2.5 Emissions 
(lbs)]])</f>
        <v>0</v>
      </c>
      <c r="AT17" s="596">
        <f>IF(B17=0,0,Table7[[#This Row],[Column14]]-Table7[[#This Row],[Total Diesel PM Emissions 
(lbs)]])</f>
        <v>0</v>
      </c>
      <c r="AU17" s="588">
        <f>IF(B17=0,0,Table7[[#This Row],[Column42]]-Table7[[#This Row],[Fuel Use 
(gal)]])</f>
        <v>0</v>
      </c>
      <c r="AV17" s="597">
        <f>IF(B17=0,0,Table7[[#This Row],[Column43]]-Table7[[#This Row],[Fuel Cost ($)]])</f>
        <v>0</v>
      </c>
    </row>
    <row r="18" spans="2:48" s="2" customFormat="1" ht="15.5" x14ac:dyDescent="0.35">
      <c r="B18" s="588">
        <f>'Interim Water Delivery Inputs'!D25</f>
        <v>0</v>
      </c>
      <c r="C18" s="580">
        <f>'Interim Water Delivery Inputs'!F25</f>
        <v>0</v>
      </c>
      <c r="D18" s="580">
        <f>'Interim Water Delivery Inputs'!H25</f>
        <v>0</v>
      </c>
      <c r="E18" s="581">
        <f>IF('Interim Water Delivery Inputs'!B25="",0,(IF('Interim Water Delivery Inputs'!J25="",(Defaults!$H$15*Table7[[#This Row],[Number of Identical Vehicles]]),'Interim Water Delivery Inputs'!J25)))</f>
        <v>0</v>
      </c>
      <c r="F18" s="581">
        <f>'Interim Water Delivery Inputs'!L25</f>
        <v>0</v>
      </c>
      <c r="G18" s="582" t="str">
        <f>IF(AND(B18="Heavy Duty Truck",C18="Diesel"),'LCT - Heavy Duty'!$C$15,IF(AND(B18="Heavy Duty Truck",C18="Battery Electric"),'LCT - Heavy Duty'!$F$15,IF(AND(B18="Heavy Duty Truck",OR(C18="Natural Gas",C18="Propane")),'LCT - Heavy Duty'!$D$39,IF(AND(B18="Box Truck",C18="Gasoline"),'LCT - Light &amp; Light-Heavy Duty'!$C$15,IF(AND(B18="Box Truck",C18="Hybrid"),'LCT - Light &amp; Light-Heavy Duty'!$D$15,IF(AND(B18="Box Truck",C18="Plug-in Hybrid"),'LCT - Light &amp; Light-Heavy Duty'!$E$15,IF(AND(B18="Box Truck",C18="Battery Electric"),'LCT - Light &amp; Light-Heavy Duty'!$F$15,IF(AND(B18="Box Truck",C18="Fuel Cell Electric"),'LCT - Light &amp; Light-Heavy Duty'!$G$15,IF(AND(B18="Van",C18="Gasoline"),'LCT - Light &amp; Light-Heavy Duty'!$C$10,IF(AND(B18="Van",C18="Hybrid"),'LCT - Light &amp; Light-Heavy Duty'!$D$10,IF(AND(B18="Van",C18="Plug-in Hybrid"),'LCT - Light &amp; Light-Heavy Duty'!$E$10,IF(AND(B18="Van",'Interim Water Delivery Inputs'!F25="Battery Electric"),'LCT - Light &amp; Light-Heavy Duty'!$F$10,IF(AND(B18="Van",C18="Fuel Cell Electric"),'LCT - Light &amp; Light-Heavy Duty'!$G$10,IF(AND(B18="Sedan",C18="Gasoline"),'LCT - Light &amp; Light-Heavy Duty'!$C$23,IF(AND(B18="Sedan",C18="Hybrid"),'LCT - Light &amp; Light-Heavy Duty'!$D$23,IF(AND(B18="Sedan",C18="Plug-in Hybrid"),'LCT - Light &amp; Light-Heavy Duty'!$D$23,IF(AND(B18="Sedan",'Interim Water Delivery Inputs'!F25="Battery Electric"),'LCT - Light &amp; Light-Heavy Duty'!$E$23,IF(AND(B18="Sedan",C18="Fuel Cell Electric"),'LCT - Light &amp; Light-Heavy Duty'!$F$23,""))))))))))))))))))</f>
        <v/>
      </c>
      <c r="H18" s="582" t="str">
        <f>IFERROR(((Table7[[#This Row],[GHG Emission Factor 
(g CO2e/mi)]]*Table7[[#This Row],[Total Annual VMT 
(Miles/Year)]])*1/1000000),"")</f>
        <v/>
      </c>
      <c r="I18" s="582" t="str">
        <f>IFERROR(Table7[[#This Row],[Annual Transportation GHG Emissions 
(MTCO2e/Year)]]*Table7[[#This Row],[Project Life
(Years)]],"")</f>
        <v/>
      </c>
      <c r="J18" s="582" t="str">
        <f>IF(AND(B18="Heavy Duty Truck",C18="Diesel"),'LCT - Heavy Duty'!$C$16,IF(AND(B18="Heavy Duty Truck",C18="Battery Electric"),'LCT - Heavy Duty'!$F$16,IF(AND(B18="Heavy Duty Truck",OR(C18="Natural Gas",C18="Propane")),'LCT - Heavy Duty'!$D$40,IF(AND(B18="Box Truck",C18="Gasoline"),'LCT - Light &amp; Light-Heavy Duty'!$C$16,IF(AND(B18="Box Truck",C18="Hybrid"),'LCT - Light &amp; Light-Heavy Duty'!$D$16,IF(AND(B18="Box Truck",C18="Plug-in Hybrid"),'LCT - Light &amp; Light-Heavy Duty'!$E$16,IF(AND(B18="Box Truck",C18="Battery Electric"),'LCT - Light &amp; Light-Heavy Duty'!$F$16,IF(AND(B18="Box Truck",C18="Fuel Cell Electric"),'LCT - Light &amp; Light-Heavy Duty'!$G$16,IF(AND(B18="Van",C18="Gasoline"),'LCT - Light &amp; Light-Heavy Duty'!$C$11,IF(AND(B18="Van",C18="Hybrid"),'LCT - Light &amp; Light-Heavy Duty'!$D$11,IF(AND(B18="Van",C18="Plug-in Hybrid"),'LCT - Light &amp; Light-Heavy Duty'!$E$11,IF(AND(B18="Van",'Interim Water Delivery Inputs'!F25="Battery Electric"),'LCT - Light &amp; Light-Heavy Duty'!$F$11,IF(AND(B18="Van",C18="Fuel Cell Electric"),'LCT - Light &amp; Light-Heavy Duty'!$G$11,IF(AND(B18="Sedan",C18="Gasoline"),'LCT - Light &amp; Light-Heavy Duty'!$C$24,IF(AND(B18="Sedan",C18="Hybrid"),'LCT - Light &amp; Light-Heavy Duty'!$D$24,IF(AND(B18="Sedan",C18="Plug-in Hybrid"),'LCT - Light &amp; Light-Heavy Duty'!$D$24,IF(AND(B18="Sedan",'Interim Water Delivery Inputs'!F25="Battery Electric"),'LCT - Light &amp; Light-Heavy Duty'!$E$24,IF(AND(B18="Sedan",C18="Fuel Cell Electric"),'LCT - Light &amp; Light-Heavy Duty'!$F$24,""))))))))))))))))))</f>
        <v/>
      </c>
      <c r="K18" s="582" t="str">
        <f>IFERROR(((Table7[[#This Row],[ROG Emission Factor
(g/mi)]]*Table7[[#This Row],[Total Annual VMT 
(Miles/Year)]])*1/454),"")</f>
        <v/>
      </c>
      <c r="L18" s="174" t="str">
        <f>IFERROR((Table7[[#This Row],[Annual ROG Emissions 
(lbs/year)]]*Table7[[#This Row],[Project Life
(Years)]]),"")</f>
        <v/>
      </c>
      <c r="M18" s="582" t="str">
        <f>IF(AND(B18="Heavy Duty Truck",C18="Diesel"),'LCT - Heavy Duty'!$C$17,IF(AND(B18="Heavy Duty Truck",C18="Battery Electric"),'LCT - Heavy Duty'!$F$17,IF(AND(B18="Heavy Duty Truck",OR(C18="Natural Gas",C18="Propane")),'LCT - Heavy Duty'!$D$41,IF(AND(B18="Box Truck",C18="Gasoline"),'LCT - Light &amp; Light-Heavy Duty'!$C$17,IF(AND(B18="Box Truck",C18="Hybrid"),'LCT - Light &amp; Light-Heavy Duty'!$D$17,IF(AND(B18="Box Truck",C18="Plug-in Hybrid"),'LCT - Light &amp; Light-Heavy Duty'!$E$17,IF(AND(B18="Box Truck",C18="Battery Electric"),'LCT - Light &amp; Light-Heavy Duty'!$F$17,IF(AND(B18="Box Truck",C18="Fuel Cell Electric"),'LCT - Light &amp; Light-Heavy Duty'!$G$17,IF(AND(B18="Van",C18="Gasoline"),'LCT - Light &amp; Light-Heavy Duty'!$C$12,IF(AND(B18="Van",C18="Hybrid"),'LCT - Light &amp; Light-Heavy Duty'!$D$12,IF(AND(B18="Van",C18="Plug-in Hybrid"),'LCT - Light &amp; Light-Heavy Duty'!$E$12,IF(AND(B18="Van",'Interim Water Delivery Inputs'!F25="Battery Electric"),'LCT - Light &amp; Light-Heavy Duty'!$F$12,IF(AND(B18="Van",C18="Fuel Cell Electric"),'LCT - Light &amp; Light-Heavy Duty'!$G$12,IF(AND(B18="Sedan",C18="Gasoline"),'LCT - Light &amp; Light-Heavy Duty'!$C$25,IF(AND(B18="Sedan",C18="Hybrid"),'LCT - Light &amp; Light-Heavy Duty'!$D$25,IF(AND(B18="Sedan",C18="Plug-in Hybrid"),'LCT - Light &amp; Light-Heavy Duty'!$D$25,IF(AND(B18="Sedan",'Interim Water Delivery Inputs'!F25="Battery Electric"),'LCT - Light &amp; Light-Heavy Duty'!$E$25,IF(AND(B18="Sedan",C18="Fuel Cell Electric"),'LCT - Light &amp; Light-Heavy Duty'!$F$25,""))))))))))))))))))</f>
        <v/>
      </c>
      <c r="N18" s="174" t="str">
        <f>IFERROR(((Table7[[#This Row],[NOx Emission Factor
(g/mi)]]*Table7[[#This Row],[Total Annual VMT 
(Miles/Year)]])*1/454),"")</f>
        <v/>
      </c>
      <c r="O18" s="174" t="str">
        <f>IFERROR((Table7[[#This Row],[Annual NOx Emissions 
(lbs/year)]]*Table7[[#This Row],[Project Life
(Years)]]),"")</f>
        <v/>
      </c>
      <c r="P18" s="174" t="str">
        <f>IF(AND(B18="Heavy Duty Truck",C18="Diesel"),'LCT - Heavy Duty'!$C$18,IF(AND(B18="Heavy Duty Truck",C18="Battery Electric"),'LCT - Heavy Duty'!$F$18,IF(AND(B18="Heavy Duty Truck",OR(C18="Natural Gas",C18="Propane")),'LCT - Heavy Duty'!$D$42,IF(AND(B18="Box Truck",C18="Gasoline"),'LCT - Light &amp; Light-Heavy Duty'!$C$18,IF(AND(B18="Box Truck",C18="Hybrid"),'LCT - Light &amp; Light-Heavy Duty'!$D$18,IF(AND(B18="Box Truck",C18="Plug-in Hybrid"),'LCT - Light &amp; Light-Heavy Duty'!$E$18,IF(AND(B18="Box Truck",C18="Battery Electric"),'LCT - Light &amp; Light-Heavy Duty'!$F$18,IF(AND(B18="Box Truck",C18="Fuel Cell Electric"),'LCT - Light &amp; Light-Heavy Duty'!$G$18,IF(AND(B18="Van",C18="Gasoline"),'LCT - Light &amp; Light-Heavy Duty'!$C$13,IF(AND(B18="Van",C18="Hybrid"),'LCT - Light &amp; Light-Heavy Duty'!$D$13,IF(AND(B18="Van",C18="Plug-in Hybrid"),'LCT - Light &amp; Light-Heavy Duty'!$E$13,IF(AND(B18="Van",'Interim Water Delivery Inputs'!F25="Battery Electric"),'LCT - Light &amp; Light-Heavy Duty'!$F$13,IF(AND(B18="Van",C18="Fuel Cell Electric"),'LCT - Light &amp; Light-Heavy Duty'!$G$13,IF(AND(B18="Sedan",C18="Gasoline"),'LCT - Light &amp; Light-Heavy Duty'!$C$26,IF(AND(B18="Sedan",C18="Hybrid"),'LCT - Light &amp; Light-Heavy Duty'!$D$26,IF(AND(B18="Sedan",C18="Plug-in Hybrid"),'LCT - Light &amp; Light-Heavy Duty'!$D$26,IF(AND(B18="Sedan",'Interim Water Delivery Inputs'!F25="Battery Electric"),'LCT - Light &amp; Light-Heavy Duty'!$E$26,IF(AND(B18="Sedan",C18="Fuel Cell Electric"),'LCT - Light &amp; Light-Heavy Duty'!$F$26,""))))))))))))))))))</f>
        <v/>
      </c>
      <c r="Q18" s="174" t="str">
        <f>IFERROR(((Table7[[#This Row],[PM2.5 Emission Factor
(g/mi)]]*Table7[[#This Row],[Total Annual VMT 
(Miles/Year)]])*1/454),"")</f>
        <v/>
      </c>
      <c r="R18" s="174" t="str">
        <f>IFERROR((Table7[[#This Row],[Annual PM2.5 Emissions 
(lbs/year)]]*Table7[[#This Row],[Project Life
(Years)]]),"")</f>
        <v/>
      </c>
      <c r="S18" s="174" t="str">
        <f>IF(AND(B18="Heavy Duty Truck",C18="Diesel"),'LCT - Heavy Duty'!$C$19,IF(AND(B18="Heavy Duty Truck",C18="Battery Electric"),'LCT - Heavy Duty'!$F$19,IF(AND(B18="Heavy Duty Truck",OR(C18="Natural Gas",C18="Propane")),'LCT - Heavy Duty'!$D$43,IF(AND(B18="Box Truck",C18="Gasoline"),'LCT - Light &amp; Light-Heavy Duty'!$C$19,IF(AND(B18="Box Truck",C18="Hybrid"),'LCT - Light &amp; Light-Heavy Duty'!$D$19,IF(AND(B18="Box Truck",C18="Plug-in Hybrid"),'LCT - Light &amp; Light-Heavy Duty'!$E$19,IF(AND(B18="Box Truck",C18="Battery Electric"),'LCT - Light &amp; Light-Heavy Duty'!$F$19,IF(AND(B18="Box Truck",C18="Fuel Cell Electric"),'LCT - Light &amp; Light-Heavy Duty'!$G$19,IF(AND(B18="Van",C18="Gasoline"),'LCT - Light &amp; Light-Heavy Duty'!$C$14,IF(AND(B18="Van",C18="Hybrid"),'LCT - Light &amp; Light-Heavy Duty'!$D$14,IF(AND(B18="Van",C18="Plug-in Hybrid"),'LCT - Light &amp; Light-Heavy Duty'!$E$14,IF(AND(B18="Van",'Interim Water Delivery Inputs'!F25="Battery Electric"),'LCT - Light &amp; Light-Heavy Duty'!$F$14,IF(AND(B18="Van",C18="Fuel Cell Electric"),'LCT - Light &amp; Light-Heavy Duty'!$G$14,IF(AND(B18="Sedan",C18="Gasoline"),'LCT - Light &amp; Light-Heavy Duty'!$C$27,IF(AND(B18="Sedan",C18="Hybrid"),'LCT - Light &amp; Light-Heavy Duty'!$D$27,IF(AND(B18="Sedan",C18="Plug-in Hybrid"),'LCT - Light &amp; Light-Heavy Duty'!$D$27,IF(AND(B18="Sedan",'Interim Water Delivery Inputs'!F25="Battery Electric"),'LCT - Light &amp; Light-Heavy Duty'!$E$27,IF(AND(B18="Sedan",C18="Fuel Cell Electric"),'LCT - Light &amp; Light-Heavy Duty'!$F$27,""))))))))))))))))))</f>
        <v/>
      </c>
      <c r="T18" s="174" t="str">
        <f>IFERROR(((Table7[[#This Row],[Diesel PM Emission Factor
(g/mi)]]*Table7[[#This Row],[Total Annual VMT 
(Miles/Year)]])*1/454),"")</f>
        <v/>
      </c>
      <c r="U18" s="186" t="str">
        <f>IFERROR((Table7[[#This Row],[Annual Diesel PM Emissions 
(lbs/year)]]*Table7[[#This Row],[Project Life
(Years)]]),"")</f>
        <v/>
      </c>
      <c r="V18" s="186" t="str">
        <f>IF(Table7[[#This Row],[Fuel Type]]="Diesel",Defaults!$C$42,IF(Table7[[#This Row],[Fuel Type]]="Natural Gas",Defaults!$C$42*'Fuel-Specific GHG'!C45,IF(Table7[[#This Row],[Fuel Type]]="Propane",Defaults!$C$42*'Fuel-Specific GHG'!C45,IF(AND(Table7[[#This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8"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8" s="583">
        <f>IF(OR(Table7[[#This Row],[Fuel Type]]="Diesel",Table7[[#This Row],[Fuel Type]]="Gasoline",Table7[[#This Row],[Fuel Type]]="Hybrid",Table7[[#This Row],[Fuel Type]]="Plug-in Hybrid",Table7[[#This Row],[Fuel Type]]="Natural Gas",Table7[[#This Row],[Fuel Type]]="Propane"),Table7[[#This Row],[Fuel Use 
(gal, Kwh, or kg)]],0)</f>
        <v>0</v>
      </c>
      <c r="Y18"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8" s="26">
        <f>IF(B18=0,0,IF('Project Info'!$C$33="",2023,YEAR('Project Info'!$C$33)))</f>
        <v>0</v>
      </c>
      <c r="AA18" s="193">
        <f>'Interim Water Delivery Inputs'!N25*Table7[[#This Row],[Project Life
(Years)]]</f>
        <v>0</v>
      </c>
      <c r="AB18" s="193">
        <f>Table7[[#This Row],[Column2]]*Defaults!$C$59*12</f>
        <v>0</v>
      </c>
      <c r="AC18" s="193">
        <f>Table7[[#This Row],[Column3]]*Defaults!$C$58</f>
        <v>0</v>
      </c>
      <c r="AD18" s="193">
        <f>IF(B18=0,0,Table7[[#This Row],[Column4]]*VLOOKUP(Table7[[#This Row],[Column1]],'Passenger Auto C&amp;T'!$B$45:$D$80,3,FALSE))</f>
        <v>0</v>
      </c>
      <c r="AE18" s="589">
        <f>Table7[[#This Row],[Column42]]*'Fuel Prices'!$C$11</f>
        <v>0</v>
      </c>
      <c r="AF18" s="590">
        <f>IF(B18=0,0,VLOOKUP(Table7[[#This Row],[Column1]],'Passenger Auto GHG'!$B$46:$D$81,3,FALSE))</f>
        <v>0</v>
      </c>
      <c r="AG18" s="591">
        <f>Table7[[#This Row],[Column5]]*Table7[[#This Row],[Column4]]/1000000</f>
        <v>0</v>
      </c>
      <c r="AH18" s="592">
        <f>IF(B18=0,0,VLOOKUP(Table7[[#This Row],[Column1]],'Passenger Auto C&amp;T'!$B$45:$L$80,4,FALSE))</f>
        <v>0</v>
      </c>
      <c r="AI18" s="593">
        <f>IF(B18=0,0,VLOOKUP(Table7[[#This Row],[Column1]],'Passenger Auto C&amp;T'!$B$45:$L$80,5,FALSE))</f>
        <v>0</v>
      </c>
      <c r="AJ18" s="593">
        <f>IF(B18=0,0,SUM(VLOOKUP(Table7[[#This Row],[Column1]],'Passenger Auto C&amp;T'!$B$45:$L$80,6,FALSE),VLOOKUP(Table7[[#This Row],[Column1]],'Passenger Auto C&amp;T'!$B$45:$L$80,7,FALSE),VLOOKUP(Table7[[#This Row],[Column1]],'Passenger Auto C&amp;T'!$B$45:$L$80,8,FALSE)))</f>
        <v>0</v>
      </c>
      <c r="AK18" s="594">
        <f>IF(B18=0,0,VLOOKUP(Table7[[#This Row],[Column1]],'Passenger Auto C&amp;T'!$B$45:$L$80,10,FALSE))</f>
        <v>0</v>
      </c>
      <c r="AL18" s="592">
        <f>Table7[[#This Row],[Column4]]*Table7[[#This Row],[Column7]]*0.00220462</f>
        <v>0</v>
      </c>
      <c r="AM18" s="593">
        <f>Table7[[#This Row],[Column4]]*Table7[[#This Row],[Column8]]*0.00220462</f>
        <v>0</v>
      </c>
      <c r="AN18" s="593">
        <f>Table7[[#This Row],[Column4]]*Table7[[#This Row],[Column9]]*0.00220462</f>
        <v>0</v>
      </c>
      <c r="AO18" s="595">
        <f>Table7[[#This Row],[Column4]]*Table7[[#This Row],[Column10]]*0.00220462</f>
        <v>0</v>
      </c>
      <c r="AP18" s="592">
        <f>IF(B18=0,0,Table7[[#This Row],[Column6]]-Table7[[#This Row],[Total Transportation GHG Emissions 
(MTCO2e)]])</f>
        <v>0</v>
      </c>
      <c r="AQ18" s="593">
        <f>IF(B18=0,0,Table7[[#This Row],[Column11]]-Table7[[#This Row],[Total ROG Emissions 
(lbs)]])</f>
        <v>0</v>
      </c>
      <c r="AR18" s="593">
        <f>IF(B18=0,0,Table7[[#This Row],[Column12]]-Table7[[#This Row],[Total NOx Emissions 
(lbs)]])</f>
        <v>0</v>
      </c>
      <c r="AS18" s="593">
        <f>IF(B18=0,0,Table7[[#This Row],[Column13]]-Table7[[#This Row],[Total PM2.5 Emissions 
(lbs)]])</f>
        <v>0</v>
      </c>
      <c r="AT18" s="596">
        <f>IF(B18=0,0,Table7[[#This Row],[Column14]]-Table7[[#This Row],[Total Diesel PM Emissions 
(lbs)]])</f>
        <v>0</v>
      </c>
      <c r="AU18" s="588">
        <f>IF(B18=0,0,Table7[[#This Row],[Column42]]-Table7[[#This Row],[Fuel Use 
(gal)]])</f>
        <v>0</v>
      </c>
      <c r="AV18" s="597">
        <f>IF(B18=0,0,Table7[[#This Row],[Column43]]-Table7[[#This Row],[Fuel Cost ($)]])</f>
        <v>0</v>
      </c>
    </row>
    <row r="19" spans="2:48" s="2" customFormat="1" ht="15.5" x14ac:dyDescent="0.35">
      <c r="B19" s="588">
        <f>'Interim Water Delivery Inputs'!D26</f>
        <v>0</v>
      </c>
      <c r="C19" s="580">
        <f>'Interim Water Delivery Inputs'!F26</f>
        <v>0</v>
      </c>
      <c r="D19" s="580">
        <f>'Interim Water Delivery Inputs'!H26</f>
        <v>0</v>
      </c>
      <c r="E19" s="581">
        <f>IF('Interim Water Delivery Inputs'!B26="",0,(IF('Interim Water Delivery Inputs'!J26="",(Defaults!$H$15*Table7[[#This Row],[Number of Identical Vehicles]]),'Interim Water Delivery Inputs'!J26)))</f>
        <v>0</v>
      </c>
      <c r="F19" s="581">
        <f>'Interim Water Delivery Inputs'!L26</f>
        <v>0</v>
      </c>
      <c r="G19" s="582" t="str">
        <f>IF(AND(B19="Heavy Duty Truck",C19="Diesel"),'LCT - Heavy Duty'!$C$15,IF(AND(B19="Heavy Duty Truck",C19="Battery Electric"),'LCT - Heavy Duty'!$F$15,IF(AND(B19="Heavy Duty Truck",OR(C19="Natural Gas",C19="Propane")),'LCT - Heavy Duty'!$D$39,IF(AND(B19="Box Truck",C19="Gasoline"),'LCT - Light &amp; Light-Heavy Duty'!$C$15,IF(AND(B19="Box Truck",C19="Hybrid"),'LCT - Light &amp; Light-Heavy Duty'!$D$15,IF(AND(B19="Box Truck",C19="Plug-in Hybrid"),'LCT - Light &amp; Light-Heavy Duty'!$E$15,IF(AND(B19="Box Truck",C19="Battery Electric"),'LCT - Light &amp; Light-Heavy Duty'!$F$15,IF(AND(B19="Box Truck",C19="Fuel Cell Electric"),'LCT - Light &amp; Light-Heavy Duty'!$G$15,IF(AND(B19="Van",C19="Gasoline"),'LCT - Light &amp; Light-Heavy Duty'!$C$10,IF(AND(B19="Van",C19="Hybrid"),'LCT - Light &amp; Light-Heavy Duty'!$D$10,IF(AND(B19="Van",C19="Plug-in Hybrid"),'LCT - Light &amp; Light-Heavy Duty'!$E$10,IF(AND(B19="Van",'Interim Water Delivery Inputs'!F26="Battery Electric"),'LCT - Light &amp; Light-Heavy Duty'!$F$10,IF(AND(B19="Van",C19="Fuel Cell Electric"),'LCT - Light &amp; Light-Heavy Duty'!$G$10,IF(AND(B19="Sedan",C19="Gasoline"),'LCT - Light &amp; Light-Heavy Duty'!$C$23,IF(AND(B19="Sedan",C19="Hybrid"),'LCT - Light &amp; Light-Heavy Duty'!$D$23,IF(AND(B19="Sedan",C19="Plug-in Hybrid"),'LCT - Light &amp; Light-Heavy Duty'!$D$23,IF(AND(B19="Sedan",'Interim Water Delivery Inputs'!F26="Battery Electric"),'LCT - Light &amp; Light-Heavy Duty'!$E$23,IF(AND(B19="Sedan",C19="Fuel Cell Electric"),'LCT - Light &amp; Light-Heavy Duty'!$F$23,""))))))))))))))))))</f>
        <v/>
      </c>
      <c r="H19" s="582" t="str">
        <f>IFERROR(((Table7[[#This Row],[GHG Emission Factor 
(g CO2e/mi)]]*Table7[[#This Row],[Total Annual VMT 
(Miles/Year)]])*1/1000000),"")</f>
        <v/>
      </c>
      <c r="I19" s="582" t="str">
        <f>IFERROR(Table7[[#This Row],[Annual Transportation GHG Emissions 
(MTCO2e/Year)]]*Table7[[#This Row],[Project Life
(Years)]],"")</f>
        <v/>
      </c>
      <c r="J19" s="582" t="str">
        <f>IF(AND(B19="Heavy Duty Truck",C19="Diesel"),'LCT - Heavy Duty'!$C$16,IF(AND(B19="Heavy Duty Truck",C19="Battery Electric"),'LCT - Heavy Duty'!$F$16,IF(AND(B19="Heavy Duty Truck",OR(C19="Natural Gas",C19="Propane")),'LCT - Heavy Duty'!$D$40,IF(AND(B19="Box Truck",C19="Gasoline"),'LCT - Light &amp; Light-Heavy Duty'!$C$16,IF(AND(B19="Box Truck",C19="Hybrid"),'LCT - Light &amp; Light-Heavy Duty'!$D$16,IF(AND(B19="Box Truck",C19="Plug-in Hybrid"),'LCT - Light &amp; Light-Heavy Duty'!$E$16,IF(AND(B19="Box Truck",C19="Battery Electric"),'LCT - Light &amp; Light-Heavy Duty'!$F$16,IF(AND(B19="Box Truck",C19="Fuel Cell Electric"),'LCT - Light &amp; Light-Heavy Duty'!$G$16,IF(AND(B19="Van",C19="Gasoline"),'LCT - Light &amp; Light-Heavy Duty'!$C$11,IF(AND(B19="Van",C19="Hybrid"),'LCT - Light &amp; Light-Heavy Duty'!$D$11,IF(AND(B19="Van",C19="Plug-in Hybrid"),'LCT - Light &amp; Light-Heavy Duty'!$E$11,IF(AND(B19="Van",'Interim Water Delivery Inputs'!F26="Battery Electric"),'LCT - Light &amp; Light-Heavy Duty'!$F$11,IF(AND(B19="Van",C19="Fuel Cell Electric"),'LCT - Light &amp; Light-Heavy Duty'!$G$11,IF(AND(B19="Sedan",C19="Gasoline"),'LCT - Light &amp; Light-Heavy Duty'!$C$24,IF(AND(B19="Sedan",C19="Hybrid"),'LCT - Light &amp; Light-Heavy Duty'!$D$24,IF(AND(B19="Sedan",C19="Plug-in Hybrid"),'LCT - Light &amp; Light-Heavy Duty'!$D$24,IF(AND(B19="Sedan",'Interim Water Delivery Inputs'!F26="Battery Electric"),'LCT - Light &amp; Light-Heavy Duty'!$E$24,IF(AND(B19="Sedan",C19="Fuel Cell Electric"),'LCT - Light &amp; Light-Heavy Duty'!$F$24,""))))))))))))))))))</f>
        <v/>
      </c>
      <c r="K19" s="582" t="str">
        <f>IFERROR(((Table7[[#This Row],[ROG Emission Factor
(g/mi)]]*Table7[[#This Row],[Total Annual VMT 
(Miles/Year)]])*1/454),"")</f>
        <v/>
      </c>
      <c r="L19" s="174" t="str">
        <f>IFERROR((Table7[[#This Row],[Annual ROG Emissions 
(lbs/year)]]*Table7[[#This Row],[Project Life
(Years)]]),"")</f>
        <v/>
      </c>
      <c r="M19" s="582" t="str">
        <f>IF(AND(B19="Heavy Duty Truck",C19="Diesel"),'LCT - Heavy Duty'!$C$17,IF(AND(B19="Heavy Duty Truck",C19="Battery Electric"),'LCT - Heavy Duty'!$F$17,IF(AND(B19="Heavy Duty Truck",OR(C19="Natural Gas",C19="Propane")),'LCT - Heavy Duty'!$D$41,IF(AND(B19="Box Truck",C19="Gasoline"),'LCT - Light &amp; Light-Heavy Duty'!$C$17,IF(AND(B19="Box Truck",C19="Hybrid"),'LCT - Light &amp; Light-Heavy Duty'!$D$17,IF(AND(B19="Box Truck",C19="Plug-in Hybrid"),'LCT - Light &amp; Light-Heavy Duty'!$E$17,IF(AND(B19="Box Truck",C19="Battery Electric"),'LCT - Light &amp; Light-Heavy Duty'!$F$17,IF(AND(B19="Box Truck",C19="Fuel Cell Electric"),'LCT - Light &amp; Light-Heavy Duty'!$G$17,IF(AND(B19="Van",C19="Gasoline"),'LCT - Light &amp; Light-Heavy Duty'!$C$12,IF(AND(B19="Van",C19="Hybrid"),'LCT - Light &amp; Light-Heavy Duty'!$D$12,IF(AND(B19="Van",C19="Plug-in Hybrid"),'LCT - Light &amp; Light-Heavy Duty'!$E$12,IF(AND(B19="Van",'Interim Water Delivery Inputs'!F26="Battery Electric"),'LCT - Light &amp; Light-Heavy Duty'!$F$12,IF(AND(B19="Van",C19="Fuel Cell Electric"),'LCT - Light &amp; Light-Heavy Duty'!$G$12,IF(AND(B19="Sedan",C19="Gasoline"),'LCT - Light &amp; Light-Heavy Duty'!$C$25,IF(AND(B19="Sedan",C19="Hybrid"),'LCT - Light &amp; Light-Heavy Duty'!$D$25,IF(AND(B19="Sedan",C19="Plug-in Hybrid"),'LCT - Light &amp; Light-Heavy Duty'!$D$25,IF(AND(B19="Sedan",'Interim Water Delivery Inputs'!F26="Battery Electric"),'LCT - Light &amp; Light-Heavy Duty'!$E$25,IF(AND(B19="Sedan",C19="Fuel Cell Electric"),'LCT - Light &amp; Light-Heavy Duty'!$F$25,""))))))))))))))))))</f>
        <v/>
      </c>
      <c r="N19" s="174" t="str">
        <f>IFERROR(((Table7[[#This Row],[NOx Emission Factor
(g/mi)]]*Table7[[#This Row],[Total Annual VMT 
(Miles/Year)]])*1/454),"")</f>
        <v/>
      </c>
      <c r="O19" s="174" t="str">
        <f>IFERROR((Table7[[#This Row],[Annual NOx Emissions 
(lbs/year)]]*Table7[[#This Row],[Project Life
(Years)]]),"")</f>
        <v/>
      </c>
      <c r="P19" s="174" t="str">
        <f>IF(AND(B19="Heavy Duty Truck",C19="Diesel"),'LCT - Heavy Duty'!$C$18,IF(AND(B19="Heavy Duty Truck",C19="Battery Electric"),'LCT - Heavy Duty'!$F$18,IF(AND(B19="Heavy Duty Truck",OR(C19="Natural Gas",C19="Propane")),'LCT - Heavy Duty'!$D$42,IF(AND(B19="Box Truck",C19="Gasoline"),'LCT - Light &amp; Light-Heavy Duty'!$C$18,IF(AND(B19="Box Truck",C19="Hybrid"),'LCT - Light &amp; Light-Heavy Duty'!$D$18,IF(AND(B19="Box Truck",C19="Plug-in Hybrid"),'LCT - Light &amp; Light-Heavy Duty'!$E$18,IF(AND(B19="Box Truck",C19="Battery Electric"),'LCT - Light &amp; Light-Heavy Duty'!$F$18,IF(AND(B19="Box Truck",C19="Fuel Cell Electric"),'LCT - Light &amp; Light-Heavy Duty'!$G$18,IF(AND(B19="Van",C19="Gasoline"),'LCT - Light &amp; Light-Heavy Duty'!$C$13,IF(AND(B19="Van",C19="Hybrid"),'LCT - Light &amp; Light-Heavy Duty'!$D$13,IF(AND(B19="Van",C19="Plug-in Hybrid"),'LCT - Light &amp; Light-Heavy Duty'!$E$13,IF(AND(B19="Van",'Interim Water Delivery Inputs'!F26="Battery Electric"),'LCT - Light &amp; Light-Heavy Duty'!$F$13,IF(AND(B19="Van",C19="Fuel Cell Electric"),'LCT - Light &amp; Light-Heavy Duty'!$G$13,IF(AND(B19="Sedan",C19="Gasoline"),'LCT - Light &amp; Light-Heavy Duty'!$C$26,IF(AND(B19="Sedan",C19="Hybrid"),'LCT - Light &amp; Light-Heavy Duty'!$D$26,IF(AND(B19="Sedan",C19="Plug-in Hybrid"),'LCT - Light &amp; Light-Heavy Duty'!$D$26,IF(AND(B19="Sedan",'Interim Water Delivery Inputs'!F26="Battery Electric"),'LCT - Light &amp; Light-Heavy Duty'!$E$26,IF(AND(B19="Sedan",C19="Fuel Cell Electric"),'LCT - Light &amp; Light-Heavy Duty'!$F$26,""))))))))))))))))))</f>
        <v/>
      </c>
      <c r="Q19" s="174" t="str">
        <f>IFERROR(((Table7[[#This Row],[PM2.5 Emission Factor
(g/mi)]]*Table7[[#This Row],[Total Annual VMT 
(Miles/Year)]])*1/454),"")</f>
        <v/>
      </c>
      <c r="R19" s="174" t="str">
        <f>IFERROR((Table7[[#This Row],[Annual PM2.5 Emissions 
(lbs/year)]]*Table7[[#This Row],[Project Life
(Years)]]),"")</f>
        <v/>
      </c>
      <c r="S19" s="174" t="str">
        <f>IF(AND(B19="Heavy Duty Truck",C19="Diesel"),'LCT - Heavy Duty'!$C$19,IF(AND(B19="Heavy Duty Truck",C19="Battery Electric"),'LCT - Heavy Duty'!$F$19,IF(AND(B19="Heavy Duty Truck",OR(C19="Natural Gas",C19="Propane")),'LCT - Heavy Duty'!$D$43,IF(AND(B19="Box Truck",C19="Gasoline"),'LCT - Light &amp; Light-Heavy Duty'!$C$19,IF(AND(B19="Box Truck",C19="Hybrid"),'LCT - Light &amp; Light-Heavy Duty'!$D$19,IF(AND(B19="Box Truck",C19="Plug-in Hybrid"),'LCT - Light &amp; Light-Heavy Duty'!$E$19,IF(AND(B19="Box Truck",C19="Battery Electric"),'LCT - Light &amp; Light-Heavy Duty'!$F$19,IF(AND(B19="Box Truck",C19="Fuel Cell Electric"),'LCT - Light &amp; Light-Heavy Duty'!$G$19,IF(AND(B19="Van",C19="Gasoline"),'LCT - Light &amp; Light-Heavy Duty'!$C$14,IF(AND(B19="Van",C19="Hybrid"),'LCT - Light &amp; Light-Heavy Duty'!$D$14,IF(AND(B19="Van",C19="Plug-in Hybrid"),'LCT - Light &amp; Light-Heavy Duty'!$E$14,IF(AND(B19="Van",'Interim Water Delivery Inputs'!F26="Battery Electric"),'LCT - Light &amp; Light-Heavy Duty'!$F$14,IF(AND(B19="Van",C19="Fuel Cell Electric"),'LCT - Light &amp; Light-Heavy Duty'!$G$14,IF(AND(B19="Sedan",C19="Gasoline"),'LCT - Light &amp; Light-Heavy Duty'!$C$27,IF(AND(B19="Sedan",C19="Hybrid"),'LCT - Light &amp; Light-Heavy Duty'!$D$27,IF(AND(B19="Sedan",C19="Plug-in Hybrid"),'LCT - Light &amp; Light-Heavy Duty'!$D$27,IF(AND(B19="Sedan",'Interim Water Delivery Inputs'!F26="Battery Electric"),'LCT - Light &amp; Light-Heavy Duty'!$E$27,IF(AND(B19="Sedan",C19="Fuel Cell Electric"),'LCT - Light &amp; Light-Heavy Duty'!$F$27,""))))))))))))))))))</f>
        <v/>
      </c>
      <c r="T19" s="174" t="str">
        <f>IFERROR(((Table7[[#This Row],[Diesel PM Emission Factor
(g/mi)]]*Table7[[#This Row],[Total Annual VMT 
(Miles/Year)]])*1/454),"")</f>
        <v/>
      </c>
      <c r="U19" s="186" t="str">
        <f>IFERROR((Table7[[#This Row],[Annual Diesel PM Emissions 
(lbs/year)]]*Table7[[#This Row],[Project Life
(Years)]]),"")</f>
        <v/>
      </c>
      <c r="V19" s="186" t="str">
        <f>IF(Table7[[#This Row],[Fuel Type]]="Diesel",Defaults!$C$42,IF(Table7[[#This Row],[Fuel Type]]="Natural Gas",Defaults!$C$42*'Fuel-Specific GHG'!C46,IF(Table7[[#This Row],[Fuel Type]]="Propane",Defaults!$C$42*'Fuel-Specific GHG'!C46,IF(AND(Table7[[#This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19"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19" s="583">
        <f>IF(OR(Table7[[#This Row],[Fuel Type]]="Diesel",Table7[[#This Row],[Fuel Type]]="Gasoline",Table7[[#This Row],[Fuel Type]]="Hybrid",Table7[[#This Row],[Fuel Type]]="Plug-in Hybrid",Table7[[#This Row],[Fuel Type]]="Natural Gas",Table7[[#This Row],[Fuel Type]]="Propane"),Table7[[#This Row],[Fuel Use 
(gal, Kwh, or kg)]],0)</f>
        <v>0</v>
      </c>
      <c r="Y19"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19" s="26">
        <f>IF(B19=0,0,IF('Project Info'!$C$33="",2023,YEAR('Project Info'!$C$33)))</f>
        <v>0</v>
      </c>
      <c r="AA19" s="193">
        <f>'Interim Water Delivery Inputs'!N26*Table7[[#This Row],[Project Life
(Years)]]</f>
        <v>0</v>
      </c>
      <c r="AB19" s="193">
        <f>Table7[[#This Row],[Column2]]*Defaults!$C$59*12</f>
        <v>0</v>
      </c>
      <c r="AC19" s="193">
        <f>Table7[[#This Row],[Column3]]*Defaults!$C$58</f>
        <v>0</v>
      </c>
      <c r="AD19" s="193">
        <f>IF(B19=0,0,Table7[[#This Row],[Column4]]*VLOOKUP(Table7[[#This Row],[Column1]],'Passenger Auto C&amp;T'!$B$45:$D$80,3,FALSE))</f>
        <v>0</v>
      </c>
      <c r="AE19" s="589">
        <f>Table7[[#This Row],[Column42]]*'Fuel Prices'!$C$11</f>
        <v>0</v>
      </c>
      <c r="AF19" s="590">
        <f>IF(B19=0,0,VLOOKUP(Table7[[#This Row],[Column1]],'Passenger Auto GHG'!$B$46:$D$81,3,FALSE))</f>
        <v>0</v>
      </c>
      <c r="AG19" s="591">
        <f>Table7[[#This Row],[Column5]]*Table7[[#This Row],[Column4]]/1000000</f>
        <v>0</v>
      </c>
      <c r="AH19" s="592">
        <f>IF(B19=0,0,VLOOKUP(Table7[[#This Row],[Column1]],'Passenger Auto C&amp;T'!$B$45:$L$80,4,FALSE))</f>
        <v>0</v>
      </c>
      <c r="AI19" s="593">
        <f>IF(B19=0,0,VLOOKUP(Table7[[#This Row],[Column1]],'Passenger Auto C&amp;T'!$B$45:$L$80,5,FALSE))</f>
        <v>0</v>
      </c>
      <c r="AJ19" s="593">
        <f>IF(B19=0,0,SUM(VLOOKUP(Table7[[#This Row],[Column1]],'Passenger Auto C&amp;T'!$B$45:$L$80,6,FALSE),VLOOKUP(Table7[[#This Row],[Column1]],'Passenger Auto C&amp;T'!$B$45:$L$80,7,FALSE),VLOOKUP(Table7[[#This Row],[Column1]],'Passenger Auto C&amp;T'!$B$45:$L$80,8,FALSE)))</f>
        <v>0</v>
      </c>
      <c r="AK19" s="594">
        <f>IF(B19=0,0,VLOOKUP(Table7[[#This Row],[Column1]],'Passenger Auto C&amp;T'!$B$45:$L$80,10,FALSE))</f>
        <v>0</v>
      </c>
      <c r="AL19" s="592">
        <f>Table7[[#This Row],[Column4]]*Table7[[#This Row],[Column7]]*0.00220462</f>
        <v>0</v>
      </c>
      <c r="AM19" s="593">
        <f>Table7[[#This Row],[Column4]]*Table7[[#This Row],[Column8]]*0.00220462</f>
        <v>0</v>
      </c>
      <c r="AN19" s="593">
        <f>Table7[[#This Row],[Column4]]*Table7[[#This Row],[Column9]]*0.00220462</f>
        <v>0</v>
      </c>
      <c r="AO19" s="595">
        <f>Table7[[#This Row],[Column4]]*Table7[[#This Row],[Column10]]*0.00220462</f>
        <v>0</v>
      </c>
      <c r="AP19" s="592">
        <f>IF(B19=0,0,Table7[[#This Row],[Column6]]-Table7[[#This Row],[Total Transportation GHG Emissions 
(MTCO2e)]])</f>
        <v>0</v>
      </c>
      <c r="AQ19" s="593">
        <f>IF(B19=0,0,Table7[[#This Row],[Column11]]-Table7[[#This Row],[Total ROG Emissions 
(lbs)]])</f>
        <v>0</v>
      </c>
      <c r="AR19" s="593">
        <f>IF(B19=0,0,Table7[[#This Row],[Column12]]-Table7[[#This Row],[Total NOx Emissions 
(lbs)]])</f>
        <v>0</v>
      </c>
      <c r="AS19" s="593">
        <f>IF(B19=0,0,Table7[[#This Row],[Column13]]-Table7[[#This Row],[Total PM2.5 Emissions 
(lbs)]])</f>
        <v>0</v>
      </c>
      <c r="AT19" s="596">
        <f>IF(B19=0,0,Table7[[#This Row],[Column14]]-Table7[[#This Row],[Total Diesel PM Emissions 
(lbs)]])</f>
        <v>0</v>
      </c>
      <c r="AU19" s="588">
        <f>IF(B19=0,0,Table7[[#This Row],[Column42]]-Table7[[#This Row],[Fuel Use 
(gal)]])</f>
        <v>0</v>
      </c>
      <c r="AV19" s="597">
        <f>IF(B19=0,0,Table7[[#This Row],[Column43]]-Table7[[#This Row],[Fuel Cost ($)]])</f>
        <v>0</v>
      </c>
    </row>
    <row r="20" spans="2:48" s="2" customFormat="1" ht="15.5" x14ac:dyDescent="0.35">
      <c r="B20" s="588">
        <f>'Interim Water Delivery Inputs'!D27</f>
        <v>0</v>
      </c>
      <c r="C20" s="580">
        <f>'Interim Water Delivery Inputs'!F27</f>
        <v>0</v>
      </c>
      <c r="D20" s="580">
        <f>'Interim Water Delivery Inputs'!H27</f>
        <v>0</v>
      </c>
      <c r="E20" s="581">
        <f>IF('Interim Water Delivery Inputs'!B27="",0,(IF('Interim Water Delivery Inputs'!J27="",(Defaults!$H$15*Table7[[#This Row],[Number of Identical Vehicles]]),'Interim Water Delivery Inputs'!J27)))</f>
        <v>0</v>
      </c>
      <c r="F20" s="581">
        <f>'Interim Water Delivery Inputs'!L27</f>
        <v>0</v>
      </c>
      <c r="G20" s="582" t="str">
        <f>IF(AND(B20="Heavy Duty Truck",C20="Diesel"),'LCT - Heavy Duty'!$C$15,IF(AND(B20="Heavy Duty Truck",C20="Battery Electric"),'LCT - Heavy Duty'!$F$15,IF(AND(B20="Heavy Duty Truck",OR(C20="Natural Gas",C20="Propane")),'LCT - Heavy Duty'!$D$39,IF(AND(B20="Box Truck",C20="Gasoline"),'LCT - Light &amp; Light-Heavy Duty'!$C$15,IF(AND(B20="Box Truck",C20="Hybrid"),'LCT - Light &amp; Light-Heavy Duty'!$D$15,IF(AND(B20="Box Truck",C20="Plug-in Hybrid"),'LCT - Light &amp; Light-Heavy Duty'!$E$15,IF(AND(B20="Box Truck",C20="Battery Electric"),'LCT - Light &amp; Light-Heavy Duty'!$F$15,IF(AND(B20="Box Truck",C20="Fuel Cell Electric"),'LCT - Light &amp; Light-Heavy Duty'!$G$15,IF(AND(B20="Van",C20="Gasoline"),'LCT - Light &amp; Light-Heavy Duty'!$C$10,IF(AND(B20="Van",C20="Hybrid"),'LCT - Light &amp; Light-Heavy Duty'!$D$10,IF(AND(B20="Van",C20="Plug-in Hybrid"),'LCT - Light &amp; Light-Heavy Duty'!$E$10,IF(AND(B20="Van",'Interim Water Delivery Inputs'!F27="Battery Electric"),'LCT - Light &amp; Light-Heavy Duty'!$F$10,IF(AND(B20="Van",C20="Fuel Cell Electric"),'LCT - Light &amp; Light-Heavy Duty'!$G$10,IF(AND(B20="Sedan",C20="Gasoline"),'LCT - Light &amp; Light-Heavy Duty'!$C$23,IF(AND(B20="Sedan",C20="Hybrid"),'LCT - Light &amp; Light-Heavy Duty'!$D$23,IF(AND(B20="Sedan",C20="Plug-in Hybrid"),'LCT - Light &amp; Light-Heavy Duty'!$D$23,IF(AND(B20="Sedan",'Interim Water Delivery Inputs'!F27="Battery Electric"),'LCT - Light &amp; Light-Heavy Duty'!$E$23,IF(AND(B20="Sedan",C20="Fuel Cell Electric"),'LCT - Light &amp; Light-Heavy Duty'!$F$23,""))))))))))))))))))</f>
        <v/>
      </c>
      <c r="H20" s="582" t="str">
        <f>IFERROR(((Table7[[#This Row],[GHG Emission Factor 
(g CO2e/mi)]]*Table7[[#This Row],[Total Annual VMT 
(Miles/Year)]])*1/1000000),"")</f>
        <v/>
      </c>
      <c r="I20" s="582" t="str">
        <f>IFERROR(Table7[[#This Row],[Annual Transportation GHG Emissions 
(MTCO2e/Year)]]*Table7[[#This Row],[Project Life
(Years)]],"")</f>
        <v/>
      </c>
      <c r="J20" s="582" t="str">
        <f>IF(AND(B20="Heavy Duty Truck",C20="Diesel"),'LCT - Heavy Duty'!$C$16,IF(AND(B20="Heavy Duty Truck",C20="Battery Electric"),'LCT - Heavy Duty'!$F$16,IF(AND(B20="Heavy Duty Truck",OR(C20="Natural Gas",C20="Propane")),'LCT - Heavy Duty'!$D$40,IF(AND(B20="Box Truck",C20="Gasoline"),'LCT - Light &amp; Light-Heavy Duty'!$C$16,IF(AND(B20="Box Truck",C20="Hybrid"),'LCT - Light &amp; Light-Heavy Duty'!$D$16,IF(AND(B20="Box Truck",C20="Plug-in Hybrid"),'LCT - Light &amp; Light-Heavy Duty'!$E$16,IF(AND(B20="Box Truck",C20="Battery Electric"),'LCT - Light &amp; Light-Heavy Duty'!$F$16,IF(AND(B20="Box Truck",C20="Fuel Cell Electric"),'LCT - Light &amp; Light-Heavy Duty'!$G$16,IF(AND(B20="Van",C20="Gasoline"),'LCT - Light &amp; Light-Heavy Duty'!$C$11,IF(AND(B20="Van",C20="Hybrid"),'LCT - Light &amp; Light-Heavy Duty'!$D$11,IF(AND(B20="Van",C20="Plug-in Hybrid"),'LCT - Light &amp; Light-Heavy Duty'!$E$11,IF(AND(B20="Van",'Interim Water Delivery Inputs'!F27="Battery Electric"),'LCT - Light &amp; Light-Heavy Duty'!$F$11,IF(AND(B20="Van",C20="Fuel Cell Electric"),'LCT - Light &amp; Light-Heavy Duty'!$G$11,IF(AND(B20="Sedan",C20="Gasoline"),'LCT - Light &amp; Light-Heavy Duty'!$C$24,IF(AND(B20="Sedan",C20="Hybrid"),'LCT - Light &amp; Light-Heavy Duty'!$D$24,IF(AND(B20="Sedan",C20="Plug-in Hybrid"),'LCT - Light &amp; Light-Heavy Duty'!$D$24,IF(AND(B20="Sedan",'Interim Water Delivery Inputs'!F27="Battery Electric"),'LCT - Light &amp; Light-Heavy Duty'!$E$24,IF(AND(B20="Sedan",C20="Fuel Cell Electric"),'LCT - Light &amp; Light-Heavy Duty'!$F$24,""))))))))))))))))))</f>
        <v/>
      </c>
      <c r="K20" s="582" t="str">
        <f>IFERROR(((Table7[[#This Row],[ROG Emission Factor
(g/mi)]]*Table7[[#This Row],[Total Annual VMT 
(Miles/Year)]])*1/454),"")</f>
        <v/>
      </c>
      <c r="L20" s="174" t="str">
        <f>IFERROR((Table7[[#This Row],[Annual ROG Emissions 
(lbs/year)]]*Table7[[#This Row],[Project Life
(Years)]]),"")</f>
        <v/>
      </c>
      <c r="M20" s="582" t="str">
        <f>IF(AND(B20="Heavy Duty Truck",C20="Diesel"),'LCT - Heavy Duty'!$C$17,IF(AND(B20="Heavy Duty Truck",C20="Battery Electric"),'LCT - Heavy Duty'!$F$17,IF(AND(B20="Heavy Duty Truck",OR(C20="Natural Gas",C20="Propane")),'LCT - Heavy Duty'!$D$41,IF(AND(B20="Box Truck",C20="Gasoline"),'LCT - Light &amp; Light-Heavy Duty'!$C$17,IF(AND(B20="Box Truck",C20="Hybrid"),'LCT - Light &amp; Light-Heavy Duty'!$D$17,IF(AND(B20="Box Truck",C20="Plug-in Hybrid"),'LCT - Light &amp; Light-Heavy Duty'!$E$17,IF(AND(B20="Box Truck",C20="Battery Electric"),'LCT - Light &amp; Light-Heavy Duty'!$F$17,IF(AND(B20="Box Truck",C20="Fuel Cell Electric"),'LCT - Light &amp; Light-Heavy Duty'!$G$17,IF(AND(B20="Van",C20="Gasoline"),'LCT - Light &amp; Light-Heavy Duty'!$C$12,IF(AND(B20="Van",C20="Hybrid"),'LCT - Light &amp; Light-Heavy Duty'!$D$12,IF(AND(B20="Van",C20="Plug-in Hybrid"),'LCT - Light &amp; Light-Heavy Duty'!$E$12,IF(AND(B20="Van",'Interim Water Delivery Inputs'!F27="Battery Electric"),'LCT - Light &amp; Light-Heavy Duty'!$F$12,IF(AND(B20="Van",C20="Fuel Cell Electric"),'LCT - Light &amp; Light-Heavy Duty'!$G$12,IF(AND(B20="Sedan",C20="Gasoline"),'LCT - Light &amp; Light-Heavy Duty'!$C$25,IF(AND(B20="Sedan",C20="Hybrid"),'LCT - Light &amp; Light-Heavy Duty'!$D$25,IF(AND(B20="Sedan",C20="Plug-in Hybrid"),'LCT - Light &amp; Light-Heavy Duty'!$D$25,IF(AND(B20="Sedan",'Interim Water Delivery Inputs'!F27="Battery Electric"),'LCT - Light &amp; Light-Heavy Duty'!$E$25,IF(AND(B20="Sedan",C20="Fuel Cell Electric"),'LCT - Light &amp; Light-Heavy Duty'!$F$25,""))))))))))))))))))</f>
        <v/>
      </c>
      <c r="N20" s="174" t="str">
        <f>IFERROR(((Table7[[#This Row],[NOx Emission Factor
(g/mi)]]*Table7[[#This Row],[Total Annual VMT 
(Miles/Year)]])*1/454),"")</f>
        <v/>
      </c>
      <c r="O20" s="174" t="str">
        <f>IFERROR((Table7[[#This Row],[Annual NOx Emissions 
(lbs/year)]]*Table7[[#This Row],[Project Life
(Years)]]),"")</f>
        <v/>
      </c>
      <c r="P20" s="174" t="str">
        <f>IF(AND(B20="Heavy Duty Truck",C20="Diesel"),'LCT - Heavy Duty'!$C$18,IF(AND(B20="Heavy Duty Truck",C20="Battery Electric"),'LCT - Heavy Duty'!$F$18,IF(AND(B20="Heavy Duty Truck",OR(C20="Natural Gas",C20="Propane")),'LCT - Heavy Duty'!$D$42,IF(AND(B20="Box Truck",C20="Gasoline"),'LCT - Light &amp; Light-Heavy Duty'!$C$18,IF(AND(B20="Box Truck",C20="Hybrid"),'LCT - Light &amp; Light-Heavy Duty'!$D$18,IF(AND(B20="Box Truck",C20="Plug-in Hybrid"),'LCT - Light &amp; Light-Heavy Duty'!$E$18,IF(AND(B20="Box Truck",C20="Battery Electric"),'LCT - Light &amp; Light-Heavy Duty'!$F$18,IF(AND(B20="Box Truck",C20="Fuel Cell Electric"),'LCT - Light &amp; Light-Heavy Duty'!$G$18,IF(AND(B20="Van",C20="Gasoline"),'LCT - Light &amp; Light-Heavy Duty'!$C$13,IF(AND(B20="Van",C20="Hybrid"),'LCT - Light &amp; Light-Heavy Duty'!$D$13,IF(AND(B20="Van",C20="Plug-in Hybrid"),'LCT - Light &amp; Light-Heavy Duty'!$E$13,IF(AND(B20="Van",'Interim Water Delivery Inputs'!F27="Battery Electric"),'LCT - Light &amp; Light-Heavy Duty'!$F$13,IF(AND(B20="Van",C20="Fuel Cell Electric"),'LCT - Light &amp; Light-Heavy Duty'!$G$13,IF(AND(B20="Sedan",C20="Gasoline"),'LCT - Light &amp; Light-Heavy Duty'!$C$26,IF(AND(B20="Sedan",C20="Hybrid"),'LCT - Light &amp; Light-Heavy Duty'!$D$26,IF(AND(B20="Sedan",C20="Plug-in Hybrid"),'LCT - Light &amp; Light-Heavy Duty'!$D$26,IF(AND(B20="Sedan",'Interim Water Delivery Inputs'!F27="Battery Electric"),'LCT - Light &amp; Light-Heavy Duty'!$E$26,IF(AND(B20="Sedan",C20="Fuel Cell Electric"),'LCT - Light &amp; Light-Heavy Duty'!$F$26,""))))))))))))))))))</f>
        <v/>
      </c>
      <c r="Q20" s="174" t="str">
        <f>IFERROR(((Table7[[#This Row],[PM2.5 Emission Factor
(g/mi)]]*Table7[[#This Row],[Total Annual VMT 
(Miles/Year)]])*1/454),"")</f>
        <v/>
      </c>
      <c r="R20" s="174" t="str">
        <f>IFERROR((Table7[[#This Row],[Annual PM2.5 Emissions 
(lbs/year)]]*Table7[[#This Row],[Project Life
(Years)]]),"")</f>
        <v/>
      </c>
      <c r="S20" s="174" t="str">
        <f>IF(AND(B20="Heavy Duty Truck",C20="Diesel"),'LCT - Heavy Duty'!$C$19,IF(AND(B20="Heavy Duty Truck",C20="Battery Electric"),'LCT - Heavy Duty'!$F$19,IF(AND(B20="Heavy Duty Truck",OR(C20="Natural Gas",C20="Propane")),'LCT - Heavy Duty'!$D$43,IF(AND(B20="Box Truck",C20="Gasoline"),'LCT - Light &amp; Light-Heavy Duty'!$C$19,IF(AND(B20="Box Truck",C20="Hybrid"),'LCT - Light &amp; Light-Heavy Duty'!$D$19,IF(AND(B20="Box Truck",C20="Plug-in Hybrid"),'LCT - Light &amp; Light-Heavy Duty'!$E$19,IF(AND(B20="Box Truck",C20="Battery Electric"),'LCT - Light &amp; Light-Heavy Duty'!$F$19,IF(AND(B20="Box Truck",C20="Fuel Cell Electric"),'LCT - Light &amp; Light-Heavy Duty'!$G$19,IF(AND(B20="Van",C20="Gasoline"),'LCT - Light &amp; Light-Heavy Duty'!$C$14,IF(AND(B20="Van",C20="Hybrid"),'LCT - Light &amp; Light-Heavy Duty'!$D$14,IF(AND(B20="Van",C20="Plug-in Hybrid"),'LCT - Light &amp; Light-Heavy Duty'!$E$14,IF(AND(B20="Van",'Interim Water Delivery Inputs'!F27="Battery Electric"),'LCT - Light &amp; Light-Heavy Duty'!$F$14,IF(AND(B20="Van",C20="Fuel Cell Electric"),'LCT - Light &amp; Light-Heavy Duty'!$G$14,IF(AND(B20="Sedan",C20="Gasoline"),'LCT - Light &amp; Light-Heavy Duty'!$C$27,IF(AND(B20="Sedan",C20="Hybrid"),'LCT - Light &amp; Light-Heavy Duty'!$D$27,IF(AND(B20="Sedan",C20="Plug-in Hybrid"),'LCT - Light &amp; Light-Heavy Duty'!$D$27,IF(AND(B20="Sedan",'Interim Water Delivery Inputs'!F27="Battery Electric"),'LCT - Light &amp; Light-Heavy Duty'!$E$27,IF(AND(B20="Sedan",C20="Fuel Cell Electric"),'LCT - Light &amp; Light-Heavy Duty'!$F$27,""))))))))))))))))))</f>
        <v/>
      </c>
      <c r="T20" s="174" t="str">
        <f>IFERROR(((Table7[[#This Row],[Diesel PM Emission Factor
(g/mi)]]*Table7[[#This Row],[Total Annual VMT 
(Miles/Year)]])*1/454),"")</f>
        <v/>
      </c>
      <c r="U20" s="186" t="str">
        <f>IFERROR((Table7[[#This Row],[Annual Diesel PM Emissions 
(lbs/year)]]*Table7[[#This Row],[Project Life
(Years)]]),"")</f>
        <v/>
      </c>
      <c r="V20" s="186" t="str">
        <f>IF(Table7[[#This Row],[Fuel Type]]="Diesel",Defaults!$C$42,IF(Table7[[#This Row],[Fuel Type]]="Natural Gas",Defaults!$C$42*'Fuel-Specific GHG'!C47,IF(Table7[[#This Row],[Fuel Type]]="Propane",Defaults!$C$42*'Fuel-Specific GHG'!C47,IF(AND(Table7[[#This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0"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0" s="583">
        <f>IF(OR(Table7[[#This Row],[Fuel Type]]="Diesel",Table7[[#This Row],[Fuel Type]]="Gasoline",Table7[[#This Row],[Fuel Type]]="Hybrid",Table7[[#This Row],[Fuel Type]]="Plug-in Hybrid",Table7[[#This Row],[Fuel Type]]="Natural Gas",Table7[[#This Row],[Fuel Type]]="Propane"),Table7[[#This Row],[Fuel Use 
(gal, Kwh, or kg)]],0)</f>
        <v>0</v>
      </c>
      <c r="Y20"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0" s="26">
        <f>IF(B20=0,0,IF('Project Info'!$C$33="",2023,YEAR('Project Info'!$C$33)))</f>
        <v>0</v>
      </c>
      <c r="AA20" s="193">
        <f>'Interim Water Delivery Inputs'!N27*Table7[[#This Row],[Project Life
(Years)]]</f>
        <v>0</v>
      </c>
      <c r="AB20" s="193">
        <f>Table7[[#This Row],[Column2]]*Defaults!$C$59*12</f>
        <v>0</v>
      </c>
      <c r="AC20" s="193">
        <f>Table7[[#This Row],[Column3]]*Defaults!$C$58</f>
        <v>0</v>
      </c>
      <c r="AD20" s="193">
        <f>IF(B20=0,0,Table7[[#This Row],[Column4]]*VLOOKUP(Table7[[#This Row],[Column1]],'Passenger Auto C&amp;T'!$B$45:$D$80,3,FALSE))</f>
        <v>0</v>
      </c>
      <c r="AE20" s="589">
        <f>Table7[[#This Row],[Column42]]*'Fuel Prices'!$C$11</f>
        <v>0</v>
      </c>
      <c r="AF20" s="590">
        <f>IF(B20=0,0,VLOOKUP(Table7[[#This Row],[Column1]],'Passenger Auto GHG'!$B$46:$D$81,3,FALSE))</f>
        <v>0</v>
      </c>
      <c r="AG20" s="591">
        <f>Table7[[#This Row],[Column5]]*Table7[[#This Row],[Column4]]/1000000</f>
        <v>0</v>
      </c>
      <c r="AH20" s="592">
        <f>IF(B20=0,0,VLOOKUP(Table7[[#This Row],[Column1]],'Passenger Auto C&amp;T'!$B$45:$L$80,4,FALSE))</f>
        <v>0</v>
      </c>
      <c r="AI20" s="593">
        <f>IF(B20=0,0,VLOOKUP(Table7[[#This Row],[Column1]],'Passenger Auto C&amp;T'!$B$45:$L$80,5,FALSE))</f>
        <v>0</v>
      </c>
      <c r="AJ20" s="593">
        <f>IF(B20=0,0,SUM(VLOOKUP(Table7[[#This Row],[Column1]],'Passenger Auto C&amp;T'!$B$45:$L$80,6,FALSE),VLOOKUP(Table7[[#This Row],[Column1]],'Passenger Auto C&amp;T'!$B$45:$L$80,7,FALSE),VLOOKUP(Table7[[#This Row],[Column1]],'Passenger Auto C&amp;T'!$B$45:$L$80,8,FALSE)))</f>
        <v>0</v>
      </c>
      <c r="AK20" s="594">
        <f>IF(B20=0,0,VLOOKUP(Table7[[#This Row],[Column1]],'Passenger Auto C&amp;T'!$B$45:$L$80,10,FALSE))</f>
        <v>0</v>
      </c>
      <c r="AL20" s="592">
        <f>Table7[[#This Row],[Column4]]*Table7[[#This Row],[Column7]]*0.00220462</f>
        <v>0</v>
      </c>
      <c r="AM20" s="593">
        <f>Table7[[#This Row],[Column4]]*Table7[[#This Row],[Column8]]*0.00220462</f>
        <v>0</v>
      </c>
      <c r="AN20" s="593">
        <f>Table7[[#This Row],[Column4]]*Table7[[#This Row],[Column9]]*0.00220462</f>
        <v>0</v>
      </c>
      <c r="AO20" s="595">
        <f>Table7[[#This Row],[Column4]]*Table7[[#This Row],[Column10]]*0.00220462</f>
        <v>0</v>
      </c>
      <c r="AP20" s="592">
        <f>IF(B20=0,0,Table7[[#This Row],[Column6]]-Table7[[#This Row],[Total Transportation GHG Emissions 
(MTCO2e)]])</f>
        <v>0</v>
      </c>
      <c r="AQ20" s="593">
        <f>IF(B20=0,0,Table7[[#This Row],[Column11]]-Table7[[#This Row],[Total ROG Emissions 
(lbs)]])</f>
        <v>0</v>
      </c>
      <c r="AR20" s="593">
        <f>IF(B20=0,0,Table7[[#This Row],[Column12]]-Table7[[#This Row],[Total NOx Emissions 
(lbs)]])</f>
        <v>0</v>
      </c>
      <c r="AS20" s="593">
        <f>IF(B20=0,0,Table7[[#This Row],[Column13]]-Table7[[#This Row],[Total PM2.5 Emissions 
(lbs)]])</f>
        <v>0</v>
      </c>
      <c r="AT20" s="596">
        <f>IF(B20=0,0,Table7[[#This Row],[Column14]]-Table7[[#This Row],[Total Diesel PM Emissions 
(lbs)]])</f>
        <v>0</v>
      </c>
      <c r="AU20" s="588">
        <f>IF(B20=0,0,Table7[[#This Row],[Column42]]-Table7[[#This Row],[Fuel Use 
(gal)]])</f>
        <v>0</v>
      </c>
      <c r="AV20" s="597">
        <f>IF(B20=0,0,Table7[[#This Row],[Column43]]-Table7[[#This Row],[Fuel Cost ($)]])</f>
        <v>0</v>
      </c>
    </row>
    <row r="21" spans="2:48" s="2" customFormat="1" ht="15.5" x14ac:dyDescent="0.35">
      <c r="B21" s="588">
        <f>'Interim Water Delivery Inputs'!D28</f>
        <v>0</v>
      </c>
      <c r="C21" s="580">
        <f>'Interim Water Delivery Inputs'!F28</f>
        <v>0</v>
      </c>
      <c r="D21" s="580">
        <f>'Interim Water Delivery Inputs'!H28</f>
        <v>0</v>
      </c>
      <c r="E21" s="581">
        <f>IF('Interim Water Delivery Inputs'!B28="",0,(IF('Interim Water Delivery Inputs'!J28="",(Defaults!$H$15*Table7[[#This Row],[Number of Identical Vehicles]]),'Interim Water Delivery Inputs'!J28)))</f>
        <v>0</v>
      </c>
      <c r="F21" s="581">
        <f>'Interim Water Delivery Inputs'!L28</f>
        <v>0</v>
      </c>
      <c r="G21" s="582" t="str">
        <f>IF(AND(B21="Heavy Duty Truck",C21="Diesel"),'LCT - Heavy Duty'!$C$15,IF(AND(B21="Heavy Duty Truck",C21="Battery Electric"),'LCT - Heavy Duty'!$F$15,IF(AND(B21="Heavy Duty Truck",OR(C21="Natural Gas",C21="Propane")),'LCT - Heavy Duty'!$D$39,IF(AND(B21="Box Truck",C21="Gasoline"),'LCT - Light &amp; Light-Heavy Duty'!$C$15,IF(AND(B21="Box Truck",C21="Hybrid"),'LCT - Light &amp; Light-Heavy Duty'!$D$15,IF(AND(B21="Box Truck",C21="Plug-in Hybrid"),'LCT - Light &amp; Light-Heavy Duty'!$E$15,IF(AND(B21="Box Truck",C21="Battery Electric"),'LCT - Light &amp; Light-Heavy Duty'!$F$15,IF(AND(B21="Box Truck",C21="Fuel Cell Electric"),'LCT - Light &amp; Light-Heavy Duty'!$G$15,IF(AND(B21="Van",C21="Gasoline"),'LCT - Light &amp; Light-Heavy Duty'!$C$10,IF(AND(B21="Van",C21="Hybrid"),'LCT - Light &amp; Light-Heavy Duty'!$D$10,IF(AND(B21="Van",C21="Plug-in Hybrid"),'LCT - Light &amp; Light-Heavy Duty'!$E$10,IF(AND(B21="Van",'Interim Water Delivery Inputs'!F28="Battery Electric"),'LCT - Light &amp; Light-Heavy Duty'!$F$10,IF(AND(B21="Van",C21="Fuel Cell Electric"),'LCT - Light &amp; Light-Heavy Duty'!$G$10,IF(AND(B21="Sedan",C21="Gasoline"),'LCT - Light &amp; Light-Heavy Duty'!$C$23,IF(AND(B21="Sedan",C21="Hybrid"),'LCT - Light &amp; Light-Heavy Duty'!$D$23,IF(AND(B21="Sedan",C21="Plug-in Hybrid"),'LCT - Light &amp; Light-Heavy Duty'!$D$23,IF(AND(B21="Sedan",'Interim Water Delivery Inputs'!F28="Battery Electric"),'LCT - Light &amp; Light-Heavy Duty'!$E$23,IF(AND(B21="Sedan",C21="Fuel Cell Electric"),'LCT - Light &amp; Light-Heavy Duty'!$F$23,""))))))))))))))))))</f>
        <v/>
      </c>
      <c r="H21" s="582" t="str">
        <f>IFERROR(((Table7[[#This Row],[GHG Emission Factor 
(g CO2e/mi)]]*Table7[[#This Row],[Total Annual VMT 
(Miles/Year)]])*1/1000000),"")</f>
        <v/>
      </c>
      <c r="I21" s="582" t="str">
        <f>IFERROR(Table7[[#This Row],[Annual Transportation GHG Emissions 
(MTCO2e/Year)]]*Table7[[#This Row],[Project Life
(Years)]],"")</f>
        <v/>
      </c>
      <c r="J21" s="582" t="str">
        <f>IF(AND(B21="Heavy Duty Truck",C21="Diesel"),'LCT - Heavy Duty'!$C$16,IF(AND(B21="Heavy Duty Truck",C21="Battery Electric"),'LCT - Heavy Duty'!$F$16,IF(AND(B21="Heavy Duty Truck",OR(C21="Natural Gas",C21="Propane")),'LCT - Heavy Duty'!$D$40,IF(AND(B21="Box Truck",C21="Gasoline"),'LCT - Light &amp; Light-Heavy Duty'!$C$16,IF(AND(B21="Box Truck",C21="Hybrid"),'LCT - Light &amp; Light-Heavy Duty'!$D$16,IF(AND(B21="Box Truck",C21="Plug-in Hybrid"),'LCT - Light &amp; Light-Heavy Duty'!$E$16,IF(AND(B21="Box Truck",C21="Battery Electric"),'LCT - Light &amp; Light-Heavy Duty'!$F$16,IF(AND(B21="Box Truck",C21="Fuel Cell Electric"),'LCT - Light &amp; Light-Heavy Duty'!$G$16,IF(AND(B21="Van",C21="Gasoline"),'LCT - Light &amp; Light-Heavy Duty'!$C$11,IF(AND(B21="Van",C21="Hybrid"),'LCT - Light &amp; Light-Heavy Duty'!$D$11,IF(AND(B21="Van",C21="Plug-in Hybrid"),'LCT - Light &amp; Light-Heavy Duty'!$E$11,IF(AND(B21="Van",'Interim Water Delivery Inputs'!F28="Battery Electric"),'LCT - Light &amp; Light-Heavy Duty'!$F$11,IF(AND(B21="Van",C21="Fuel Cell Electric"),'LCT - Light &amp; Light-Heavy Duty'!$G$11,IF(AND(B21="Sedan",C21="Gasoline"),'LCT - Light &amp; Light-Heavy Duty'!$C$24,IF(AND(B21="Sedan",C21="Hybrid"),'LCT - Light &amp; Light-Heavy Duty'!$D$24,IF(AND(B21="Sedan",C21="Plug-in Hybrid"),'LCT - Light &amp; Light-Heavy Duty'!$D$24,IF(AND(B21="Sedan",'Interim Water Delivery Inputs'!F28="Battery Electric"),'LCT - Light &amp; Light-Heavy Duty'!$E$24,IF(AND(B21="Sedan",C21="Fuel Cell Electric"),'LCT - Light &amp; Light-Heavy Duty'!$F$24,""))))))))))))))))))</f>
        <v/>
      </c>
      <c r="K21" s="582" t="str">
        <f>IFERROR(((Table7[[#This Row],[ROG Emission Factor
(g/mi)]]*Table7[[#This Row],[Total Annual VMT 
(Miles/Year)]])*1/454),"")</f>
        <v/>
      </c>
      <c r="L21" s="174" t="str">
        <f>IFERROR((Table7[[#This Row],[Annual ROG Emissions 
(lbs/year)]]*Table7[[#This Row],[Project Life
(Years)]]),"")</f>
        <v/>
      </c>
      <c r="M21" s="582" t="str">
        <f>IF(AND(B21="Heavy Duty Truck",C21="Diesel"),'LCT - Heavy Duty'!$C$17,IF(AND(B21="Heavy Duty Truck",C21="Battery Electric"),'LCT - Heavy Duty'!$F$17,IF(AND(B21="Heavy Duty Truck",OR(C21="Natural Gas",C21="Propane")),'LCT - Heavy Duty'!$D$41,IF(AND(B21="Box Truck",C21="Gasoline"),'LCT - Light &amp; Light-Heavy Duty'!$C$17,IF(AND(B21="Box Truck",C21="Hybrid"),'LCT - Light &amp; Light-Heavy Duty'!$D$17,IF(AND(B21="Box Truck",C21="Plug-in Hybrid"),'LCT - Light &amp; Light-Heavy Duty'!$E$17,IF(AND(B21="Box Truck",C21="Battery Electric"),'LCT - Light &amp; Light-Heavy Duty'!$F$17,IF(AND(B21="Box Truck",C21="Fuel Cell Electric"),'LCT - Light &amp; Light-Heavy Duty'!$G$17,IF(AND(B21="Van",C21="Gasoline"),'LCT - Light &amp; Light-Heavy Duty'!$C$12,IF(AND(B21="Van",C21="Hybrid"),'LCT - Light &amp; Light-Heavy Duty'!$D$12,IF(AND(B21="Van",C21="Plug-in Hybrid"),'LCT - Light &amp; Light-Heavy Duty'!$E$12,IF(AND(B21="Van",'Interim Water Delivery Inputs'!F28="Battery Electric"),'LCT - Light &amp; Light-Heavy Duty'!$F$12,IF(AND(B21="Van",C21="Fuel Cell Electric"),'LCT - Light &amp; Light-Heavy Duty'!$G$12,IF(AND(B21="Sedan",C21="Gasoline"),'LCT - Light &amp; Light-Heavy Duty'!$C$25,IF(AND(B21="Sedan",C21="Hybrid"),'LCT - Light &amp; Light-Heavy Duty'!$D$25,IF(AND(B21="Sedan",C21="Plug-in Hybrid"),'LCT - Light &amp; Light-Heavy Duty'!$D$25,IF(AND(B21="Sedan",'Interim Water Delivery Inputs'!F28="Battery Electric"),'LCT - Light &amp; Light-Heavy Duty'!$E$25,IF(AND(B21="Sedan",C21="Fuel Cell Electric"),'LCT - Light &amp; Light-Heavy Duty'!$F$25,""))))))))))))))))))</f>
        <v/>
      </c>
      <c r="N21" s="174" t="str">
        <f>IFERROR(((Table7[[#This Row],[NOx Emission Factor
(g/mi)]]*Table7[[#This Row],[Total Annual VMT 
(Miles/Year)]])*1/454),"")</f>
        <v/>
      </c>
      <c r="O21" s="174" t="str">
        <f>IFERROR((Table7[[#This Row],[Annual NOx Emissions 
(lbs/year)]]*Table7[[#This Row],[Project Life
(Years)]]),"")</f>
        <v/>
      </c>
      <c r="P21" s="174" t="str">
        <f>IF(AND(B21="Heavy Duty Truck",C21="Diesel"),'LCT - Heavy Duty'!$C$18,IF(AND(B21="Heavy Duty Truck",C21="Battery Electric"),'LCT - Heavy Duty'!$F$18,IF(AND(B21="Heavy Duty Truck",OR(C21="Natural Gas",C21="Propane")),'LCT - Heavy Duty'!$D$42,IF(AND(B21="Box Truck",C21="Gasoline"),'LCT - Light &amp; Light-Heavy Duty'!$C$18,IF(AND(B21="Box Truck",C21="Hybrid"),'LCT - Light &amp; Light-Heavy Duty'!$D$18,IF(AND(B21="Box Truck",C21="Plug-in Hybrid"),'LCT - Light &amp; Light-Heavy Duty'!$E$18,IF(AND(B21="Box Truck",C21="Battery Electric"),'LCT - Light &amp; Light-Heavy Duty'!$F$18,IF(AND(B21="Box Truck",C21="Fuel Cell Electric"),'LCT - Light &amp; Light-Heavy Duty'!$G$18,IF(AND(B21="Van",C21="Gasoline"),'LCT - Light &amp; Light-Heavy Duty'!$C$13,IF(AND(B21="Van",C21="Hybrid"),'LCT - Light &amp; Light-Heavy Duty'!$D$13,IF(AND(B21="Van",C21="Plug-in Hybrid"),'LCT - Light &amp; Light-Heavy Duty'!$E$13,IF(AND(B21="Van",'Interim Water Delivery Inputs'!F28="Battery Electric"),'LCT - Light &amp; Light-Heavy Duty'!$F$13,IF(AND(B21="Van",C21="Fuel Cell Electric"),'LCT - Light &amp; Light-Heavy Duty'!$G$13,IF(AND(B21="Sedan",C21="Gasoline"),'LCT - Light &amp; Light-Heavy Duty'!$C$26,IF(AND(B21="Sedan",C21="Hybrid"),'LCT - Light &amp; Light-Heavy Duty'!$D$26,IF(AND(B21="Sedan",C21="Plug-in Hybrid"),'LCT - Light &amp; Light-Heavy Duty'!$D$26,IF(AND(B21="Sedan",'Interim Water Delivery Inputs'!F28="Battery Electric"),'LCT - Light &amp; Light-Heavy Duty'!$E$26,IF(AND(B21="Sedan",C21="Fuel Cell Electric"),'LCT - Light &amp; Light-Heavy Duty'!$F$26,""))))))))))))))))))</f>
        <v/>
      </c>
      <c r="Q21" s="174" t="str">
        <f>IFERROR(((Table7[[#This Row],[PM2.5 Emission Factor
(g/mi)]]*Table7[[#This Row],[Total Annual VMT 
(Miles/Year)]])*1/454),"")</f>
        <v/>
      </c>
      <c r="R21" s="174" t="str">
        <f>IFERROR((Table7[[#This Row],[Annual PM2.5 Emissions 
(lbs/year)]]*Table7[[#This Row],[Project Life
(Years)]]),"")</f>
        <v/>
      </c>
      <c r="S21" s="174" t="str">
        <f>IF(AND(B21="Heavy Duty Truck",C21="Diesel"),'LCT - Heavy Duty'!$C$19,IF(AND(B21="Heavy Duty Truck",C21="Battery Electric"),'LCT - Heavy Duty'!$F$19,IF(AND(B21="Heavy Duty Truck",OR(C21="Natural Gas",C21="Propane")),'LCT - Heavy Duty'!$D$43,IF(AND(B21="Box Truck",C21="Gasoline"),'LCT - Light &amp; Light-Heavy Duty'!$C$19,IF(AND(B21="Box Truck",C21="Hybrid"),'LCT - Light &amp; Light-Heavy Duty'!$D$19,IF(AND(B21="Box Truck",C21="Plug-in Hybrid"),'LCT - Light &amp; Light-Heavy Duty'!$E$19,IF(AND(B21="Box Truck",C21="Battery Electric"),'LCT - Light &amp; Light-Heavy Duty'!$F$19,IF(AND(B21="Box Truck",C21="Fuel Cell Electric"),'LCT - Light &amp; Light-Heavy Duty'!$G$19,IF(AND(B21="Van",C21="Gasoline"),'LCT - Light &amp; Light-Heavy Duty'!$C$14,IF(AND(B21="Van",C21="Hybrid"),'LCT - Light &amp; Light-Heavy Duty'!$D$14,IF(AND(B21="Van",C21="Plug-in Hybrid"),'LCT - Light &amp; Light-Heavy Duty'!$E$14,IF(AND(B21="Van",'Interim Water Delivery Inputs'!F28="Battery Electric"),'LCT - Light &amp; Light-Heavy Duty'!$F$14,IF(AND(B21="Van",C21="Fuel Cell Electric"),'LCT - Light &amp; Light-Heavy Duty'!$G$14,IF(AND(B21="Sedan",C21="Gasoline"),'LCT - Light &amp; Light-Heavy Duty'!$C$27,IF(AND(B21="Sedan",C21="Hybrid"),'LCT - Light &amp; Light-Heavy Duty'!$D$27,IF(AND(B21="Sedan",C21="Plug-in Hybrid"),'LCT - Light &amp; Light-Heavy Duty'!$D$27,IF(AND(B21="Sedan",'Interim Water Delivery Inputs'!F28="Battery Electric"),'LCT - Light &amp; Light-Heavy Duty'!$E$27,IF(AND(B21="Sedan",C21="Fuel Cell Electric"),'LCT - Light &amp; Light-Heavy Duty'!$F$27,""))))))))))))))))))</f>
        <v/>
      </c>
      <c r="T21" s="174" t="str">
        <f>IFERROR(((Table7[[#This Row],[Diesel PM Emission Factor
(g/mi)]]*Table7[[#This Row],[Total Annual VMT 
(Miles/Year)]])*1/454),"")</f>
        <v/>
      </c>
      <c r="U21" s="186" t="str">
        <f>IFERROR((Table7[[#This Row],[Annual Diesel PM Emissions 
(lbs/year)]]*Table7[[#This Row],[Project Life
(Years)]]),"")</f>
        <v/>
      </c>
      <c r="V21" s="186" t="str">
        <f>IF(Table7[[#This Row],[Fuel Type]]="Diesel",Defaults!$C$42,IF(Table7[[#This Row],[Fuel Type]]="Natural Gas",Defaults!$C$42*'Fuel-Specific GHG'!C48,IF(Table7[[#This Row],[Fuel Type]]="Propane",Defaults!$C$42*'Fuel-Specific GHG'!C48,IF(AND(Table7[[#This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1"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1" s="583">
        <f>IF(OR(Table7[[#This Row],[Fuel Type]]="Diesel",Table7[[#This Row],[Fuel Type]]="Gasoline",Table7[[#This Row],[Fuel Type]]="Hybrid",Table7[[#This Row],[Fuel Type]]="Plug-in Hybrid",Table7[[#This Row],[Fuel Type]]="Natural Gas",Table7[[#This Row],[Fuel Type]]="Propane"),Table7[[#This Row],[Fuel Use 
(gal, Kwh, or kg)]],0)</f>
        <v>0</v>
      </c>
      <c r="Y21"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1" s="26">
        <f>IF(B21=0,0,IF('Project Info'!$C$33="",2023,YEAR('Project Info'!$C$33)))</f>
        <v>0</v>
      </c>
      <c r="AA21" s="193">
        <f>'Interim Water Delivery Inputs'!N28*Table7[[#This Row],[Project Life
(Years)]]</f>
        <v>0</v>
      </c>
      <c r="AB21" s="193">
        <f>Table7[[#This Row],[Column2]]*Defaults!$C$59*12</f>
        <v>0</v>
      </c>
      <c r="AC21" s="193">
        <f>Table7[[#This Row],[Column3]]*Defaults!$C$58</f>
        <v>0</v>
      </c>
      <c r="AD21" s="193">
        <f>IF(B21=0,0,Table7[[#This Row],[Column4]]*VLOOKUP(Table7[[#This Row],[Column1]],'Passenger Auto C&amp;T'!$B$45:$D$80,3,FALSE))</f>
        <v>0</v>
      </c>
      <c r="AE21" s="589">
        <f>Table7[[#This Row],[Column42]]*'Fuel Prices'!$C$11</f>
        <v>0</v>
      </c>
      <c r="AF21" s="590">
        <f>IF(B21=0,0,VLOOKUP(Table7[[#This Row],[Column1]],'Passenger Auto GHG'!$B$46:$D$81,3,FALSE))</f>
        <v>0</v>
      </c>
      <c r="AG21" s="591">
        <f>Table7[[#This Row],[Column5]]*Table7[[#This Row],[Column4]]/1000000</f>
        <v>0</v>
      </c>
      <c r="AH21" s="592">
        <f>IF(B21=0,0,VLOOKUP(Table7[[#This Row],[Column1]],'Passenger Auto C&amp;T'!$B$45:$L$80,4,FALSE))</f>
        <v>0</v>
      </c>
      <c r="AI21" s="593">
        <f>IF(B21=0,0,VLOOKUP(Table7[[#This Row],[Column1]],'Passenger Auto C&amp;T'!$B$45:$L$80,5,FALSE))</f>
        <v>0</v>
      </c>
      <c r="AJ21" s="593">
        <f>IF(B21=0,0,SUM(VLOOKUP(Table7[[#This Row],[Column1]],'Passenger Auto C&amp;T'!$B$45:$L$80,6,FALSE),VLOOKUP(Table7[[#This Row],[Column1]],'Passenger Auto C&amp;T'!$B$45:$L$80,7,FALSE),VLOOKUP(Table7[[#This Row],[Column1]],'Passenger Auto C&amp;T'!$B$45:$L$80,8,FALSE)))</f>
        <v>0</v>
      </c>
      <c r="AK21" s="594">
        <f>IF(B21=0,0,VLOOKUP(Table7[[#This Row],[Column1]],'Passenger Auto C&amp;T'!$B$45:$L$80,10,FALSE))</f>
        <v>0</v>
      </c>
      <c r="AL21" s="592">
        <f>Table7[[#This Row],[Column4]]*Table7[[#This Row],[Column7]]*0.00220462</f>
        <v>0</v>
      </c>
      <c r="AM21" s="593">
        <f>Table7[[#This Row],[Column4]]*Table7[[#This Row],[Column8]]*0.00220462</f>
        <v>0</v>
      </c>
      <c r="AN21" s="593">
        <f>Table7[[#This Row],[Column4]]*Table7[[#This Row],[Column9]]*0.00220462</f>
        <v>0</v>
      </c>
      <c r="AO21" s="595">
        <f>Table7[[#This Row],[Column4]]*Table7[[#This Row],[Column10]]*0.00220462</f>
        <v>0</v>
      </c>
      <c r="AP21" s="592">
        <f>IF(B21=0,0,Table7[[#This Row],[Column6]]-Table7[[#This Row],[Total Transportation GHG Emissions 
(MTCO2e)]])</f>
        <v>0</v>
      </c>
      <c r="AQ21" s="593">
        <f>IF(B21=0,0,Table7[[#This Row],[Column11]]-Table7[[#This Row],[Total ROG Emissions 
(lbs)]])</f>
        <v>0</v>
      </c>
      <c r="AR21" s="593">
        <f>IF(B21=0,0,Table7[[#This Row],[Column12]]-Table7[[#This Row],[Total NOx Emissions 
(lbs)]])</f>
        <v>0</v>
      </c>
      <c r="AS21" s="593">
        <f>IF(B21=0,0,Table7[[#This Row],[Column13]]-Table7[[#This Row],[Total PM2.5 Emissions 
(lbs)]])</f>
        <v>0</v>
      </c>
      <c r="AT21" s="596">
        <f>IF(B21=0,0,Table7[[#This Row],[Column14]]-Table7[[#This Row],[Total Diesel PM Emissions 
(lbs)]])</f>
        <v>0</v>
      </c>
      <c r="AU21" s="588">
        <f>IF(B21=0,0,Table7[[#This Row],[Column42]]-Table7[[#This Row],[Fuel Use 
(gal)]])</f>
        <v>0</v>
      </c>
      <c r="AV21" s="597">
        <f>IF(B21=0,0,Table7[[#This Row],[Column43]]-Table7[[#This Row],[Fuel Cost ($)]])</f>
        <v>0</v>
      </c>
    </row>
    <row r="22" spans="2:48" s="2" customFormat="1" ht="15.5" x14ac:dyDescent="0.35">
      <c r="B22" s="588">
        <f>'Interim Water Delivery Inputs'!D29</f>
        <v>0</v>
      </c>
      <c r="C22" s="580">
        <f>'Interim Water Delivery Inputs'!F29</f>
        <v>0</v>
      </c>
      <c r="D22" s="580">
        <f>'Interim Water Delivery Inputs'!H29</f>
        <v>0</v>
      </c>
      <c r="E22" s="581">
        <f>IF('Interim Water Delivery Inputs'!B29="",0,(IF('Interim Water Delivery Inputs'!J29="",(Defaults!$H$15*Table7[[#This Row],[Number of Identical Vehicles]]),'Interim Water Delivery Inputs'!J29)))</f>
        <v>0</v>
      </c>
      <c r="F22" s="581">
        <f>'Interim Water Delivery Inputs'!L29</f>
        <v>0</v>
      </c>
      <c r="G22" s="582" t="str">
        <f>IF(AND(B22="Heavy Duty Truck",C22="Diesel"),'LCT - Heavy Duty'!$C$15,IF(AND(B22="Heavy Duty Truck",C22="Battery Electric"),'LCT - Heavy Duty'!$F$15,IF(AND(B22="Heavy Duty Truck",OR(C22="Natural Gas",C22="Propane")),'LCT - Heavy Duty'!$D$39,IF(AND(B22="Box Truck",C22="Gasoline"),'LCT - Light &amp; Light-Heavy Duty'!$C$15,IF(AND(B22="Box Truck",C22="Hybrid"),'LCT - Light &amp; Light-Heavy Duty'!$D$15,IF(AND(B22="Box Truck",C22="Plug-in Hybrid"),'LCT - Light &amp; Light-Heavy Duty'!$E$15,IF(AND(B22="Box Truck",C22="Battery Electric"),'LCT - Light &amp; Light-Heavy Duty'!$F$15,IF(AND(B22="Box Truck",C22="Fuel Cell Electric"),'LCT - Light &amp; Light-Heavy Duty'!$G$15,IF(AND(B22="Van",C22="Gasoline"),'LCT - Light &amp; Light-Heavy Duty'!$C$10,IF(AND(B22="Van",C22="Hybrid"),'LCT - Light &amp; Light-Heavy Duty'!$D$10,IF(AND(B22="Van",C22="Plug-in Hybrid"),'LCT - Light &amp; Light-Heavy Duty'!$E$10,IF(AND(B22="Van",'Interim Water Delivery Inputs'!F29="Battery Electric"),'LCT - Light &amp; Light-Heavy Duty'!$F$10,IF(AND(B22="Van",C22="Fuel Cell Electric"),'LCT - Light &amp; Light-Heavy Duty'!$G$10,IF(AND(B22="Sedan",C22="Gasoline"),'LCT - Light &amp; Light-Heavy Duty'!$C$23,IF(AND(B22="Sedan",C22="Hybrid"),'LCT - Light &amp; Light-Heavy Duty'!$D$23,IF(AND(B22="Sedan",C22="Plug-in Hybrid"),'LCT - Light &amp; Light-Heavy Duty'!$D$23,IF(AND(B22="Sedan",'Interim Water Delivery Inputs'!F29="Battery Electric"),'LCT - Light &amp; Light-Heavy Duty'!$E$23,IF(AND(B22="Sedan",C22="Fuel Cell Electric"),'LCT - Light &amp; Light-Heavy Duty'!$F$23,""))))))))))))))))))</f>
        <v/>
      </c>
      <c r="H22" s="582" t="str">
        <f>IFERROR(((Table7[[#This Row],[GHG Emission Factor 
(g CO2e/mi)]]*Table7[[#This Row],[Total Annual VMT 
(Miles/Year)]])*1/1000000),"")</f>
        <v/>
      </c>
      <c r="I22" s="582" t="str">
        <f>IFERROR(Table7[[#This Row],[Annual Transportation GHG Emissions 
(MTCO2e/Year)]]*Table7[[#This Row],[Project Life
(Years)]],"")</f>
        <v/>
      </c>
      <c r="J22" s="582" t="str">
        <f>IF(AND(B22="Heavy Duty Truck",C22="Diesel"),'LCT - Heavy Duty'!$C$16,IF(AND(B22="Heavy Duty Truck",C22="Battery Electric"),'LCT - Heavy Duty'!$F$16,IF(AND(B22="Heavy Duty Truck",OR(C22="Natural Gas",C22="Propane")),'LCT - Heavy Duty'!$D$40,IF(AND(B22="Box Truck",C22="Gasoline"),'LCT - Light &amp; Light-Heavy Duty'!$C$16,IF(AND(B22="Box Truck",C22="Hybrid"),'LCT - Light &amp; Light-Heavy Duty'!$D$16,IF(AND(B22="Box Truck",C22="Plug-in Hybrid"),'LCT - Light &amp; Light-Heavy Duty'!$E$16,IF(AND(B22="Box Truck",C22="Battery Electric"),'LCT - Light &amp; Light-Heavy Duty'!$F$16,IF(AND(B22="Box Truck",C22="Fuel Cell Electric"),'LCT - Light &amp; Light-Heavy Duty'!$G$16,IF(AND(B22="Van",C22="Gasoline"),'LCT - Light &amp; Light-Heavy Duty'!$C$11,IF(AND(B22="Van",C22="Hybrid"),'LCT - Light &amp; Light-Heavy Duty'!$D$11,IF(AND(B22="Van",C22="Plug-in Hybrid"),'LCT - Light &amp; Light-Heavy Duty'!$E$11,IF(AND(B22="Van",'Interim Water Delivery Inputs'!F29="Battery Electric"),'LCT - Light &amp; Light-Heavy Duty'!$F$11,IF(AND(B22="Van",C22="Fuel Cell Electric"),'LCT - Light &amp; Light-Heavy Duty'!$G$11,IF(AND(B22="Sedan",C22="Gasoline"),'LCT - Light &amp; Light-Heavy Duty'!$C$24,IF(AND(B22="Sedan",C22="Hybrid"),'LCT - Light &amp; Light-Heavy Duty'!$D$24,IF(AND(B22="Sedan",C22="Plug-in Hybrid"),'LCT - Light &amp; Light-Heavy Duty'!$D$24,IF(AND(B22="Sedan",'Interim Water Delivery Inputs'!F29="Battery Electric"),'LCT - Light &amp; Light-Heavy Duty'!$E$24,IF(AND(B22="Sedan",C22="Fuel Cell Electric"),'LCT - Light &amp; Light-Heavy Duty'!$F$24,""))))))))))))))))))</f>
        <v/>
      </c>
      <c r="K22" s="582" t="str">
        <f>IFERROR(((Table7[[#This Row],[ROG Emission Factor
(g/mi)]]*Table7[[#This Row],[Total Annual VMT 
(Miles/Year)]])*1/454),"")</f>
        <v/>
      </c>
      <c r="L22" s="174" t="str">
        <f>IFERROR((Table7[[#This Row],[Annual ROG Emissions 
(lbs/year)]]*Table7[[#This Row],[Project Life
(Years)]]),"")</f>
        <v/>
      </c>
      <c r="M22" s="582" t="str">
        <f>IF(AND(B22="Heavy Duty Truck",C22="Diesel"),'LCT - Heavy Duty'!$C$17,IF(AND(B22="Heavy Duty Truck",C22="Battery Electric"),'LCT - Heavy Duty'!$F$17,IF(AND(B22="Heavy Duty Truck",OR(C22="Natural Gas",C22="Propane")),'LCT - Heavy Duty'!$D$41,IF(AND(B22="Box Truck",C22="Gasoline"),'LCT - Light &amp; Light-Heavy Duty'!$C$17,IF(AND(B22="Box Truck",C22="Hybrid"),'LCT - Light &amp; Light-Heavy Duty'!$D$17,IF(AND(B22="Box Truck",C22="Plug-in Hybrid"),'LCT - Light &amp; Light-Heavy Duty'!$E$17,IF(AND(B22="Box Truck",C22="Battery Electric"),'LCT - Light &amp; Light-Heavy Duty'!$F$17,IF(AND(B22="Box Truck",C22="Fuel Cell Electric"),'LCT - Light &amp; Light-Heavy Duty'!$G$17,IF(AND(B22="Van",C22="Gasoline"),'LCT - Light &amp; Light-Heavy Duty'!$C$12,IF(AND(B22="Van",C22="Hybrid"),'LCT - Light &amp; Light-Heavy Duty'!$D$12,IF(AND(B22="Van",C22="Plug-in Hybrid"),'LCT - Light &amp; Light-Heavy Duty'!$E$12,IF(AND(B22="Van",'Interim Water Delivery Inputs'!F29="Battery Electric"),'LCT - Light &amp; Light-Heavy Duty'!$F$12,IF(AND(B22="Van",C22="Fuel Cell Electric"),'LCT - Light &amp; Light-Heavy Duty'!$G$12,IF(AND(B22="Sedan",C22="Gasoline"),'LCT - Light &amp; Light-Heavy Duty'!$C$25,IF(AND(B22="Sedan",C22="Hybrid"),'LCT - Light &amp; Light-Heavy Duty'!$D$25,IF(AND(B22="Sedan",C22="Plug-in Hybrid"),'LCT - Light &amp; Light-Heavy Duty'!$D$25,IF(AND(B22="Sedan",'Interim Water Delivery Inputs'!F29="Battery Electric"),'LCT - Light &amp; Light-Heavy Duty'!$E$25,IF(AND(B22="Sedan",C22="Fuel Cell Electric"),'LCT - Light &amp; Light-Heavy Duty'!$F$25,""))))))))))))))))))</f>
        <v/>
      </c>
      <c r="N22" s="174" t="str">
        <f>IFERROR(((Table7[[#This Row],[NOx Emission Factor
(g/mi)]]*Table7[[#This Row],[Total Annual VMT 
(Miles/Year)]])*1/454),"")</f>
        <v/>
      </c>
      <c r="O22" s="174" t="str">
        <f>IFERROR((Table7[[#This Row],[Annual NOx Emissions 
(lbs/year)]]*Table7[[#This Row],[Project Life
(Years)]]),"")</f>
        <v/>
      </c>
      <c r="P22" s="174" t="str">
        <f>IF(AND(B22="Heavy Duty Truck",C22="Diesel"),'LCT - Heavy Duty'!$C$18,IF(AND(B22="Heavy Duty Truck",C22="Battery Electric"),'LCT - Heavy Duty'!$F$18,IF(AND(B22="Heavy Duty Truck",OR(C22="Natural Gas",C22="Propane")),'LCT - Heavy Duty'!$D$42,IF(AND(B22="Box Truck",C22="Gasoline"),'LCT - Light &amp; Light-Heavy Duty'!$C$18,IF(AND(B22="Box Truck",C22="Hybrid"),'LCT - Light &amp; Light-Heavy Duty'!$D$18,IF(AND(B22="Box Truck",C22="Plug-in Hybrid"),'LCT - Light &amp; Light-Heavy Duty'!$E$18,IF(AND(B22="Box Truck",C22="Battery Electric"),'LCT - Light &amp; Light-Heavy Duty'!$F$18,IF(AND(B22="Box Truck",C22="Fuel Cell Electric"),'LCT - Light &amp; Light-Heavy Duty'!$G$18,IF(AND(B22="Van",C22="Gasoline"),'LCT - Light &amp; Light-Heavy Duty'!$C$13,IF(AND(B22="Van",C22="Hybrid"),'LCT - Light &amp; Light-Heavy Duty'!$D$13,IF(AND(B22="Van",C22="Plug-in Hybrid"),'LCT - Light &amp; Light-Heavy Duty'!$E$13,IF(AND(B22="Van",'Interim Water Delivery Inputs'!F29="Battery Electric"),'LCT - Light &amp; Light-Heavy Duty'!$F$13,IF(AND(B22="Van",C22="Fuel Cell Electric"),'LCT - Light &amp; Light-Heavy Duty'!$G$13,IF(AND(B22="Sedan",C22="Gasoline"),'LCT - Light &amp; Light-Heavy Duty'!$C$26,IF(AND(B22="Sedan",C22="Hybrid"),'LCT - Light &amp; Light-Heavy Duty'!$D$26,IF(AND(B22="Sedan",C22="Plug-in Hybrid"),'LCT - Light &amp; Light-Heavy Duty'!$D$26,IF(AND(B22="Sedan",'Interim Water Delivery Inputs'!F29="Battery Electric"),'LCT - Light &amp; Light-Heavy Duty'!$E$26,IF(AND(B22="Sedan",C22="Fuel Cell Electric"),'LCT - Light &amp; Light-Heavy Duty'!$F$26,""))))))))))))))))))</f>
        <v/>
      </c>
      <c r="Q22" s="174" t="str">
        <f>IFERROR(((Table7[[#This Row],[PM2.5 Emission Factor
(g/mi)]]*Table7[[#This Row],[Total Annual VMT 
(Miles/Year)]])*1/454),"")</f>
        <v/>
      </c>
      <c r="R22" s="174" t="str">
        <f>IFERROR((Table7[[#This Row],[Annual PM2.5 Emissions 
(lbs/year)]]*Table7[[#This Row],[Project Life
(Years)]]),"")</f>
        <v/>
      </c>
      <c r="S22" s="174" t="str">
        <f>IF(AND(B22="Heavy Duty Truck",C22="Diesel"),'LCT - Heavy Duty'!$C$19,IF(AND(B22="Heavy Duty Truck",C22="Battery Electric"),'LCT - Heavy Duty'!$F$19,IF(AND(B22="Heavy Duty Truck",OR(C22="Natural Gas",C22="Propane")),'LCT - Heavy Duty'!$D$43,IF(AND(B22="Box Truck",C22="Gasoline"),'LCT - Light &amp; Light-Heavy Duty'!$C$19,IF(AND(B22="Box Truck",C22="Hybrid"),'LCT - Light &amp; Light-Heavy Duty'!$D$19,IF(AND(B22="Box Truck",C22="Plug-in Hybrid"),'LCT - Light &amp; Light-Heavy Duty'!$E$19,IF(AND(B22="Box Truck",C22="Battery Electric"),'LCT - Light &amp; Light-Heavy Duty'!$F$19,IF(AND(B22="Box Truck",C22="Fuel Cell Electric"),'LCT - Light &amp; Light-Heavy Duty'!$G$19,IF(AND(B22="Van",C22="Gasoline"),'LCT - Light &amp; Light-Heavy Duty'!$C$14,IF(AND(B22="Van",C22="Hybrid"),'LCT - Light &amp; Light-Heavy Duty'!$D$14,IF(AND(B22="Van",C22="Plug-in Hybrid"),'LCT - Light &amp; Light-Heavy Duty'!$E$14,IF(AND(B22="Van",'Interim Water Delivery Inputs'!F29="Battery Electric"),'LCT - Light &amp; Light-Heavy Duty'!$F$14,IF(AND(B22="Van",C22="Fuel Cell Electric"),'LCT - Light &amp; Light-Heavy Duty'!$G$14,IF(AND(B22="Sedan",C22="Gasoline"),'LCT - Light &amp; Light-Heavy Duty'!$C$27,IF(AND(B22="Sedan",C22="Hybrid"),'LCT - Light &amp; Light-Heavy Duty'!$D$27,IF(AND(B22="Sedan",C22="Plug-in Hybrid"),'LCT - Light &amp; Light-Heavy Duty'!$D$27,IF(AND(B22="Sedan",'Interim Water Delivery Inputs'!F29="Battery Electric"),'LCT - Light &amp; Light-Heavy Duty'!$E$27,IF(AND(B22="Sedan",C22="Fuel Cell Electric"),'LCT - Light &amp; Light-Heavy Duty'!$F$27,""))))))))))))))))))</f>
        <v/>
      </c>
      <c r="T22" s="174" t="str">
        <f>IFERROR(((Table7[[#This Row],[Diesel PM Emission Factor
(g/mi)]]*Table7[[#This Row],[Total Annual VMT 
(Miles/Year)]])*1/454),"")</f>
        <v/>
      </c>
      <c r="U22" s="186" t="str">
        <f>IFERROR((Table7[[#This Row],[Annual Diesel PM Emissions 
(lbs/year)]]*Table7[[#This Row],[Project Life
(Years)]]),"")</f>
        <v/>
      </c>
      <c r="V22" s="186" t="str">
        <f>IF(Table7[[#This Row],[Fuel Type]]="Diesel",Defaults!$C$42,IF(Table7[[#This Row],[Fuel Type]]="Natural Gas",Defaults!$C$42*'Fuel-Specific GHG'!C49,IF(Table7[[#This Row],[Fuel Type]]="Propane",Defaults!$C$42*'Fuel-Specific GHG'!C49,IF(AND(Table7[[#This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2"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2" s="583">
        <f>IF(OR(Table7[[#This Row],[Fuel Type]]="Diesel",Table7[[#This Row],[Fuel Type]]="Gasoline",Table7[[#This Row],[Fuel Type]]="Hybrid",Table7[[#This Row],[Fuel Type]]="Plug-in Hybrid",Table7[[#This Row],[Fuel Type]]="Natural Gas",Table7[[#This Row],[Fuel Type]]="Propane"),Table7[[#This Row],[Fuel Use 
(gal, Kwh, or kg)]],0)</f>
        <v>0</v>
      </c>
      <c r="Y22"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2" s="26">
        <f>IF(B22=0,0,IF('Project Info'!$C$33="",2023,YEAR('Project Info'!$C$33)))</f>
        <v>0</v>
      </c>
      <c r="AA22" s="193">
        <f>'Interim Water Delivery Inputs'!N29*Table7[[#This Row],[Project Life
(Years)]]</f>
        <v>0</v>
      </c>
      <c r="AB22" s="193">
        <f>Table7[[#This Row],[Column2]]*Defaults!$C$59*12</f>
        <v>0</v>
      </c>
      <c r="AC22" s="193">
        <f>Table7[[#This Row],[Column3]]*Defaults!$C$58</f>
        <v>0</v>
      </c>
      <c r="AD22" s="193">
        <f>IF(B22=0,0,Table7[[#This Row],[Column4]]*VLOOKUP(Table7[[#This Row],[Column1]],'Passenger Auto C&amp;T'!$B$45:$D$80,3,FALSE))</f>
        <v>0</v>
      </c>
      <c r="AE22" s="589">
        <f>Table7[[#This Row],[Column42]]*'Fuel Prices'!$C$11</f>
        <v>0</v>
      </c>
      <c r="AF22" s="590">
        <f>IF(B22=0,0,VLOOKUP(Table7[[#This Row],[Column1]],'Passenger Auto GHG'!$B$46:$D$81,3,FALSE))</f>
        <v>0</v>
      </c>
      <c r="AG22" s="591">
        <f>Table7[[#This Row],[Column5]]*Table7[[#This Row],[Column4]]/1000000</f>
        <v>0</v>
      </c>
      <c r="AH22" s="592">
        <f>IF(B22=0,0,VLOOKUP(Table7[[#This Row],[Column1]],'Passenger Auto C&amp;T'!$B$45:$L$80,4,FALSE))</f>
        <v>0</v>
      </c>
      <c r="AI22" s="593">
        <f>IF(B22=0,0,VLOOKUP(Table7[[#This Row],[Column1]],'Passenger Auto C&amp;T'!$B$45:$L$80,5,FALSE))</f>
        <v>0</v>
      </c>
      <c r="AJ22" s="593">
        <f>IF(B22=0,0,SUM(VLOOKUP(Table7[[#This Row],[Column1]],'Passenger Auto C&amp;T'!$B$45:$L$80,6,FALSE),VLOOKUP(Table7[[#This Row],[Column1]],'Passenger Auto C&amp;T'!$B$45:$L$80,7,FALSE),VLOOKUP(Table7[[#This Row],[Column1]],'Passenger Auto C&amp;T'!$B$45:$L$80,8,FALSE)))</f>
        <v>0</v>
      </c>
      <c r="AK22" s="594">
        <f>IF(B22=0,0,VLOOKUP(Table7[[#This Row],[Column1]],'Passenger Auto C&amp;T'!$B$45:$L$80,10,FALSE))</f>
        <v>0</v>
      </c>
      <c r="AL22" s="592">
        <f>Table7[[#This Row],[Column4]]*Table7[[#This Row],[Column7]]*0.00220462</f>
        <v>0</v>
      </c>
      <c r="AM22" s="593">
        <f>Table7[[#This Row],[Column4]]*Table7[[#This Row],[Column8]]*0.00220462</f>
        <v>0</v>
      </c>
      <c r="AN22" s="593">
        <f>Table7[[#This Row],[Column4]]*Table7[[#This Row],[Column9]]*0.00220462</f>
        <v>0</v>
      </c>
      <c r="AO22" s="595">
        <f>Table7[[#This Row],[Column4]]*Table7[[#This Row],[Column10]]*0.00220462</f>
        <v>0</v>
      </c>
      <c r="AP22" s="592">
        <f>IF(B22=0,0,Table7[[#This Row],[Column6]]-Table7[[#This Row],[Total Transportation GHG Emissions 
(MTCO2e)]])</f>
        <v>0</v>
      </c>
      <c r="AQ22" s="593">
        <f>IF(B22=0,0,Table7[[#This Row],[Column11]]-Table7[[#This Row],[Total ROG Emissions 
(lbs)]])</f>
        <v>0</v>
      </c>
      <c r="AR22" s="593">
        <f>IF(B22=0,0,Table7[[#This Row],[Column12]]-Table7[[#This Row],[Total NOx Emissions 
(lbs)]])</f>
        <v>0</v>
      </c>
      <c r="AS22" s="593">
        <f>IF(B22=0,0,Table7[[#This Row],[Column13]]-Table7[[#This Row],[Total PM2.5 Emissions 
(lbs)]])</f>
        <v>0</v>
      </c>
      <c r="AT22" s="596">
        <f>IF(B22=0,0,Table7[[#This Row],[Column14]]-Table7[[#This Row],[Total Diesel PM Emissions 
(lbs)]])</f>
        <v>0</v>
      </c>
      <c r="AU22" s="588">
        <f>IF(B22=0,0,Table7[[#This Row],[Column42]]-Table7[[#This Row],[Fuel Use 
(gal)]])</f>
        <v>0</v>
      </c>
      <c r="AV22" s="597">
        <f>IF(B22=0,0,Table7[[#This Row],[Column43]]-Table7[[#This Row],[Fuel Cost ($)]])</f>
        <v>0</v>
      </c>
    </row>
    <row r="23" spans="2:48" s="2" customFormat="1" ht="15.5" x14ac:dyDescent="0.35">
      <c r="B23" s="588">
        <f>'Interim Water Delivery Inputs'!D30</f>
        <v>0</v>
      </c>
      <c r="C23" s="580">
        <f>'Interim Water Delivery Inputs'!F30</f>
        <v>0</v>
      </c>
      <c r="D23" s="580">
        <f>'Interim Water Delivery Inputs'!H30</f>
        <v>0</v>
      </c>
      <c r="E23" s="581">
        <f>IF('Interim Water Delivery Inputs'!B30="",0,(IF('Interim Water Delivery Inputs'!J30="",(Defaults!$H$15*Table7[[#This Row],[Number of Identical Vehicles]]),'Interim Water Delivery Inputs'!J30)))</f>
        <v>0</v>
      </c>
      <c r="F23" s="581">
        <f>'Interim Water Delivery Inputs'!L30</f>
        <v>0</v>
      </c>
      <c r="G23" s="582" t="str">
        <f>IF(AND(B23="Heavy Duty Truck",C23="Diesel"),'LCT - Heavy Duty'!$C$15,IF(AND(B23="Heavy Duty Truck",C23="Battery Electric"),'LCT - Heavy Duty'!$F$15,IF(AND(B23="Heavy Duty Truck",OR(C23="Natural Gas",C23="Propane")),'LCT - Heavy Duty'!$D$39,IF(AND(B23="Box Truck",C23="Gasoline"),'LCT - Light &amp; Light-Heavy Duty'!$C$15,IF(AND(B23="Box Truck",C23="Hybrid"),'LCT - Light &amp; Light-Heavy Duty'!$D$15,IF(AND(B23="Box Truck",C23="Plug-in Hybrid"),'LCT - Light &amp; Light-Heavy Duty'!$E$15,IF(AND(B23="Box Truck",C23="Battery Electric"),'LCT - Light &amp; Light-Heavy Duty'!$F$15,IF(AND(B23="Box Truck",C23="Fuel Cell Electric"),'LCT - Light &amp; Light-Heavy Duty'!$G$15,IF(AND(B23="Van",C23="Gasoline"),'LCT - Light &amp; Light-Heavy Duty'!$C$10,IF(AND(B23="Van",C23="Hybrid"),'LCT - Light &amp; Light-Heavy Duty'!$D$10,IF(AND(B23="Van",C23="Plug-in Hybrid"),'LCT - Light &amp; Light-Heavy Duty'!$E$10,IF(AND(B23="Van",'Interim Water Delivery Inputs'!F30="Battery Electric"),'LCT - Light &amp; Light-Heavy Duty'!$F$10,IF(AND(B23="Van",C23="Fuel Cell Electric"),'LCT - Light &amp; Light-Heavy Duty'!$G$10,IF(AND(B23="Sedan",C23="Gasoline"),'LCT - Light &amp; Light-Heavy Duty'!$C$23,IF(AND(B23="Sedan",C23="Hybrid"),'LCT - Light &amp; Light-Heavy Duty'!$D$23,IF(AND(B23="Sedan",C23="Plug-in Hybrid"),'LCT - Light &amp; Light-Heavy Duty'!$D$23,IF(AND(B23="Sedan",'Interim Water Delivery Inputs'!F30="Battery Electric"),'LCT - Light &amp; Light-Heavy Duty'!$E$23,IF(AND(B23="Sedan",C23="Fuel Cell Electric"),'LCT - Light &amp; Light-Heavy Duty'!$F$23,""))))))))))))))))))</f>
        <v/>
      </c>
      <c r="H23" s="582" t="str">
        <f>IFERROR(((Table7[[#This Row],[GHG Emission Factor 
(g CO2e/mi)]]*Table7[[#This Row],[Total Annual VMT 
(Miles/Year)]])*1/1000000),"")</f>
        <v/>
      </c>
      <c r="I23" s="582" t="str">
        <f>IFERROR(Table7[[#This Row],[Annual Transportation GHG Emissions 
(MTCO2e/Year)]]*Table7[[#This Row],[Project Life
(Years)]],"")</f>
        <v/>
      </c>
      <c r="J23" s="582" t="str">
        <f>IF(AND(B23="Heavy Duty Truck",C23="Diesel"),'LCT - Heavy Duty'!$C$16,IF(AND(B23="Heavy Duty Truck",C23="Battery Electric"),'LCT - Heavy Duty'!$F$16,IF(AND(B23="Heavy Duty Truck",OR(C23="Natural Gas",C23="Propane")),'LCT - Heavy Duty'!$D$40,IF(AND(B23="Box Truck",C23="Gasoline"),'LCT - Light &amp; Light-Heavy Duty'!$C$16,IF(AND(B23="Box Truck",C23="Hybrid"),'LCT - Light &amp; Light-Heavy Duty'!$D$16,IF(AND(B23="Box Truck",C23="Plug-in Hybrid"),'LCT - Light &amp; Light-Heavy Duty'!$E$16,IF(AND(B23="Box Truck",C23="Battery Electric"),'LCT - Light &amp; Light-Heavy Duty'!$F$16,IF(AND(B23="Box Truck",C23="Fuel Cell Electric"),'LCT - Light &amp; Light-Heavy Duty'!$G$16,IF(AND(B23="Van",C23="Gasoline"),'LCT - Light &amp; Light-Heavy Duty'!$C$11,IF(AND(B23="Van",C23="Hybrid"),'LCT - Light &amp; Light-Heavy Duty'!$D$11,IF(AND(B23="Van",C23="Plug-in Hybrid"),'LCT - Light &amp; Light-Heavy Duty'!$E$11,IF(AND(B23="Van",'Interim Water Delivery Inputs'!F30="Battery Electric"),'LCT - Light &amp; Light-Heavy Duty'!$F$11,IF(AND(B23="Van",C23="Fuel Cell Electric"),'LCT - Light &amp; Light-Heavy Duty'!$G$11,IF(AND(B23="Sedan",C23="Gasoline"),'LCT - Light &amp; Light-Heavy Duty'!$C$24,IF(AND(B23="Sedan",C23="Hybrid"),'LCT - Light &amp; Light-Heavy Duty'!$D$24,IF(AND(B23="Sedan",C23="Plug-in Hybrid"),'LCT - Light &amp; Light-Heavy Duty'!$D$24,IF(AND(B23="Sedan",'Interim Water Delivery Inputs'!F30="Battery Electric"),'LCT - Light &amp; Light-Heavy Duty'!$E$24,IF(AND(B23="Sedan",C23="Fuel Cell Electric"),'LCT - Light &amp; Light-Heavy Duty'!$F$24,""))))))))))))))))))</f>
        <v/>
      </c>
      <c r="K23" s="582" t="str">
        <f>IFERROR(((Table7[[#This Row],[ROG Emission Factor
(g/mi)]]*Table7[[#This Row],[Total Annual VMT 
(Miles/Year)]])*1/454),"")</f>
        <v/>
      </c>
      <c r="L23" s="174" t="str">
        <f>IFERROR((Table7[[#This Row],[Annual ROG Emissions 
(lbs/year)]]*Table7[[#This Row],[Project Life
(Years)]]),"")</f>
        <v/>
      </c>
      <c r="M23" s="582" t="str">
        <f>IF(AND(B23="Heavy Duty Truck",C23="Diesel"),'LCT - Heavy Duty'!$C$17,IF(AND(B23="Heavy Duty Truck",C23="Battery Electric"),'LCT - Heavy Duty'!$F$17,IF(AND(B23="Heavy Duty Truck",OR(C23="Natural Gas",C23="Propane")),'LCT - Heavy Duty'!$D$41,IF(AND(B23="Box Truck",C23="Gasoline"),'LCT - Light &amp; Light-Heavy Duty'!$C$17,IF(AND(B23="Box Truck",C23="Hybrid"),'LCT - Light &amp; Light-Heavy Duty'!$D$17,IF(AND(B23="Box Truck",C23="Plug-in Hybrid"),'LCT - Light &amp; Light-Heavy Duty'!$E$17,IF(AND(B23="Box Truck",C23="Battery Electric"),'LCT - Light &amp; Light-Heavy Duty'!$F$17,IF(AND(B23="Box Truck",C23="Fuel Cell Electric"),'LCT - Light &amp; Light-Heavy Duty'!$G$17,IF(AND(B23="Van",C23="Gasoline"),'LCT - Light &amp; Light-Heavy Duty'!$C$12,IF(AND(B23="Van",C23="Hybrid"),'LCT - Light &amp; Light-Heavy Duty'!$D$12,IF(AND(B23="Van",C23="Plug-in Hybrid"),'LCT - Light &amp; Light-Heavy Duty'!$E$12,IF(AND(B23="Van",'Interim Water Delivery Inputs'!F30="Battery Electric"),'LCT - Light &amp; Light-Heavy Duty'!$F$12,IF(AND(B23="Van",C23="Fuel Cell Electric"),'LCT - Light &amp; Light-Heavy Duty'!$G$12,IF(AND(B23="Sedan",C23="Gasoline"),'LCT - Light &amp; Light-Heavy Duty'!$C$25,IF(AND(B23="Sedan",C23="Hybrid"),'LCT - Light &amp; Light-Heavy Duty'!$D$25,IF(AND(B23="Sedan",C23="Plug-in Hybrid"),'LCT - Light &amp; Light-Heavy Duty'!$D$25,IF(AND(B23="Sedan",'Interim Water Delivery Inputs'!F30="Battery Electric"),'LCT - Light &amp; Light-Heavy Duty'!$E$25,IF(AND(B23="Sedan",C23="Fuel Cell Electric"),'LCT - Light &amp; Light-Heavy Duty'!$F$25,""))))))))))))))))))</f>
        <v/>
      </c>
      <c r="N23" s="174" t="str">
        <f>IFERROR(((Table7[[#This Row],[NOx Emission Factor
(g/mi)]]*Table7[[#This Row],[Total Annual VMT 
(Miles/Year)]])*1/454),"")</f>
        <v/>
      </c>
      <c r="O23" s="174" t="str">
        <f>IFERROR((Table7[[#This Row],[Annual NOx Emissions 
(lbs/year)]]*Table7[[#This Row],[Project Life
(Years)]]),"")</f>
        <v/>
      </c>
      <c r="P23" s="174" t="str">
        <f>IF(AND(B23="Heavy Duty Truck",C23="Diesel"),'LCT - Heavy Duty'!$C$18,IF(AND(B23="Heavy Duty Truck",C23="Battery Electric"),'LCT - Heavy Duty'!$F$18,IF(AND(B23="Heavy Duty Truck",OR(C23="Natural Gas",C23="Propane")),'LCT - Heavy Duty'!$D$42,IF(AND(B23="Box Truck",C23="Gasoline"),'LCT - Light &amp; Light-Heavy Duty'!$C$18,IF(AND(B23="Box Truck",C23="Hybrid"),'LCT - Light &amp; Light-Heavy Duty'!$D$18,IF(AND(B23="Box Truck",C23="Plug-in Hybrid"),'LCT - Light &amp; Light-Heavy Duty'!$E$18,IF(AND(B23="Box Truck",C23="Battery Electric"),'LCT - Light &amp; Light-Heavy Duty'!$F$18,IF(AND(B23="Box Truck",C23="Fuel Cell Electric"),'LCT - Light &amp; Light-Heavy Duty'!$G$18,IF(AND(B23="Van",C23="Gasoline"),'LCT - Light &amp; Light-Heavy Duty'!$C$13,IF(AND(B23="Van",C23="Hybrid"),'LCT - Light &amp; Light-Heavy Duty'!$D$13,IF(AND(B23="Van",C23="Plug-in Hybrid"),'LCT - Light &amp; Light-Heavy Duty'!$E$13,IF(AND(B23="Van",'Interim Water Delivery Inputs'!F30="Battery Electric"),'LCT - Light &amp; Light-Heavy Duty'!$F$13,IF(AND(B23="Van",C23="Fuel Cell Electric"),'LCT - Light &amp; Light-Heavy Duty'!$G$13,IF(AND(B23="Sedan",C23="Gasoline"),'LCT - Light &amp; Light-Heavy Duty'!$C$26,IF(AND(B23="Sedan",C23="Hybrid"),'LCT - Light &amp; Light-Heavy Duty'!$D$26,IF(AND(B23="Sedan",C23="Plug-in Hybrid"),'LCT - Light &amp; Light-Heavy Duty'!$D$26,IF(AND(B23="Sedan",'Interim Water Delivery Inputs'!F30="Battery Electric"),'LCT - Light &amp; Light-Heavy Duty'!$E$26,IF(AND(B23="Sedan",C23="Fuel Cell Electric"),'LCT - Light &amp; Light-Heavy Duty'!$F$26,""))))))))))))))))))</f>
        <v/>
      </c>
      <c r="Q23" s="174" t="str">
        <f>IFERROR(((Table7[[#This Row],[PM2.5 Emission Factor
(g/mi)]]*Table7[[#This Row],[Total Annual VMT 
(Miles/Year)]])*1/454),"")</f>
        <v/>
      </c>
      <c r="R23" s="174" t="str">
        <f>IFERROR((Table7[[#This Row],[Annual PM2.5 Emissions 
(lbs/year)]]*Table7[[#This Row],[Project Life
(Years)]]),"")</f>
        <v/>
      </c>
      <c r="S23" s="174" t="str">
        <f>IF(AND(B23="Heavy Duty Truck",C23="Diesel"),'LCT - Heavy Duty'!$C$19,IF(AND(B23="Heavy Duty Truck",C23="Battery Electric"),'LCT - Heavy Duty'!$F$19,IF(AND(B23="Heavy Duty Truck",OR(C23="Natural Gas",C23="Propane")),'LCT - Heavy Duty'!$D$43,IF(AND(B23="Box Truck",C23="Gasoline"),'LCT - Light &amp; Light-Heavy Duty'!$C$19,IF(AND(B23="Box Truck",C23="Hybrid"),'LCT - Light &amp; Light-Heavy Duty'!$D$19,IF(AND(B23="Box Truck",C23="Plug-in Hybrid"),'LCT - Light &amp; Light-Heavy Duty'!$E$19,IF(AND(B23="Box Truck",C23="Battery Electric"),'LCT - Light &amp; Light-Heavy Duty'!$F$19,IF(AND(B23="Box Truck",C23="Fuel Cell Electric"),'LCT - Light &amp; Light-Heavy Duty'!$G$19,IF(AND(B23="Van",C23="Gasoline"),'LCT - Light &amp; Light-Heavy Duty'!$C$14,IF(AND(B23="Van",C23="Hybrid"),'LCT - Light &amp; Light-Heavy Duty'!$D$14,IF(AND(B23="Van",C23="Plug-in Hybrid"),'LCT - Light &amp; Light-Heavy Duty'!$E$14,IF(AND(B23="Van",'Interim Water Delivery Inputs'!F30="Battery Electric"),'LCT - Light &amp; Light-Heavy Duty'!$F$14,IF(AND(B23="Van",C23="Fuel Cell Electric"),'LCT - Light &amp; Light-Heavy Duty'!$G$14,IF(AND(B23="Sedan",C23="Gasoline"),'LCT - Light &amp; Light-Heavy Duty'!$C$27,IF(AND(B23="Sedan",C23="Hybrid"),'LCT - Light &amp; Light-Heavy Duty'!$D$27,IF(AND(B23="Sedan",C23="Plug-in Hybrid"),'LCT - Light &amp; Light-Heavy Duty'!$D$27,IF(AND(B23="Sedan",'Interim Water Delivery Inputs'!F30="Battery Electric"),'LCT - Light &amp; Light-Heavy Duty'!$E$27,IF(AND(B23="Sedan",C23="Fuel Cell Electric"),'LCT - Light &amp; Light-Heavy Duty'!$F$27,""))))))))))))))))))</f>
        <v/>
      </c>
      <c r="T23" s="174" t="str">
        <f>IFERROR(((Table7[[#This Row],[Diesel PM Emission Factor
(g/mi)]]*Table7[[#This Row],[Total Annual VMT 
(Miles/Year)]])*1/454),"")</f>
        <v/>
      </c>
      <c r="U23" s="186" t="str">
        <f>IFERROR((Table7[[#This Row],[Annual Diesel PM Emissions 
(lbs/year)]]*Table7[[#This Row],[Project Life
(Years)]]),"")</f>
        <v/>
      </c>
      <c r="V23" s="186" t="str">
        <f>IF(Table7[[#This Row],[Fuel Type]]="Diesel",Defaults!$C$42,IF(Table7[[#This Row],[Fuel Type]]="Natural Gas",Defaults!$C$42*'Fuel-Specific GHG'!C50,IF(Table7[[#This Row],[Fuel Type]]="Propane",Defaults!$C$42*'Fuel-Specific GHG'!C50,IF(AND(Table7[[#This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3"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3" s="583">
        <f>IF(OR(Table7[[#This Row],[Fuel Type]]="Diesel",Table7[[#This Row],[Fuel Type]]="Gasoline",Table7[[#This Row],[Fuel Type]]="Hybrid",Table7[[#This Row],[Fuel Type]]="Plug-in Hybrid",Table7[[#This Row],[Fuel Type]]="Natural Gas",Table7[[#This Row],[Fuel Type]]="Propane"),Table7[[#This Row],[Fuel Use 
(gal, Kwh, or kg)]],0)</f>
        <v>0</v>
      </c>
      <c r="Y23"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3" s="26">
        <f>IF(B23=0,0,IF('Project Info'!$C$33="",2023,YEAR('Project Info'!$C$33)))</f>
        <v>0</v>
      </c>
      <c r="AA23" s="193">
        <f>'Interim Water Delivery Inputs'!N30*Table7[[#This Row],[Project Life
(Years)]]</f>
        <v>0</v>
      </c>
      <c r="AB23" s="193">
        <f>Table7[[#This Row],[Column2]]*Defaults!$C$59*12</f>
        <v>0</v>
      </c>
      <c r="AC23" s="193">
        <f>Table7[[#This Row],[Column3]]*Defaults!$C$58</f>
        <v>0</v>
      </c>
      <c r="AD23" s="193">
        <f>IF(B23=0,0,Table7[[#This Row],[Column4]]*VLOOKUP(Table7[[#This Row],[Column1]],'Passenger Auto C&amp;T'!$B$45:$D$80,3,FALSE))</f>
        <v>0</v>
      </c>
      <c r="AE23" s="589">
        <f>Table7[[#This Row],[Column42]]*'Fuel Prices'!$C$11</f>
        <v>0</v>
      </c>
      <c r="AF23" s="590">
        <f>IF(B23=0,0,VLOOKUP(Table7[[#This Row],[Column1]],'Passenger Auto GHG'!$B$46:$D$81,3,FALSE))</f>
        <v>0</v>
      </c>
      <c r="AG23" s="591">
        <f>Table7[[#This Row],[Column5]]*Table7[[#This Row],[Column4]]/1000000</f>
        <v>0</v>
      </c>
      <c r="AH23" s="592">
        <f>IF(B23=0,0,VLOOKUP(Table7[[#This Row],[Column1]],'Passenger Auto C&amp;T'!$B$45:$L$80,4,FALSE))</f>
        <v>0</v>
      </c>
      <c r="AI23" s="593">
        <f>IF(B23=0,0,VLOOKUP(Table7[[#This Row],[Column1]],'Passenger Auto C&amp;T'!$B$45:$L$80,5,FALSE))</f>
        <v>0</v>
      </c>
      <c r="AJ23" s="593">
        <f>IF(B23=0,0,SUM(VLOOKUP(Table7[[#This Row],[Column1]],'Passenger Auto C&amp;T'!$B$45:$L$80,6,FALSE),VLOOKUP(Table7[[#This Row],[Column1]],'Passenger Auto C&amp;T'!$B$45:$L$80,7,FALSE),VLOOKUP(Table7[[#This Row],[Column1]],'Passenger Auto C&amp;T'!$B$45:$L$80,8,FALSE)))</f>
        <v>0</v>
      </c>
      <c r="AK23" s="594">
        <f>IF(B23=0,0,VLOOKUP(Table7[[#This Row],[Column1]],'Passenger Auto C&amp;T'!$B$45:$L$80,10,FALSE))</f>
        <v>0</v>
      </c>
      <c r="AL23" s="592">
        <f>Table7[[#This Row],[Column4]]*Table7[[#This Row],[Column7]]*0.00220462</f>
        <v>0</v>
      </c>
      <c r="AM23" s="593">
        <f>Table7[[#This Row],[Column4]]*Table7[[#This Row],[Column8]]*0.00220462</f>
        <v>0</v>
      </c>
      <c r="AN23" s="593">
        <f>Table7[[#This Row],[Column4]]*Table7[[#This Row],[Column9]]*0.00220462</f>
        <v>0</v>
      </c>
      <c r="AO23" s="595">
        <f>Table7[[#This Row],[Column4]]*Table7[[#This Row],[Column10]]*0.00220462</f>
        <v>0</v>
      </c>
      <c r="AP23" s="592">
        <f>IF(B23=0,0,Table7[[#This Row],[Column6]]-Table7[[#This Row],[Total Transportation GHG Emissions 
(MTCO2e)]])</f>
        <v>0</v>
      </c>
      <c r="AQ23" s="593">
        <f>IF(B23=0,0,Table7[[#This Row],[Column11]]-Table7[[#This Row],[Total ROG Emissions 
(lbs)]])</f>
        <v>0</v>
      </c>
      <c r="AR23" s="593">
        <f>IF(B23=0,0,Table7[[#This Row],[Column12]]-Table7[[#This Row],[Total NOx Emissions 
(lbs)]])</f>
        <v>0</v>
      </c>
      <c r="AS23" s="593">
        <f>IF(B23=0,0,Table7[[#This Row],[Column13]]-Table7[[#This Row],[Total PM2.5 Emissions 
(lbs)]])</f>
        <v>0</v>
      </c>
      <c r="AT23" s="596">
        <f>IF(B23=0,0,Table7[[#This Row],[Column14]]-Table7[[#This Row],[Total Diesel PM Emissions 
(lbs)]])</f>
        <v>0</v>
      </c>
      <c r="AU23" s="588">
        <f>IF(B23=0,0,Table7[[#This Row],[Column42]]-Table7[[#This Row],[Fuel Use 
(gal)]])</f>
        <v>0</v>
      </c>
      <c r="AV23" s="597">
        <f>IF(B23=0,0,Table7[[#This Row],[Column43]]-Table7[[#This Row],[Fuel Cost ($)]])</f>
        <v>0</v>
      </c>
    </row>
    <row r="24" spans="2:48" s="2" customFormat="1" ht="15.5" x14ac:dyDescent="0.35">
      <c r="B24" s="588">
        <f>'Interim Water Delivery Inputs'!D31</f>
        <v>0</v>
      </c>
      <c r="C24" s="580">
        <f>'Interim Water Delivery Inputs'!F31</f>
        <v>0</v>
      </c>
      <c r="D24" s="580">
        <f>'Interim Water Delivery Inputs'!H31</f>
        <v>0</v>
      </c>
      <c r="E24" s="581">
        <f>IF('Interim Water Delivery Inputs'!B31="",0,(IF('Interim Water Delivery Inputs'!J31="",(Defaults!$H$15*Table7[[#This Row],[Number of Identical Vehicles]]),'Interim Water Delivery Inputs'!J31)))</f>
        <v>0</v>
      </c>
      <c r="F24" s="581">
        <f>'Interim Water Delivery Inputs'!L31</f>
        <v>0</v>
      </c>
      <c r="G24" s="582" t="str">
        <f>IF(AND(B24="Heavy Duty Truck",C24="Diesel"),'LCT - Heavy Duty'!$C$15,IF(AND(B24="Heavy Duty Truck",C24="Battery Electric"),'LCT - Heavy Duty'!$F$15,IF(AND(B24="Heavy Duty Truck",OR(C24="Natural Gas",C24="Propane")),'LCT - Heavy Duty'!$D$39,IF(AND(B24="Box Truck",C24="Gasoline"),'LCT - Light &amp; Light-Heavy Duty'!$C$15,IF(AND(B24="Box Truck",C24="Hybrid"),'LCT - Light &amp; Light-Heavy Duty'!$D$15,IF(AND(B24="Box Truck",C24="Plug-in Hybrid"),'LCT - Light &amp; Light-Heavy Duty'!$E$15,IF(AND(B24="Box Truck",C24="Battery Electric"),'LCT - Light &amp; Light-Heavy Duty'!$F$15,IF(AND(B24="Box Truck",C24="Fuel Cell Electric"),'LCT - Light &amp; Light-Heavy Duty'!$G$15,IF(AND(B24="Van",C24="Gasoline"),'LCT - Light &amp; Light-Heavy Duty'!$C$10,IF(AND(B24="Van",C24="Hybrid"),'LCT - Light &amp; Light-Heavy Duty'!$D$10,IF(AND(B24="Van",C24="Plug-in Hybrid"),'LCT - Light &amp; Light-Heavy Duty'!$E$10,IF(AND(B24="Van",'Interim Water Delivery Inputs'!F31="Battery Electric"),'LCT - Light &amp; Light-Heavy Duty'!$F$10,IF(AND(B24="Van",C24="Fuel Cell Electric"),'LCT - Light &amp; Light-Heavy Duty'!$G$10,IF(AND(B24="Sedan",C24="Gasoline"),'LCT - Light &amp; Light-Heavy Duty'!$C$23,IF(AND(B24="Sedan",C24="Hybrid"),'LCT - Light &amp; Light-Heavy Duty'!$D$23,IF(AND(B24="Sedan",C24="Plug-in Hybrid"),'LCT - Light &amp; Light-Heavy Duty'!$D$23,IF(AND(B24="Sedan",'Interim Water Delivery Inputs'!F31="Battery Electric"),'LCT - Light &amp; Light-Heavy Duty'!$E$23,IF(AND(B24="Sedan",C24="Fuel Cell Electric"),'LCT - Light &amp; Light-Heavy Duty'!$F$23,""))))))))))))))))))</f>
        <v/>
      </c>
      <c r="H24" s="582" t="str">
        <f>IFERROR(((Table7[[#This Row],[GHG Emission Factor 
(g CO2e/mi)]]*Table7[[#This Row],[Total Annual VMT 
(Miles/Year)]])*1/1000000),"")</f>
        <v/>
      </c>
      <c r="I24" s="582" t="str">
        <f>IFERROR(Table7[[#This Row],[Annual Transportation GHG Emissions 
(MTCO2e/Year)]]*Table7[[#This Row],[Project Life
(Years)]],"")</f>
        <v/>
      </c>
      <c r="J24" s="582" t="str">
        <f>IF(AND(B24="Heavy Duty Truck",C24="Diesel"),'LCT - Heavy Duty'!$C$16,IF(AND(B24="Heavy Duty Truck",C24="Battery Electric"),'LCT - Heavy Duty'!$F$16,IF(AND(B24="Heavy Duty Truck",OR(C24="Natural Gas",C24="Propane")),'LCT - Heavy Duty'!$D$40,IF(AND(B24="Box Truck",C24="Gasoline"),'LCT - Light &amp; Light-Heavy Duty'!$C$16,IF(AND(B24="Box Truck",C24="Hybrid"),'LCT - Light &amp; Light-Heavy Duty'!$D$16,IF(AND(B24="Box Truck",C24="Plug-in Hybrid"),'LCT - Light &amp; Light-Heavy Duty'!$E$16,IF(AND(B24="Box Truck",C24="Battery Electric"),'LCT - Light &amp; Light-Heavy Duty'!$F$16,IF(AND(B24="Box Truck",C24="Fuel Cell Electric"),'LCT - Light &amp; Light-Heavy Duty'!$G$16,IF(AND(B24="Van",C24="Gasoline"),'LCT - Light &amp; Light-Heavy Duty'!$C$11,IF(AND(B24="Van",C24="Hybrid"),'LCT - Light &amp; Light-Heavy Duty'!$D$11,IF(AND(B24="Van",C24="Plug-in Hybrid"),'LCT - Light &amp; Light-Heavy Duty'!$E$11,IF(AND(B24="Van",'Interim Water Delivery Inputs'!F31="Battery Electric"),'LCT - Light &amp; Light-Heavy Duty'!$F$11,IF(AND(B24="Van",C24="Fuel Cell Electric"),'LCT - Light &amp; Light-Heavy Duty'!$G$11,IF(AND(B24="Sedan",C24="Gasoline"),'LCT - Light &amp; Light-Heavy Duty'!$C$24,IF(AND(B24="Sedan",C24="Hybrid"),'LCT - Light &amp; Light-Heavy Duty'!$D$24,IF(AND(B24="Sedan",C24="Plug-in Hybrid"),'LCT - Light &amp; Light-Heavy Duty'!$D$24,IF(AND(B24="Sedan",'Interim Water Delivery Inputs'!F31="Battery Electric"),'LCT - Light &amp; Light-Heavy Duty'!$E$24,IF(AND(B24="Sedan",C24="Fuel Cell Electric"),'LCT - Light &amp; Light-Heavy Duty'!$F$24,""))))))))))))))))))</f>
        <v/>
      </c>
      <c r="K24" s="582" t="str">
        <f>IFERROR(((Table7[[#This Row],[ROG Emission Factor
(g/mi)]]*Table7[[#This Row],[Total Annual VMT 
(Miles/Year)]])*1/454),"")</f>
        <v/>
      </c>
      <c r="L24" s="174" t="str">
        <f>IFERROR((Table7[[#This Row],[Annual ROG Emissions 
(lbs/year)]]*Table7[[#This Row],[Project Life
(Years)]]),"")</f>
        <v/>
      </c>
      <c r="M24" s="582" t="str">
        <f>IF(AND(B24="Heavy Duty Truck",C24="Diesel"),'LCT - Heavy Duty'!$C$17,IF(AND(B24="Heavy Duty Truck",C24="Battery Electric"),'LCT - Heavy Duty'!$F$17,IF(AND(B24="Heavy Duty Truck",OR(C24="Natural Gas",C24="Propane")),'LCT - Heavy Duty'!$D$41,IF(AND(B24="Box Truck",C24="Gasoline"),'LCT - Light &amp; Light-Heavy Duty'!$C$17,IF(AND(B24="Box Truck",C24="Hybrid"),'LCT - Light &amp; Light-Heavy Duty'!$D$17,IF(AND(B24="Box Truck",C24="Plug-in Hybrid"),'LCT - Light &amp; Light-Heavy Duty'!$E$17,IF(AND(B24="Box Truck",C24="Battery Electric"),'LCT - Light &amp; Light-Heavy Duty'!$F$17,IF(AND(B24="Box Truck",C24="Fuel Cell Electric"),'LCT - Light &amp; Light-Heavy Duty'!$G$17,IF(AND(B24="Van",C24="Gasoline"),'LCT - Light &amp; Light-Heavy Duty'!$C$12,IF(AND(B24="Van",C24="Hybrid"),'LCT - Light &amp; Light-Heavy Duty'!$D$12,IF(AND(B24="Van",C24="Plug-in Hybrid"),'LCT - Light &amp; Light-Heavy Duty'!$E$12,IF(AND(B24="Van",'Interim Water Delivery Inputs'!F31="Battery Electric"),'LCT - Light &amp; Light-Heavy Duty'!$F$12,IF(AND(B24="Van",C24="Fuel Cell Electric"),'LCT - Light &amp; Light-Heavy Duty'!$G$12,IF(AND(B24="Sedan",C24="Gasoline"),'LCT - Light &amp; Light-Heavy Duty'!$C$25,IF(AND(B24="Sedan",C24="Hybrid"),'LCT - Light &amp; Light-Heavy Duty'!$D$25,IF(AND(B24="Sedan",C24="Plug-in Hybrid"),'LCT - Light &amp; Light-Heavy Duty'!$D$25,IF(AND(B24="Sedan",'Interim Water Delivery Inputs'!F31="Battery Electric"),'LCT - Light &amp; Light-Heavy Duty'!$E$25,IF(AND(B24="Sedan",C24="Fuel Cell Electric"),'LCT - Light &amp; Light-Heavy Duty'!$F$25,""))))))))))))))))))</f>
        <v/>
      </c>
      <c r="N24" s="174" t="str">
        <f>IFERROR(((Table7[[#This Row],[NOx Emission Factor
(g/mi)]]*Table7[[#This Row],[Total Annual VMT 
(Miles/Year)]])*1/454),"")</f>
        <v/>
      </c>
      <c r="O24" s="174" t="str">
        <f>IFERROR((Table7[[#This Row],[Annual NOx Emissions 
(lbs/year)]]*Table7[[#This Row],[Project Life
(Years)]]),"")</f>
        <v/>
      </c>
      <c r="P24" s="174" t="str">
        <f>IF(AND(B24="Heavy Duty Truck",C24="Diesel"),'LCT - Heavy Duty'!$C$18,IF(AND(B24="Heavy Duty Truck",C24="Battery Electric"),'LCT - Heavy Duty'!$F$18,IF(AND(B24="Heavy Duty Truck",OR(C24="Natural Gas",C24="Propane")),'LCT - Heavy Duty'!$D$42,IF(AND(B24="Box Truck",C24="Gasoline"),'LCT - Light &amp; Light-Heavy Duty'!$C$18,IF(AND(B24="Box Truck",C24="Hybrid"),'LCT - Light &amp; Light-Heavy Duty'!$D$18,IF(AND(B24="Box Truck",C24="Plug-in Hybrid"),'LCT - Light &amp; Light-Heavy Duty'!$E$18,IF(AND(B24="Box Truck",C24="Battery Electric"),'LCT - Light &amp; Light-Heavy Duty'!$F$18,IF(AND(B24="Box Truck",C24="Fuel Cell Electric"),'LCT - Light &amp; Light-Heavy Duty'!$G$18,IF(AND(B24="Van",C24="Gasoline"),'LCT - Light &amp; Light-Heavy Duty'!$C$13,IF(AND(B24="Van",C24="Hybrid"),'LCT - Light &amp; Light-Heavy Duty'!$D$13,IF(AND(B24="Van",C24="Plug-in Hybrid"),'LCT - Light &amp; Light-Heavy Duty'!$E$13,IF(AND(B24="Van",'Interim Water Delivery Inputs'!F31="Battery Electric"),'LCT - Light &amp; Light-Heavy Duty'!$F$13,IF(AND(B24="Van",C24="Fuel Cell Electric"),'LCT - Light &amp; Light-Heavy Duty'!$G$13,IF(AND(B24="Sedan",C24="Gasoline"),'LCT - Light &amp; Light-Heavy Duty'!$C$26,IF(AND(B24="Sedan",C24="Hybrid"),'LCT - Light &amp; Light-Heavy Duty'!$D$26,IF(AND(B24="Sedan",C24="Plug-in Hybrid"),'LCT - Light &amp; Light-Heavy Duty'!$D$26,IF(AND(B24="Sedan",'Interim Water Delivery Inputs'!F31="Battery Electric"),'LCT - Light &amp; Light-Heavy Duty'!$E$26,IF(AND(B24="Sedan",C24="Fuel Cell Electric"),'LCT - Light &amp; Light-Heavy Duty'!$F$26,""))))))))))))))))))</f>
        <v/>
      </c>
      <c r="Q24" s="174" t="str">
        <f>IFERROR(((Table7[[#This Row],[PM2.5 Emission Factor
(g/mi)]]*Table7[[#This Row],[Total Annual VMT 
(Miles/Year)]])*1/454),"")</f>
        <v/>
      </c>
      <c r="R24" s="174" t="str">
        <f>IFERROR((Table7[[#This Row],[Annual PM2.5 Emissions 
(lbs/year)]]*Table7[[#This Row],[Project Life
(Years)]]),"")</f>
        <v/>
      </c>
      <c r="S24" s="174" t="str">
        <f>IF(AND(B24="Heavy Duty Truck",C24="Diesel"),'LCT - Heavy Duty'!$C$19,IF(AND(B24="Heavy Duty Truck",C24="Battery Electric"),'LCT - Heavy Duty'!$F$19,IF(AND(B24="Heavy Duty Truck",OR(C24="Natural Gas",C24="Propane")),'LCT - Heavy Duty'!$D$43,IF(AND(B24="Box Truck",C24="Gasoline"),'LCT - Light &amp; Light-Heavy Duty'!$C$19,IF(AND(B24="Box Truck",C24="Hybrid"),'LCT - Light &amp; Light-Heavy Duty'!$D$19,IF(AND(B24="Box Truck",C24="Plug-in Hybrid"),'LCT - Light &amp; Light-Heavy Duty'!$E$19,IF(AND(B24="Box Truck",C24="Battery Electric"),'LCT - Light &amp; Light-Heavy Duty'!$F$19,IF(AND(B24="Box Truck",C24="Fuel Cell Electric"),'LCT - Light &amp; Light-Heavy Duty'!$G$19,IF(AND(B24="Van",C24="Gasoline"),'LCT - Light &amp; Light-Heavy Duty'!$C$14,IF(AND(B24="Van",C24="Hybrid"),'LCT - Light &amp; Light-Heavy Duty'!$D$14,IF(AND(B24="Van",C24="Plug-in Hybrid"),'LCT - Light &amp; Light-Heavy Duty'!$E$14,IF(AND(B24="Van",'Interim Water Delivery Inputs'!F31="Battery Electric"),'LCT - Light &amp; Light-Heavy Duty'!$F$14,IF(AND(B24="Van",C24="Fuel Cell Electric"),'LCT - Light &amp; Light-Heavy Duty'!$G$14,IF(AND(B24="Sedan",C24="Gasoline"),'LCT - Light &amp; Light-Heavy Duty'!$C$27,IF(AND(B24="Sedan",C24="Hybrid"),'LCT - Light &amp; Light-Heavy Duty'!$D$27,IF(AND(B24="Sedan",C24="Plug-in Hybrid"),'LCT - Light &amp; Light-Heavy Duty'!$D$27,IF(AND(B24="Sedan",'Interim Water Delivery Inputs'!F31="Battery Electric"),'LCT - Light &amp; Light-Heavy Duty'!$E$27,IF(AND(B24="Sedan",C24="Fuel Cell Electric"),'LCT - Light &amp; Light-Heavy Duty'!$F$27,""))))))))))))))))))</f>
        <v/>
      </c>
      <c r="T24" s="174" t="str">
        <f>IFERROR(((Table7[[#This Row],[Diesel PM Emission Factor
(g/mi)]]*Table7[[#This Row],[Total Annual VMT 
(Miles/Year)]])*1/454),"")</f>
        <v/>
      </c>
      <c r="U24" s="186" t="str">
        <f>IFERROR((Table7[[#This Row],[Annual Diesel PM Emissions 
(lbs/year)]]*Table7[[#This Row],[Project Life
(Years)]]),"")</f>
        <v/>
      </c>
      <c r="V24" s="186" t="str">
        <f>IF(Table7[[#This Row],[Fuel Type]]="Diesel",Defaults!$C$42,IF(Table7[[#This Row],[Fuel Type]]="Natural Gas",Defaults!$C$42*'Fuel-Specific GHG'!C51,IF(Table7[[#This Row],[Fuel Type]]="Propane",Defaults!$C$42*'Fuel-Specific GHG'!C51,IF(AND(Table7[[#This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4"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4" s="583">
        <f>IF(OR(Table7[[#This Row],[Fuel Type]]="Diesel",Table7[[#This Row],[Fuel Type]]="Gasoline",Table7[[#This Row],[Fuel Type]]="Hybrid",Table7[[#This Row],[Fuel Type]]="Plug-in Hybrid",Table7[[#This Row],[Fuel Type]]="Natural Gas",Table7[[#This Row],[Fuel Type]]="Propane"),Table7[[#This Row],[Fuel Use 
(gal, Kwh, or kg)]],0)</f>
        <v>0</v>
      </c>
      <c r="Y24"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4" s="26">
        <f>IF(B24=0,0,IF('Project Info'!$C$33="",2023,YEAR('Project Info'!$C$33)))</f>
        <v>0</v>
      </c>
      <c r="AA24" s="193">
        <f>'Interim Water Delivery Inputs'!N31*Table7[[#This Row],[Project Life
(Years)]]</f>
        <v>0</v>
      </c>
      <c r="AB24" s="193">
        <f>Table7[[#This Row],[Column2]]*Defaults!$C$59*12</f>
        <v>0</v>
      </c>
      <c r="AC24" s="193">
        <f>Table7[[#This Row],[Column3]]*Defaults!$C$58</f>
        <v>0</v>
      </c>
      <c r="AD24" s="193">
        <f>IF(B24=0,0,Table7[[#This Row],[Column4]]*VLOOKUP(Table7[[#This Row],[Column1]],'Passenger Auto C&amp;T'!$B$45:$D$80,3,FALSE))</f>
        <v>0</v>
      </c>
      <c r="AE24" s="589">
        <f>Table7[[#This Row],[Column42]]*'Fuel Prices'!$C$11</f>
        <v>0</v>
      </c>
      <c r="AF24" s="590">
        <f>IF(B24=0,0,VLOOKUP(Table7[[#This Row],[Column1]],'Passenger Auto GHG'!$B$46:$D$81,3,FALSE))</f>
        <v>0</v>
      </c>
      <c r="AG24" s="591">
        <f>Table7[[#This Row],[Column5]]*Table7[[#This Row],[Column4]]/1000000</f>
        <v>0</v>
      </c>
      <c r="AH24" s="592">
        <f>IF(B24=0,0,VLOOKUP(Table7[[#This Row],[Column1]],'Passenger Auto C&amp;T'!$B$45:$L$80,4,FALSE))</f>
        <v>0</v>
      </c>
      <c r="AI24" s="593">
        <f>IF(B24=0,0,VLOOKUP(Table7[[#This Row],[Column1]],'Passenger Auto C&amp;T'!$B$45:$L$80,5,FALSE))</f>
        <v>0</v>
      </c>
      <c r="AJ24" s="593">
        <f>IF(B24=0,0,SUM(VLOOKUP(Table7[[#This Row],[Column1]],'Passenger Auto C&amp;T'!$B$45:$L$80,6,FALSE),VLOOKUP(Table7[[#This Row],[Column1]],'Passenger Auto C&amp;T'!$B$45:$L$80,7,FALSE),VLOOKUP(Table7[[#This Row],[Column1]],'Passenger Auto C&amp;T'!$B$45:$L$80,8,FALSE)))</f>
        <v>0</v>
      </c>
      <c r="AK24" s="594">
        <f>IF(B24=0,0,VLOOKUP(Table7[[#This Row],[Column1]],'Passenger Auto C&amp;T'!$B$45:$L$80,10,FALSE))</f>
        <v>0</v>
      </c>
      <c r="AL24" s="592">
        <f>Table7[[#This Row],[Column4]]*Table7[[#This Row],[Column7]]*0.00220462</f>
        <v>0</v>
      </c>
      <c r="AM24" s="593">
        <f>Table7[[#This Row],[Column4]]*Table7[[#This Row],[Column8]]*0.00220462</f>
        <v>0</v>
      </c>
      <c r="AN24" s="593">
        <f>Table7[[#This Row],[Column4]]*Table7[[#This Row],[Column9]]*0.00220462</f>
        <v>0</v>
      </c>
      <c r="AO24" s="595">
        <f>Table7[[#This Row],[Column4]]*Table7[[#This Row],[Column10]]*0.00220462</f>
        <v>0</v>
      </c>
      <c r="AP24" s="592">
        <f>IF(B24=0,0,Table7[[#This Row],[Column6]]-Table7[[#This Row],[Total Transportation GHG Emissions 
(MTCO2e)]])</f>
        <v>0</v>
      </c>
      <c r="AQ24" s="593">
        <f>IF(B24=0,0,Table7[[#This Row],[Column11]]-Table7[[#This Row],[Total ROG Emissions 
(lbs)]])</f>
        <v>0</v>
      </c>
      <c r="AR24" s="593">
        <f>IF(B24=0,0,Table7[[#This Row],[Column12]]-Table7[[#This Row],[Total NOx Emissions 
(lbs)]])</f>
        <v>0</v>
      </c>
      <c r="AS24" s="593">
        <f>IF(B24=0,0,Table7[[#This Row],[Column13]]-Table7[[#This Row],[Total PM2.5 Emissions 
(lbs)]])</f>
        <v>0</v>
      </c>
      <c r="AT24" s="596">
        <f>IF(B24=0,0,Table7[[#This Row],[Column14]]-Table7[[#This Row],[Total Diesel PM Emissions 
(lbs)]])</f>
        <v>0</v>
      </c>
      <c r="AU24" s="588">
        <f>IF(B24=0,0,Table7[[#This Row],[Column42]]-Table7[[#This Row],[Fuel Use 
(gal)]])</f>
        <v>0</v>
      </c>
      <c r="AV24" s="597">
        <f>IF(B24=0,0,Table7[[#This Row],[Column43]]-Table7[[#This Row],[Fuel Cost ($)]])</f>
        <v>0</v>
      </c>
    </row>
    <row r="25" spans="2:48" s="2" customFormat="1" ht="15.5" x14ac:dyDescent="0.35">
      <c r="B25" s="588">
        <f>'Interim Water Delivery Inputs'!D32</f>
        <v>0</v>
      </c>
      <c r="C25" s="580">
        <f>'Interim Water Delivery Inputs'!F32</f>
        <v>0</v>
      </c>
      <c r="D25" s="580">
        <f>'Interim Water Delivery Inputs'!H32</f>
        <v>0</v>
      </c>
      <c r="E25" s="581">
        <f>IF('Interim Water Delivery Inputs'!B32="",0,(IF('Interim Water Delivery Inputs'!J32="",(Defaults!$H$15*Table7[[#This Row],[Number of Identical Vehicles]]),'Interim Water Delivery Inputs'!J32)))</f>
        <v>0</v>
      </c>
      <c r="F25" s="581">
        <f>'Interim Water Delivery Inputs'!L32</f>
        <v>0</v>
      </c>
      <c r="G25" s="582" t="str">
        <f>IF(AND(B25="Heavy Duty Truck",C25="Diesel"),'LCT - Heavy Duty'!$C$15,IF(AND(B25="Heavy Duty Truck",C25="Battery Electric"),'LCT - Heavy Duty'!$F$15,IF(AND(B25="Heavy Duty Truck",OR(C25="Natural Gas",C25="Propane")),'LCT - Heavy Duty'!$D$39,IF(AND(B25="Box Truck",C25="Gasoline"),'LCT - Light &amp; Light-Heavy Duty'!$C$15,IF(AND(B25="Box Truck",C25="Hybrid"),'LCT - Light &amp; Light-Heavy Duty'!$D$15,IF(AND(B25="Box Truck",C25="Plug-in Hybrid"),'LCT - Light &amp; Light-Heavy Duty'!$E$15,IF(AND(B25="Box Truck",C25="Battery Electric"),'LCT - Light &amp; Light-Heavy Duty'!$F$15,IF(AND(B25="Box Truck",C25="Fuel Cell Electric"),'LCT - Light &amp; Light-Heavy Duty'!$G$15,IF(AND(B25="Van",C25="Gasoline"),'LCT - Light &amp; Light-Heavy Duty'!$C$10,IF(AND(B25="Van",C25="Hybrid"),'LCT - Light &amp; Light-Heavy Duty'!$D$10,IF(AND(B25="Van",C25="Plug-in Hybrid"),'LCT - Light &amp; Light-Heavy Duty'!$E$10,IF(AND(B25="Van",'Interim Water Delivery Inputs'!F32="Battery Electric"),'LCT - Light &amp; Light-Heavy Duty'!$F$10,IF(AND(B25="Van",C25="Fuel Cell Electric"),'LCT - Light &amp; Light-Heavy Duty'!$G$10,IF(AND(B25="Sedan",C25="Gasoline"),'LCT - Light &amp; Light-Heavy Duty'!$C$23,IF(AND(B25="Sedan",C25="Hybrid"),'LCT - Light &amp; Light-Heavy Duty'!$D$23,IF(AND(B25="Sedan",C25="Plug-in Hybrid"),'LCT - Light &amp; Light-Heavy Duty'!$D$23,IF(AND(B25="Sedan",'Interim Water Delivery Inputs'!F32="Battery Electric"),'LCT - Light &amp; Light-Heavy Duty'!$E$23,IF(AND(B25="Sedan",C25="Fuel Cell Electric"),'LCT - Light &amp; Light-Heavy Duty'!$F$23,""))))))))))))))))))</f>
        <v/>
      </c>
      <c r="H25" s="582" t="str">
        <f>IFERROR(((Table7[[#This Row],[GHG Emission Factor 
(g CO2e/mi)]]*Table7[[#This Row],[Total Annual VMT 
(Miles/Year)]])*1/1000000),"")</f>
        <v/>
      </c>
      <c r="I25" s="582" t="str">
        <f>IFERROR(Table7[[#This Row],[Annual Transportation GHG Emissions 
(MTCO2e/Year)]]*Table7[[#This Row],[Project Life
(Years)]],"")</f>
        <v/>
      </c>
      <c r="J25" s="582" t="str">
        <f>IF(AND(B25="Heavy Duty Truck",C25="Diesel"),'LCT - Heavy Duty'!$C$16,IF(AND(B25="Heavy Duty Truck",C25="Battery Electric"),'LCT - Heavy Duty'!$F$16,IF(AND(B25="Heavy Duty Truck",OR(C25="Natural Gas",C25="Propane")),'LCT - Heavy Duty'!$D$40,IF(AND(B25="Box Truck",C25="Gasoline"),'LCT - Light &amp; Light-Heavy Duty'!$C$16,IF(AND(B25="Box Truck",C25="Hybrid"),'LCT - Light &amp; Light-Heavy Duty'!$D$16,IF(AND(B25="Box Truck",C25="Plug-in Hybrid"),'LCT - Light &amp; Light-Heavy Duty'!$E$16,IF(AND(B25="Box Truck",C25="Battery Electric"),'LCT - Light &amp; Light-Heavy Duty'!$F$16,IF(AND(B25="Box Truck",C25="Fuel Cell Electric"),'LCT - Light &amp; Light-Heavy Duty'!$G$16,IF(AND(B25="Van",C25="Gasoline"),'LCT - Light &amp; Light-Heavy Duty'!$C$11,IF(AND(B25="Van",C25="Hybrid"),'LCT - Light &amp; Light-Heavy Duty'!$D$11,IF(AND(B25="Van",C25="Plug-in Hybrid"),'LCT - Light &amp; Light-Heavy Duty'!$E$11,IF(AND(B25="Van",'Interim Water Delivery Inputs'!F32="Battery Electric"),'LCT - Light &amp; Light-Heavy Duty'!$F$11,IF(AND(B25="Van",C25="Fuel Cell Electric"),'LCT - Light &amp; Light-Heavy Duty'!$G$11,IF(AND(B25="Sedan",C25="Gasoline"),'LCT - Light &amp; Light-Heavy Duty'!$C$24,IF(AND(B25="Sedan",C25="Hybrid"),'LCT - Light &amp; Light-Heavy Duty'!$D$24,IF(AND(B25="Sedan",C25="Plug-in Hybrid"),'LCT - Light &amp; Light-Heavy Duty'!$D$24,IF(AND(B25="Sedan",'Interim Water Delivery Inputs'!F32="Battery Electric"),'LCT - Light &amp; Light-Heavy Duty'!$E$24,IF(AND(B25="Sedan",C25="Fuel Cell Electric"),'LCT - Light &amp; Light-Heavy Duty'!$F$24,""))))))))))))))))))</f>
        <v/>
      </c>
      <c r="K25" s="582" t="str">
        <f>IFERROR(((Table7[[#This Row],[ROG Emission Factor
(g/mi)]]*Table7[[#This Row],[Total Annual VMT 
(Miles/Year)]])*1/454),"")</f>
        <v/>
      </c>
      <c r="L25" s="174" t="str">
        <f>IFERROR((Table7[[#This Row],[Annual ROG Emissions 
(lbs/year)]]*Table7[[#This Row],[Project Life
(Years)]]),"")</f>
        <v/>
      </c>
      <c r="M25" s="582" t="str">
        <f>IF(AND(B25="Heavy Duty Truck",C25="Diesel"),'LCT - Heavy Duty'!$C$17,IF(AND(B25="Heavy Duty Truck",C25="Battery Electric"),'LCT - Heavy Duty'!$F$17,IF(AND(B25="Heavy Duty Truck",OR(C25="Natural Gas",C25="Propane")),'LCT - Heavy Duty'!$D$41,IF(AND(B25="Box Truck",C25="Gasoline"),'LCT - Light &amp; Light-Heavy Duty'!$C$17,IF(AND(B25="Box Truck",C25="Hybrid"),'LCT - Light &amp; Light-Heavy Duty'!$D$17,IF(AND(B25="Box Truck",C25="Plug-in Hybrid"),'LCT - Light &amp; Light-Heavy Duty'!$E$17,IF(AND(B25="Box Truck",C25="Battery Electric"),'LCT - Light &amp; Light-Heavy Duty'!$F$17,IF(AND(B25="Box Truck",C25="Fuel Cell Electric"),'LCT - Light &amp; Light-Heavy Duty'!$G$17,IF(AND(B25="Van",C25="Gasoline"),'LCT - Light &amp; Light-Heavy Duty'!$C$12,IF(AND(B25="Van",C25="Hybrid"),'LCT - Light &amp; Light-Heavy Duty'!$D$12,IF(AND(B25="Van",C25="Plug-in Hybrid"),'LCT - Light &amp; Light-Heavy Duty'!$E$12,IF(AND(B25="Van",'Interim Water Delivery Inputs'!F32="Battery Electric"),'LCT - Light &amp; Light-Heavy Duty'!$F$12,IF(AND(B25="Van",C25="Fuel Cell Electric"),'LCT - Light &amp; Light-Heavy Duty'!$G$12,IF(AND(B25="Sedan",C25="Gasoline"),'LCT - Light &amp; Light-Heavy Duty'!$C$25,IF(AND(B25="Sedan",C25="Hybrid"),'LCT - Light &amp; Light-Heavy Duty'!$D$25,IF(AND(B25="Sedan",C25="Plug-in Hybrid"),'LCT - Light &amp; Light-Heavy Duty'!$D$25,IF(AND(B25="Sedan",'Interim Water Delivery Inputs'!F32="Battery Electric"),'LCT - Light &amp; Light-Heavy Duty'!$E$25,IF(AND(B25="Sedan",C25="Fuel Cell Electric"),'LCT - Light &amp; Light-Heavy Duty'!$F$25,""))))))))))))))))))</f>
        <v/>
      </c>
      <c r="N25" s="174" t="str">
        <f>IFERROR(((Table7[[#This Row],[NOx Emission Factor
(g/mi)]]*Table7[[#This Row],[Total Annual VMT 
(Miles/Year)]])*1/454),"")</f>
        <v/>
      </c>
      <c r="O25" s="174" t="str">
        <f>IFERROR((Table7[[#This Row],[Annual NOx Emissions 
(lbs/year)]]*Table7[[#This Row],[Project Life
(Years)]]),"")</f>
        <v/>
      </c>
      <c r="P25" s="174" t="str">
        <f>IF(AND(B25="Heavy Duty Truck",C25="Diesel"),'LCT - Heavy Duty'!$C$18,IF(AND(B25="Heavy Duty Truck",C25="Battery Electric"),'LCT - Heavy Duty'!$F$18,IF(AND(B25="Heavy Duty Truck",OR(C25="Natural Gas",C25="Propane")),'LCT - Heavy Duty'!$D$42,IF(AND(B25="Box Truck",C25="Gasoline"),'LCT - Light &amp; Light-Heavy Duty'!$C$18,IF(AND(B25="Box Truck",C25="Hybrid"),'LCT - Light &amp; Light-Heavy Duty'!$D$18,IF(AND(B25="Box Truck",C25="Plug-in Hybrid"),'LCT - Light &amp; Light-Heavy Duty'!$E$18,IF(AND(B25="Box Truck",C25="Battery Electric"),'LCT - Light &amp; Light-Heavy Duty'!$F$18,IF(AND(B25="Box Truck",C25="Fuel Cell Electric"),'LCT - Light &amp; Light-Heavy Duty'!$G$18,IF(AND(B25="Van",C25="Gasoline"),'LCT - Light &amp; Light-Heavy Duty'!$C$13,IF(AND(B25="Van",C25="Hybrid"),'LCT - Light &amp; Light-Heavy Duty'!$D$13,IF(AND(B25="Van",C25="Plug-in Hybrid"),'LCT - Light &amp; Light-Heavy Duty'!$E$13,IF(AND(B25="Van",'Interim Water Delivery Inputs'!F32="Battery Electric"),'LCT - Light &amp; Light-Heavy Duty'!$F$13,IF(AND(B25="Van",C25="Fuel Cell Electric"),'LCT - Light &amp; Light-Heavy Duty'!$G$13,IF(AND(B25="Sedan",C25="Gasoline"),'LCT - Light &amp; Light-Heavy Duty'!$C$26,IF(AND(B25="Sedan",C25="Hybrid"),'LCT - Light &amp; Light-Heavy Duty'!$D$26,IF(AND(B25="Sedan",C25="Plug-in Hybrid"),'LCT - Light &amp; Light-Heavy Duty'!$D$26,IF(AND(B25="Sedan",'Interim Water Delivery Inputs'!F32="Battery Electric"),'LCT - Light &amp; Light-Heavy Duty'!$E$26,IF(AND(B25="Sedan",C25="Fuel Cell Electric"),'LCT - Light &amp; Light-Heavy Duty'!$F$26,""))))))))))))))))))</f>
        <v/>
      </c>
      <c r="Q25" s="174" t="str">
        <f>IFERROR(((Table7[[#This Row],[PM2.5 Emission Factor
(g/mi)]]*Table7[[#This Row],[Total Annual VMT 
(Miles/Year)]])*1/454),"")</f>
        <v/>
      </c>
      <c r="R25" s="174" t="str">
        <f>IFERROR((Table7[[#This Row],[Annual PM2.5 Emissions 
(lbs/year)]]*Table7[[#This Row],[Project Life
(Years)]]),"")</f>
        <v/>
      </c>
      <c r="S25" s="174" t="str">
        <f>IF(AND(B25="Heavy Duty Truck",C25="Diesel"),'LCT - Heavy Duty'!$C$19,IF(AND(B25="Heavy Duty Truck",C25="Battery Electric"),'LCT - Heavy Duty'!$F$19,IF(AND(B25="Heavy Duty Truck",OR(C25="Natural Gas",C25="Propane")),'LCT - Heavy Duty'!$D$43,IF(AND(B25="Box Truck",C25="Gasoline"),'LCT - Light &amp; Light-Heavy Duty'!$C$19,IF(AND(B25="Box Truck",C25="Hybrid"),'LCT - Light &amp; Light-Heavy Duty'!$D$19,IF(AND(B25="Box Truck",C25="Plug-in Hybrid"),'LCT - Light &amp; Light-Heavy Duty'!$E$19,IF(AND(B25="Box Truck",C25="Battery Electric"),'LCT - Light &amp; Light-Heavy Duty'!$F$19,IF(AND(B25="Box Truck",C25="Fuel Cell Electric"),'LCT - Light &amp; Light-Heavy Duty'!$G$19,IF(AND(B25="Van",C25="Gasoline"),'LCT - Light &amp; Light-Heavy Duty'!$C$14,IF(AND(B25="Van",C25="Hybrid"),'LCT - Light &amp; Light-Heavy Duty'!$D$14,IF(AND(B25="Van",C25="Plug-in Hybrid"),'LCT - Light &amp; Light-Heavy Duty'!$E$14,IF(AND(B25="Van",'Interim Water Delivery Inputs'!F32="Battery Electric"),'LCT - Light &amp; Light-Heavy Duty'!$F$14,IF(AND(B25="Van",C25="Fuel Cell Electric"),'LCT - Light &amp; Light-Heavy Duty'!$G$14,IF(AND(B25="Sedan",C25="Gasoline"),'LCT - Light &amp; Light-Heavy Duty'!$C$27,IF(AND(B25="Sedan",C25="Hybrid"),'LCT - Light &amp; Light-Heavy Duty'!$D$27,IF(AND(B25="Sedan",C25="Plug-in Hybrid"),'LCT - Light &amp; Light-Heavy Duty'!$D$27,IF(AND(B25="Sedan",'Interim Water Delivery Inputs'!F32="Battery Electric"),'LCT - Light &amp; Light-Heavy Duty'!$E$27,IF(AND(B25="Sedan",C25="Fuel Cell Electric"),'LCT - Light &amp; Light-Heavy Duty'!$F$27,""))))))))))))))))))</f>
        <v/>
      </c>
      <c r="T25" s="174" t="str">
        <f>IFERROR(((Table7[[#This Row],[Diesel PM Emission Factor
(g/mi)]]*Table7[[#This Row],[Total Annual VMT 
(Miles/Year)]])*1/454),"")</f>
        <v/>
      </c>
      <c r="U25" s="186" t="str">
        <f>IFERROR((Table7[[#This Row],[Annual Diesel PM Emissions 
(lbs/year)]]*Table7[[#This Row],[Project Life
(Years)]]),"")</f>
        <v/>
      </c>
      <c r="V25" s="186" t="str">
        <f>IF(Table7[[#This Row],[Fuel Type]]="Diesel",Defaults!$C$42,IF(Table7[[#This Row],[Fuel Type]]="Natural Gas",Defaults!$C$42*'Fuel-Specific GHG'!C52,IF(Table7[[#This Row],[Fuel Type]]="Propane",Defaults!$C$42*'Fuel-Specific GHG'!C52,IF(AND(Table7[[#This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5"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5" s="583">
        <f>IF(OR(Table7[[#This Row],[Fuel Type]]="Diesel",Table7[[#This Row],[Fuel Type]]="Gasoline",Table7[[#This Row],[Fuel Type]]="Hybrid",Table7[[#This Row],[Fuel Type]]="Plug-in Hybrid",Table7[[#This Row],[Fuel Type]]="Natural Gas",Table7[[#This Row],[Fuel Type]]="Propane"),Table7[[#This Row],[Fuel Use 
(gal, Kwh, or kg)]],0)</f>
        <v>0</v>
      </c>
      <c r="Y25"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5" s="26">
        <f>IF(B25=0,0,IF('Project Info'!$C$33="",2023,YEAR('Project Info'!$C$33)))</f>
        <v>0</v>
      </c>
      <c r="AA25" s="193">
        <f>'Interim Water Delivery Inputs'!N32*Table7[[#This Row],[Project Life
(Years)]]</f>
        <v>0</v>
      </c>
      <c r="AB25" s="193">
        <f>Table7[[#This Row],[Column2]]*Defaults!$C$59*12</f>
        <v>0</v>
      </c>
      <c r="AC25" s="193">
        <f>Table7[[#This Row],[Column3]]*Defaults!$C$58</f>
        <v>0</v>
      </c>
      <c r="AD25" s="193">
        <f>IF(B25=0,0,Table7[[#This Row],[Column4]]*VLOOKUP(Table7[[#This Row],[Column1]],'Passenger Auto C&amp;T'!$B$45:$D$80,3,FALSE))</f>
        <v>0</v>
      </c>
      <c r="AE25" s="589">
        <f>Table7[[#This Row],[Column42]]*'Fuel Prices'!$C$11</f>
        <v>0</v>
      </c>
      <c r="AF25" s="590">
        <f>IF(B25=0,0,VLOOKUP(Table7[[#This Row],[Column1]],'Passenger Auto GHG'!$B$46:$D$81,3,FALSE))</f>
        <v>0</v>
      </c>
      <c r="AG25" s="591">
        <f>Table7[[#This Row],[Column5]]*Table7[[#This Row],[Column4]]/1000000</f>
        <v>0</v>
      </c>
      <c r="AH25" s="592">
        <f>IF(B25=0,0,VLOOKUP(Table7[[#This Row],[Column1]],'Passenger Auto C&amp;T'!$B$45:$L$80,4,FALSE))</f>
        <v>0</v>
      </c>
      <c r="AI25" s="593">
        <f>IF(B25=0,0,VLOOKUP(Table7[[#This Row],[Column1]],'Passenger Auto C&amp;T'!$B$45:$L$80,5,FALSE))</f>
        <v>0</v>
      </c>
      <c r="AJ25" s="593">
        <f>IF(B25=0,0,SUM(VLOOKUP(Table7[[#This Row],[Column1]],'Passenger Auto C&amp;T'!$B$45:$L$80,6,FALSE),VLOOKUP(Table7[[#This Row],[Column1]],'Passenger Auto C&amp;T'!$B$45:$L$80,7,FALSE),VLOOKUP(Table7[[#This Row],[Column1]],'Passenger Auto C&amp;T'!$B$45:$L$80,8,FALSE)))</f>
        <v>0</v>
      </c>
      <c r="AK25" s="594">
        <f>IF(B25=0,0,VLOOKUP(Table7[[#This Row],[Column1]],'Passenger Auto C&amp;T'!$B$45:$L$80,10,FALSE))</f>
        <v>0</v>
      </c>
      <c r="AL25" s="592">
        <f>Table7[[#This Row],[Column4]]*Table7[[#This Row],[Column7]]*0.00220462</f>
        <v>0</v>
      </c>
      <c r="AM25" s="593">
        <f>Table7[[#This Row],[Column4]]*Table7[[#This Row],[Column8]]*0.00220462</f>
        <v>0</v>
      </c>
      <c r="AN25" s="593">
        <f>Table7[[#This Row],[Column4]]*Table7[[#This Row],[Column9]]*0.00220462</f>
        <v>0</v>
      </c>
      <c r="AO25" s="595">
        <f>Table7[[#This Row],[Column4]]*Table7[[#This Row],[Column10]]*0.00220462</f>
        <v>0</v>
      </c>
      <c r="AP25" s="592">
        <f>IF(B25=0,0,Table7[[#This Row],[Column6]]-Table7[[#This Row],[Total Transportation GHG Emissions 
(MTCO2e)]])</f>
        <v>0</v>
      </c>
      <c r="AQ25" s="593">
        <f>IF(B25=0,0,Table7[[#This Row],[Column11]]-Table7[[#This Row],[Total ROG Emissions 
(lbs)]])</f>
        <v>0</v>
      </c>
      <c r="AR25" s="593">
        <f>IF(B25=0,0,Table7[[#This Row],[Column12]]-Table7[[#This Row],[Total NOx Emissions 
(lbs)]])</f>
        <v>0</v>
      </c>
      <c r="AS25" s="593">
        <f>IF(B25=0,0,Table7[[#This Row],[Column13]]-Table7[[#This Row],[Total PM2.5 Emissions 
(lbs)]])</f>
        <v>0</v>
      </c>
      <c r="AT25" s="596">
        <f>IF(B25=0,0,Table7[[#This Row],[Column14]]-Table7[[#This Row],[Total Diesel PM Emissions 
(lbs)]])</f>
        <v>0</v>
      </c>
      <c r="AU25" s="588">
        <f>IF(B25=0,0,Table7[[#This Row],[Column42]]-Table7[[#This Row],[Fuel Use 
(gal)]])</f>
        <v>0</v>
      </c>
      <c r="AV25" s="597">
        <f>IF(B25=0,0,Table7[[#This Row],[Column43]]-Table7[[#This Row],[Fuel Cost ($)]])</f>
        <v>0</v>
      </c>
    </row>
    <row r="26" spans="2:48" s="2" customFormat="1" ht="15.5" x14ac:dyDescent="0.35">
      <c r="B26" s="588">
        <f>'Interim Water Delivery Inputs'!D33</f>
        <v>0</v>
      </c>
      <c r="C26" s="580">
        <f>'Interim Water Delivery Inputs'!F33</f>
        <v>0</v>
      </c>
      <c r="D26" s="580">
        <f>'Interim Water Delivery Inputs'!H33</f>
        <v>0</v>
      </c>
      <c r="E26" s="581">
        <f>IF('Interim Water Delivery Inputs'!B33="",0,(IF('Interim Water Delivery Inputs'!J33="",(Defaults!$H$15*Table7[[#This Row],[Number of Identical Vehicles]]),'Interim Water Delivery Inputs'!J33)))</f>
        <v>0</v>
      </c>
      <c r="F26" s="581">
        <f>'Interim Water Delivery Inputs'!L33</f>
        <v>0</v>
      </c>
      <c r="G26" s="582" t="str">
        <f>IF(AND(B26="Heavy Duty Truck",C26="Diesel"),'LCT - Heavy Duty'!$C$15,IF(AND(B26="Heavy Duty Truck",C26="Battery Electric"),'LCT - Heavy Duty'!$F$15,IF(AND(B26="Heavy Duty Truck",OR(C26="Natural Gas",C26="Propane")),'LCT - Heavy Duty'!$D$39,IF(AND(B26="Box Truck",C26="Gasoline"),'LCT - Light &amp; Light-Heavy Duty'!$C$15,IF(AND(B26="Box Truck",C26="Hybrid"),'LCT - Light &amp; Light-Heavy Duty'!$D$15,IF(AND(B26="Box Truck",C26="Plug-in Hybrid"),'LCT - Light &amp; Light-Heavy Duty'!$E$15,IF(AND(B26="Box Truck",C26="Battery Electric"),'LCT - Light &amp; Light-Heavy Duty'!$F$15,IF(AND(B26="Box Truck",C26="Fuel Cell Electric"),'LCT - Light &amp; Light-Heavy Duty'!$G$15,IF(AND(B26="Van",C26="Gasoline"),'LCT - Light &amp; Light-Heavy Duty'!$C$10,IF(AND(B26="Van",C26="Hybrid"),'LCT - Light &amp; Light-Heavy Duty'!$D$10,IF(AND(B26="Van",C26="Plug-in Hybrid"),'LCT - Light &amp; Light-Heavy Duty'!$E$10,IF(AND(B26="Van",'Interim Water Delivery Inputs'!F33="Battery Electric"),'LCT - Light &amp; Light-Heavy Duty'!$F$10,IF(AND(B26="Van",C26="Fuel Cell Electric"),'LCT - Light &amp; Light-Heavy Duty'!$G$10,IF(AND(B26="Sedan",C26="Gasoline"),'LCT - Light &amp; Light-Heavy Duty'!$C$23,IF(AND(B26="Sedan",C26="Hybrid"),'LCT - Light &amp; Light-Heavy Duty'!$D$23,IF(AND(B26="Sedan",C26="Plug-in Hybrid"),'LCT - Light &amp; Light-Heavy Duty'!$D$23,IF(AND(B26="Sedan",'Interim Water Delivery Inputs'!F33="Battery Electric"),'LCT - Light &amp; Light-Heavy Duty'!$E$23,IF(AND(B26="Sedan",C26="Fuel Cell Electric"),'LCT - Light &amp; Light-Heavy Duty'!$F$23,""))))))))))))))))))</f>
        <v/>
      </c>
      <c r="H26" s="582" t="str">
        <f>IFERROR(((Table7[[#This Row],[GHG Emission Factor 
(g CO2e/mi)]]*Table7[[#This Row],[Total Annual VMT 
(Miles/Year)]])*1/1000000),"")</f>
        <v/>
      </c>
      <c r="I26" s="582" t="str">
        <f>IFERROR(Table7[[#This Row],[Annual Transportation GHG Emissions 
(MTCO2e/Year)]]*Table7[[#This Row],[Project Life
(Years)]],"")</f>
        <v/>
      </c>
      <c r="J26" s="582" t="str">
        <f>IF(AND(B26="Heavy Duty Truck",C26="Diesel"),'LCT - Heavy Duty'!$C$16,IF(AND(B26="Heavy Duty Truck",C26="Battery Electric"),'LCT - Heavy Duty'!$F$16,IF(AND(B26="Heavy Duty Truck",OR(C26="Natural Gas",C26="Propane")),'LCT - Heavy Duty'!$D$40,IF(AND(B26="Box Truck",C26="Gasoline"),'LCT - Light &amp; Light-Heavy Duty'!$C$16,IF(AND(B26="Box Truck",C26="Hybrid"),'LCT - Light &amp; Light-Heavy Duty'!$D$16,IF(AND(B26="Box Truck",C26="Plug-in Hybrid"),'LCT - Light &amp; Light-Heavy Duty'!$E$16,IF(AND(B26="Box Truck",C26="Battery Electric"),'LCT - Light &amp; Light-Heavy Duty'!$F$16,IF(AND(B26="Box Truck",C26="Fuel Cell Electric"),'LCT - Light &amp; Light-Heavy Duty'!$G$16,IF(AND(B26="Van",C26="Gasoline"),'LCT - Light &amp; Light-Heavy Duty'!$C$11,IF(AND(B26="Van",C26="Hybrid"),'LCT - Light &amp; Light-Heavy Duty'!$D$11,IF(AND(B26="Van",C26="Plug-in Hybrid"),'LCT - Light &amp; Light-Heavy Duty'!$E$11,IF(AND(B26="Van",'Interim Water Delivery Inputs'!F33="Battery Electric"),'LCT - Light &amp; Light-Heavy Duty'!$F$11,IF(AND(B26="Van",C26="Fuel Cell Electric"),'LCT - Light &amp; Light-Heavy Duty'!$G$11,IF(AND(B26="Sedan",C26="Gasoline"),'LCT - Light &amp; Light-Heavy Duty'!$C$24,IF(AND(B26="Sedan",C26="Hybrid"),'LCT - Light &amp; Light-Heavy Duty'!$D$24,IF(AND(B26="Sedan",C26="Plug-in Hybrid"),'LCT - Light &amp; Light-Heavy Duty'!$D$24,IF(AND(B26="Sedan",'Interim Water Delivery Inputs'!F33="Battery Electric"),'LCT - Light &amp; Light-Heavy Duty'!$E$24,IF(AND(B26="Sedan",C26="Fuel Cell Electric"),'LCT - Light &amp; Light-Heavy Duty'!$F$24,""))))))))))))))))))</f>
        <v/>
      </c>
      <c r="K26" s="582" t="str">
        <f>IFERROR(((Table7[[#This Row],[ROG Emission Factor
(g/mi)]]*Table7[[#This Row],[Total Annual VMT 
(Miles/Year)]])*1/454),"")</f>
        <v/>
      </c>
      <c r="L26" s="174" t="str">
        <f>IFERROR((Table7[[#This Row],[Annual ROG Emissions 
(lbs/year)]]*Table7[[#This Row],[Project Life
(Years)]]),"")</f>
        <v/>
      </c>
      <c r="M26" s="582" t="str">
        <f>IF(AND(B26="Heavy Duty Truck",C26="Diesel"),'LCT - Heavy Duty'!$C$17,IF(AND(B26="Heavy Duty Truck",C26="Battery Electric"),'LCT - Heavy Duty'!$F$17,IF(AND(B26="Heavy Duty Truck",OR(C26="Natural Gas",C26="Propane")),'LCT - Heavy Duty'!$D$41,IF(AND(B26="Box Truck",C26="Gasoline"),'LCT - Light &amp; Light-Heavy Duty'!$C$17,IF(AND(B26="Box Truck",C26="Hybrid"),'LCT - Light &amp; Light-Heavy Duty'!$D$17,IF(AND(B26="Box Truck",C26="Plug-in Hybrid"),'LCT - Light &amp; Light-Heavy Duty'!$E$17,IF(AND(B26="Box Truck",C26="Battery Electric"),'LCT - Light &amp; Light-Heavy Duty'!$F$17,IF(AND(B26="Box Truck",C26="Fuel Cell Electric"),'LCT - Light &amp; Light-Heavy Duty'!$G$17,IF(AND(B26="Van",C26="Gasoline"),'LCT - Light &amp; Light-Heavy Duty'!$C$12,IF(AND(B26="Van",C26="Hybrid"),'LCT - Light &amp; Light-Heavy Duty'!$D$12,IF(AND(B26="Van",C26="Plug-in Hybrid"),'LCT - Light &amp; Light-Heavy Duty'!$E$12,IF(AND(B26="Van",'Interim Water Delivery Inputs'!F33="Battery Electric"),'LCT - Light &amp; Light-Heavy Duty'!$F$12,IF(AND(B26="Van",C26="Fuel Cell Electric"),'LCT - Light &amp; Light-Heavy Duty'!$G$12,IF(AND(B26="Sedan",C26="Gasoline"),'LCT - Light &amp; Light-Heavy Duty'!$C$25,IF(AND(B26="Sedan",C26="Hybrid"),'LCT - Light &amp; Light-Heavy Duty'!$D$25,IF(AND(B26="Sedan",C26="Plug-in Hybrid"),'LCT - Light &amp; Light-Heavy Duty'!$D$25,IF(AND(B26="Sedan",'Interim Water Delivery Inputs'!F33="Battery Electric"),'LCT - Light &amp; Light-Heavy Duty'!$E$25,IF(AND(B26="Sedan",C26="Fuel Cell Electric"),'LCT - Light &amp; Light-Heavy Duty'!$F$25,""))))))))))))))))))</f>
        <v/>
      </c>
      <c r="N26" s="174" t="str">
        <f>IFERROR(((Table7[[#This Row],[NOx Emission Factor
(g/mi)]]*Table7[[#This Row],[Total Annual VMT 
(Miles/Year)]])*1/454),"")</f>
        <v/>
      </c>
      <c r="O26" s="174" t="str">
        <f>IFERROR((Table7[[#This Row],[Annual NOx Emissions 
(lbs/year)]]*Table7[[#This Row],[Project Life
(Years)]]),"")</f>
        <v/>
      </c>
      <c r="P26" s="174" t="str">
        <f>IF(AND(B26="Heavy Duty Truck",C26="Diesel"),'LCT - Heavy Duty'!$C$18,IF(AND(B26="Heavy Duty Truck",C26="Battery Electric"),'LCT - Heavy Duty'!$F$18,IF(AND(B26="Heavy Duty Truck",OR(C26="Natural Gas",C26="Propane")),'LCT - Heavy Duty'!$D$42,IF(AND(B26="Box Truck",C26="Gasoline"),'LCT - Light &amp; Light-Heavy Duty'!$C$18,IF(AND(B26="Box Truck",C26="Hybrid"),'LCT - Light &amp; Light-Heavy Duty'!$D$18,IF(AND(B26="Box Truck",C26="Plug-in Hybrid"),'LCT - Light &amp; Light-Heavy Duty'!$E$18,IF(AND(B26="Box Truck",C26="Battery Electric"),'LCT - Light &amp; Light-Heavy Duty'!$F$18,IF(AND(B26="Box Truck",C26="Fuel Cell Electric"),'LCT - Light &amp; Light-Heavy Duty'!$G$18,IF(AND(B26="Van",C26="Gasoline"),'LCT - Light &amp; Light-Heavy Duty'!$C$13,IF(AND(B26="Van",C26="Hybrid"),'LCT - Light &amp; Light-Heavy Duty'!$D$13,IF(AND(B26="Van",C26="Plug-in Hybrid"),'LCT - Light &amp; Light-Heavy Duty'!$E$13,IF(AND(B26="Van",'Interim Water Delivery Inputs'!F33="Battery Electric"),'LCT - Light &amp; Light-Heavy Duty'!$F$13,IF(AND(B26="Van",C26="Fuel Cell Electric"),'LCT - Light &amp; Light-Heavy Duty'!$G$13,IF(AND(B26="Sedan",C26="Gasoline"),'LCT - Light &amp; Light-Heavy Duty'!$C$26,IF(AND(B26="Sedan",C26="Hybrid"),'LCT - Light &amp; Light-Heavy Duty'!$D$26,IF(AND(B26="Sedan",C26="Plug-in Hybrid"),'LCT - Light &amp; Light-Heavy Duty'!$D$26,IF(AND(B26="Sedan",'Interim Water Delivery Inputs'!F33="Battery Electric"),'LCT - Light &amp; Light-Heavy Duty'!$E$26,IF(AND(B26="Sedan",C26="Fuel Cell Electric"),'LCT - Light &amp; Light-Heavy Duty'!$F$26,""))))))))))))))))))</f>
        <v/>
      </c>
      <c r="Q26" s="174" t="str">
        <f>IFERROR(((Table7[[#This Row],[PM2.5 Emission Factor
(g/mi)]]*Table7[[#This Row],[Total Annual VMT 
(Miles/Year)]])*1/454),"")</f>
        <v/>
      </c>
      <c r="R26" s="174" t="str">
        <f>IFERROR((Table7[[#This Row],[Annual PM2.5 Emissions 
(lbs/year)]]*Table7[[#This Row],[Project Life
(Years)]]),"")</f>
        <v/>
      </c>
      <c r="S26" s="174" t="str">
        <f>IF(AND(B26="Heavy Duty Truck",C26="Diesel"),'LCT - Heavy Duty'!$C$19,IF(AND(B26="Heavy Duty Truck",C26="Battery Electric"),'LCT - Heavy Duty'!$F$19,IF(AND(B26="Heavy Duty Truck",OR(C26="Natural Gas",C26="Propane")),'LCT - Heavy Duty'!$D$43,IF(AND(B26="Box Truck",C26="Gasoline"),'LCT - Light &amp; Light-Heavy Duty'!$C$19,IF(AND(B26="Box Truck",C26="Hybrid"),'LCT - Light &amp; Light-Heavy Duty'!$D$19,IF(AND(B26="Box Truck",C26="Plug-in Hybrid"),'LCT - Light &amp; Light-Heavy Duty'!$E$19,IF(AND(B26="Box Truck",C26="Battery Electric"),'LCT - Light &amp; Light-Heavy Duty'!$F$19,IF(AND(B26="Box Truck",C26="Fuel Cell Electric"),'LCT - Light &amp; Light-Heavy Duty'!$G$19,IF(AND(B26="Van",C26="Gasoline"),'LCT - Light &amp; Light-Heavy Duty'!$C$14,IF(AND(B26="Van",C26="Hybrid"),'LCT - Light &amp; Light-Heavy Duty'!$D$14,IF(AND(B26="Van",C26="Plug-in Hybrid"),'LCT - Light &amp; Light-Heavy Duty'!$E$14,IF(AND(B26="Van",'Interim Water Delivery Inputs'!F33="Battery Electric"),'LCT - Light &amp; Light-Heavy Duty'!$F$14,IF(AND(B26="Van",C26="Fuel Cell Electric"),'LCT - Light &amp; Light-Heavy Duty'!$G$14,IF(AND(B26="Sedan",C26="Gasoline"),'LCT - Light &amp; Light-Heavy Duty'!$C$27,IF(AND(B26="Sedan",C26="Hybrid"),'LCT - Light &amp; Light-Heavy Duty'!$D$27,IF(AND(B26="Sedan",C26="Plug-in Hybrid"),'LCT - Light &amp; Light-Heavy Duty'!$D$27,IF(AND(B26="Sedan",'Interim Water Delivery Inputs'!F33="Battery Electric"),'LCT - Light &amp; Light-Heavy Duty'!$E$27,IF(AND(B26="Sedan",C26="Fuel Cell Electric"),'LCT - Light &amp; Light-Heavy Duty'!$F$27,""))))))))))))))))))</f>
        <v/>
      </c>
      <c r="T26" s="174" t="str">
        <f>IFERROR(((Table7[[#This Row],[Diesel PM Emission Factor
(g/mi)]]*Table7[[#This Row],[Total Annual VMT 
(Miles/Year)]])*1/454),"")</f>
        <v/>
      </c>
      <c r="U26" s="186" t="str">
        <f>IFERROR((Table7[[#This Row],[Annual Diesel PM Emissions 
(lbs/year)]]*Table7[[#This Row],[Project Life
(Years)]]),"")</f>
        <v/>
      </c>
      <c r="V26" s="186" t="str">
        <f>IF(Table7[[#This Row],[Fuel Type]]="Diesel",Defaults!$C$42,IF(Table7[[#This Row],[Fuel Type]]="Natural Gas",Defaults!$C$42*'Fuel-Specific GHG'!C53,IF(Table7[[#This Row],[Fuel Type]]="Propane",Defaults!$C$42*'Fuel-Specific GHG'!C53,IF(AND(Table7[[#This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6"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6" s="583">
        <f>IF(OR(Table7[[#This Row],[Fuel Type]]="Diesel",Table7[[#This Row],[Fuel Type]]="Gasoline",Table7[[#This Row],[Fuel Type]]="Hybrid",Table7[[#This Row],[Fuel Type]]="Plug-in Hybrid",Table7[[#This Row],[Fuel Type]]="Natural Gas",Table7[[#This Row],[Fuel Type]]="Propane"),Table7[[#This Row],[Fuel Use 
(gal, Kwh, or kg)]],0)</f>
        <v>0</v>
      </c>
      <c r="Y26"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6" s="26">
        <f>IF(B26=0,0,IF('Project Info'!$C$33="",2023,YEAR('Project Info'!$C$33)))</f>
        <v>0</v>
      </c>
      <c r="AA26" s="193">
        <f>'Interim Water Delivery Inputs'!N33*Table7[[#This Row],[Project Life
(Years)]]</f>
        <v>0</v>
      </c>
      <c r="AB26" s="193">
        <f>Table7[[#This Row],[Column2]]*Defaults!$C$59*12</f>
        <v>0</v>
      </c>
      <c r="AC26" s="193">
        <f>Table7[[#This Row],[Column3]]*Defaults!$C$58</f>
        <v>0</v>
      </c>
      <c r="AD26" s="193">
        <f>IF(B26=0,0,Table7[[#This Row],[Column4]]*VLOOKUP(Table7[[#This Row],[Column1]],'Passenger Auto C&amp;T'!$B$45:$D$80,3,FALSE))</f>
        <v>0</v>
      </c>
      <c r="AE26" s="589">
        <f>Table7[[#This Row],[Column42]]*'Fuel Prices'!$C$11</f>
        <v>0</v>
      </c>
      <c r="AF26" s="590">
        <f>IF(B26=0,0,VLOOKUP(Table7[[#This Row],[Column1]],'Passenger Auto GHG'!$B$46:$D$81,3,FALSE))</f>
        <v>0</v>
      </c>
      <c r="AG26" s="591">
        <f>Table7[[#This Row],[Column5]]*Table7[[#This Row],[Column4]]/1000000</f>
        <v>0</v>
      </c>
      <c r="AH26" s="592">
        <f>IF(B26=0,0,VLOOKUP(Table7[[#This Row],[Column1]],'Passenger Auto C&amp;T'!$B$45:$L$80,4,FALSE))</f>
        <v>0</v>
      </c>
      <c r="AI26" s="593">
        <f>IF(B26=0,0,VLOOKUP(Table7[[#This Row],[Column1]],'Passenger Auto C&amp;T'!$B$45:$L$80,5,FALSE))</f>
        <v>0</v>
      </c>
      <c r="AJ26" s="593">
        <f>IF(B26=0,0,SUM(VLOOKUP(Table7[[#This Row],[Column1]],'Passenger Auto C&amp;T'!$B$45:$L$80,6,FALSE),VLOOKUP(Table7[[#This Row],[Column1]],'Passenger Auto C&amp;T'!$B$45:$L$80,7,FALSE),VLOOKUP(Table7[[#This Row],[Column1]],'Passenger Auto C&amp;T'!$B$45:$L$80,8,FALSE)))</f>
        <v>0</v>
      </c>
      <c r="AK26" s="594">
        <f>IF(B26=0,0,VLOOKUP(Table7[[#This Row],[Column1]],'Passenger Auto C&amp;T'!$B$45:$L$80,10,FALSE))</f>
        <v>0</v>
      </c>
      <c r="AL26" s="592">
        <f>Table7[[#This Row],[Column4]]*Table7[[#This Row],[Column7]]*0.00220462</f>
        <v>0</v>
      </c>
      <c r="AM26" s="593">
        <f>Table7[[#This Row],[Column4]]*Table7[[#This Row],[Column8]]*0.00220462</f>
        <v>0</v>
      </c>
      <c r="AN26" s="593">
        <f>Table7[[#This Row],[Column4]]*Table7[[#This Row],[Column9]]*0.00220462</f>
        <v>0</v>
      </c>
      <c r="AO26" s="595">
        <f>Table7[[#This Row],[Column4]]*Table7[[#This Row],[Column10]]*0.00220462</f>
        <v>0</v>
      </c>
      <c r="AP26" s="592">
        <f>IF(B26=0,0,Table7[[#This Row],[Column6]]-Table7[[#This Row],[Total Transportation GHG Emissions 
(MTCO2e)]])</f>
        <v>0</v>
      </c>
      <c r="AQ26" s="593">
        <f>IF(B26=0,0,Table7[[#This Row],[Column11]]-Table7[[#This Row],[Total ROG Emissions 
(lbs)]])</f>
        <v>0</v>
      </c>
      <c r="AR26" s="593">
        <f>IF(B26=0,0,Table7[[#This Row],[Column12]]-Table7[[#This Row],[Total NOx Emissions 
(lbs)]])</f>
        <v>0</v>
      </c>
      <c r="AS26" s="593">
        <f>IF(B26=0,0,Table7[[#This Row],[Column13]]-Table7[[#This Row],[Total PM2.5 Emissions 
(lbs)]])</f>
        <v>0</v>
      </c>
      <c r="AT26" s="596">
        <f>IF(B26=0,0,Table7[[#This Row],[Column14]]-Table7[[#This Row],[Total Diesel PM Emissions 
(lbs)]])</f>
        <v>0</v>
      </c>
      <c r="AU26" s="588">
        <f>IF(B26=0,0,Table7[[#This Row],[Column42]]-Table7[[#This Row],[Fuel Use 
(gal)]])</f>
        <v>0</v>
      </c>
      <c r="AV26" s="597">
        <f>IF(B26=0,0,Table7[[#This Row],[Column43]]-Table7[[#This Row],[Fuel Cost ($)]])</f>
        <v>0</v>
      </c>
    </row>
    <row r="27" spans="2:48" s="2" customFormat="1" ht="15.5" x14ac:dyDescent="0.35">
      <c r="B27" s="588">
        <f>'Interim Water Delivery Inputs'!D34</f>
        <v>0</v>
      </c>
      <c r="C27" s="580">
        <f>'Interim Water Delivery Inputs'!F34</f>
        <v>0</v>
      </c>
      <c r="D27" s="580">
        <f>'Interim Water Delivery Inputs'!H34</f>
        <v>0</v>
      </c>
      <c r="E27" s="581">
        <f>IF('Interim Water Delivery Inputs'!B34="",0,(IF('Interim Water Delivery Inputs'!J34="",(Defaults!$H$15*Table7[[#This Row],[Number of Identical Vehicles]]),'Interim Water Delivery Inputs'!J34)))</f>
        <v>0</v>
      </c>
      <c r="F27" s="581">
        <f>'Interim Water Delivery Inputs'!L34</f>
        <v>0</v>
      </c>
      <c r="G27" s="582" t="str">
        <f>IF(AND(B27="Heavy Duty Truck",C27="Diesel"),'LCT - Heavy Duty'!$C$15,IF(AND(B27="Heavy Duty Truck",C27="Battery Electric"),'LCT - Heavy Duty'!$F$15,IF(AND(B27="Heavy Duty Truck",OR(C27="Natural Gas",C27="Propane")),'LCT - Heavy Duty'!$D$39,IF(AND(B27="Box Truck",C27="Gasoline"),'LCT - Light &amp; Light-Heavy Duty'!$C$15,IF(AND(B27="Box Truck",C27="Hybrid"),'LCT - Light &amp; Light-Heavy Duty'!$D$15,IF(AND(B27="Box Truck",C27="Plug-in Hybrid"),'LCT - Light &amp; Light-Heavy Duty'!$E$15,IF(AND(B27="Box Truck",C27="Battery Electric"),'LCT - Light &amp; Light-Heavy Duty'!$F$15,IF(AND(B27="Box Truck",C27="Fuel Cell Electric"),'LCT - Light &amp; Light-Heavy Duty'!$G$15,IF(AND(B27="Van",C27="Gasoline"),'LCT - Light &amp; Light-Heavy Duty'!$C$10,IF(AND(B27="Van",C27="Hybrid"),'LCT - Light &amp; Light-Heavy Duty'!$D$10,IF(AND(B27="Van",C27="Plug-in Hybrid"),'LCT - Light &amp; Light-Heavy Duty'!$E$10,IF(AND(B27="Van",'Interim Water Delivery Inputs'!F34="Battery Electric"),'LCT - Light &amp; Light-Heavy Duty'!$F$10,IF(AND(B27="Van",C27="Fuel Cell Electric"),'LCT - Light &amp; Light-Heavy Duty'!$G$10,IF(AND(B27="Sedan",C27="Gasoline"),'LCT - Light &amp; Light-Heavy Duty'!$C$23,IF(AND(B27="Sedan",C27="Hybrid"),'LCT - Light &amp; Light-Heavy Duty'!$D$23,IF(AND(B27="Sedan",C27="Plug-in Hybrid"),'LCT - Light &amp; Light-Heavy Duty'!$D$23,IF(AND(B27="Sedan",'Interim Water Delivery Inputs'!F34="Battery Electric"),'LCT - Light &amp; Light-Heavy Duty'!$E$23,IF(AND(B27="Sedan",C27="Fuel Cell Electric"),'LCT - Light &amp; Light-Heavy Duty'!$F$23,""))))))))))))))))))</f>
        <v/>
      </c>
      <c r="H27" s="582" t="str">
        <f>IFERROR(((Table7[[#This Row],[GHG Emission Factor 
(g CO2e/mi)]]*Table7[[#This Row],[Total Annual VMT 
(Miles/Year)]])*1/1000000),"")</f>
        <v/>
      </c>
      <c r="I27" s="582" t="str">
        <f>IFERROR(Table7[[#This Row],[Annual Transportation GHG Emissions 
(MTCO2e/Year)]]*Table7[[#This Row],[Project Life
(Years)]],"")</f>
        <v/>
      </c>
      <c r="J27" s="582" t="str">
        <f>IF(AND(B27="Heavy Duty Truck",C27="Diesel"),'LCT - Heavy Duty'!$C$16,IF(AND(B27="Heavy Duty Truck",C27="Battery Electric"),'LCT - Heavy Duty'!$F$16,IF(AND(B27="Heavy Duty Truck",OR(C27="Natural Gas",C27="Propane")),'LCT - Heavy Duty'!$D$40,IF(AND(B27="Box Truck",C27="Gasoline"),'LCT - Light &amp; Light-Heavy Duty'!$C$16,IF(AND(B27="Box Truck",C27="Hybrid"),'LCT - Light &amp; Light-Heavy Duty'!$D$16,IF(AND(B27="Box Truck",C27="Plug-in Hybrid"),'LCT - Light &amp; Light-Heavy Duty'!$E$16,IF(AND(B27="Box Truck",C27="Battery Electric"),'LCT - Light &amp; Light-Heavy Duty'!$F$16,IF(AND(B27="Box Truck",C27="Fuel Cell Electric"),'LCT - Light &amp; Light-Heavy Duty'!$G$16,IF(AND(B27="Van",C27="Gasoline"),'LCT - Light &amp; Light-Heavy Duty'!$C$11,IF(AND(B27="Van",C27="Hybrid"),'LCT - Light &amp; Light-Heavy Duty'!$D$11,IF(AND(B27="Van",C27="Plug-in Hybrid"),'LCT - Light &amp; Light-Heavy Duty'!$E$11,IF(AND(B27="Van",'Interim Water Delivery Inputs'!F34="Battery Electric"),'LCT - Light &amp; Light-Heavy Duty'!$F$11,IF(AND(B27="Van",C27="Fuel Cell Electric"),'LCT - Light &amp; Light-Heavy Duty'!$G$11,IF(AND(B27="Sedan",C27="Gasoline"),'LCT - Light &amp; Light-Heavy Duty'!$C$24,IF(AND(B27="Sedan",C27="Hybrid"),'LCT - Light &amp; Light-Heavy Duty'!$D$24,IF(AND(B27="Sedan",C27="Plug-in Hybrid"),'LCT - Light &amp; Light-Heavy Duty'!$D$24,IF(AND(B27="Sedan",'Interim Water Delivery Inputs'!F34="Battery Electric"),'LCT - Light &amp; Light-Heavy Duty'!$E$24,IF(AND(B27="Sedan",C27="Fuel Cell Electric"),'LCT - Light &amp; Light-Heavy Duty'!$F$24,""))))))))))))))))))</f>
        <v/>
      </c>
      <c r="K27" s="582" t="str">
        <f>IFERROR(((Table7[[#This Row],[ROG Emission Factor
(g/mi)]]*Table7[[#This Row],[Total Annual VMT 
(Miles/Year)]])*1/454),"")</f>
        <v/>
      </c>
      <c r="L27" s="174" t="str">
        <f>IFERROR((Table7[[#This Row],[Annual ROG Emissions 
(lbs/year)]]*Table7[[#This Row],[Project Life
(Years)]]),"")</f>
        <v/>
      </c>
      <c r="M27" s="582" t="str">
        <f>IF(AND(B27="Heavy Duty Truck",C27="Diesel"),'LCT - Heavy Duty'!$C$17,IF(AND(B27="Heavy Duty Truck",C27="Battery Electric"),'LCT - Heavy Duty'!$F$17,IF(AND(B27="Heavy Duty Truck",OR(C27="Natural Gas",C27="Propane")),'LCT - Heavy Duty'!$D$41,IF(AND(B27="Box Truck",C27="Gasoline"),'LCT - Light &amp; Light-Heavy Duty'!$C$17,IF(AND(B27="Box Truck",C27="Hybrid"),'LCT - Light &amp; Light-Heavy Duty'!$D$17,IF(AND(B27="Box Truck",C27="Plug-in Hybrid"),'LCT - Light &amp; Light-Heavy Duty'!$E$17,IF(AND(B27="Box Truck",C27="Battery Electric"),'LCT - Light &amp; Light-Heavy Duty'!$F$17,IF(AND(B27="Box Truck",C27="Fuel Cell Electric"),'LCT - Light &amp; Light-Heavy Duty'!$G$17,IF(AND(B27="Van",C27="Gasoline"),'LCT - Light &amp; Light-Heavy Duty'!$C$12,IF(AND(B27="Van",C27="Hybrid"),'LCT - Light &amp; Light-Heavy Duty'!$D$12,IF(AND(B27="Van",C27="Plug-in Hybrid"),'LCT - Light &amp; Light-Heavy Duty'!$E$12,IF(AND(B27="Van",'Interim Water Delivery Inputs'!F34="Battery Electric"),'LCT - Light &amp; Light-Heavy Duty'!$F$12,IF(AND(B27="Van",C27="Fuel Cell Electric"),'LCT - Light &amp; Light-Heavy Duty'!$G$12,IF(AND(B27="Sedan",C27="Gasoline"),'LCT - Light &amp; Light-Heavy Duty'!$C$25,IF(AND(B27="Sedan",C27="Hybrid"),'LCT - Light &amp; Light-Heavy Duty'!$D$25,IF(AND(B27="Sedan",C27="Plug-in Hybrid"),'LCT - Light &amp; Light-Heavy Duty'!$D$25,IF(AND(B27="Sedan",'Interim Water Delivery Inputs'!F34="Battery Electric"),'LCT - Light &amp; Light-Heavy Duty'!$E$25,IF(AND(B27="Sedan",C27="Fuel Cell Electric"),'LCT - Light &amp; Light-Heavy Duty'!$F$25,""))))))))))))))))))</f>
        <v/>
      </c>
      <c r="N27" s="174" t="str">
        <f>IFERROR(((Table7[[#This Row],[NOx Emission Factor
(g/mi)]]*Table7[[#This Row],[Total Annual VMT 
(Miles/Year)]])*1/454),"")</f>
        <v/>
      </c>
      <c r="O27" s="174" t="str">
        <f>IFERROR((Table7[[#This Row],[Annual NOx Emissions 
(lbs/year)]]*Table7[[#This Row],[Project Life
(Years)]]),"")</f>
        <v/>
      </c>
      <c r="P27" s="174" t="str">
        <f>IF(AND(B27="Heavy Duty Truck",C27="Diesel"),'LCT - Heavy Duty'!$C$18,IF(AND(B27="Heavy Duty Truck",C27="Battery Electric"),'LCT - Heavy Duty'!$F$18,IF(AND(B27="Heavy Duty Truck",OR(C27="Natural Gas",C27="Propane")),'LCT - Heavy Duty'!$D$42,IF(AND(B27="Box Truck",C27="Gasoline"),'LCT - Light &amp; Light-Heavy Duty'!$C$18,IF(AND(B27="Box Truck",C27="Hybrid"),'LCT - Light &amp; Light-Heavy Duty'!$D$18,IF(AND(B27="Box Truck",C27="Plug-in Hybrid"),'LCT - Light &amp; Light-Heavy Duty'!$E$18,IF(AND(B27="Box Truck",C27="Battery Electric"),'LCT - Light &amp; Light-Heavy Duty'!$F$18,IF(AND(B27="Box Truck",C27="Fuel Cell Electric"),'LCT - Light &amp; Light-Heavy Duty'!$G$18,IF(AND(B27="Van",C27="Gasoline"),'LCT - Light &amp; Light-Heavy Duty'!$C$13,IF(AND(B27="Van",C27="Hybrid"),'LCT - Light &amp; Light-Heavy Duty'!$D$13,IF(AND(B27="Van",C27="Plug-in Hybrid"),'LCT - Light &amp; Light-Heavy Duty'!$E$13,IF(AND(B27="Van",'Interim Water Delivery Inputs'!F34="Battery Electric"),'LCT - Light &amp; Light-Heavy Duty'!$F$13,IF(AND(B27="Van",C27="Fuel Cell Electric"),'LCT - Light &amp; Light-Heavy Duty'!$G$13,IF(AND(B27="Sedan",C27="Gasoline"),'LCT - Light &amp; Light-Heavy Duty'!$C$26,IF(AND(B27="Sedan",C27="Hybrid"),'LCT - Light &amp; Light-Heavy Duty'!$D$26,IF(AND(B27="Sedan",C27="Plug-in Hybrid"),'LCT - Light &amp; Light-Heavy Duty'!$D$26,IF(AND(B27="Sedan",'Interim Water Delivery Inputs'!F34="Battery Electric"),'LCT - Light &amp; Light-Heavy Duty'!$E$26,IF(AND(B27="Sedan",C27="Fuel Cell Electric"),'LCT - Light &amp; Light-Heavy Duty'!$F$26,""))))))))))))))))))</f>
        <v/>
      </c>
      <c r="Q27" s="174" t="str">
        <f>IFERROR(((Table7[[#This Row],[PM2.5 Emission Factor
(g/mi)]]*Table7[[#This Row],[Total Annual VMT 
(Miles/Year)]])*1/454),"")</f>
        <v/>
      </c>
      <c r="R27" s="174" t="str">
        <f>IFERROR((Table7[[#This Row],[Annual PM2.5 Emissions 
(lbs/year)]]*Table7[[#This Row],[Project Life
(Years)]]),"")</f>
        <v/>
      </c>
      <c r="S27" s="174" t="str">
        <f>IF(AND(B27="Heavy Duty Truck",C27="Diesel"),'LCT - Heavy Duty'!$C$19,IF(AND(B27="Heavy Duty Truck",C27="Battery Electric"),'LCT - Heavy Duty'!$F$19,IF(AND(B27="Heavy Duty Truck",OR(C27="Natural Gas",C27="Propane")),'LCT - Heavy Duty'!$D$43,IF(AND(B27="Box Truck",C27="Gasoline"),'LCT - Light &amp; Light-Heavy Duty'!$C$19,IF(AND(B27="Box Truck",C27="Hybrid"),'LCT - Light &amp; Light-Heavy Duty'!$D$19,IF(AND(B27="Box Truck",C27="Plug-in Hybrid"),'LCT - Light &amp; Light-Heavy Duty'!$E$19,IF(AND(B27="Box Truck",C27="Battery Electric"),'LCT - Light &amp; Light-Heavy Duty'!$F$19,IF(AND(B27="Box Truck",C27="Fuel Cell Electric"),'LCT - Light &amp; Light-Heavy Duty'!$G$19,IF(AND(B27="Van",C27="Gasoline"),'LCT - Light &amp; Light-Heavy Duty'!$C$14,IF(AND(B27="Van",C27="Hybrid"),'LCT - Light &amp; Light-Heavy Duty'!$D$14,IF(AND(B27="Van",C27="Plug-in Hybrid"),'LCT - Light &amp; Light-Heavy Duty'!$E$14,IF(AND(B27="Van",'Interim Water Delivery Inputs'!F34="Battery Electric"),'LCT - Light &amp; Light-Heavy Duty'!$F$14,IF(AND(B27="Van",C27="Fuel Cell Electric"),'LCT - Light &amp; Light-Heavy Duty'!$G$14,IF(AND(B27="Sedan",C27="Gasoline"),'LCT - Light &amp; Light-Heavy Duty'!$C$27,IF(AND(B27="Sedan",C27="Hybrid"),'LCT - Light &amp; Light-Heavy Duty'!$D$27,IF(AND(B27="Sedan",C27="Plug-in Hybrid"),'LCT - Light &amp; Light-Heavy Duty'!$D$27,IF(AND(B27="Sedan",'Interim Water Delivery Inputs'!F34="Battery Electric"),'LCT - Light &amp; Light-Heavy Duty'!$E$27,IF(AND(B27="Sedan",C27="Fuel Cell Electric"),'LCT - Light &amp; Light-Heavy Duty'!$F$27,""))))))))))))))))))</f>
        <v/>
      </c>
      <c r="T27" s="174" t="str">
        <f>IFERROR(((Table7[[#This Row],[Diesel PM Emission Factor
(g/mi)]]*Table7[[#This Row],[Total Annual VMT 
(Miles/Year)]])*1/454),"")</f>
        <v/>
      </c>
      <c r="U27" s="186" t="str">
        <f>IFERROR((Table7[[#This Row],[Annual Diesel PM Emissions 
(lbs/year)]]*Table7[[#This Row],[Project Life
(Years)]]),"")</f>
        <v/>
      </c>
      <c r="V27" s="186" t="str">
        <f>IF(Table7[[#This Row],[Fuel Type]]="Diesel",Defaults!$C$42,IF(Table7[[#This Row],[Fuel Type]]="Natural Gas",Defaults!$C$42*'Fuel-Specific GHG'!C54,IF(Table7[[#This Row],[Fuel Type]]="Propane",Defaults!$C$42*'Fuel-Specific GHG'!C54,IF(AND(Table7[[#This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7"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7" s="583">
        <f>IF(OR(Table7[[#This Row],[Fuel Type]]="Diesel",Table7[[#This Row],[Fuel Type]]="Gasoline",Table7[[#This Row],[Fuel Type]]="Hybrid",Table7[[#This Row],[Fuel Type]]="Plug-in Hybrid",Table7[[#This Row],[Fuel Type]]="Natural Gas",Table7[[#This Row],[Fuel Type]]="Propane"),Table7[[#This Row],[Fuel Use 
(gal, Kwh, or kg)]],0)</f>
        <v>0</v>
      </c>
      <c r="Y27"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7" s="26">
        <f>IF(B27=0,0,IF('Project Info'!$C$33="",2023,YEAR('Project Info'!$C$33)))</f>
        <v>0</v>
      </c>
      <c r="AA27" s="193">
        <f>'Interim Water Delivery Inputs'!N34*Table7[[#This Row],[Project Life
(Years)]]</f>
        <v>0</v>
      </c>
      <c r="AB27" s="193">
        <f>Table7[[#This Row],[Column2]]*Defaults!$C$59*12</f>
        <v>0</v>
      </c>
      <c r="AC27" s="193">
        <f>Table7[[#This Row],[Column3]]*Defaults!$C$58</f>
        <v>0</v>
      </c>
      <c r="AD27" s="193">
        <f>IF(B27=0,0,Table7[[#This Row],[Column4]]*VLOOKUP(Table7[[#This Row],[Column1]],'Passenger Auto C&amp;T'!$B$45:$D$80,3,FALSE))</f>
        <v>0</v>
      </c>
      <c r="AE27" s="589">
        <f>Table7[[#This Row],[Column42]]*'Fuel Prices'!$C$11</f>
        <v>0</v>
      </c>
      <c r="AF27" s="590">
        <f>IF(B27=0,0,VLOOKUP(Table7[[#This Row],[Column1]],'Passenger Auto GHG'!$B$46:$D$81,3,FALSE))</f>
        <v>0</v>
      </c>
      <c r="AG27" s="591">
        <f>Table7[[#This Row],[Column5]]*Table7[[#This Row],[Column4]]/1000000</f>
        <v>0</v>
      </c>
      <c r="AH27" s="592">
        <f>IF(B27=0,0,VLOOKUP(Table7[[#This Row],[Column1]],'Passenger Auto C&amp;T'!$B$45:$L$80,4,FALSE))</f>
        <v>0</v>
      </c>
      <c r="AI27" s="593">
        <f>IF(B27=0,0,VLOOKUP(Table7[[#This Row],[Column1]],'Passenger Auto C&amp;T'!$B$45:$L$80,5,FALSE))</f>
        <v>0</v>
      </c>
      <c r="AJ27" s="593">
        <f>IF(B27=0,0,SUM(VLOOKUP(Table7[[#This Row],[Column1]],'Passenger Auto C&amp;T'!$B$45:$L$80,6,FALSE),VLOOKUP(Table7[[#This Row],[Column1]],'Passenger Auto C&amp;T'!$B$45:$L$80,7,FALSE),VLOOKUP(Table7[[#This Row],[Column1]],'Passenger Auto C&amp;T'!$B$45:$L$80,8,FALSE)))</f>
        <v>0</v>
      </c>
      <c r="AK27" s="594">
        <f>IF(B27=0,0,VLOOKUP(Table7[[#This Row],[Column1]],'Passenger Auto C&amp;T'!$B$45:$L$80,10,FALSE))</f>
        <v>0</v>
      </c>
      <c r="AL27" s="592">
        <f>Table7[[#This Row],[Column4]]*Table7[[#This Row],[Column7]]*0.00220462</f>
        <v>0</v>
      </c>
      <c r="AM27" s="593">
        <f>Table7[[#This Row],[Column4]]*Table7[[#This Row],[Column8]]*0.00220462</f>
        <v>0</v>
      </c>
      <c r="AN27" s="593">
        <f>Table7[[#This Row],[Column4]]*Table7[[#This Row],[Column9]]*0.00220462</f>
        <v>0</v>
      </c>
      <c r="AO27" s="595">
        <f>Table7[[#This Row],[Column4]]*Table7[[#This Row],[Column10]]*0.00220462</f>
        <v>0</v>
      </c>
      <c r="AP27" s="592">
        <f>IF(B27=0,0,Table7[[#This Row],[Column6]]-Table7[[#This Row],[Total Transportation GHG Emissions 
(MTCO2e)]])</f>
        <v>0</v>
      </c>
      <c r="AQ27" s="593">
        <f>IF(B27=0,0,Table7[[#This Row],[Column11]]-Table7[[#This Row],[Total ROG Emissions 
(lbs)]])</f>
        <v>0</v>
      </c>
      <c r="AR27" s="593">
        <f>IF(B27=0,0,Table7[[#This Row],[Column12]]-Table7[[#This Row],[Total NOx Emissions 
(lbs)]])</f>
        <v>0</v>
      </c>
      <c r="AS27" s="593">
        <f>IF(B27=0,0,Table7[[#This Row],[Column13]]-Table7[[#This Row],[Total PM2.5 Emissions 
(lbs)]])</f>
        <v>0</v>
      </c>
      <c r="AT27" s="596">
        <f>IF(B27=0,0,Table7[[#This Row],[Column14]]-Table7[[#This Row],[Total Diesel PM Emissions 
(lbs)]])</f>
        <v>0</v>
      </c>
      <c r="AU27" s="588">
        <f>IF(B27=0,0,Table7[[#This Row],[Column42]]-Table7[[#This Row],[Fuel Use 
(gal)]])</f>
        <v>0</v>
      </c>
      <c r="AV27" s="597">
        <f>IF(B27=0,0,Table7[[#This Row],[Column43]]-Table7[[#This Row],[Fuel Cost ($)]])</f>
        <v>0</v>
      </c>
    </row>
    <row r="28" spans="2:48" s="2" customFormat="1" ht="15.5" x14ac:dyDescent="0.35">
      <c r="B28" s="588">
        <f>'Interim Water Delivery Inputs'!D35</f>
        <v>0</v>
      </c>
      <c r="C28" s="580">
        <f>'Interim Water Delivery Inputs'!F35</f>
        <v>0</v>
      </c>
      <c r="D28" s="580">
        <f>'Interim Water Delivery Inputs'!H35</f>
        <v>0</v>
      </c>
      <c r="E28" s="581">
        <f>IF('Interim Water Delivery Inputs'!B35="",0,(IF('Interim Water Delivery Inputs'!J35="",(Defaults!$H$15*Table7[[#This Row],[Number of Identical Vehicles]]),'Interim Water Delivery Inputs'!J35)))</f>
        <v>0</v>
      </c>
      <c r="F28" s="581">
        <f>'Interim Water Delivery Inputs'!L35</f>
        <v>0</v>
      </c>
      <c r="G28" s="582" t="str">
        <f>IF(AND(B28="Heavy Duty Truck",C28="Diesel"),'LCT - Heavy Duty'!$C$15,IF(AND(B28="Heavy Duty Truck",C28="Battery Electric"),'LCT - Heavy Duty'!$F$15,IF(AND(B28="Heavy Duty Truck",OR(C28="Natural Gas",C28="Propane")),'LCT - Heavy Duty'!$D$39,IF(AND(B28="Box Truck",C28="Gasoline"),'LCT - Light &amp; Light-Heavy Duty'!$C$15,IF(AND(B28="Box Truck",C28="Hybrid"),'LCT - Light &amp; Light-Heavy Duty'!$D$15,IF(AND(B28="Box Truck",C28="Plug-in Hybrid"),'LCT - Light &amp; Light-Heavy Duty'!$E$15,IF(AND(B28="Box Truck",C28="Battery Electric"),'LCT - Light &amp; Light-Heavy Duty'!$F$15,IF(AND(B28="Box Truck",C28="Fuel Cell Electric"),'LCT - Light &amp; Light-Heavy Duty'!$G$15,IF(AND(B28="Van",C28="Gasoline"),'LCT - Light &amp; Light-Heavy Duty'!$C$10,IF(AND(B28="Van",C28="Hybrid"),'LCT - Light &amp; Light-Heavy Duty'!$D$10,IF(AND(B28="Van",C28="Plug-in Hybrid"),'LCT - Light &amp; Light-Heavy Duty'!$E$10,IF(AND(B28="Van",'Interim Water Delivery Inputs'!F35="Battery Electric"),'LCT - Light &amp; Light-Heavy Duty'!$F$10,IF(AND(B28="Van",C28="Fuel Cell Electric"),'LCT - Light &amp; Light-Heavy Duty'!$G$10,IF(AND(B28="Sedan",C28="Gasoline"),'LCT - Light &amp; Light-Heavy Duty'!$C$23,IF(AND(B28="Sedan",C28="Hybrid"),'LCT - Light &amp; Light-Heavy Duty'!$D$23,IF(AND(B28="Sedan",C28="Plug-in Hybrid"),'LCT - Light &amp; Light-Heavy Duty'!$D$23,IF(AND(B28="Sedan",'Interim Water Delivery Inputs'!F35="Battery Electric"),'LCT - Light &amp; Light-Heavy Duty'!$E$23,IF(AND(B28="Sedan",C28="Fuel Cell Electric"),'LCT - Light &amp; Light-Heavy Duty'!$F$23,""))))))))))))))))))</f>
        <v/>
      </c>
      <c r="H28" s="582" t="str">
        <f>IFERROR(((Table7[[#This Row],[GHG Emission Factor 
(g CO2e/mi)]]*Table7[[#This Row],[Total Annual VMT 
(Miles/Year)]])*1/1000000),"")</f>
        <v/>
      </c>
      <c r="I28" s="582" t="str">
        <f>IFERROR(Table7[[#This Row],[Annual Transportation GHG Emissions 
(MTCO2e/Year)]]*Table7[[#This Row],[Project Life
(Years)]],"")</f>
        <v/>
      </c>
      <c r="J28" s="582" t="str">
        <f>IF(AND(B28="Heavy Duty Truck",C28="Diesel"),'LCT - Heavy Duty'!$C$16,IF(AND(B28="Heavy Duty Truck",C28="Battery Electric"),'LCT - Heavy Duty'!$F$16,IF(AND(B28="Heavy Duty Truck",OR(C28="Natural Gas",C28="Propane")),'LCT - Heavy Duty'!$D$40,IF(AND(B28="Box Truck",C28="Gasoline"),'LCT - Light &amp; Light-Heavy Duty'!$C$16,IF(AND(B28="Box Truck",C28="Hybrid"),'LCT - Light &amp; Light-Heavy Duty'!$D$16,IF(AND(B28="Box Truck",C28="Plug-in Hybrid"),'LCT - Light &amp; Light-Heavy Duty'!$E$16,IF(AND(B28="Box Truck",C28="Battery Electric"),'LCT - Light &amp; Light-Heavy Duty'!$F$16,IF(AND(B28="Box Truck",C28="Fuel Cell Electric"),'LCT - Light &amp; Light-Heavy Duty'!$G$16,IF(AND(B28="Van",C28="Gasoline"),'LCT - Light &amp; Light-Heavy Duty'!$C$11,IF(AND(B28="Van",C28="Hybrid"),'LCT - Light &amp; Light-Heavy Duty'!$D$11,IF(AND(B28="Van",C28="Plug-in Hybrid"),'LCT - Light &amp; Light-Heavy Duty'!$E$11,IF(AND(B28="Van",'Interim Water Delivery Inputs'!F35="Battery Electric"),'LCT - Light &amp; Light-Heavy Duty'!$F$11,IF(AND(B28="Van",C28="Fuel Cell Electric"),'LCT - Light &amp; Light-Heavy Duty'!$G$11,IF(AND(B28="Sedan",C28="Gasoline"),'LCT - Light &amp; Light-Heavy Duty'!$C$24,IF(AND(B28="Sedan",C28="Hybrid"),'LCT - Light &amp; Light-Heavy Duty'!$D$24,IF(AND(B28="Sedan",C28="Plug-in Hybrid"),'LCT - Light &amp; Light-Heavy Duty'!$D$24,IF(AND(B28="Sedan",'Interim Water Delivery Inputs'!F35="Battery Electric"),'LCT - Light &amp; Light-Heavy Duty'!$E$24,IF(AND(B28="Sedan",C28="Fuel Cell Electric"),'LCT - Light &amp; Light-Heavy Duty'!$F$24,""))))))))))))))))))</f>
        <v/>
      </c>
      <c r="K28" s="582" t="str">
        <f>IFERROR(((Table7[[#This Row],[ROG Emission Factor
(g/mi)]]*Table7[[#This Row],[Total Annual VMT 
(Miles/Year)]])*1/454),"")</f>
        <v/>
      </c>
      <c r="L28" s="174" t="str">
        <f>IFERROR((Table7[[#This Row],[Annual ROG Emissions 
(lbs/year)]]*Table7[[#This Row],[Project Life
(Years)]]),"")</f>
        <v/>
      </c>
      <c r="M28" s="582" t="str">
        <f>IF(AND(B28="Heavy Duty Truck",C28="Diesel"),'LCT - Heavy Duty'!$C$17,IF(AND(B28="Heavy Duty Truck",C28="Battery Electric"),'LCT - Heavy Duty'!$F$17,IF(AND(B28="Heavy Duty Truck",OR(C28="Natural Gas",C28="Propane")),'LCT - Heavy Duty'!$D$41,IF(AND(B28="Box Truck",C28="Gasoline"),'LCT - Light &amp; Light-Heavy Duty'!$C$17,IF(AND(B28="Box Truck",C28="Hybrid"),'LCT - Light &amp; Light-Heavy Duty'!$D$17,IF(AND(B28="Box Truck",C28="Plug-in Hybrid"),'LCT - Light &amp; Light-Heavy Duty'!$E$17,IF(AND(B28="Box Truck",C28="Battery Electric"),'LCT - Light &amp; Light-Heavy Duty'!$F$17,IF(AND(B28="Box Truck",C28="Fuel Cell Electric"),'LCT - Light &amp; Light-Heavy Duty'!$G$17,IF(AND(B28="Van",C28="Gasoline"),'LCT - Light &amp; Light-Heavy Duty'!$C$12,IF(AND(B28="Van",C28="Hybrid"),'LCT - Light &amp; Light-Heavy Duty'!$D$12,IF(AND(B28="Van",C28="Plug-in Hybrid"),'LCT - Light &amp; Light-Heavy Duty'!$E$12,IF(AND(B28="Van",'Interim Water Delivery Inputs'!F35="Battery Electric"),'LCT - Light &amp; Light-Heavy Duty'!$F$12,IF(AND(B28="Van",C28="Fuel Cell Electric"),'LCT - Light &amp; Light-Heavy Duty'!$G$12,IF(AND(B28="Sedan",C28="Gasoline"),'LCT - Light &amp; Light-Heavy Duty'!$C$25,IF(AND(B28="Sedan",C28="Hybrid"),'LCT - Light &amp; Light-Heavy Duty'!$D$25,IF(AND(B28="Sedan",C28="Plug-in Hybrid"),'LCT - Light &amp; Light-Heavy Duty'!$D$25,IF(AND(B28="Sedan",'Interim Water Delivery Inputs'!F35="Battery Electric"),'LCT - Light &amp; Light-Heavy Duty'!$E$25,IF(AND(B28="Sedan",C28="Fuel Cell Electric"),'LCT - Light &amp; Light-Heavy Duty'!$F$25,""))))))))))))))))))</f>
        <v/>
      </c>
      <c r="N28" s="174" t="str">
        <f>IFERROR(((Table7[[#This Row],[NOx Emission Factor
(g/mi)]]*Table7[[#This Row],[Total Annual VMT 
(Miles/Year)]])*1/454),"")</f>
        <v/>
      </c>
      <c r="O28" s="174" t="str">
        <f>IFERROR((Table7[[#This Row],[Annual NOx Emissions 
(lbs/year)]]*Table7[[#This Row],[Project Life
(Years)]]),"")</f>
        <v/>
      </c>
      <c r="P28" s="174" t="str">
        <f>IF(AND(B28="Heavy Duty Truck",C28="Diesel"),'LCT - Heavy Duty'!$C$18,IF(AND(B28="Heavy Duty Truck",C28="Battery Electric"),'LCT - Heavy Duty'!$F$18,IF(AND(B28="Heavy Duty Truck",OR(C28="Natural Gas",C28="Propane")),'LCT - Heavy Duty'!$D$42,IF(AND(B28="Box Truck",C28="Gasoline"),'LCT - Light &amp; Light-Heavy Duty'!$C$18,IF(AND(B28="Box Truck",C28="Hybrid"),'LCT - Light &amp; Light-Heavy Duty'!$D$18,IF(AND(B28="Box Truck",C28="Plug-in Hybrid"),'LCT - Light &amp; Light-Heavy Duty'!$E$18,IF(AND(B28="Box Truck",C28="Battery Electric"),'LCT - Light &amp; Light-Heavy Duty'!$F$18,IF(AND(B28="Box Truck",C28="Fuel Cell Electric"),'LCT - Light &amp; Light-Heavy Duty'!$G$18,IF(AND(B28="Van",C28="Gasoline"),'LCT - Light &amp; Light-Heavy Duty'!$C$13,IF(AND(B28="Van",C28="Hybrid"),'LCT - Light &amp; Light-Heavy Duty'!$D$13,IF(AND(B28="Van",C28="Plug-in Hybrid"),'LCT - Light &amp; Light-Heavy Duty'!$E$13,IF(AND(B28="Van",'Interim Water Delivery Inputs'!F35="Battery Electric"),'LCT - Light &amp; Light-Heavy Duty'!$F$13,IF(AND(B28="Van",C28="Fuel Cell Electric"),'LCT - Light &amp; Light-Heavy Duty'!$G$13,IF(AND(B28="Sedan",C28="Gasoline"),'LCT - Light &amp; Light-Heavy Duty'!$C$26,IF(AND(B28="Sedan",C28="Hybrid"),'LCT - Light &amp; Light-Heavy Duty'!$D$26,IF(AND(B28="Sedan",C28="Plug-in Hybrid"),'LCT - Light &amp; Light-Heavy Duty'!$D$26,IF(AND(B28="Sedan",'Interim Water Delivery Inputs'!F35="Battery Electric"),'LCT - Light &amp; Light-Heavy Duty'!$E$26,IF(AND(B28="Sedan",C28="Fuel Cell Electric"),'LCT - Light &amp; Light-Heavy Duty'!$F$26,""))))))))))))))))))</f>
        <v/>
      </c>
      <c r="Q28" s="174" t="str">
        <f>IFERROR(((Table7[[#This Row],[PM2.5 Emission Factor
(g/mi)]]*Table7[[#This Row],[Total Annual VMT 
(Miles/Year)]])*1/454),"")</f>
        <v/>
      </c>
      <c r="R28" s="174" t="str">
        <f>IFERROR((Table7[[#This Row],[Annual PM2.5 Emissions 
(lbs/year)]]*Table7[[#This Row],[Project Life
(Years)]]),"")</f>
        <v/>
      </c>
      <c r="S28" s="174" t="str">
        <f>IF(AND(B28="Heavy Duty Truck",C28="Diesel"),'LCT - Heavy Duty'!$C$19,IF(AND(B28="Heavy Duty Truck",C28="Battery Electric"),'LCT - Heavy Duty'!$F$19,IF(AND(B28="Heavy Duty Truck",OR(C28="Natural Gas",C28="Propane")),'LCT - Heavy Duty'!$D$43,IF(AND(B28="Box Truck",C28="Gasoline"),'LCT - Light &amp; Light-Heavy Duty'!$C$19,IF(AND(B28="Box Truck",C28="Hybrid"),'LCT - Light &amp; Light-Heavy Duty'!$D$19,IF(AND(B28="Box Truck",C28="Plug-in Hybrid"),'LCT - Light &amp; Light-Heavy Duty'!$E$19,IF(AND(B28="Box Truck",C28="Battery Electric"),'LCT - Light &amp; Light-Heavy Duty'!$F$19,IF(AND(B28="Box Truck",C28="Fuel Cell Electric"),'LCT - Light &amp; Light-Heavy Duty'!$G$19,IF(AND(B28="Van",C28="Gasoline"),'LCT - Light &amp; Light-Heavy Duty'!$C$14,IF(AND(B28="Van",C28="Hybrid"),'LCT - Light &amp; Light-Heavy Duty'!$D$14,IF(AND(B28="Van",C28="Plug-in Hybrid"),'LCT - Light &amp; Light-Heavy Duty'!$E$14,IF(AND(B28="Van",'Interim Water Delivery Inputs'!F35="Battery Electric"),'LCT - Light &amp; Light-Heavy Duty'!$F$14,IF(AND(B28="Van",C28="Fuel Cell Electric"),'LCT - Light &amp; Light-Heavy Duty'!$G$14,IF(AND(B28="Sedan",C28="Gasoline"),'LCT - Light &amp; Light-Heavy Duty'!$C$27,IF(AND(B28="Sedan",C28="Hybrid"),'LCT - Light &amp; Light-Heavy Duty'!$D$27,IF(AND(B28="Sedan",C28="Plug-in Hybrid"),'LCT - Light &amp; Light-Heavy Duty'!$D$27,IF(AND(B28="Sedan",'Interim Water Delivery Inputs'!F35="Battery Electric"),'LCT - Light &amp; Light-Heavy Duty'!$E$27,IF(AND(B28="Sedan",C28="Fuel Cell Electric"),'LCT - Light &amp; Light-Heavy Duty'!$F$27,""))))))))))))))))))</f>
        <v/>
      </c>
      <c r="T28" s="174" t="str">
        <f>IFERROR(((Table7[[#This Row],[Diesel PM Emission Factor
(g/mi)]]*Table7[[#This Row],[Total Annual VMT 
(Miles/Year)]])*1/454),"")</f>
        <v/>
      </c>
      <c r="U28" s="186" t="str">
        <f>IFERROR((Table7[[#This Row],[Annual Diesel PM Emissions 
(lbs/year)]]*Table7[[#This Row],[Project Life
(Years)]]),"")</f>
        <v/>
      </c>
      <c r="V28" s="186" t="str">
        <f>IF(Table7[[#This Row],[Fuel Type]]="Diesel",Defaults!$C$42,IF(Table7[[#This Row],[Fuel Type]]="Natural Gas",Defaults!$C$42*'Fuel-Specific GHG'!C55,IF(Table7[[#This Row],[Fuel Type]]="Propane",Defaults!$C$42*'Fuel-Specific GHG'!C55,IF(AND(Table7[[#This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8"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8" s="583">
        <f>IF(OR(Table7[[#This Row],[Fuel Type]]="Diesel",Table7[[#This Row],[Fuel Type]]="Gasoline",Table7[[#This Row],[Fuel Type]]="Hybrid",Table7[[#This Row],[Fuel Type]]="Plug-in Hybrid",Table7[[#This Row],[Fuel Type]]="Natural Gas",Table7[[#This Row],[Fuel Type]]="Propane"),Table7[[#This Row],[Fuel Use 
(gal, Kwh, or kg)]],0)</f>
        <v>0</v>
      </c>
      <c r="Y28"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8" s="26">
        <f>IF(B28=0,0,IF('Project Info'!$C$33="",2023,YEAR('Project Info'!$C$33)))</f>
        <v>0</v>
      </c>
      <c r="AA28" s="193">
        <f>'Interim Water Delivery Inputs'!N35*Table7[[#This Row],[Project Life
(Years)]]</f>
        <v>0</v>
      </c>
      <c r="AB28" s="193">
        <f>Table7[[#This Row],[Column2]]*Defaults!$C$59*12</f>
        <v>0</v>
      </c>
      <c r="AC28" s="193">
        <f>Table7[[#This Row],[Column3]]*Defaults!$C$58</f>
        <v>0</v>
      </c>
      <c r="AD28" s="193">
        <f>IF(B28=0,0,Table7[[#This Row],[Column4]]*VLOOKUP(Table7[[#This Row],[Column1]],'Passenger Auto C&amp;T'!$B$45:$D$80,3,FALSE))</f>
        <v>0</v>
      </c>
      <c r="AE28" s="589">
        <f>Table7[[#This Row],[Column42]]*'Fuel Prices'!$C$11</f>
        <v>0</v>
      </c>
      <c r="AF28" s="590">
        <f>IF(B28=0,0,VLOOKUP(Table7[[#This Row],[Column1]],'Passenger Auto GHG'!$B$46:$D$81,3,FALSE))</f>
        <v>0</v>
      </c>
      <c r="AG28" s="591">
        <f>Table7[[#This Row],[Column5]]*Table7[[#This Row],[Column4]]/1000000</f>
        <v>0</v>
      </c>
      <c r="AH28" s="592">
        <f>IF(B28=0,0,VLOOKUP(Table7[[#This Row],[Column1]],'Passenger Auto C&amp;T'!$B$45:$L$80,4,FALSE))</f>
        <v>0</v>
      </c>
      <c r="AI28" s="593">
        <f>IF(B28=0,0,VLOOKUP(Table7[[#This Row],[Column1]],'Passenger Auto C&amp;T'!$B$45:$L$80,5,FALSE))</f>
        <v>0</v>
      </c>
      <c r="AJ28" s="593">
        <f>IF(B28=0,0,SUM(VLOOKUP(Table7[[#This Row],[Column1]],'Passenger Auto C&amp;T'!$B$45:$L$80,6,FALSE),VLOOKUP(Table7[[#This Row],[Column1]],'Passenger Auto C&amp;T'!$B$45:$L$80,7,FALSE),VLOOKUP(Table7[[#This Row],[Column1]],'Passenger Auto C&amp;T'!$B$45:$L$80,8,FALSE)))</f>
        <v>0</v>
      </c>
      <c r="AK28" s="594">
        <f>IF(B28=0,0,VLOOKUP(Table7[[#This Row],[Column1]],'Passenger Auto C&amp;T'!$B$45:$L$80,10,FALSE))</f>
        <v>0</v>
      </c>
      <c r="AL28" s="592">
        <f>Table7[[#This Row],[Column4]]*Table7[[#This Row],[Column7]]*0.00220462</f>
        <v>0</v>
      </c>
      <c r="AM28" s="593">
        <f>Table7[[#This Row],[Column4]]*Table7[[#This Row],[Column8]]*0.00220462</f>
        <v>0</v>
      </c>
      <c r="AN28" s="593">
        <f>Table7[[#This Row],[Column4]]*Table7[[#This Row],[Column9]]*0.00220462</f>
        <v>0</v>
      </c>
      <c r="AO28" s="595">
        <f>Table7[[#This Row],[Column4]]*Table7[[#This Row],[Column10]]*0.00220462</f>
        <v>0</v>
      </c>
      <c r="AP28" s="592">
        <f>IF(B28=0,0,Table7[[#This Row],[Column6]]-Table7[[#This Row],[Total Transportation GHG Emissions 
(MTCO2e)]])</f>
        <v>0</v>
      </c>
      <c r="AQ28" s="593">
        <f>IF(B28=0,0,Table7[[#This Row],[Column11]]-Table7[[#This Row],[Total ROG Emissions 
(lbs)]])</f>
        <v>0</v>
      </c>
      <c r="AR28" s="593">
        <f>IF(B28=0,0,Table7[[#This Row],[Column12]]-Table7[[#This Row],[Total NOx Emissions 
(lbs)]])</f>
        <v>0</v>
      </c>
      <c r="AS28" s="593">
        <f>IF(B28=0,0,Table7[[#This Row],[Column13]]-Table7[[#This Row],[Total PM2.5 Emissions 
(lbs)]])</f>
        <v>0</v>
      </c>
      <c r="AT28" s="596">
        <f>IF(B28=0,0,Table7[[#This Row],[Column14]]-Table7[[#This Row],[Total Diesel PM Emissions 
(lbs)]])</f>
        <v>0</v>
      </c>
      <c r="AU28" s="588">
        <f>IF(B28=0,0,Table7[[#This Row],[Column42]]-Table7[[#This Row],[Fuel Use 
(gal)]])</f>
        <v>0</v>
      </c>
      <c r="AV28" s="597">
        <f>IF(B28=0,0,Table7[[#This Row],[Column43]]-Table7[[#This Row],[Fuel Cost ($)]])</f>
        <v>0</v>
      </c>
    </row>
    <row r="29" spans="2:48" s="2" customFormat="1" ht="15.5" x14ac:dyDescent="0.35">
      <c r="B29" s="588">
        <f>'Interim Water Delivery Inputs'!D36</f>
        <v>0</v>
      </c>
      <c r="C29" s="580">
        <f>'Interim Water Delivery Inputs'!F36</f>
        <v>0</v>
      </c>
      <c r="D29" s="580">
        <f>'Interim Water Delivery Inputs'!H36</f>
        <v>0</v>
      </c>
      <c r="E29" s="581">
        <f>IF('Interim Water Delivery Inputs'!B36="",0,(IF('Interim Water Delivery Inputs'!J36="",(Defaults!$H$15*Table7[[#This Row],[Number of Identical Vehicles]]),'Interim Water Delivery Inputs'!J36)))</f>
        <v>0</v>
      </c>
      <c r="F29" s="581">
        <f>'Interim Water Delivery Inputs'!L36</f>
        <v>0</v>
      </c>
      <c r="G29" s="582" t="str">
        <f>IF(AND(B29="Heavy Duty Truck",C29="Diesel"),'LCT - Heavy Duty'!$C$15,IF(AND(B29="Heavy Duty Truck",C29="Battery Electric"),'LCT - Heavy Duty'!$F$15,IF(AND(B29="Heavy Duty Truck",OR(C29="Natural Gas",C29="Propane")),'LCT - Heavy Duty'!$D$39,IF(AND(B29="Box Truck",C29="Gasoline"),'LCT - Light &amp; Light-Heavy Duty'!$C$15,IF(AND(B29="Box Truck",C29="Hybrid"),'LCT - Light &amp; Light-Heavy Duty'!$D$15,IF(AND(B29="Box Truck",C29="Plug-in Hybrid"),'LCT - Light &amp; Light-Heavy Duty'!$E$15,IF(AND(B29="Box Truck",C29="Battery Electric"),'LCT - Light &amp; Light-Heavy Duty'!$F$15,IF(AND(B29="Box Truck",C29="Fuel Cell Electric"),'LCT - Light &amp; Light-Heavy Duty'!$G$15,IF(AND(B29="Van",C29="Gasoline"),'LCT - Light &amp; Light-Heavy Duty'!$C$10,IF(AND(B29="Van",C29="Hybrid"),'LCT - Light &amp; Light-Heavy Duty'!$D$10,IF(AND(B29="Van",C29="Plug-in Hybrid"),'LCT - Light &amp; Light-Heavy Duty'!$E$10,IF(AND(B29="Van",'Interim Water Delivery Inputs'!F36="Battery Electric"),'LCT - Light &amp; Light-Heavy Duty'!$F$10,IF(AND(B29="Van",C29="Fuel Cell Electric"),'LCT - Light &amp; Light-Heavy Duty'!$G$10,IF(AND(B29="Sedan",C29="Gasoline"),'LCT - Light &amp; Light-Heavy Duty'!$C$23,IF(AND(B29="Sedan",C29="Hybrid"),'LCT - Light &amp; Light-Heavy Duty'!$D$23,IF(AND(B29="Sedan",C29="Plug-in Hybrid"),'LCT - Light &amp; Light-Heavy Duty'!$D$23,IF(AND(B29="Sedan",'Interim Water Delivery Inputs'!F36="Battery Electric"),'LCT - Light &amp; Light-Heavy Duty'!$E$23,IF(AND(B29="Sedan",C29="Fuel Cell Electric"),'LCT - Light &amp; Light-Heavy Duty'!$F$23,""))))))))))))))))))</f>
        <v/>
      </c>
      <c r="H29" s="582" t="str">
        <f>IFERROR(((Table7[[#This Row],[GHG Emission Factor 
(g CO2e/mi)]]*Table7[[#This Row],[Total Annual VMT 
(Miles/Year)]])*1/1000000),"")</f>
        <v/>
      </c>
      <c r="I29" s="582" t="str">
        <f>IFERROR(Table7[[#This Row],[Annual Transportation GHG Emissions 
(MTCO2e/Year)]]*Table7[[#This Row],[Project Life
(Years)]],"")</f>
        <v/>
      </c>
      <c r="J29" s="582" t="str">
        <f>IF(AND(B29="Heavy Duty Truck",C29="Diesel"),'LCT - Heavy Duty'!$C$16,IF(AND(B29="Heavy Duty Truck",C29="Battery Electric"),'LCT - Heavy Duty'!$F$16,IF(AND(B29="Heavy Duty Truck",OR(C29="Natural Gas",C29="Propane")),'LCT - Heavy Duty'!$D$40,IF(AND(B29="Box Truck",C29="Gasoline"),'LCT - Light &amp; Light-Heavy Duty'!$C$16,IF(AND(B29="Box Truck",C29="Hybrid"),'LCT - Light &amp; Light-Heavy Duty'!$D$16,IF(AND(B29="Box Truck",C29="Plug-in Hybrid"),'LCT - Light &amp; Light-Heavy Duty'!$E$16,IF(AND(B29="Box Truck",C29="Battery Electric"),'LCT - Light &amp; Light-Heavy Duty'!$F$16,IF(AND(B29="Box Truck",C29="Fuel Cell Electric"),'LCT - Light &amp; Light-Heavy Duty'!$G$16,IF(AND(B29="Van",C29="Gasoline"),'LCT - Light &amp; Light-Heavy Duty'!$C$11,IF(AND(B29="Van",C29="Hybrid"),'LCT - Light &amp; Light-Heavy Duty'!$D$11,IF(AND(B29="Van",C29="Plug-in Hybrid"),'LCT - Light &amp; Light-Heavy Duty'!$E$11,IF(AND(B29="Van",'Interim Water Delivery Inputs'!F36="Battery Electric"),'LCT - Light &amp; Light-Heavy Duty'!$F$11,IF(AND(B29="Van",C29="Fuel Cell Electric"),'LCT - Light &amp; Light-Heavy Duty'!$G$11,IF(AND(B29="Sedan",C29="Gasoline"),'LCT - Light &amp; Light-Heavy Duty'!$C$24,IF(AND(B29="Sedan",C29="Hybrid"),'LCT - Light &amp; Light-Heavy Duty'!$D$24,IF(AND(B29="Sedan",C29="Plug-in Hybrid"),'LCT - Light &amp; Light-Heavy Duty'!$D$24,IF(AND(B29="Sedan",'Interim Water Delivery Inputs'!F36="Battery Electric"),'LCT - Light &amp; Light-Heavy Duty'!$E$24,IF(AND(B29="Sedan",C29="Fuel Cell Electric"),'LCT - Light &amp; Light-Heavy Duty'!$F$24,""))))))))))))))))))</f>
        <v/>
      </c>
      <c r="K29" s="582" t="str">
        <f>IFERROR(((Table7[[#This Row],[ROG Emission Factor
(g/mi)]]*Table7[[#This Row],[Total Annual VMT 
(Miles/Year)]])*1/454),"")</f>
        <v/>
      </c>
      <c r="L29" s="174" t="str">
        <f>IFERROR((Table7[[#This Row],[Annual ROG Emissions 
(lbs/year)]]*Table7[[#This Row],[Project Life
(Years)]]),"")</f>
        <v/>
      </c>
      <c r="M29" s="582" t="str">
        <f>IF(AND(B29="Heavy Duty Truck",C29="Diesel"),'LCT - Heavy Duty'!$C$17,IF(AND(B29="Heavy Duty Truck",C29="Battery Electric"),'LCT - Heavy Duty'!$F$17,IF(AND(B29="Heavy Duty Truck",OR(C29="Natural Gas",C29="Propane")),'LCT - Heavy Duty'!$D$41,IF(AND(B29="Box Truck",C29="Gasoline"),'LCT - Light &amp; Light-Heavy Duty'!$C$17,IF(AND(B29="Box Truck",C29="Hybrid"),'LCT - Light &amp; Light-Heavy Duty'!$D$17,IF(AND(B29="Box Truck",C29="Plug-in Hybrid"),'LCT - Light &amp; Light-Heavy Duty'!$E$17,IF(AND(B29="Box Truck",C29="Battery Electric"),'LCT - Light &amp; Light-Heavy Duty'!$F$17,IF(AND(B29="Box Truck",C29="Fuel Cell Electric"),'LCT - Light &amp; Light-Heavy Duty'!$G$17,IF(AND(B29="Van",C29="Gasoline"),'LCT - Light &amp; Light-Heavy Duty'!$C$12,IF(AND(B29="Van",C29="Hybrid"),'LCT - Light &amp; Light-Heavy Duty'!$D$12,IF(AND(B29="Van",C29="Plug-in Hybrid"),'LCT - Light &amp; Light-Heavy Duty'!$E$12,IF(AND(B29="Van",'Interim Water Delivery Inputs'!F36="Battery Electric"),'LCT - Light &amp; Light-Heavy Duty'!$F$12,IF(AND(B29="Van",C29="Fuel Cell Electric"),'LCT - Light &amp; Light-Heavy Duty'!$G$12,IF(AND(B29="Sedan",C29="Gasoline"),'LCT - Light &amp; Light-Heavy Duty'!$C$25,IF(AND(B29="Sedan",C29="Hybrid"),'LCT - Light &amp; Light-Heavy Duty'!$D$25,IF(AND(B29="Sedan",C29="Plug-in Hybrid"),'LCT - Light &amp; Light-Heavy Duty'!$D$25,IF(AND(B29="Sedan",'Interim Water Delivery Inputs'!F36="Battery Electric"),'LCT - Light &amp; Light-Heavy Duty'!$E$25,IF(AND(B29="Sedan",C29="Fuel Cell Electric"),'LCT - Light &amp; Light-Heavy Duty'!$F$25,""))))))))))))))))))</f>
        <v/>
      </c>
      <c r="N29" s="174" t="str">
        <f>IFERROR(((Table7[[#This Row],[NOx Emission Factor
(g/mi)]]*Table7[[#This Row],[Total Annual VMT 
(Miles/Year)]])*1/454),"")</f>
        <v/>
      </c>
      <c r="O29" s="174" t="str">
        <f>IFERROR((Table7[[#This Row],[Annual NOx Emissions 
(lbs/year)]]*Table7[[#This Row],[Project Life
(Years)]]),"")</f>
        <v/>
      </c>
      <c r="P29" s="174" t="str">
        <f>IF(AND(B29="Heavy Duty Truck",C29="Diesel"),'LCT - Heavy Duty'!$C$18,IF(AND(B29="Heavy Duty Truck",C29="Battery Electric"),'LCT - Heavy Duty'!$F$18,IF(AND(B29="Heavy Duty Truck",OR(C29="Natural Gas",C29="Propane")),'LCT - Heavy Duty'!$D$42,IF(AND(B29="Box Truck",C29="Gasoline"),'LCT - Light &amp; Light-Heavy Duty'!$C$18,IF(AND(B29="Box Truck",C29="Hybrid"),'LCT - Light &amp; Light-Heavy Duty'!$D$18,IF(AND(B29="Box Truck",C29="Plug-in Hybrid"),'LCT - Light &amp; Light-Heavy Duty'!$E$18,IF(AND(B29="Box Truck",C29="Battery Electric"),'LCT - Light &amp; Light-Heavy Duty'!$F$18,IF(AND(B29="Box Truck",C29="Fuel Cell Electric"),'LCT - Light &amp; Light-Heavy Duty'!$G$18,IF(AND(B29="Van",C29="Gasoline"),'LCT - Light &amp; Light-Heavy Duty'!$C$13,IF(AND(B29="Van",C29="Hybrid"),'LCT - Light &amp; Light-Heavy Duty'!$D$13,IF(AND(B29="Van",C29="Plug-in Hybrid"),'LCT - Light &amp; Light-Heavy Duty'!$E$13,IF(AND(B29="Van",'Interim Water Delivery Inputs'!F36="Battery Electric"),'LCT - Light &amp; Light-Heavy Duty'!$F$13,IF(AND(B29="Van",C29="Fuel Cell Electric"),'LCT - Light &amp; Light-Heavy Duty'!$G$13,IF(AND(B29="Sedan",C29="Gasoline"),'LCT - Light &amp; Light-Heavy Duty'!$C$26,IF(AND(B29="Sedan",C29="Hybrid"),'LCT - Light &amp; Light-Heavy Duty'!$D$26,IF(AND(B29="Sedan",C29="Plug-in Hybrid"),'LCT - Light &amp; Light-Heavy Duty'!$D$26,IF(AND(B29="Sedan",'Interim Water Delivery Inputs'!F36="Battery Electric"),'LCT - Light &amp; Light-Heavy Duty'!$E$26,IF(AND(B29="Sedan",C29="Fuel Cell Electric"),'LCT - Light &amp; Light-Heavy Duty'!$F$26,""))))))))))))))))))</f>
        <v/>
      </c>
      <c r="Q29" s="174" t="str">
        <f>IFERROR(((Table7[[#This Row],[PM2.5 Emission Factor
(g/mi)]]*Table7[[#This Row],[Total Annual VMT 
(Miles/Year)]])*1/454),"")</f>
        <v/>
      </c>
      <c r="R29" s="174" t="str">
        <f>IFERROR((Table7[[#This Row],[Annual PM2.5 Emissions 
(lbs/year)]]*Table7[[#This Row],[Project Life
(Years)]]),"")</f>
        <v/>
      </c>
      <c r="S29" s="174" t="str">
        <f>IF(AND(B29="Heavy Duty Truck",C29="Diesel"),'LCT - Heavy Duty'!$C$19,IF(AND(B29="Heavy Duty Truck",C29="Battery Electric"),'LCT - Heavy Duty'!$F$19,IF(AND(B29="Heavy Duty Truck",OR(C29="Natural Gas",C29="Propane")),'LCT - Heavy Duty'!$D$43,IF(AND(B29="Box Truck",C29="Gasoline"),'LCT - Light &amp; Light-Heavy Duty'!$C$19,IF(AND(B29="Box Truck",C29="Hybrid"),'LCT - Light &amp; Light-Heavy Duty'!$D$19,IF(AND(B29="Box Truck",C29="Plug-in Hybrid"),'LCT - Light &amp; Light-Heavy Duty'!$E$19,IF(AND(B29="Box Truck",C29="Battery Electric"),'LCT - Light &amp; Light-Heavy Duty'!$F$19,IF(AND(B29="Box Truck",C29="Fuel Cell Electric"),'LCT - Light &amp; Light-Heavy Duty'!$G$19,IF(AND(B29="Van",C29="Gasoline"),'LCT - Light &amp; Light-Heavy Duty'!$C$14,IF(AND(B29="Van",C29="Hybrid"),'LCT - Light &amp; Light-Heavy Duty'!$D$14,IF(AND(B29="Van",C29="Plug-in Hybrid"),'LCT - Light &amp; Light-Heavy Duty'!$E$14,IF(AND(B29="Van",'Interim Water Delivery Inputs'!F36="Battery Electric"),'LCT - Light &amp; Light-Heavy Duty'!$F$14,IF(AND(B29="Van",C29="Fuel Cell Electric"),'LCT - Light &amp; Light-Heavy Duty'!$G$14,IF(AND(B29="Sedan",C29="Gasoline"),'LCT - Light &amp; Light-Heavy Duty'!$C$27,IF(AND(B29="Sedan",C29="Hybrid"),'LCT - Light &amp; Light-Heavy Duty'!$D$27,IF(AND(B29="Sedan",C29="Plug-in Hybrid"),'LCT - Light &amp; Light-Heavy Duty'!$D$27,IF(AND(B29="Sedan",'Interim Water Delivery Inputs'!F36="Battery Electric"),'LCT - Light &amp; Light-Heavy Duty'!$E$27,IF(AND(B29="Sedan",C29="Fuel Cell Electric"),'LCT - Light &amp; Light-Heavy Duty'!$F$27,""))))))))))))))))))</f>
        <v/>
      </c>
      <c r="T29" s="174" t="str">
        <f>IFERROR(((Table7[[#This Row],[Diesel PM Emission Factor
(g/mi)]]*Table7[[#This Row],[Total Annual VMT 
(Miles/Year)]])*1/454),"")</f>
        <v/>
      </c>
      <c r="U29" s="186" t="str">
        <f>IFERROR((Table7[[#This Row],[Annual Diesel PM Emissions 
(lbs/year)]]*Table7[[#This Row],[Project Life
(Years)]]),"")</f>
        <v/>
      </c>
      <c r="V29" s="186" t="str">
        <f>IF(Table7[[#This Row],[Fuel Type]]="Diesel",Defaults!$C$42,IF(Table7[[#This Row],[Fuel Type]]="Natural Gas",Defaults!$C$42*'Fuel-Specific GHG'!C56,IF(Table7[[#This Row],[Fuel Type]]="Propane",Defaults!$C$42*'Fuel-Specific GHG'!C56,IF(AND(Table7[[#This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29"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29" s="583">
        <f>IF(OR(Table7[[#This Row],[Fuel Type]]="Diesel",Table7[[#This Row],[Fuel Type]]="Gasoline",Table7[[#This Row],[Fuel Type]]="Hybrid",Table7[[#This Row],[Fuel Type]]="Plug-in Hybrid",Table7[[#This Row],[Fuel Type]]="Natural Gas",Table7[[#This Row],[Fuel Type]]="Propane"),Table7[[#This Row],[Fuel Use 
(gal, Kwh, or kg)]],0)</f>
        <v>0</v>
      </c>
      <c r="Y29"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29" s="26">
        <f>IF(B29=0,0,IF('Project Info'!$C$33="",2023,YEAR('Project Info'!$C$33)))</f>
        <v>0</v>
      </c>
      <c r="AA29" s="193">
        <f>'Interim Water Delivery Inputs'!N36*Table7[[#This Row],[Project Life
(Years)]]</f>
        <v>0</v>
      </c>
      <c r="AB29" s="193">
        <f>Table7[[#This Row],[Column2]]*Defaults!$C$59*12</f>
        <v>0</v>
      </c>
      <c r="AC29" s="193">
        <f>Table7[[#This Row],[Column3]]*Defaults!$C$58</f>
        <v>0</v>
      </c>
      <c r="AD29" s="193">
        <f>IF(B29=0,0,Table7[[#This Row],[Column4]]*VLOOKUP(Table7[[#This Row],[Column1]],'Passenger Auto C&amp;T'!$B$45:$D$80,3,FALSE))</f>
        <v>0</v>
      </c>
      <c r="AE29" s="589">
        <f>Table7[[#This Row],[Column42]]*'Fuel Prices'!$C$11</f>
        <v>0</v>
      </c>
      <c r="AF29" s="590">
        <f>IF(B29=0,0,VLOOKUP(Table7[[#This Row],[Column1]],'Passenger Auto GHG'!$B$46:$D$81,3,FALSE))</f>
        <v>0</v>
      </c>
      <c r="AG29" s="591">
        <f>Table7[[#This Row],[Column5]]*Table7[[#This Row],[Column4]]/1000000</f>
        <v>0</v>
      </c>
      <c r="AH29" s="592">
        <f>IF(B29=0,0,VLOOKUP(Table7[[#This Row],[Column1]],'Passenger Auto C&amp;T'!$B$45:$L$80,4,FALSE))</f>
        <v>0</v>
      </c>
      <c r="AI29" s="593">
        <f>IF(B29=0,0,VLOOKUP(Table7[[#This Row],[Column1]],'Passenger Auto C&amp;T'!$B$45:$L$80,5,FALSE))</f>
        <v>0</v>
      </c>
      <c r="AJ29" s="593">
        <f>IF(B29=0,0,SUM(VLOOKUP(Table7[[#This Row],[Column1]],'Passenger Auto C&amp;T'!$B$45:$L$80,6,FALSE),VLOOKUP(Table7[[#This Row],[Column1]],'Passenger Auto C&amp;T'!$B$45:$L$80,7,FALSE),VLOOKUP(Table7[[#This Row],[Column1]],'Passenger Auto C&amp;T'!$B$45:$L$80,8,FALSE)))</f>
        <v>0</v>
      </c>
      <c r="AK29" s="594">
        <f>IF(B29=0,0,VLOOKUP(Table7[[#This Row],[Column1]],'Passenger Auto C&amp;T'!$B$45:$L$80,10,FALSE))</f>
        <v>0</v>
      </c>
      <c r="AL29" s="592">
        <f>Table7[[#This Row],[Column4]]*Table7[[#This Row],[Column7]]*0.00220462</f>
        <v>0</v>
      </c>
      <c r="AM29" s="593">
        <f>Table7[[#This Row],[Column4]]*Table7[[#This Row],[Column8]]*0.00220462</f>
        <v>0</v>
      </c>
      <c r="AN29" s="593">
        <f>Table7[[#This Row],[Column4]]*Table7[[#This Row],[Column9]]*0.00220462</f>
        <v>0</v>
      </c>
      <c r="AO29" s="595">
        <f>Table7[[#This Row],[Column4]]*Table7[[#This Row],[Column10]]*0.00220462</f>
        <v>0</v>
      </c>
      <c r="AP29" s="592">
        <f>IF(B29=0,0,Table7[[#This Row],[Column6]]-Table7[[#This Row],[Total Transportation GHG Emissions 
(MTCO2e)]])</f>
        <v>0</v>
      </c>
      <c r="AQ29" s="593">
        <f>IF(B29=0,0,Table7[[#This Row],[Column11]]-Table7[[#This Row],[Total ROG Emissions 
(lbs)]])</f>
        <v>0</v>
      </c>
      <c r="AR29" s="593">
        <f>IF(B29=0,0,Table7[[#This Row],[Column12]]-Table7[[#This Row],[Total NOx Emissions 
(lbs)]])</f>
        <v>0</v>
      </c>
      <c r="AS29" s="593">
        <f>IF(B29=0,0,Table7[[#This Row],[Column13]]-Table7[[#This Row],[Total PM2.5 Emissions 
(lbs)]])</f>
        <v>0</v>
      </c>
      <c r="AT29" s="596">
        <f>IF(B29=0,0,Table7[[#This Row],[Column14]]-Table7[[#This Row],[Total Diesel PM Emissions 
(lbs)]])</f>
        <v>0</v>
      </c>
      <c r="AU29" s="588">
        <f>IF(B29=0,0,Table7[[#This Row],[Column42]]-Table7[[#This Row],[Fuel Use 
(gal)]])</f>
        <v>0</v>
      </c>
      <c r="AV29" s="597">
        <f>IF(B29=0,0,Table7[[#This Row],[Column43]]-Table7[[#This Row],[Fuel Cost ($)]])</f>
        <v>0</v>
      </c>
    </row>
    <row r="30" spans="2:48" s="2" customFormat="1" ht="15.5" x14ac:dyDescent="0.35">
      <c r="B30" s="588">
        <f>'Interim Water Delivery Inputs'!D37</f>
        <v>0</v>
      </c>
      <c r="C30" s="580">
        <f>'Interim Water Delivery Inputs'!F37</f>
        <v>0</v>
      </c>
      <c r="D30" s="580">
        <f>'Interim Water Delivery Inputs'!H37</f>
        <v>0</v>
      </c>
      <c r="E30" s="581">
        <f>IF('Interim Water Delivery Inputs'!B37="",0,(IF('Interim Water Delivery Inputs'!J37="",(Defaults!$H$15*Table7[[#This Row],[Number of Identical Vehicles]]),'Interim Water Delivery Inputs'!J37)))</f>
        <v>0</v>
      </c>
      <c r="F30" s="581">
        <f>'Interim Water Delivery Inputs'!L37</f>
        <v>0</v>
      </c>
      <c r="G30" s="582" t="str">
        <f>IF(AND(B30="Heavy Duty Truck",C30="Diesel"),'LCT - Heavy Duty'!$C$15,IF(AND(B30="Heavy Duty Truck",C30="Battery Electric"),'LCT - Heavy Duty'!$F$15,IF(AND(B30="Heavy Duty Truck",OR(C30="Natural Gas",C30="Propane")),'LCT - Heavy Duty'!$D$39,IF(AND(B30="Box Truck",C30="Gasoline"),'LCT - Light &amp; Light-Heavy Duty'!$C$15,IF(AND(B30="Box Truck",C30="Hybrid"),'LCT - Light &amp; Light-Heavy Duty'!$D$15,IF(AND(B30="Box Truck",C30="Plug-in Hybrid"),'LCT - Light &amp; Light-Heavy Duty'!$E$15,IF(AND(B30="Box Truck",C30="Battery Electric"),'LCT - Light &amp; Light-Heavy Duty'!$F$15,IF(AND(B30="Box Truck",C30="Fuel Cell Electric"),'LCT - Light &amp; Light-Heavy Duty'!$G$15,IF(AND(B30="Van",C30="Gasoline"),'LCT - Light &amp; Light-Heavy Duty'!$C$10,IF(AND(B30="Van",C30="Hybrid"),'LCT - Light &amp; Light-Heavy Duty'!$D$10,IF(AND(B30="Van",C30="Plug-in Hybrid"),'LCT - Light &amp; Light-Heavy Duty'!$E$10,IF(AND(B30="Van",'Interim Water Delivery Inputs'!F37="Battery Electric"),'LCT - Light &amp; Light-Heavy Duty'!$F$10,IF(AND(B30="Van",C30="Fuel Cell Electric"),'LCT - Light &amp; Light-Heavy Duty'!$G$10,IF(AND(B30="Sedan",C30="Gasoline"),'LCT - Light &amp; Light-Heavy Duty'!$C$23,IF(AND(B30="Sedan",C30="Hybrid"),'LCT - Light &amp; Light-Heavy Duty'!$D$23,IF(AND(B30="Sedan",C30="Plug-in Hybrid"),'LCT - Light &amp; Light-Heavy Duty'!$D$23,IF(AND(B30="Sedan",'Interim Water Delivery Inputs'!F37="Battery Electric"),'LCT - Light &amp; Light-Heavy Duty'!$E$23,IF(AND(B30="Sedan",C30="Fuel Cell Electric"),'LCT - Light &amp; Light-Heavy Duty'!$F$23,""))))))))))))))))))</f>
        <v/>
      </c>
      <c r="H30" s="582" t="str">
        <f>IFERROR(((Table7[[#This Row],[GHG Emission Factor 
(g CO2e/mi)]]*Table7[[#This Row],[Total Annual VMT 
(Miles/Year)]])*1/1000000),"")</f>
        <v/>
      </c>
      <c r="I30" s="582" t="str">
        <f>IFERROR(Table7[[#This Row],[Annual Transportation GHG Emissions 
(MTCO2e/Year)]]*Table7[[#This Row],[Project Life
(Years)]],"")</f>
        <v/>
      </c>
      <c r="J30" s="582" t="str">
        <f>IF(AND(B30="Heavy Duty Truck",C30="Diesel"),'LCT - Heavy Duty'!$C$16,IF(AND(B30="Heavy Duty Truck",C30="Battery Electric"),'LCT - Heavy Duty'!$F$16,IF(AND(B30="Heavy Duty Truck",OR(C30="Natural Gas",C30="Propane")),'LCT - Heavy Duty'!$D$40,IF(AND(B30="Box Truck",C30="Gasoline"),'LCT - Light &amp; Light-Heavy Duty'!$C$16,IF(AND(B30="Box Truck",C30="Hybrid"),'LCT - Light &amp; Light-Heavy Duty'!$D$16,IF(AND(B30="Box Truck",C30="Plug-in Hybrid"),'LCT - Light &amp; Light-Heavy Duty'!$E$16,IF(AND(B30="Box Truck",C30="Battery Electric"),'LCT - Light &amp; Light-Heavy Duty'!$F$16,IF(AND(B30="Box Truck",C30="Fuel Cell Electric"),'LCT - Light &amp; Light-Heavy Duty'!$G$16,IF(AND(B30="Van",C30="Gasoline"),'LCT - Light &amp; Light-Heavy Duty'!$C$11,IF(AND(B30="Van",C30="Hybrid"),'LCT - Light &amp; Light-Heavy Duty'!$D$11,IF(AND(B30="Van",C30="Plug-in Hybrid"),'LCT - Light &amp; Light-Heavy Duty'!$E$11,IF(AND(B30="Van",'Interim Water Delivery Inputs'!F37="Battery Electric"),'LCT - Light &amp; Light-Heavy Duty'!$F$11,IF(AND(B30="Van",C30="Fuel Cell Electric"),'LCT - Light &amp; Light-Heavy Duty'!$G$11,IF(AND(B30="Sedan",C30="Gasoline"),'LCT - Light &amp; Light-Heavy Duty'!$C$24,IF(AND(B30="Sedan",C30="Hybrid"),'LCT - Light &amp; Light-Heavy Duty'!$D$24,IF(AND(B30="Sedan",C30="Plug-in Hybrid"),'LCT - Light &amp; Light-Heavy Duty'!$D$24,IF(AND(B30="Sedan",'Interim Water Delivery Inputs'!F37="Battery Electric"),'LCT - Light &amp; Light-Heavy Duty'!$E$24,IF(AND(B30="Sedan",C30="Fuel Cell Electric"),'LCT - Light &amp; Light-Heavy Duty'!$F$24,""))))))))))))))))))</f>
        <v/>
      </c>
      <c r="K30" s="582" t="str">
        <f>IFERROR(((Table7[[#This Row],[ROG Emission Factor
(g/mi)]]*Table7[[#This Row],[Total Annual VMT 
(Miles/Year)]])*1/454),"")</f>
        <v/>
      </c>
      <c r="L30" s="174" t="str">
        <f>IFERROR((Table7[[#This Row],[Annual ROG Emissions 
(lbs/year)]]*Table7[[#This Row],[Project Life
(Years)]]),"")</f>
        <v/>
      </c>
      <c r="M30" s="582" t="str">
        <f>IF(AND(B30="Heavy Duty Truck",C30="Diesel"),'LCT - Heavy Duty'!$C$17,IF(AND(B30="Heavy Duty Truck",C30="Battery Electric"),'LCT - Heavy Duty'!$F$17,IF(AND(B30="Heavy Duty Truck",OR(C30="Natural Gas",C30="Propane")),'LCT - Heavy Duty'!$D$41,IF(AND(B30="Box Truck",C30="Gasoline"),'LCT - Light &amp; Light-Heavy Duty'!$C$17,IF(AND(B30="Box Truck",C30="Hybrid"),'LCT - Light &amp; Light-Heavy Duty'!$D$17,IF(AND(B30="Box Truck",C30="Plug-in Hybrid"),'LCT - Light &amp; Light-Heavy Duty'!$E$17,IF(AND(B30="Box Truck",C30="Battery Electric"),'LCT - Light &amp; Light-Heavy Duty'!$F$17,IF(AND(B30="Box Truck",C30="Fuel Cell Electric"),'LCT - Light &amp; Light-Heavy Duty'!$G$17,IF(AND(B30="Van",C30="Gasoline"),'LCT - Light &amp; Light-Heavy Duty'!$C$12,IF(AND(B30="Van",C30="Hybrid"),'LCT - Light &amp; Light-Heavy Duty'!$D$12,IF(AND(B30="Van",C30="Plug-in Hybrid"),'LCT - Light &amp; Light-Heavy Duty'!$E$12,IF(AND(B30="Van",'Interim Water Delivery Inputs'!F37="Battery Electric"),'LCT - Light &amp; Light-Heavy Duty'!$F$12,IF(AND(B30="Van",C30="Fuel Cell Electric"),'LCT - Light &amp; Light-Heavy Duty'!$G$12,IF(AND(B30="Sedan",C30="Gasoline"),'LCT - Light &amp; Light-Heavy Duty'!$C$25,IF(AND(B30="Sedan",C30="Hybrid"),'LCT - Light &amp; Light-Heavy Duty'!$D$25,IF(AND(B30="Sedan",C30="Plug-in Hybrid"),'LCT - Light &amp; Light-Heavy Duty'!$D$25,IF(AND(B30="Sedan",'Interim Water Delivery Inputs'!F37="Battery Electric"),'LCT - Light &amp; Light-Heavy Duty'!$E$25,IF(AND(B30="Sedan",C30="Fuel Cell Electric"),'LCT - Light &amp; Light-Heavy Duty'!$F$25,""))))))))))))))))))</f>
        <v/>
      </c>
      <c r="N30" s="174" t="str">
        <f>IFERROR(((Table7[[#This Row],[NOx Emission Factor
(g/mi)]]*Table7[[#This Row],[Total Annual VMT 
(Miles/Year)]])*1/454),"")</f>
        <v/>
      </c>
      <c r="O30" s="174" t="str">
        <f>IFERROR((Table7[[#This Row],[Annual NOx Emissions 
(lbs/year)]]*Table7[[#This Row],[Project Life
(Years)]]),"")</f>
        <v/>
      </c>
      <c r="P30" s="174" t="str">
        <f>IF(AND(B30="Heavy Duty Truck",C30="Diesel"),'LCT - Heavy Duty'!$C$18,IF(AND(B30="Heavy Duty Truck",C30="Battery Electric"),'LCT - Heavy Duty'!$F$18,IF(AND(B30="Heavy Duty Truck",OR(C30="Natural Gas",C30="Propane")),'LCT - Heavy Duty'!$D$42,IF(AND(B30="Box Truck",C30="Gasoline"),'LCT - Light &amp; Light-Heavy Duty'!$C$18,IF(AND(B30="Box Truck",C30="Hybrid"),'LCT - Light &amp; Light-Heavy Duty'!$D$18,IF(AND(B30="Box Truck",C30="Plug-in Hybrid"),'LCT - Light &amp; Light-Heavy Duty'!$E$18,IF(AND(B30="Box Truck",C30="Battery Electric"),'LCT - Light &amp; Light-Heavy Duty'!$F$18,IF(AND(B30="Box Truck",C30="Fuel Cell Electric"),'LCT - Light &amp; Light-Heavy Duty'!$G$18,IF(AND(B30="Van",C30="Gasoline"),'LCT - Light &amp; Light-Heavy Duty'!$C$13,IF(AND(B30="Van",C30="Hybrid"),'LCT - Light &amp; Light-Heavy Duty'!$D$13,IF(AND(B30="Van",C30="Plug-in Hybrid"),'LCT - Light &amp; Light-Heavy Duty'!$E$13,IF(AND(B30="Van",'Interim Water Delivery Inputs'!F37="Battery Electric"),'LCT - Light &amp; Light-Heavy Duty'!$F$13,IF(AND(B30="Van",C30="Fuel Cell Electric"),'LCT - Light &amp; Light-Heavy Duty'!$G$13,IF(AND(B30="Sedan",C30="Gasoline"),'LCT - Light &amp; Light-Heavy Duty'!$C$26,IF(AND(B30="Sedan",C30="Hybrid"),'LCT - Light &amp; Light-Heavy Duty'!$D$26,IF(AND(B30="Sedan",C30="Plug-in Hybrid"),'LCT - Light &amp; Light-Heavy Duty'!$D$26,IF(AND(B30="Sedan",'Interim Water Delivery Inputs'!F37="Battery Electric"),'LCT - Light &amp; Light-Heavy Duty'!$E$26,IF(AND(B30="Sedan",C30="Fuel Cell Electric"),'LCT - Light &amp; Light-Heavy Duty'!$F$26,""))))))))))))))))))</f>
        <v/>
      </c>
      <c r="Q30" s="174" t="str">
        <f>IFERROR(((Table7[[#This Row],[PM2.5 Emission Factor
(g/mi)]]*Table7[[#This Row],[Total Annual VMT 
(Miles/Year)]])*1/454),"")</f>
        <v/>
      </c>
      <c r="R30" s="174" t="str">
        <f>IFERROR((Table7[[#This Row],[Annual PM2.5 Emissions 
(lbs/year)]]*Table7[[#This Row],[Project Life
(Years)]]),"")</f>
        <v/>
      </c>
      <c r="S30" s="174" t="str">
        <f>IF(AND(B30="Heavy Duty Truck",C30="Diesel"),'LCT - Heavy Duty'!$C$19,IF(AND(B30="Heavy Duty Truck",C30="Battery Electric"),'LCT - Heavy Duty'!$F$19,IF(AND(B30="Heavy Duty Truck",OR(C30="Natural Gas",C30="Propane")),'LCT - Heavy Duty'!$D$43,IF(AND(B30="Box Truck",C30="Gasoline"),'LCT - Light &amp; Light-Heavy Duty'!$C$19,IF(AND(B30="Box Truck",C30="Hybrid"),'LCT - Light &amp; Light-Heavy Duty'!$D$19,IF(AND(B30="Box Truck",C30="Plug-in Hybrid"),'LCT - Light &amp; Light-Heavy Duty'!$E$19,IF(AND(B30="Box Truck",C30="Battery Electric"),'LCT - Light &amp; Light-Heavy Duty'!$F$19,IF(AND(B30="Box Truck",C30="Fuel Cell Electric"),'LCT - Light &amp; Light-Heavy Duty'!$G$19,IF(AND(B30="Van",C30="Gasoline"),'LCT - Light &amp; Light-Heavy Duty'!$C$14,IF(AND(B30="Van",C30="Hybrid"),'LCT - Light &amp; Light-Heavy Duty'!$D$14,IF(AND(B30="Van",C30="Plug-in Hybrid"),'LCT - Light &amp; Light-Heavy Duty'!$E$14,IF(AND(B30="Van",'Interim Water Delivery Inputs'!F37="Battery Electric"),'LCT - Light &amp; Light-Heavy Duty'!$F$14,IF(AND(B30="Van",C30="Fuel Cell Electric"),'LCT - Light &amp; Light-Heavy Duty'!$G$14,IF(AND(B30="Sedan",C30="Gasoline"),'LCT - Light &amp; Light-Heavy Duty'!$C$27,IF(AND(B30="Sedan",C30="Hybrid"),'LCT - Light &amp; Light-Heavy Duty'!$D$27,IF(AND(B30="Sedan",C30="Plug-in Hybrid"),'LCT - Light &amp; Light-Heavy Duty'!$D$27,IF(AND(B30="Sedan",'Interim Water Delivery Inputs'!F37="Battery Electric"),'LCT - Light &amp; Light-Heavy Duty'!$E$27,IF(AND(B30="Sedan",C30="Fuel Cell Electric"),'LCT - Light &amp; Light-Heavy Duty'!$F$27,""))))))))))))))))))</f>
        <v/>
      </c>
      <c r="T30" s="174" t="str">
        <f>IFERROR(((Table7[[#This Row],[Diesel PM Emission Factor
(g/mi)]]*Table7[[#This Row],[Total Annual VMT 
(Miles/Year)]])*1/454),"")</f>
        <v/>
      </c>
      <c r="U30" s="186" t="str">
        <f>IFERROR((Table7[[#This Row],[Annual Diesel PM Emissions 
(lbs/year)]]*Table7[[#This Row],[Project Life
(Years)]]),"")</f>
        <v/>
      </c>
      <c r="V30" s="186" t="str">
        <f>IF(Table7[[#This Row],[Fuel Type]]="Diesel",Defaults!$C$42,IF(Table7[[#This Row],[Fuel Type]]="Natural Gas",Defaults!$C$42*'Fuel-Specific GHG'!C57,IF(Table7[[#This Row],[Fuel Type]]="Propane",Defaults!$C$42*'Fuel-Specific GHG'!C57,IF(AND(Table7[[#This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0"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0" s="583">
        <f>IF(OR(Table7[[#This Row],[Fuel Type]]="Diesel",Table7[[#This Row],[Fuel Type]]="Gasoline",Table7[[#This Row],[Fuel Type]]="Hybrid",Table7[[#This Row],[Fuel Type]]="Plug-in Hybrid",Table7[[#This Row],[Fuel Type]]="Natural Gas",Table7[[#This Row],[Fuel Type]]="Propane"),Table7[[#This Row],[Fuel Use 
(gal, Kwh, or kg)]],0)</f>
        <v>0</v>
      </c>
      <c r="Y30"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0" s="26">
        <f>IF(B30=0,0,IF('Project Info'!$C$33="",2023,YEAR('Project Info'!$C$33)))</f>
        <v>0</v>
      </c>
      <c r="AA30" s="193">
        <f>'Interim Water Delivery Inputs'!N37*Table7[[#This Row],[Project Life
(Years)]]</f>
        <v>0</v>
      </c>
      <c r="AB30" s="193">
        <f>Table7[[#This Row],[Column2]]*Defaults!$C$59*12</f>
        <v>0</v>
      </c>
      <c r="AC30" s="193">
        <f>Table7[[#This Row],[Column3]]*Defaults!$C$58</f>
        <v>0</v>
      </c>
      <c r="AD30" s="193">
        <f>IF(B30=0,0,Table7[[#This Row],[Column4]]*VLOOKUP(Table7[[#This Row],[Column1]],'Passenger Auto C&amp;T'!$B$45:$D$80,3,FALSE))</f>
        <v>0</v>
      </c>
      <c r="AE30" s="589">
        <f>Table7[[#This Row],[Column42]]*'Fuel Prices'!$C$11</f>
        <v>0</v>
      </c>
      <c r="AF30" s="590">
        <f>IF(B30=0,0,VLOOKUP(Table7[[#This Row],[Column1]],'Passenger Auto GHG'!$B$46:$D$81,3,FALSE))</f>
        <v>0</v>
      </c>
      <c r="AG30" s="591">
        <f>Table7[[#This Row],[Column5]]*Table7[[#This Row],[Column4]]/1000000</f>
        <v>0</v>
      </c>
      <c r="AH30" s="592">
        <f>IF(B30=0,0,VLOOKUP(Table7[[#This Row],[Column1]],'Passenger Auto C&amp;T'!$B$45:$L$80,4,FALSE))</f>
        <v>0</v>
      </c>
      <c r="AI30" s="593">
        <f>IF(B30=0,0,VLOOKUP(Table7[[#This Row],[Column1]],'Passenger Auto C&amp;T'!$B$45:$L$80,5,FALSE))</f>
        <v>0</v>
      </c>
      <c r="AJ30" s="593">
        <f>IF(B30=0,0,SUM(VLOOKUP(Table7[[#This Row],[Column1]],'Passenger Auto C&amp;T'!$B$45:$L$80,6,FALSE),VLOOKUP(Table7[[#This Row],[Column1]],'Passenger Auto C&amp;T'!$B$45:$L$80,7,FALSE),VLOOKUP(Table7[[#This Row],[Column1]],'Passenger Auto C&amp;T'!$B$45:$L$80,8,FALSE)))</f>
        <v>0</v>
      </c>
      <c r="AK30" s="594">
        <f>IF(B30=0,0,VLOOKUP(Table7[[#This Row],[Column1]],'Passenger Auto C&amp;T'!$B$45:$L$80,10,FALSE))</f>
        <v>0</v>
      </c>
      <c r="AL30" s="592">
        <f>Table7[[#This Row],[Column4]]*Table7[[#This Row],[Column7]]*0.00220462</f>
        <v>0</v>
      </c>
      <c r="AM30" s="593">
        <f>Table7[[#This Row],[Column4]]*Table7[[#This Row],[Column8]]*0.00220462</f>
        <v>0</v>
      </c>
      <c r="AN30" s="593">
        <f>Table7[[#This Row],[Column4]]*Table7[[#This Row],[Column9]]*0.00220462</f>
        <v>0</v>
      </c>
      <c r="AO30" s="595">
        <f>Table7[[#This Row],[Column4]]*Table7[[#This Row],[Column10]]*0.00220462</f>
        <v>0</v>
      </c>
      <c r="AP30" s="592">
        <f>IF(B30=0,0,Table7[[#This Row],[Column6]]-Table7[[#This Row],[Total Transportation GHG Emissions 
(MTCO2e)]])</f>
        <v>0</v>
      </c>
      <c r="AQ30" s="593">
        <f>IF(B30=0,0,Table7[[#This Row],[Column11]]-Table7[[#This Row],[Total ROG Emissions 
(lbs)]])</f>
        <v>0</v>
      </c>
      <c r="AR30" s="593">
        <f>IF(B30=0,0,Table7[[#This Row],[Column12]]-Table7[[#This Row],[Total NOx Emissions 
(lbs)]])</f>
        <v>0</v>
      </c>
      <c r="AS30" s="593">
        <f>IF(B30=0,0,Table7[[#This Row],[Column13]]-Table7[[#This Row],[Total PM2.5 Emissions 
(lbs)]])</f>
        <v>0</v>
      </c>
      <c r="AT30" s="596">
        <f>IF(B30=0,0,Table7[[#This Row],[Column14]]-Table7[[#This Row],[Total Diesel PM Emissions 
(lbs)]])</f>
        <v>0</v>
      </c>
      <c r="AU30" s="588">
        <f>IF(B30=0,0,Table7[[#This Row],[Column42]]-Table7[[#This Row],[Fuel Use 
(gal)]])</f>
        <v>0</v>
      </c>
      <c r="AV30" s="597">
        <f>IF(B30=0,0,Table7[[#This Row],[Column43]]-Table7[[#This Row],[Fuel Cost ($)]])</f>
        <v>0</v>
      </c>
    </row>
    <row r="31" spans="2:48" s="2" customFormat="1" ht="15.5" x14ac:dyDescent="0.35">
      <c r="B31" s="588">
        <f>'Interim Water Delivery Inputs'!D38</f>
        <v>0</v>
      </c>
      <c r="C31" s="580">
        <f>'Interim Water Delivery Inputs'!F38</f>
        <v>0</v>
      </c>
      <c r="D31" s="580">
        <f>'Interim Water Delivery Inputs'!H38</f>
        <v>0</v>
      </c>
      <c r="E31" s="581">
        <f>IF('Interim Water Delivery Inputs'!B38="",0,(IF('Interim Water Delivery Inputs'!J38="",(Defaults!$H$15*Table7[[#This Row],[Number of Identical Vehicles]]),'Interim Water Delivery Inputs'!J38)))</f>
        <v>0</v>
      </c>
      <c r="F31" s="581">
        <f>'Interim Water Delivery Inputs'!L38</f>
        <v>0</v>
      </c>
      <c r="G31" s="582" t="str">
        <f>IF(AND(B31="Heavy Duty Truck",C31="Diesel"),'LCT - Heavy Duty'!$C$15,IF(AND(B31="Heavy Duty Truck",C31="Battery Electric"),'LCT - Heavy Duty'!$F$15,IF(AND(B31="Heavy Duty Truck",OR(C31="Natural Gas",C31="Propane")),'LCT - Heavy Duty'!$D$39,IF(AND(B31="Box Truck",C31="Gasoline"),'LCT - Light &amp; Light-Heavy Duty'!$C$15,IF(AND(B31="Box Truck",C31="Hybrid"),'LCT - Light &amp; Light-Heavy Duty'!$D$15,IF(AND(B31="Box Truck",C31="Plug-in Hybrid"),'LCT - Light &amp; Light-Heavy Duty'!$E$15,IF(AND(B31="Box Truck",C31="Battery Electric"),'LCT - Light &amp; Light-Heavy Duty'!$F$15,IF(AND(B31="Box Truck",C31="Fuel Cell Electric"),'LCT - Light &amp; Light-Heavy Duty'!$G$15,IF(AND(B31="Van",C31="Gasoline"),'LCT - Light &amp; Light-Heavy Duty'!$C$10,IF(AND(B31="Van",C31="Hybrid"),'LCT - Light &amp; Light-Heavy Duty'!$D$10,IF(AND(B31="Van",C31="Plug-in Hybrid"),'LCT - Light &amp; Light-Heavy Duty'!$E$10,IF(AND(B31="Van",'Interim Water Delivery Inputs'!F38="Battery Electric"),'LCT - Light &amp; Light-Heavy Duty'!$F$10,IF(AND(B31="Van",C31="Fuel Cell Electric"),'LCT - Light &amp; Light-Heavy Duty'!$G$10,IF(AND(B31="Sedan",C31="Gasoline"),'LCT - Light &amp; Light-Heavy Duty'!$C$23,IF(AND(B31="Sedan",C31="Hybrid"),'LCT - Light &amp; Light-Heavy Duty'!$D$23,IF(AND(B31="Sedan",C31="Plug-in Hybrid"),'LCT - Light &amp; Light-Heavy Duty'!$D$23,IF(AND(B31="Sedan",'Interim Water Delivery Inputs'!F38="Battery Electric"),'LCT - Light &amp; Light-Heavy Duty'!$E$23,IF(AND(B31="Sedan",C31="Fuel Cell Electric"),'LCT - Light &amp; Light-Heavy Duty'!$F$23,""))))))))))))))))))</f>
        <v/>
      </c>
      <c r="H31" s="582" t="str">
        <f>IFERROR(((Table7[[#This Row],[GHG Emission Factor 
(g CO2e/mi)]]*Table7[[#This Row],[Total Annual VMT 
(Miles/Year)]])*1/1000000),"")</f>
        <v/>
      </c>
      <c r="I31" s="582" t="str">
        <f>IFERROR(Table7[[#This Row],[Annual Transportation GHG Emissions 
(MTCO2e/Year)]]*Table7[[#This Row],[Project Life
(Years)]],"")</f>
        <v/>
      </c>
      <c r="J31" s="582" t="str">
        <f>IF(AND(B31="Heavy Duty Truck",C31="Diesel"),'LCT - Heavy Duty'!$C$16,IF(AND(B31="Heavy Duty Truck",C31="Battery Electric"),'LCT - Heavy Duty'!$F$16,IF(AND(B31="Heavy Duty Truck",OR(C31="Natural Gas",C31="Propane")),'LCT - Heavy Duty'!$D$40,IF(AND(B31="Box Truck",C31="Gasoline"),'LCT - Light &amp; Light-Heavy Duty'!$C$16,IF(AND(B31="Box Truck",C31="Hybrid"),'LCT - Light &amp; Light-Heavy Duty'!$D$16,IF(AND(B31="Box Truck",C31="Plug-in Hybrid"),'LCT - Light &amp; Light-Heavy Duty'!$E$16,IF(AND(B31="Box Truck",C31="Battery Electric"),'LCT - Light &amp; Light-Heavy Duty'!$F$16,IF(AND(B31="Box Truck",C31="Fuel Cell Electric"),'LCT - Light &amp; Light-Heavy Duty'!$G$16,IF(AND(B31="Van",C31="Gasoline"),'LCT - Light &amp; Light-Heavy Duty'!$C$11,IF(AND(B31="Van",C31="Hybrid"),'LCT - Light &amp; Light-Heavy Duty'!$D$11,IF(AND(B31="Van",C31="Plug-in Hybrid"),'LCT - Light &amp; Light-Heavy Duty'!$E$11,IF(AND(B31="Van",'Interim Water Delivery Inputs'!F38="Battery Electric"),'LCT - Light &amp; Light-Heavy Duty'!$F$11,IF(AND(B31="Van",C31="Fuel Cell Electric"),'LCT - Light &amp; Light-Heavy Duty'!$G$11,IF(AND(B31="Sedan",C31="Gasoline"),'LCT - Light &amp; Light-Heavy Duty'!$C$24,IF(AND(B31="Sedan",C31="Hybrid"),'LCT - Light &amp; Light-Heavy Duty'!$D$24,IF(AND(B31="Sedan",C31="Plug-in Hybrid"),'LCT - Light &amp; Light-Heavy Duty'!$D$24,IF(AND(B31="Sedan",'Interim Water Delivery Inputs'!F38="Battery Electric"),'LCT - Light &amp; Light-Heavy Duty'!$E$24,IF(AND(B31="Sedan",C31="Fuel Cell Electric"),'LCT - Light &amp; Light-Heavy Duty'!$F$24,""))))))))))))))))))</f>
        <v/>
      </c>
      <c r="K31" s="582" t="str">
        <f>IFERROR(((Table7[[#This Row],[ROG Emission Factor
(g/mi)]]*Table7[[#This Row],[Total Annual VMT 
(Miles/Year)]])*1/454),"")</f>
        <v/>
      </c>
      <c r="L31" s="174" t="str">
        <f>IFERROR((Table7[[#This Row],[Annual ROG Emissions 
(lbs/year)]]*Table7[[#This Row],[Project Life
(Years)]]),"")</f>
        <v/>
      </c>
      <c r="M31" s="582" t="str">
        <f>IF(AND(B31="Heavy Duty Truck",C31="Diesel"),'LCT - Heavy Duty'!$C$17,IF(AND(B31="Heavy Duty Truck",C31="Battery Electric"),'LCT - Heavy Duty'!$F$17,IF(AND(B31="Heavy Duty Truck",OR(C31="Natural Gas",C31="Propane")),'LCT - Heavy Duty'!$D$41,IF(AND(B31="Box Truck",C31="Gasoline"),'LCT - Light &amp; Light-Heavy Duty'!$C$17,IF(AND(B31="Box Truck",C31="Hybrid"),'LCT - Light &amp; Light-Heavy Duty'!$D$17,IF(AND(B31="Box Truck",C31="Plug-in Hybrid"),'LCT - Light &amp; Light-Heavy Duty'!$E$17,IF(AND(B31="Box Truck",C31="Battery Electric"),'LCT - Light &amp; Light-Heavy Duty'!$F$17,IF(AND(B31="Box Truck",C31="Fuel Cell Electric"),'LCT - Light &amp; Light-Heavy Duty'!$G$17,IF(AND(B31="Van",C31="Gasoline"),'LCT - Light &amp; Light-Heavy Duty'!$C$12,IF(AND(B31="Van",C31="Hybrid"),'LCT - Light &amp; Light-Heavy Duty'!$D$12,IF(AND(B31="Van",C31="Plug-in Hybrid"),'LCT - Light &amp; Light-Heavy Duty'!$E$12,IF(AND(B31="Van",'Interim Water Delivery Inputs'!F38="Battery Electric"),'LCT - Light &amp; Light-Heavy Duty'!$F$12,IF(AND(B31="Van",C31="Fuel Cell Electric"),'LCT - Light &amp; Light-Heavy Duty'!$G$12,IF(AND(B31="Sedan",C31="Gasoline"),'LCT - Light &amp; Light-Heavy Duty'!$C$25,IF(AND(B31="Sedan",C31="Hybrid"),'LCT - Light &amp; Light-Heavy Duty'!$D$25,IF(AND(B31="Sedan",C31="Plug-in Hybrid"),'LCT - Light &amp; Light-Heavy Duty'!$D$25,IF(AND(B31="Sedan",'Interim Water Delivery Inputs'!F38="Battery Electric"),'LCT - Light &amp; Light-Heavy Duty'!$E$25,IF(AND(B31="Sedan",C31="Fuel Cell Electric"),'LCT - Light &amp; Light-Heavy Duty'!$F$25,""))))))))))))))))))</f>
        <v/>
      </c>
      <c r="N31" s="174" t="str">
        <f>IFERROR(((Table7[[#This Row],[NOx Emission Factor
(g/mi)]]*Table7[[#This Row],[Total Annual VMT 
(Miles/Year)]])*1/454),"")</f>
        <v/>
      </c>
      <c r="O31" s="174" t="str">
        <f>IFERROR((Table7[[#This Row],[Annual NOx Emissions 
(lbs/year)]]*Table7[[#This Row],[Project Life
(Years)]]),"")</f>
        <v/>
      </c>
      <c r="P31" s="174" t="str">
        <f>IF(AND(B31="Heavy Duty Truck",C31="Diesel"),'LCT - Heavy Duty'!$C$18,IF(AND(B31="Heavy Duty Truck",C31="Battery Electric"),'LCT - Heavy Duty'!$F$18,IF(AND(B31="Heavy Duty Truck",OR(C31="Natural Gas",C31="Propane")),'LCT - Heavy Duty'!$D$42,IF(AND(B31="Box Truck",C31="Gasoline"),'LCT - Light &amp; Light-Heavy Duty'!$C$18,IF(AND(B31="Box Truck",C31="Hybrid"),'LCT - Light &amp; Light-Heavy Duty'!$D$18,IF(AND(B31="Box Truck",C31="Plug-in Hybrid"),'LCT - Light &amp; Light-Heavy Duty'!$E$18,IF(AND(B31="Box Truck",C31="Battery Electric"),'LCT - Light &amp; Light-Heavy Duty'!$F$18,IF(AND(B31="Box Truck",C31="Fuel Cell Electric"),'LCT - Light &amp; Light-Heavy Duty'!$G$18,IF(AND(B31="Van",C31="Gasoline"),'LCT - Light &amp; Light-Heavy Duty'!$C$13,IF(AND(B31="Van",C31="Hybrid"),'LCT - Light &amp; Light-Heavy Duty'!$D$13,IF(AND(B31="Van",C31="Plug-in Hybrid"),'LCT - Light &amp; Light-Heavy Duty'!$E$13,IF(AND(B31="Van",'Interim Water Delivery Inputs'!F38="Battery Electric"),'LCT - Light &amp; Light-Heavy Duty'!$F$13,IF(AND(B31="Van",C31="Fuel Cell Electric"),'LCT - Light &amp; Light-Heavy Duty'!$G$13,IF(AND(B31="Sedan",C31="Gasoline"),'LCT - Light &amp; Light-Heavy Duty'!$C$26,IF(AND(B31="Sedan",C31="Hybrid"),'LCT - Light &amp; Light-Heavy Duty'!$D$26,IF(AND(B31="Sedan",C31="Plug-in Hybrid"),'LCT - Light &amp; Light-Heavy Duty'!$D$26,IF(AND(B31="Sedan",'Interim Water Delivery Inputs'!F38="Battery Electric"),'LCT - Light &amp; Light-Heavy Duty'!$E$26,IF(AND(B31="Sedan",C31="Fuel Cell Electric"),'LCT - Light &amp; Light-Heavy Duty'!$F$26,""))))))))))))))))))</f>
        <v/>
      </c>
      <c r="Q31" s="174" t="str">
        <f>IFERROR(((Table7[[#This Row],[PM2.5 Emission Factor
(g/mi)]]*Table7[[#This Row],[Total Annual VMT 
(Miles/Year)]])*1/454),"")</f>
        <v/>
      </c>
      <c r="R31" s="174" t="str">
        <f>IFERROR((Table7[[#This Row],[Annual PM2.5 Emissions 
(lbs/year)]]*Table7[[#This Row],[Project Life
(Years)]]),"")</f>
        <v/>
      </c>
      <c r="S31" s="174" t="str">
        <f>IF(AND(B31="Heavy Duty Truck",C31="Diesel"),'LCT - Heavy Duty'!$C$19,IF(AND(B31="Heavy Duty Truck",C31="Battery Electric"),'LCT - Heavy Duty'!$F$19,IF(AND(B31="Heavy Duty Truck",OR(C31="Natural Gas",C31="Propane")),'LCT - Heavy Duty'!$D$43,IF(AND(B31="Box Truck",C31="Gasoline"),'LCT - Light &amp; Light-Heavy Duty'!$C$19,IF(AND(B31="Box Truck",C31="Hybrid"),'LCT - Light &amp; Light-Heavy Duty'!$D$19,IF(AND(B31="Box Truck",C31="Plug-in Hybrid"),'LCT - Light &amp; Light-Heavy Duty'!$E$19,IF(AND(B31="Box Truck",C31="Battery Electric"),'LCT - Light &amp; Light-Heavy Duty'!$F$19,IF(AND(B31="Box Truck",C31="Fuel Cell Electric"),'LCT - Light &amp; Light-Heavy Duty'!$G$19,IF(AND(B31="Van",C31="Gasoline"),'LCT - Light &amp; Light-Heavy Duty'!$C$14,IF(AND(B31="Van",C31="Hybrid"),'LCT - Light &amp; Light-Heavy Duty'!$D$14,IF(AND(B31="Van",C31="Plug-in Hybrid"),'LCT - Light &amp; Light-Heavy Duty'!$E$14,IF(AND(B31="Van",'Interim Water Delivery Inputs'!F38="Battery Electric"),'LCT - Light &amp; Light-Heavy Duty'!$F$14,IF(AND(B31="Van",C31="Fuel Cell Electric"),'LCT - Light &amp; Light-Heavy Duty'!$G$14,IF(AND(B31="Sedan",C31="Gasoline"),'LCT - Light &amp; Light-Heavy Duty'!$C$27,IF(AND(B31="Sedan",C31="Hybrid"),'LCT - Light &amp; Light-Heavy Duty'!$D$27,IF(AND(B31="Sedan",C31="Plug-in Hybrid"),'LCT - Light &amp; Light-Heavy Duty'!$D$27,IF(AND(B31="Sedan",'Interim Water Delivery Inputs'!F38="Battery Electric"),'LCT - Light &amp; Light-Heavy Duty'!$E$27,IF(AND(B31="Sedan",C31="Fuel Cell Electric"),'LCT - Light &amp; Light-Heavy Duty'!$F$27,""))))))))))))))))))</f>
        <v/>
      </c>
      <c r="T31" s="174" t="str">
        <f>IFERROR(((Table7[[#This Row],[Diesel PM Emission Factor
(g/mi)]]*Table7[[#This Row],[Total Annual VMT 
(Miles/Year)]])*1/454),"")</f>
        <v/>
      </c>
      <c r="U31" s="186" t="str">
        <f>IFERROR((Table7[[#This Row],[Annual Diesel PM Emissions 
(lbs/year)]]*Table7[[#This Row],[Project Life
(Years)]]),"")</f>
        <v/>
      </c>
      <c r="V31" s="186" t="str">
        <f>IF(Table7[[#This Row],[Fuel Type]]="Diesel",Defaults!$C$42,IF(Table7[[#This Row],[Fuel Type]]="Natural Gas",Defaults!$C$42*'Fuel-Specific GHG'!C58,IF(Table7[[#This Row],[Fuel Type]]="Propane",Defaults!$C$42*'Fuel-Specific GHG'!C58,IF(AND(Table7[[#This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1"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1" s="583">
        <f>IF(OR(Table7[[#This Row],[Fuel Type]]="Diesel",Table7[[#This Row],[Fuel Type]]="Gasoline",Table7[[#This Row],[Fuel Type]]="Hybrid",Table7[[#This Row],[Fuel Type]]="Plug-in Hybrid",Table7[[#This Row],[Fuel Type]]="Natural Gas",Table7[[#This Row],[Fuel Type]]="Propane"),Table7[[#This Row],[Fuel Use 
(gal, Kwh, or kg)]],0)</f>
        <v>0</v>
      </c>
      <c r="Y31"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1" s="26">
        <f>IF(B31=0,0,IF('Project Info'!$C$33="",2023,YEAR('Project Info'!$C$33)))</f>
        <v>0</v>
      </c>
      <c r="AA31" s="193">
        <f>'Interim Water Delivery Inputs'!N38*Table7[[#This Row],[Project Life
(Years)]]</f>
        <v>0</v>
      </c>
      <c r="AB31" s="193">
        <f>Table7[[#This Row],[Column2]]*Defaults!$C$59*12</f>
        <v>0</v>
      </c>
      <c r="AC31" s="193">
        <f>Table7[[#This Row],[Column3]]*Defaults!$C$58</f>
        <v>0</v>
      </c>
      <c r="AD31" s="193">
        <f>IF(B31=0,0,Table7[[#This Row],[Column4]]*VLOOKUP(Table7[[#This Row],[Column1]],'Passenger Auto C&amp;T'!$B$45:$D$80,3,FALSE))</f>
        <v>0</v>
      </c>
      <c r="AE31" s="589">
        <f>Table7[[#This Row],[Column42]]*'Fuel Prices'!$C$11</f>
        <v>0</v>
      </c>
      <c r="AF31" s="590">
        <f>IF(B31=0,0,VLOOKUP(Table7[[#This Row],[Column1]],'Passenger Auto GHG'!$B$46:$D$81,3,FALSE))</f>
        <v>0</v>
      </c>
      <c r="AG31" s="591">
        <f>Table7[[#This Row],[Column5]]*Table7[[#This Row],[Column4]]/1000000</f>
        <v>0</v>
      </c>
      <c r="AH31" s="592">
        <f>IF(B31=0,0,VLOOKUP(Table7[[#This Row],[Column1]],'Passenger Auto C&amp;T'!$B$45:$L$80,4,FALSE))</f>
        <v>0</v>
      </c>
      <c r="AI31" s="593">
        <f>IF(B31=0,0,VLOOKUP(Table7[[#This Row],[Column1]],'Passenger Auto C&amp;T'!$B$45:$L$80,5,FALSE))</f>
        <v>0</v>
      </c>
      <c r="AJ31" s="593">
        <f>IF(B31=0,0,SUM(VLOOKUP(Table7[[#This Row],[Column1]],'Passenger Auto C&amp;T'!$B$45:$L$80,6,FALSE),VLOOKUP(Table7[[#This Row],[Column1]],'Passenger Auto C&amp;T'!$B$45:$L$80,7,FALSE),VLOOKUP(Table7[[#This Row],[Column1]],'Passenger Auto C&amp;T'!$B$45:$L$80,8,FALSE)))</f>
        <v>0</v>
      </c>
      <c r="AK31" s="594">
        <f>IF(B31=0,0,VLOOKUP(Table7[[#This Row],[Column1]],'Passenger Auto C&amp;T'!$B$45:$L$80,10,FALSE))</f>
        <v>0</v>
      </c>
      <c r="AL31" s="592">
        <f>Table7[[#This Row],[Column4]]*Table7[[#This Row],[Column7]]*0.00220462</f>
        <v>0</v>
      </c>
      <c r="AM31" s="593">
        <f>Table7[[#This Row],[Column4]]*Table7[[#This Row],[Column8]]*0.00220462</f>
        <v>0</v>
      </c>
      <c r="AN31" s="593">
        <f>Table7[[#This Row],[Column4]]*Table7[[#This Row],[Column9]]*0.00220462</f>
        <v>0</v>
      </c>
      <c r="AO31" s="595">
        <f>Table7[[#This Row],[Column4]]*Table7[[#This Row],[Column10]]*0.00220462</f>
        <v>0</v>
      </c>
      <c r="AP31" s="592">
        <f>IF(B31=0,0,Table7[[#This Row],[Column6]]-Table7[[#This Row],[Total Transportation GHG Emissions 
(MTCO2e)]])</f>
        <v>0</v>
      </c>
      <c r="AQ31" s="593">
        <f>IF(B31=0,0,Table7[[#This Row],[Column11]]-Table7[[#This Row],[Total ROG Emissions 
(lbs)]])</f>
        <v>0</v>
      </c>
      <c r="AR31" s="593">
        <f>IF(B31=0,0,Table7[[#This Row],[Column12]]-Table7[[#This Row],[Total NOx Emissions 
(lbs)]])</f>
        <v>0</v>
      </c>
      <c r="AS31" s="593">
        <f>IF(B31=0,0,Table7[[#This Row],[Column13]]-Table7[[#This Row],[Total PM2.5 Emissions 
(lbs)]])</f>
        <v>0</v>
      </c>
      <c r="AT31" s="596">
        <f>IF(B31=0,0,Table7[[#This Row],[Column14]]-Table7[[#This Row],[Total Diesel PM Emissions 
(lbs)]])</f>
        <v>0</v>
      </c>
      <c r="AU31" s="588">
        <f>IF(B31=0,0,Table7[[#This Row],[Column42]]-Table7[[#This Row],[Fuel Use 
(gal)]])</f>
        <v>0</v>
      </c>
      <c r="AV31" s="597">
        <f>IF(B31=0,0,Table7[[#This Row],[Column43]]-Table7[[#This Row],[Fuel Cost ($)]])</f>
        <v>0</v>
      </c>
    </row>
    <row r="32" spans="2:48" s="2" customFormat="1" ht="15.5" x14ac:dyDescent="0.35">
      <c r="B32" s="588">
        <f>'Interim Water Delivery Inputs'!D39</f>
        <v>0</v>
      </c>
      <c r="C32" s="580">
        <f>'Interim Water Delivery Inputs'!F39</f>
        <v>0</v>
      </c>
      <c r="D32" s="580">
        <f>'Interim Water Delivery Inputs'!H39</f>
        <v>0</v>
      </c>
      <c r="E32" s="581">
        <f>IF('Interim Water Delivery Inputs'!B39="",0,(IF('Interim Water Delivery Inputs'!J39="",(Defaults!$H$15*Table7[[#This Row],[Number of Identical Vehicles]]),'Interim Water Delivery Inputs'!J39)))</f>
        <v>0</v>
      </c>
      <c r="F32" s="581">
        <f>'Interim Water Delivery Inputs'!L39</f>
        <v>0</v>
      </c>
      <c r="G32" s="582" t="str">
        <f>IF(AND(B32="Heavy Duty Truck",C32="Diesel"),'LCT - Heavy Duty'!$C$15,IF(AND(B32="Heavy Duty Truck",C32="Battery Electric"),'LCT - Heavy Duty'!$F$15,IF(AND(B32="Heavy Duty Truck",OR(C32="Natural Gas",C32="Propane")),'LCT - Heavy Duty'!$D$39,IF(AND(B32="Box Truck",C32="Gasoline"),'LCT - Light &amp; Light-Heavy Duty'!$C$15,IF(AND(B32="Box Truck",C32="Hybrid"),'LCT - Light &amp; Light-Heavy Duty'!$D$15,IF(AND(B32="Box Truck",C32="Plug-in Hybrid"),'LCT - Light &amp; Light-Heavy Duty'!$E$15,IF(AND(B32="Box Truck",C32="Battery Electric"),'LCT - Light &amp; Light-Heavy Duty'!$F$15,IF(AND(B32="Box Truck",C32="Fuel Cell Electric"),'LCT - Light &amp; Light-Heavy Duty'!$G$15,IF(AND(B32="Van",C32="Gasoline"),'LCT - Light &amp; Light-Heavy Duty'!$C$10,IF(AND(B32="Van",C32="Hybrid"),'LCT - Light &amp; Light-Heavy Duty'!$D$10,IF(AND(B32="Van",C32="Plug-in Hybrid"),'LCT - Light &amp; Light-Heavy Duty'!$E$10,IF(AND(B32="Van",'Interim Water Delivery Inputs'!F39="Battery Electric"),'LCT - Light &amp; Light-Heavy Duty'!$F$10,IF(AND(B32="Van",C32="Fuel Cell Electric"),'LCT - Light &amp; Light-Heavy Duty'!$G$10,IF(AND(B32="Sedan",C32="Gasoline"),'LCT - Light &amp; Light-Heavy Duty'!$C$23,IF(AND(B32="Sedan",C32="Hybrid"),'LCT - Light &amp; Light-Heavy Duty'!$D$23,IF(AND(B32="Sedan",C32="Plug-in Hybrid"),'LCT - Light &amp; Light-Heavy Duty'!$D$23,IF(AND(B32="Sedan",'Interim Water Delivery Inputs'!F39="Battery Electric"),'LCT - Light &amp; Light-Heavy Duty'!$E$23,IF(AND(B32="Sedan",C32="Fuel Cell Electric"),'LCT - Light &amp; Light-Heavy Duty'!$F$23,""))))))))))))))))))</f>
        <v/>
      </c>
      <c r="H32" s="582" t="str">
        <f>IFERROR(((Table7[[#This Row],[GHG Emission Factor 
(g CO2e/mi)]]*Table7[[#This Row],[Total Annual VMT 
(Miles/Year)]])*1/1000000),"")</f>
        <v/>
      </c>
      <c r="I32" s="582" t="str">
        <f>IFERROR(Table7[[#This Row],[Annual Transportation GHG Emissions 
(MTCO2e/Year)]]*Table7[[#This Row],[Project Life
(Years)]],"")</f>
        <v/>
      </c>
      <c r="J32" s="582" t="str">
        <f>IF(AND(B32="Heavy Duty Truck",C32="Diesel"),'LCT - Heavy Duty'!$C$16,IF(AND(B32="Heavy Duty Truck",C32="Battery Electric"),'LCT - Heavy Duty'!$F$16,IF(AND(B32="Heavy Duty Truck",OR(C32="Natural Gas",C32="Propane")),'LCT - Heavy Duty'!$D$40,IF(AND(B32="Box Truck",C32="Gasoline"),'LCT - Light &amp; Light-Heavy Duty'!$C$16,IF(AND(B32="Box Truck",C32="Hybrid"),'LCT - Light &amp; Light-Heavy Duty'!$D$16,IF(AND(B32="Box Truck",C32="Plug-in Hybrid"),'LCT - Light &amp; Light-Heavy Duty'!$E$16,IF(AND(B32="Box Truck",C32="Battery Electric"),'LCT - Light &amp; Light-Heavy Duty'!$F$16,IF(AND(B32="Box Truck",C32="Fuel Cell Electric"),'LCT - Light &amp; Light-Heavy Duty'!$G$16,IF(AND(B32="Van",C32="Gasoline"),'LCT - Light &amp; Light-Heavy Duty'!$C$11,IF(AND(B32="Van",C32="Hybrid"),'LCT - Light &amp; Light-Heavy Duty'!$D$11,IF(AND(B32="Van",C32="Plug-in Hybrid"),'LCT - Light &amp; Light-Heavy Duty'!$E$11,IF(AND(B32="Van",'Interim Water Delivery Inputs'!F39="Battery Electric"),'LCT - Light &amp; Light-Heavy Duty'!$F$11,IF(AND(B32="Van",C32="Fuel Cell Electric"),'LCT - Light &amp; Light-Heavy Duty'!$G$11,IF(AND(B32="Sedan",C32="Gasoline"),'LCT - Light &amp; Light-Heavy Duty'!$C$24,IF(AND(B32="Sedan",C32="Hybrid"),'LCT - Light &amp; Light-Heavy Duty'!$D$24,IF(AND(B32="Sedan",C32="Plug-in Hybrid"),'LCT - Light &amp; Light-Heavy Duty'!$D$24,IF(AND(B32="Sedan",'Interim Water Delivery Inputs'!F39="Battery Electric"),'LCT - Light &amp; Light-Heavy Duty'!$E$24,IF(AND(B32="Sedan",C32="Fuel Cell Electric"),'LCT - Light &amp; Light-Heavy Duty'!$F$24,""))))))))))))))))))</f>
        <v/>
      </c>
      <c r="K32" s="582" t="str">
        <f>IFERROR(((Table7[[#This Row],[ROG Emission Factor
(g/mi)]]*Table7[[#This Row],[Total Annual VMT 
(Miles/Year)]])*1/454),"")</f>
        <v/>
      </c>
      <c r="L32" s="174" t="str">
        <f>IFERROR((Table7[[#This Row],[Annual ROG Emissions 
(lbs/year)]]*Table7[[#This Row],[Project Life
(Years)]]),"")</f>
        <v/>
      </c>
      <c r="M32" s="582" t="str">
        <f>IF(AND(B32="Heavy Duty Truck",C32="Diesel"),'LCT - Heavy Duty'!$C$17,IF(AND(B32="Heavy Duty Truck",C32="Battery Electric"),'LCT - Heavy Duty'!$F$17,IF(AND(B32="Heavy Duty Truck",OR(C32="Natural Gas",C32="Propane")),'LCT - Heavy Duty'!$D$41,IF(AND(B32="Box Truck",C32="Gasoline"),'LCT - Light &amp; Light-Heavy Duty'!$C$17,IF(AND(B32="Box Truck",C32="Hybrid"),'LCT - Light &amp; Light-Heavy Duty'!$D$17,IF(AND(B32="Box Truck",C32="Plug-in Hybrid"),'LCT - Light &amp; Light-Heavy Duty'!$E$17,IF(AND(B32="Box Truck",C32="Battery Electric"),'LCT - Light &amp; Light-Heavy Duty'!$F$17,IF(AND(B32="Box Truck",C32="Fuel Cell Electric"),'LCT - Light &amp; Light-Heavy Duty'!$G$17,IF(AND(B32="Van",C32="Gasoline"),'LCT - Light &amp; Light-Heavy Duty'!$C$12,IF(AND(B32="Van",C32="Hybrid"),'LCT - Light &amp; Light-Heavy Duty'!$D$12,IF(AND(B32="Van",C32="Plug-in Hybrid"),'LCT - Light &amp; Light-Heavy Duty'!$E$12,IF(AND(B32="Van",'Interim Water Delivery Inputs'!F39="Battery Electric"),'LCT - Light &amp; Light-Heavy Duty'!$F$12,IF(AND(B32="Van",C32="Fuel Cell Electric"),'LCT - Light &amp; Light-Heavy Duty'!$G$12,IF(AND(B32="Sedan",C32="Gasoline"),'LCT - Light &amp; Light-Heavy Duty'!$C$25,IF(AND(B32="Sedan",C32="Hybrid"),'LCT - Light &amp; Light-Heavy Duty'!$D$25,IF(AND(B32="Sedan",C32="Plug-in Hybrid"),'LCT - Light &amp; Light-Heavy Duty'!$D$25,IF(AND(B32="Sedan",'Interim Water Delivery Inputs'!F39="Battery Electric"),'LCT - Light &amp; Light-Heavy Duty'!$E$25,IF(AND(B32="Sedan",C32="Fuel Cell Electric"),'LCT - Light &amp; Light-Heavy Duty'!$F$25,""))))))))))))))))))</f>
        <v/>
      </c>
      <c r="N32" s="174" t="str">
        <f>IFERROR(((Table7[[#This Row],[NOx Emission Factor
(g/mi)]]*Table7[[#This Row],[Total Annual VMT 
(Miles/Year)]])*1/454),"")</f>
        <v/>
      </c>
      <c r="O32" s="174" t="str">
        <f>IFERROR((Table7[[#This Row],[Annual NOx Emissions 
(lbs/year)]]*Table7[[#This Row],[Project Life
(Years)]]),"")</f>
        <v/>
      </c>
      <c r="P32" s="174" t="str">
        <f>IF(AND(B32="Heavy Duty Truck",C32="Diesel"),'LCT - Heavy Duty'!$C$18,IF(AND(B32="Heavy Duty Truck",C32="Battery Electric"),'LCT - Heavy Duty'!$F$18,IF(AND(B32="Heavy Duty Truck",OR(C32="Natural Gas",C32="Propane")),'LCT - Heavy Duty'!$D$42,IF(AND(B32="Box Truck",C32="Gasoline"),'LCT - Light &amp; Light-Heavy Duty'!$C$18,IF(AND(B32="Box Truck",C32="Hybrid"),'LCT - Light &amp; Light-Heavy Duty'!$D$18,IF(AND(B32="Box Truck",C32="Plug-in Hybrid"),'LCT - Light &amp; Light-Heavy Duty'!$E$18,IF(AND(B32="Box Truck",C32="Battery Electric"),'LCT - Light &amp; Light-Heavy Duty'!$F$18,IF(AND(B32="Box Truck",C32="Fuel Cell Electric"),'LCT - Light &amp; Light-Heavy Duty'!$G$18,IF(AND(B32="Van",C32="Gasoline"),'LCT - Light &amp; Light-Heavy Duty'!$C$13,IF(AND(B32="Van",C32="Hybrid"),'LCT - Light &amp; Light-Heavy Duty'!$D$13,IF(AND(B32="Van",C32="Plug-in Hybrid"),'LCT - Light &amp; Light-Heavy Duty'!$E$13,IF(AND(B32="Van",'Interim Water Delivery Inputs'!F39="Battery Electric"),'LCT - Light &amp; Light-Heavy Duty'!$F$13,IF(AND(B32="Van",C32="Fuel Cell Electric"),'LCT - Light &amp; Light-Heavy Duty'!$G$13,IF(AND(B32="Sedan",C32="Gasoline"),'LCT - Light &amp; Light-Heavy Duty'!$C$26,IF(AND(B32="Sedan",C32="Hybrid"),'LCT - Light &amp; Light-Heavy Duty'!$D$26,IF(AND(B32="Sedan",C32="Plug-in Hybrid"),'LCT - Light &amp; Light-Heavy Duty'!$D$26,IF(AND(B32="Sedan",'Interim Water Delivery Inputs'!F39="Battery Electric"),'LCT - Light &amp; Light-Heavy Duty'!$E$26,IF(AND(B32="Sedan",C32="Fuel Cell Electric"),'LCT - Light &amp; Light-Heavy Duty'!$F$26,""))))))))))))))))))</f>
        <v/>
      </c>
      <c r="Q32" s="174" t="str">
        <f>IFERROR(((Table7[[#This Row],[PM2.5 Emission Factor
(g/mi)]]*Table7[[#This Row],[Total Annual VMT 
(Miles/Year)]])*1/454),"")</f>
        <v/>
      </c>
      <c r="R32" s="174" t="str">
        <f>IFERROR((Table7[[#This Row],[Annual PM2.5 Emissions 
(lbs/year)]]*Table7[[#This Row],[Project Life
(Years)]]),"")</f>
        <v/>
      </c>
      <c r="S32" s="174" t="str">
        <f>IF(AND(B32="Heavy Duty Truck",C32="Diesel"),'LCT - Heavy Duty'!$C$19,IF(AND(B32="Heavy Duty Truck",C32="Battery Electric"),'LCT - Heavy Duty'!$F$19,IF(AND(B32="Heavy Duty Truck",OR(C32="Natural Gas",C32="Propane")),'LCT - Heavy Duty'!$D$43,IF(AND(B32="Box Truck",C32="Gasoline"),'LCT - Light &amp; Light-Heavy Duty'!$C$19,IF(AND(B32="Box Truck",C32="Hybrid"),'LCT - Light &amp; Light-Heavy Duty'!$D$19,IF(AND(B32="Box Truck",C32="Plug-in Hybrid"),'LCT - Light &amp; Light-Heavy Duty'!$E$19,IF(AND(B32="Box Truck",C32="Battery Electric"),'LCT - Light &amp; Light-Heavy Duty'!$F$19,IF(AND(B32="Box Truck",C32="Fuel Cell Electric"),'LCT - Light &amp; Light-Heavy Duty'!$G$19,IF(AND(B32="Van",C32="Gasoline"),'LCT - Light &amp; Light-Heavy Duty'!$C$14,IF(AND(B32="Van",C32="Hybrid"),'LCT - Light &amp; Light-Heavy Duty'!$D$14,IF(AND(B32="Van",C32="Plug-in Hybrid"),'LCT - Light &amp; Light-Heavy Duty'!$E$14,IF(AND(B32="Van",'Interim Water Delivery Inputs'!F39="Battery Electric"),'LCT - Light &amp; Light-Heavy Duty'!$F$14,IF(AND(B32="Van",C32="Fuel Cell Electric"),'LCT - Light &amp; Light-Heavy Duty'!$G$14,IF(AND(B32="Sedan",C32="Gasoline"),'LCT - Light &amp; Light-Heavy Duty'!$C$27,IF(AND(B32="Sedan",C32="Hybrid"),'LCT - Light &amp; Light-Heavy Duty'!$D$27,IF(AND(B32="Sedan",C32="Plug-in Hybrid"),'LCT - Light &amp; Light-Heavy Duty'!$D$27,IF(AND(B32="Sedan",'Interim Water Delivery Inputs'!F39="Battery Electric"),'LCT - Light &amp; Light-Heavy Duty'!$E$27,IF(AND(B32="Sedan",C32="Fuel Cell Electric"),'LCT - Light &amp; Light-Heavy Duty'!$F$27,""))))))))))))))))))</f>
        <v/>
      </c>
      <c r="T32" s="174" t="str">
        <f>IFERROR(((Table7[[#This Row],[Diesel PM Emission Factor
(g/mi)]]*Table7[[#This Row],[Total Annual VMT 
(Miles/Year)]])*1/454),"")</f>
        <v/>
      </c>
      <c r="U32" s="186" t="str">
        <f>IFERROR((Table7[[#This Row],[Annual Diesel PM Emissions 
(lbs/year)]]*Table7[[#This Row],[Project Life
(Years)]]),"")</f>
        <v/>
      </c>
      <c r="V32" s="186" t="str">
        <f>IF(Table7[[#This Row],[Fuel Type]]="Diesel",Defaults!$C$42,IF(Table7[[#This Row],[Fuel Type]]="Natural Gas",Defaults!$C$42*'Fuel-Specific GHG'!C59,IF(Table7[[#This Row],[Fuel Type]]="Propane",Defaults!$C$42*'Fuel-Specific GHG'!C59,IF(AND(Table7[[#This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2"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2" s="583">
        <f>IF(OR(Table7[[#This Row],[Fuel Type]]="Diesel",Table7[[#This Row],[Fuel Type]]="Gasoline",Table7[[#This Row],[Fuel Type]]="Hybrid",Table7[[#This Row],[Fuel Type]]="Plug-in Hybrid",Table7[[#This Row],[Fuel Type]]="Natural Gas",Table7[[#This Row],[Fuel Type]]="Propane"),Table7[[#This Row],[Fuel Use 
(gal, Kwh, or kg)]],0)</f>
        <v>0</v>
      </c>
      <c r="Y32"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2" s="26">
        <f>IF(B32=0,0,IF('Project Info'!$C$33="",2023,YEAR('Project Info'!$C$33)))</f>
        <v>0</v>
      </c>
      <c r="AA32" s="193">
        <f>'Interim Water Delivery Inputs'!N39*Table7[[#This Row],[Project Life
(Years)]]</f>
        <v>0</v>
      </c>
      <c r="AB32" s="193">
        <f>Table7[[#This Row],[Column2]]*Defaults!$C$59*12</f>
        <v>0</v>
      </c>
      <c r="AC32" s="193">
        <f>Table7[[#This Row],[Column3]]*Defaults!$C$58</f>
        <v>0</v>
      </c>
      <c r="AD32" s="193">
        <f>IF(B32=0,0,Table7[[#This Row],[Column4]]*VLOOKUP(Table7[[#This Row],[Column1]],'Passenger Auto C&amp;T'!$B$45:$D$80,3,FALSE))</f>
        <v>0</v>
      </c>
      <c r="AE32" s="589">
        <f>Table7[[#This Row],[Column42]]*'Fuel Prices'!$C$11</f>
        <v>0</v>
      </c>
      <c r="AF32" s="590">
        <f>IF(B32=0,0,VLOOKUP(Table7[[#This Row],[Column1]],'Passenger Auto GHG'!$B$46:$D$81,3,FALSE))</f>
        <v>0</v>
      </c>
      <c r="AG32" s="591">
        <f>Table7[[#This Row],[Column5]]*Table7[[#This Row],[Column4]]/1000000</f>
        <v>0</v>
      </c>
      <c r="AH32" s="592">
        <f>IF(B32=0,0,VLOOKUP(Table7[[#This Row],[Column1]],'Passenger Auto C&amp;T'!$B$45:$L$80,4,FALSE))</f>
        <v>0</v>
      </c>
      <c r="AI32" s="593">
        <f>IF(B32=0,0,VLOOKUP(Table7[[#This Row],[Column1]],'Passenger Auto C&amp;T'!$B$45:$L$80,5,FALSE))</f>
        <v>0</v>
      </c>
      <c r="AJ32" s="593">
        <f>IF(B32=0,0,SUM(VLOOKUP(Table7[[#This Row],[Column1]],'Passenger Auto C&amp;T'!$B$45:$L$80,6,FALSE),VLOOKUP(Table7[[#This Row],[Column1]],'Passenger Auto C&amp;T'!$B$45:$L$80,7,FALSE),VLOOKUP(Table7[[#This Row],[Column1]],'Passenger Auto C&amp;T'!$B$45:$L$80,8,FALSE)))</f>
        <v>0</v>
      </c>
      <c r="AK32" s="594">
        <f>IF(B32=0,0,VLOOKUP(Table7[[#This Row],[Column1]],'Passenger Auto C&amp;T'!$B$45:$L$80,10,FALSE))</f>
        <v>0</v>
      </c>
      <c r="AL32" s="592">
        <f>Table7[[#This Row],[Column4]]*Table7[[#This Row],[Column7]]*0.00220462</f>
        <v>0</v>
      </c>
      <c r="AM32" s="593">
        <f>Table7[[#This Row],[Column4]]*Table7[[#This Row],[Column8]]*0.00220462</f>
        <v>0</v>
      </c>
      <c r="AN32" s="593">
        <f>Table7[[#This Row],[Column4]]*Table7[[#This Row],[Column9]]*0.00220462</f>
        <v>0</v>
      </c>
      <c r="AO32" s="595">
        <f>Table7[[#This Row],[Column4]]*Table7[[#This Row],[Column10]]*0.00220462</f>
        <v>0</v>
      </c>
      <c r="AP32" s="592">
        <f>IF(B32=0,0,Table7[[#This Row],[Column6]]-Table7[[#This Row],[Total Transportation GHG Emissions 
(MTCO2e)]])</f>
        <v>0</v>
      </c>
      <c r="AQ32" s="593">
        <f>IF(B32=0,0,Table7[[#This Row],[Column11]]-Table7[[#This Row],[Total ROG Emissions 
(lbs)]])</f>
        <v>0</v>
      </c>
      <c r="AR32" s="593">
        <f>IF(B32=0,0,Table7[[#This Row],[Column12]]-Table7[[#This Row],[Total NOx Emissions 
(lbs)]])</f>
        <v>0</v>
      </c>
      <c r="AS32" s="593">
        <f>IF(B32=0,0,Table7[[#This Row],[Column13]]-Table7[[#This Row],[Total PM2.5 Emissions 
(lbs)]])</f>
        <v>0</v>
      </c>
      <c r="AT32" s="596">
        <f>IF(B32=0,0,Table7[[#This Row],[Column14]]-Table7[[#This Row],[Total Diesel PM Emissions 
(lbs)]])</f>
        <v>0</v>
      </c>
      <c r="AU32" s="588">
        <f>IF(B32=0,0,Table7[[#This Row],[Column42]]-Table7[[#This Row],[Fuel Use 
(gal)]])</f>
        <v>0</v>
      </c>
      <c r="AV32" s="597">
        <f>IF(B32=0,0,Table7[[#This Row],[Column43]]-Table7[[#This Row],[Fuel Cost ($)]])</f>
        <v>0</v>
      </c>
    </row>
    <row r="33" spans="2:48" s="2" customFormat="1" ht="15.5" x14ac:dyDescent="0.35">
      <c r="B33" s="588">
        <f>'Interim Water Delivery Inputs'!D40</f>
        <v>0</v>
      </c>
      <c r="C33" s="580">
        <f>'Interim Water Delivery Inputs'!F40</f>
        <v>0</v>
      </c>
      <c r="D33" s="580">
        <f>'Interim Water Delivery Inputs'!H40</f>
        <v>0</v>
      </c>
      <c r="E33" s="581">
        <f>IF('Interim Water Delivery Inputs'!B40="",0,(IF('Interim Water Delivery Inputs'!J40="",(Defaults!$H$15*Table7[[#This Row],[Number of Identical Vehicles]]),'Interim Water Delivery Inputs'!J40)))</f>
        <v>0</v>
      </c>
      <c r="F33" s="581">
        <f>'Interim Water Delivery Inputs'!L40</f>
        <v>0</v>
      </c>
      <c r="G33" s="582" t="str">
        <f>IF(AND(B33="Heavy Duty Truck",C33="Diesel"),'LCT - Heavy Duty'!$C$15,IF(AND(B33="Heavy Duty Truck",C33="Battery Electric"),'LCT - Heavy Duty'!$F$15,IF(AND(B33="Heavy Duty Truck",OR(C33="Natural Gas",C33="Propane")),'LCT - Heavy Duty'!$D$39,IF(AND(B33="Box Truck",C33="Gasoline"),'LCT - Light &amp; Light-Heavy Duty'!$C$15,IF(AND(B33="Box Truck",C33="Hybrid"),'LCT - Light &amp; Light-Heavy Duty'!$D$15,IF(AND(B33="Box Truck",C33="Plug-in Hybrid"),'LCT - Light &amp; Light-Heavy Duty'!$E$15,IF(AND(B33="Box Truck",C33="Battery Electric"),'LCT - Light &amp; Light-Heavy Duty'!$F$15,IF(AND(B33="Box Truck",C33="Fuel Cell Electric"),'LCT - Light &amp; Light-Heavy Duty'!$G$15,IF(AND(B33="Van",C33="Gasoline"),'LCT - Light &amp; Light-Heavy Duty'!$C$10,IF(AND(B33="Van",C33="Hybrid"),'LCT - Light &amp; Light-Heavy Duty'!$D$10,IF(AND(B33="Van",C33="Plug-in Hybrid"),'LCT - Light &amp; Light-Heavy Duty'!$E$10,IF(AND(B33="Van",'Interim Water Delivery Inputs'!F40="Battery Electric"),'LCT - Light &amp; Light-Heavy Duty'!$F$10,IF(AND(B33="Van",C33="Fuel Cell Electric"),'LCT - Light &amp; Light-Heavy Duty'!$G$10,IF(AND(B33="Sedan",C33="Gasoline"),'LCT - Light &amp; Light-Heavy Duty'!$C$23,IF(AND(B33="Sedan",C33="Hybrid"),'LCT - Light &amp; Light-Heavy Duty'!$D$23,IF(AND(B33="Sedan",C33="Plug-in Hybrid"),'LCT - Light &amp; Light-Heavy Duty'!$D$23,IF(AND(B33="Sedan",'Interim Water Delivery Inputs'!F40="Battery Electric"),'LCT - Light &amp; Light-Heavy Duty'!$E$23,IF(AND(B33="Sedan",C33="Fuel Cell Electric"),'LCT - Light &amp; Light-Heavy Duty'!$F$23,""))))))))))))))))))</f>
        <v/>
      </c>
      <c r="H33" s="582" t="str">
        <f>IFERROR(((Table7[[#This Row],[GHG Emission Factor 
(g CO2e/mi)]]*Table7[[#This Row],[Total Annual VMT 
(Miles/Year)]])*1/1000000),"")</f>
        <v/>
      </c>
      <c r="I33" s="582" t="str">
        <f>IFERROR(Table7[[#This Row],[Annual Transportation GHG Emissions 
(MTCO2e/Year)]]*Table7[[#This Row],[Project Life
(Years)]],"")</f>
        <v/>
      </c>
      <c r="J33" s="582" t="str">
        <f>IF(AND(B33="Heavy Duty Truck",C33="Diesel"),'LCT - Heavy Duty'!$C$16,IF(AND(B33="Heavy Duty Truck",C33="Battery Electric"),'LCT - Heavy Duty'!$F$16,IF(AND(B33="Heavy Duty Truck",OR(C33="Natural Gas",C33="Propane")),'LCT - Heavy Duty'!$D$40,IF(AND(B33="Box Truck",C33="Gasoline"),'LCT - Light &amp; Light-Heavy Duty'!$C$16,IF(AND(B33="Box Truck",C33="Hybrid"),'LCT - Light &amp; Light-Heavy Duty'!$D$16,IF(AND(B33="Box Truck",C33="Plug-in Hybrid"),'LCT - Light &amp; Light-Heavy Duty'!$E$16,IF(AND(B33="Box Truck",C33="Battery Electric"),'LCT - Light &amp; Light-Heavy Duty'!$F$16,IF(AND(B33="Box Truck",C33="Fuel Cell Electric"),'LCT - Light &amp; Light-Heavy Duty'!$G$16,IF(AND(B33="Van",C33="Gasoline"),'LCT - Light &amp; Light-Heavy Duty'!$C$11,IF(AND(B33="Van",C33="Hybrid"),'LCT - Light &amp; Light-Heavy Duty'!$D$11,IF(AND(B33="Van",C33="Plug-in Hybrid"),'LCT - Light &amp; Light-Heavy Duty'!$E$11,IF(AND(B33="Van",'Interim Water Delivery Inputs'!F40="Battery Electric"),'LCT - Light &amp; Light-Heavy Duty'!$F$11,IF(AND(B33="Van",C33="Fuel Cell Electric"),'LCT - Light &amp; Light-Heavy Duty'!$G$11,IF(AND(B33="Sedan",C33="Gasoline"),'LCT - Light &amp; Light-Heavy Duty'!$C$24,IF(AND(B33="Sedan",C33="Hybrid"),'LCT - Light &amp; Light-Heavy Duty'!$D$24,IF(AND(B33="Sedan",C33="Plug-in Hybrid"),'LCT - Light &amp; Light-Heavy Duty'!$D$24,IF(AND(B33="Sedan",'Interim Water Delivery Inputs'!F40="Battery Electric"),'LCT - Light &amp; Light-Heavy Duty'!$E$24,IF(AND(B33="Sedan",C33="Fuel Cell Electric"),'LCT - Light &amp; Light-Heavy Duty'!$F$24,""))))))))))))))))))</f>
        <v/>
      </c>
      <c r="K33" s="582" t="str">
        <f>IFERROR(((Table7[[#This Row],[ROG Emission Factor
(g/mi)]]*Table7[[#This Row],[Total Annual VMT 
(Miles/Year)]])*1/454),"")</f>
        <v/>
      </c>
      <c r="L33" s="174" t="str">
        <f>IFERROR((Table7[[#This Row],[Annual ROG Emissions 
(lbs/year)]]*Table7[[#This Row],[Project Life
(Years)]]),"")</f>
        <v/>
      </c>
      <c r="M33" s="582" t="str">
        <f>IF(AND(B33="Heavy Duty Truck",C33="Diesel"),'LCT - Heavy Duty'!$C$17,IF(AND(B33="Heavy Duty Truck",C33="Battery Electric"),'LCT - Heavy Duty'!$F$17,IF(AND(B33="Heavy Duty Truck",OR(C33="Natural Gas",C33="Propane")),'LCT - Heavy Duty'!$D$41,IF(AND(B33="Box Truck",C33="Gasoline"),'LCT - Light &amp; Light-Heavy Duty'!$C$17,IF(AND(B33="Box Truck",C33="Hybrid"),'LCT - Light &amp; Light-Heavy Duty'!$D$17,IF(AND(B33="Box Truck",C33="Plug-in Hybrid"),'LCT - Light &amp; Light-Heavy Duty'!$E$17,IF(AND(B33="Box Truck",C33="Battery Electric"),'LCT - Light &amp; Light-Heavy Duty'!$F$17,IF(AND(B33="Box Truck",C33="Fuel Cell Electric"),'LCT - Light &amp; Light-Heavy Duty'!$G$17,IF(AND(B33="Van",C33="Gasoline"),'LCT - Light &amp; Light-Heavy Duty'!$C$12,IF(AND(B33="Van",C33="Hybrid"),'LCT - Light &amp; Light-Heavy Duty'!$D$12,IF(AND(B33="Van",C33="Plug-in Hybrid"),'LCT - Light &amp; Light-Heavy Duty'!$E$12,IF(AND(B33="Van",'Interim Water Delivery Inputs'!F40="Battery Electric"),'LCT - Light &amp; Light-Heavy Duty'!$F$12,IF(AND(B33="Van",C33="Fuel Cell Electric"),'LCT - Light &amp; Light-Heavy Duty'!$G$12,IF(AND(B33="Sedan",C33="Gasoline"),'LCT - Light &amp; Light-Heavy Duty'!$C$25,IF(AND(B33="Sedan",C33="Hybrid"),'LCT - Light &amp; Light-Heavy Duty'!$D$25,IF(AND(B33="Sedan",C33="Plug-in Hybrid"),'LCT - Light &amp; Light-Heavy Duty'!$D$25,IF(AND(B33="Sedan",'Interim Water Delivery Inputs'!F40="Battery Electric"),'LCT - Light &amp; Light-Heavy Duty'!$E$25,IF(AND(B33="Sedan",C33="Fuel Cell Electric"),'LCT - Light &amp; Light-Heavy Duty'!$F$25,""))))))))))))))))))</f>
        <v/>
      </c>
      <c r="N33" s="174" t="str">
        <f>IFERROR(((Table7[[#This Row],[NOx Emission Factor
(g/mi)]]*Table7[[#This Row],[Total Annual VMT 
(Miles/Year)]])*1/454),"")</f>
        <v/>
      </c>
      <c r="O33" s="174" t="str">
        <f>IFERROR((Table7[[#This Row],[Annual NOx Emissions 
(lbs/year)]]*Table7[[#This Row],[Project Life
(Years)]]),"")</f>
        <v/>
      </c>
      <c r="P33" s="174" t="str">
        <f>IF(AND(B33="Heavy Duty Truck",C33="Diesel"),'LCT - Heavy Duty'!$C$18,IF(AND(B33="Heavy Duty Truck",C33="Battery Electric"),'LCT - Heavy Duty'!$F$18,IF(AND(B33="Heavy Duty Truck",OR(C33="Natural Gas",C33="Propane")),'LCT - Heavy Duty'!$D$42,IF(AND(B33="Box Truck",C33="Gasoline"),'LCT - Light &amp; Light-Heavy Duty'!$C$18,IF(AND(B33="Box Truck",C33="Hybrid"),'LCT - Light &amp; Light-Heavy Duty'!$D$18,IF(AND(B33="Box Truck",C33="Plug-in Hybrid"),'LCT - Light &amp; Light-Heavy Duty'!$E$18,IF(AND(B33="Box Truck",C33="Battery Electric"),'LCT - Light &amp; Light-Heavy Duty'!$F$18,IF(AND(B33="Box Truck",C33="Fuel Cell Electric"),'LCT - Light &amp; Light-Heavy Duty'!$G$18,IF(AND(B33="Van",C33="Gasoline"),'LCT - Light &amp; Light-Heavy Duty'!$C$13,IF(AND(B33="Van",C33="Hybrid"),'LCT - Light &amp; Light-Heavy Duty'!$D$13,IF(AND(B33="Van",C33="Plug-in Hybrid"),'LCT - Light &amp; Light-Heavy Duty'!$E$13,IF(AND(B33="Van",'Interim Water Delivery Inputs'!F40="Battery Electric"),'LCT - Light &amp; Light-Heavy Duty'!$F$13,IF(AND(B33="Van",C33="Fuel Cell Electric"),'LCT - Light &amp; Light-Heavy Duty'!$G$13,IF(AND(B33="Sedan",C33="Gasoline"),'LCT - Light &amp; Light-Heavy Duty'!$C$26,IF(AND(B33="Sedan",C33="Hybrid"),'LCT - Light &amp; Light-Heavy Duty'!$D$26,IF(AND(B33="Sedan",C33="Plug-in Hybrid"),'LCT - Light &amp; Light-Heavy Duty'!$D$26,IF(AND(B33="Sedan",'Interim Water Delivery Inputs'!F40="Battery Electric"),'LCT - Light &amp; Light-Heavy Duty'!$E$26,IF(AND(B33="Sedan",C33="Fuel Cell Electric"),'LCT - Light &amp; Light-Heavy Duty'!$F$26,""))))))))))))))))))</f>
        <v/>
      </c>
      <c r="Q33" s="174" t="str">
        <f>IFERROR(((Table7[[#This Row],[PM2.5 Emission Factor
(g/mi)]]*Table7[[#This Row],[Total Annual VMT 
(Miles/Year)]])*1/454),"")</f>
        <v/>
      </c>
      <c r="R33" s="174" t="str">
        <f>IFERROR((Table7[[#This Row],[Annual PM2.5 Emissions 
(lbs/year)]]*Table7[[#This Row],[Project Life
(Years)]]),"")</f>
        <v/>
      </c>
      <c r="S33" s="174" t="str">
        <f>IF(AND(B33="Heavy Duty Truck",C33="Diesel"),'LCT - Heavy Duty'!$C$19,IF(AND(B33="Heavy Duty Truck",C33="Battery Electric"),'LCT - Heavy Duty'!$F$19,IF(AND(B33="Heavy Duty Truck",OR(C33="Natural Gas",C33="Propane")),'LCT - Heavy Duty'!$D$43,IF(AND(B33="Box Truck",C33="Gasoline"),'LCT - Light &amp; Light-Heavy Duty'!$C$19,IF(AND(B33="Box Truck",C33="Hybrid"),'LCT - Light &amp; Light-Heavy Duty'!$D$19,IF(AND(B33="Box Truck",C33="Plug-in Hybrid"),'LCT - Light &amp; Light-Heavy Duty'!$E$19,IF(AND(B33="Box Truck",C33="Battery Electric"),'LCT - Light &amp; Light-Heavy Duty'!$F$19,IF(AND(B33="Box Truck",C33="Fuel Cell Electric"),'LCT - Light &amp; Light-Heavy Duty'!$G$19,IF(AND(B33="Van",C33="Gasoline"),'LCT - Light &amp; Light-Heavy Duty'!$C$14,IF(AND(B33="Van",C33="Hybrid"),'LCT - Light &amp; Light-Heavy Duty'!$D$14,IF(AND(B33="Van",C33="Plug-in Hybrid"),'LCT - Light &amp; Light-Heavy Duty'!$E$14,IF(AND(B33="Van",'Interim Water Delivery Inputs'!F40="Battery Electric"),'LCT - Light &amp; Light-Heavy Duty'!$F$14,IF(AND(B33="Van",C33="Fuel Cell Electric"),'LCT - Light &amp; Light-Heavy Duty'!$G$14,IF(AND(B33="Sedan",C33="Gasoline"),'LCT - Light &amp; Light-Heavy Duty'!$C$27,IF(AND(B33="Sedan",C33="Hybrid"),'LCT - Light &amp; Light-Heavy Duty'!$D$27,IF(AND(B33="Sedan",C33="Plug-in Hybrid"),'LCT - Light &amp; Light-Heavy Duty'!$D$27,IF(AND(B33="Sedan",'Interim Water Delivery Inputs'!F40="Battery Electric"),'LCT - Light &amp; Light-Heavy Duty'!$E$27,IF(AND(B33="Sedan",C33="Fuel Cell Electric"),'LCT - Light &amp; Light-Heavy Duty'!$F$27,""))))))))))))))))))</f>
        <v/>
      </c>
      <c r="T33" s="174" t="str">
        <f>IFERROR(((Table7[[#This Row],[Diesel PM Emission Factor
(g/mi)]]*Table7[[#This Row],[Total Annual VMT 
(Miles/Year)]])*1/454),"")</f>
        <v/>
      </c>
      <c r="U33" s="186" t="str">
        <f>IFERROR((Table7[[#This Row],[Annual Diesel PM Emissions 
(lbs/year)]]*Table7[[#This Row],[Project Life
(Years)]]),"")</f>
        <v/>
      </c>
      <c r="V33" s="186" t="str">
        <f>IF(Table7[[#This Row],[Fuel Type]]="Diesel",Defaults!$C$42,IF(Table7[[#This Row],[Fuel Type]]="Natural Gas",Defaults!$C$42*'Fuel-Specific GHG'!C60,IF(Table7[[#This Row],[Fuel Type]]="Propane",Defaults!$C$42*'Fuel-Specific GHG'!C60,IF(AND(Table7[[#This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3"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3" s="583">
        <f>IF(OR(Table7[[#This Row],[Fuel Type]]="Diesel",Table7[[#This Row],[Fuel Type]]="Gasoline",Table7[[#This Row],[Fuel Type]]="Hybrid",Table7[[#This Row],[Fuel Type]]="Plug-in Hybrid",Table7[[#This Row],[Fuel Type]]="Natural Gas",Table7[[#This Row],[Fuel Type]]="Propane"),Table7[[#This Row],[Fuel Use 
(gal, Kwh, or kg)]],0)</f>
        <v>0</v>
      </c>
      <c r="Y33"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3" s="26">
        <f>IF(B33=0,0,IF('Project Info'!$C$33="",2023,YEAR('Project Info'!$C$33)))</f>
        <v>0</v>
      </c>
      <c r="AA33" s="193">
        <f>'Interim Water Delivery Inputs'!N40*Table7[[#This Row],[Project Life
(Years)]]</f>
        <v>0</v>
      </c>
      <c r="AB33" s="193">
        <f>Table7[[#This Row],[Column2]]*Defaults!$C$59*12</f>
        <v>0</v>
      </c>
      <c r="AC33" s="193">
        <f>Table7[[#This Row],[Column3]]*Defaults!$C$58</f>
        <v>0</v>
      </c>
      <c r="AD33" s="193">
        <f>IF(B33=0,0,Table7[[#This Row],[Column4]]*VLOOKUP(Table7[[#This Row],[Column1]],'Passenger Auto C&amp;T'!$B$45:$D$80,3,FALSE))</f>
        <v>0</v>
      </c>
      <c r="AE33" s="589">
        <f>Table7[[#This Row],[Column42]]*'Fuel Prices'!$C$11</f>
        <v>0</v>
      </c>
      <c r="AF33" s="590">
        <f>IF(B33=0,0,VLOOKUP(Table7[[#This Row],[Column1]],'Passenger Auto GHG'!$B$46:$D$81,3,FALSE))</f>
        <v>0</v>
      </c>
      <c r="AG33" s="591">
        <f>Table7[[#This Row],[Column5]]*Table7[[#This Row],[Column4]]/1000000</f>
        <v>0</v>
      </c>
      <c r="AH33" s="592">
        <f>IF(B33=0,0,VLOOKUP(Table7[[#This Row],[Column1]],'Passenger Auto C&amp;T'!$B$45:$L$80,4,FALSE))</f>
        <v>0</v>
      </c>
      <c r="AI33" s="593">
        <f>IF(B33=0,0,VLOOKUP(Table7[[#This Row],[Column1]],'Passenger Auto C&amp;T'!$B$45:$L$80,5,FALSE))</f>
        <v>0</v>
      </c>
      <c r="AJ33" s="593">
        <f>IF(B33=0,0,SUM(VLOOKUP(Table7[[#This Row],[Column1]],'Passenger Auto C&amp;T'!$B$45:$L$80,6,FALSE),VLOOKUP(Table7[[#This Row],[Column1]],'Passenger Auto C&amp;T'!$B$45:$L$80,7,FALSE),VLOOKUP(Table7[[#This Row],[Column1]],'Passenger Auto C&amp;T'!$B$45:$L$80,8,FALSE)))</f>
        <v>0</v>
      </c>
      <c r="AK33" s="594">
        <f>IF(B33=0,0,VLOOKUP(Table7[[#This Row],[Column1]],'Passenger Auto C&amp;T'!$B$45:$L$80,10,FALSE))</f>
        <v>0</v>
      </c>
      <c r="AL33" s="592">
        <f>Table7[[#This Row],[Column4]]*Table7[[#This Row],[Column7]]*0.00220462</f>
        <v>0</v>
      </c>
      <c r="AM33" s="593">
        <f>Table7[[#This Row],[Column4]]*Table7[[#This Row],[Column8]]*0.00220462</f>
        <v>0</v>
      </c>
      <c r="AN33" s="593">
        <f>Table7[[#This Row],[Column4]]*Table7[[#This Row],[Column9]]*0.00220462</f>
        <v>0</v>
      </c>
      <c r="AO33" s="595">
        <f>Table7[[#This Row],[Column4]]*Table7[[#This Row],[Column10]]*0.00220462</f>
        <v>0</v>
      </c>
      <c r="AP33" s="592">
        <f>IF(B33=0,0,Table7[[#This Row],[Column6]]-Table7[[#This Row],[Total Transportation GHG Emissions 
(MTCO2e)]])</f>
        <v>0</v>
      </c>
      <c r="AQ33" s="593">
        <f>IF(B33=0,0,Table7[[#This Row],[Column11]]-Table7[[#This Row],[Total ROG Emissions 
(lbs)]])</f>
        <v>0</v>
      </c>
      <c r="AR33" s="593">
        <f>IF(B33=0,0,Table7[[#This Row],[Column12]]-Table7[[#This Row],[Total NOx Emissions 
(lbs)]])</f>
        <v>0</v>
      </c>
      <c r="AS33" s="593">
        <f>IF(B33=0,0,Table7[[#This Row],[Column13]]-Table7[[#This Row],[Total PM2.5 Emissions 
(lbs)]])</f>
        <v>0</v>
      </c>
      <c r="AT33" s="596">
        <f>IF(B33=0,0,Table7[[#This Row],[Column14]]-Table7[[#This Row],[Total Diesel PM Emissions 
(lbs)]])</f>
        <v>0</v>
      </c>
      <c r="AU33" s="588">
        <f>IF(B33=0,0,Table7[[#This Row],[Column42]]-Table7[[#This Row],[Fuel Use 
(gal)]])</f>
        <v>0</v>
      </c>
      <c r="AV33" s="597">
        <f>IF(B33=0,0,Table7[[#This Row],[Column43]]-Table7[[#This Row],[Fuel Cost ($)]])</f>
        <v>0</v>
      </c>
    </row>
    <row r="34" spans="2:48" s="2" customFormat="1" ht="15.5" x14ac:dyDescent="0.35">
      <c r="B34" s="588">
        <f>'Interim Water Delivery Inputs'!D41</f>
        <v>0</v>
      </c>
      <c r="C34" s="580">
        <f>'Interim Water Delivery Inputs'!F41</f>
        <v>0</v>
      </c>
      <c r="D34" s="580">
        <f>'Interim Water Delivery Inputs'!H41</f>
        <v>0</v>
      </c>
      <c r="E34" s="581">
        <f>IF('Interim Water Delivery Inputs'!B41="",0,(IF('Interim Water Delivery Inputs'!J41="",(Defaults!$H$15*Table7[[#This Row],[Number of Identical Vehicles]]),'Interim Water Delivery Inputs'!J41)))</f>
        <v>0</v>
      </c>
      <c r="F34" s="581">
        <f>'Interim Water Delivery Inputs'!L41</f>
        <v>0</v>
      </c>
      <c r="G34" s="582" t="str">
        <f>IF(AND(B34="Heavy Duty Truck",C34="Diesel"),'LCT - Heavy Duty'!$C$15,IF(AND(B34="Heavy Duty Truck",C34="Battery Electric"),'LCT - Heavy Duty'!$F$15,IF(AND(B34="Heavy Duty Truck",OR(C34="Natural Gas",C34="Propane")),'LCT - Heavy Duty'!$D$39,IF(AND(B34="Box Truck",C34="Gasoline"),'LCT - Light &amp; Light-Heavy Duty'!$C$15,IF(AND(B34="Box Truck",C34="Hybrid"),'LCT - Light &amp; Light-Heavy Duty'!$D$15,IF(AND(B34="Box Truck",C34="Plug-in Hybrid"),'LCT - Light &amp; Light-Heavy Duty'!$E$15,IF(AND(B34="Box Truck",C34="Battery Electric"),'LCT - Light &amp; Light-Heavy Duty'!$F$15,IF(AND(B34="Box Truck",C34="Fuel Cell Electric"),'LCT - Light &amp; Light-Heavy Duty'!$G$15,IF(AND(B34="Van",C34="Gasoline"),'LCT - Light &amp; Light-Heavy Duty'!$C$10,IF(AND(B34="Van",C34="Hybrid"),'LCT - Light &amp; Light-Heavy Duty'!$D$10,IF(AND(B34="Van",C34="Plug-in Hybrid"),'LCT - Light &amp; Light-Heavy Duty'!$E$10,IF(AND(B34="Van",'Interim Water Delivery Inputs'!F41="Battery Electric"),'LCT - Light &amp; Light-Heavy Duty'!$F$10,IF(AND(B34="Van",C34="Fuel Cell Electric"),'LCT - Light &amp; Light-Heavy Duty'!$G$10,IF(AND(B34="Sedan",C34="Gasoline"),'LCT - Light &amp; Light-Heavy Duty'!$C$23,IF(AND(B34="Sedan",C34="Hybrid"),'LCT - Light &amp; Light-Heavy Duty'!$D$23,IF(AND(B34="Sedan",C34="Plug-in Hybrid"),'LCT - Light &amp; Light-Heavy Duty'!$D$23,IF(AND(B34="Sedan",'Interim Water Delivery Inputs'!F41="Battery Electric"),'LCT - Light &amp; Light-Heavy Duty'!$E$23,IF(AND(B34="Sedan",C34="Fuel Cell Electric"),'LCT - Light &amp; Light-Heavy Duty'!$F$23,""))))))))))))))))))</f>
        <v/>
      </c>
      <c r="H34" s="582" t="str">
        <f>IFERROR(((Table7[[#This Row],[GHG Emission Factor 
(g CO2e/mi)]]*Table7[[#This Row],[Total Annual VMT 
(Miles/Year)]])*1/1000000),"")</f>
        <v/>
      </c>
      <c r="I34" s="582" t="str">
        <f>IFERROR(Table7[[#This Row],[Annual Transportation GHG Emissions 
(MTCO2e/Year)]]*Table7[[#This Row],[Project Life
(Years)]],"")</f>
        <v/>
      </c>
      <c r="J34" s="582" t="str">
        <f>IF(AND(B34="Heavy Duty Truck",C34="Diesel"),'LCT - Heavy Duty'!$C$16,IF(AND(B34="Heavy Duty Truck",C34="Battery Electric"),'LCT - Heavy Duty'!$F$16,IF(AND(B34="Heavy Duty Truck",OR(C34="Natural Gas",C34="Propane")),'LCT - Heavy Duty'!$D$40,IF(AND(B34="Box Truck",C34="Gasoline"),'LCT - Light &amp; Light-Heavy Duty'!$C$16,IF(AND(B34="Box Truck",C34="Hybrid"),'LCT - Light &amp; Light-Heavy Duty'!$D$16,IF(AND(B34="Box Truck",C34="Plug-in Hybrid"),'LCT - Light &amp; Light-Heavy Duty'!$E$16,IF(AND(B34="Box Truck",C34="Battery Electric"),'LCT - Light &amp; Light-Heavy Duty'!$F$16,IF(AND(B34="Box Truck",C34="Fuel Cell Electric"),'LCT - Light &amp; Light-Heavy Duty'!$G$16,IF(AND(B34="Van",C34="Gasoline"),'LCT - Light &amp; Light-Heavy Duty'!$C$11,IF(AND(B34="Van",C34="Hybrid"),'LCT - Light &amp; Light-Heavy Duty'!$D$11,IF(AND(B34="Van",C34="Plug-in Hybrid"),'LCT - Light &amp; Light-Heavy Duty'!$E$11,IF(AND(B34="Van",'Interim Water Delivery Inputs'!F41="Battery Electric"),'LCT - Light &amp; Light-Heavy Duty'!$F$11,IF(AND(B34="Van",C34="Fuel Cell Electric"),'LCT - Light &amp; Light-Heavy Duty'!$G$11,IF(AND(B34="Sedan",C34="Gasoline"),'LCT - Light &amp; Light-Heavy Duty'!$C$24,IF(AND(B34="Sedan",C34="Hybrid"),'LCT - Light &amp; Light-Heavy Duty'!$D$24,IF(AND(B34="Sedan",C34="Plug-in Hybrid"),'LCT - Light &amp; Light-Heavy Duty'!$D$24,IF(AND(B34="Sedan",'Interim Water Delivery Inputs'!F41="Battery Electric"),'LCT - Light &amp; Light-Heavy Duty'!$E$24,IF(AND(B34="Sedan",C34="Fuel Cell Electric"),'LCT - Light &amp; Light-Heavy Duty'!$F$24,""))))))))))))))))))</f>
        <v/>
      </c>
      <c r="K34" s="582" t="str">
        <f>IFERROR(((Table7[[#This Row],[ROG Emission Factor
(g/mi)]]*Table7[[#This Row],[Total Annual VMT 
(Miles/Year)]])*1/454),"")</f>
        <v/>
      </c>
      <c r="L34" s="174" t="str">
        <f>IFERROR((Table7[[#This Row],[Annual ROG Emissions 
(lbs/year)]]*Table7[[#This Row],[Project Life
(Years)]]),"")</f>
        <v/>
      </c>
      <c r="M34" s="582" t="str">
        <f>IF(AND(B34="Heavy Duty Truck",C34="Diesel"),'LCT - Heavy Duty'!$C$17,IF(AND(B34="Heavy Duty Truck",C34="Battery Electric"),'LCT - Heavy Duty'!$F$17,IF(AND(B34="Heavy Duty Truck",OR(C34="Natural Gas",C34="Propane")),'LCT - Heavy Duty'!$D$41,IF(AND(B34="Box Truck",C34="Gasoline"),'LCT - Light &amp; Light-Heavy Duty'!$C$17,IF(AND(B34="Box Truck",C34="Hybrid"),'LCT - Light &amp; Light-Heavy Duty'!$D$17,IF(AND(B34="Box Truck",C34="Plug-in Hybrid"),'LCT - Light &amp; Light-Heavy Duty'!$E$17,IF(AND(B34="Box Truck",C34="Battery Electric"),'LCT - Light &amp; Light-Heavy Duty'!$F$17,IF(AND(B34="Box Truck",C34="Fuel Cell Electric"),'LCT - Light &amp; Light-Heavy Duty'!$G$17,IF(AND(B34="Van",C34="Gasoline"),'LCT - Light &amp; Light-Heavy Duty'!$C$12,IF(AND(B34="Van",C34="Hybrid"),'LCT - Light &amp; Light-Heavy Duty'!$D$12,IF(AND(B34="Van",C34="Plug-in Hybrid"),'LCT - Light &amp; Light-Heavy Duty'!$E$12,IF(AND(B34="Van",'Interim Water Delivery Inputs'!F41="Battery Electric"),'LCT - Light &amp; Light-Heavy Duty'!$F$12,IF(AND(B34="Van",C34="Fuel Cell Electric"),'LCT - Light &amp; Light-Heavy Duty'!$G$12,IF(AND(B34="Sedan",C34="Gasoline"),'LCT - Light &amp; Light-Heavy Duty'!$C$25,IF(AND(B34="Sedan",C34="Hybrid"),'LCT - Light &amp; Light-Heavy Duty'!$D$25,IF(AND(B34="Sedan",C34="Plug-in Hybrid"),'LCT - Light &amp; Light-Heavy Duty'!$D$25,IF(AND(B34="Sedan",'Interim Water Delivery Inputs'!F41="Battery Electric"),'LCT - Light &amp; Light-Heavy Duty'!$E$25,IF(AND(B34="Sedan",C34="Fuel Cell Electric"),'LCT - Light &amp; Light-Heavy Duty'!$F$25,""))))))))))))))))))</f>
        <v/>
      </c>
      <c r="N34" s="174" t="str">
        <f>IFERROR(((Table7[[#This Row],[NOx Emission Factor
(g/mi)]]*Table7[[#This Row],[Total Annual VMT 
(Miles/Year)]])*1/454),"")</f>
        <v/>
      </c>
      <c r="O34" s="174" t="str">
        <f>IFERROR((Table7[[#This Row],[Annual NOx Emissions 
(lbs/year)]]*Table7[[#This Row],[Project Life
(Years)]]),"")</f>
        <v/>
      </c>
      <c r="P34" s="174" t="str">
        <f>IF(AND(B34="Heavy Duty Truck",C34="Diesel"),'LCT - Heavy Duty'!$C$18,IF(AND(B34="Heavy Duty Truck",C34="Battery Electric"),'LCT - Heavy Duty'!$F$18,IF(AND(B34="Heavy Duty Truck",OR(C34="Natural Gas",C34="Propane")),'LCT - Heavy Duty'!$D$42,IF(AND(B34="Box Truck",C34="Gasoline"),'LCT - Light &amp; Light-Heavy Duty'!$C$18,IF(AND(B34="Box Truck",C34="Hybrid"),'LCT - Light &amp; Light-Heavy Duty'!$D$18,IF(AND(B34="Box Truck",C34="Plug-in Hybrid"),'LCT - Light &amp; Light-Heavy Duty'!$E$18,IF(AND(B34="Box Truck",C34="Battery Electric"),'LCT - Light &amp; Light-Heavy Duty'!$F$18,IF(AND(B34="Box Truck",C34="Fuel Cell Electric"),'LCT - Light &amp; Light-Heavy Duty'!$G$18,IF(AND(B34="Van",C34="Gasoline"),'LCT - Light &amp; Light-Heavy Duty'!$C$13,IF(AND(B34="Van",C34="Hybrid"),'LCT - Light &amp; Light-Heavy Duty'!$D$13,IF(AND(B34="Van",C34="Plug-in Hybrid"),'LCT - Light &amp; Light-Heavy Duty'!$E$13,IF(AND(B34="Van",'Interim Water Delivery Inputs'!F41="Battery Electric"),'LCT - Light &amp; Light-Heavy Duty'!$F$13,IF(AND(B34="Van",C34="Fuel Cell Electric"),'LCT - Light &amp; Light-Heavy Duty'!$G$13,IF(AND(B34="Sedan",C34="Gasoline"),'LCT - Light &amp; Light-Heavy Duty'!$C$26,IF(AND(B34="Sedan",C34="Hybrid"),'LCT - Light &amp; Light-Heavy Duty'!$D$26,IF(AND(B34="Sedan",C34="Plug-in Hybrid"),'LCT - Light &amp; Light-Heavy Duty'!$D$26,IF(AND(B34="Sedan",'Interim Water Delivery Inputs'!F41="Battery Electric"),'LCT - Light &amp; Light-Heavy Duty'!$E$26,IF(AND(B34="Sedan",C34="Fuel Cell Electric"),'LCT - Light &amp; Light-Heavy Duty'!$F$26,""))))))))))))))))))</f>
        <v/>
      </c>
      <c r="Q34" s="174" t="str">
        <f>IFERROR(((Table7[[#This Row],[PM2.5 Emission Factor
(g/mi)]]*Table7[[#This Row],[Total Annual VMT 
(Miles/Year)]])*1/454),"")</f>
        <v/>
      </c>
      <c r="R34" s="174" t="str">
        <f>IFERROR((Table7[[#This Row],[Annual PM2.5 Emissions 
(lbs/year)]]*Table7[[#This Row],[Project Life
(Years)]]),"")</f>
        <v/>
      </c>
      <c r="S34" s="174" t="str">
        <f>IF(AND(B34="Heavy Duty Truck",C34="Diesel"),'LCT - Heavy Duty'!$C$19,IF(AND(B34="Heavy Duty Truck",C34="Battery Electric"),'LCT - Heavy Duty'!$F$19,IF(AND(B34="Heavy Duty Truck",OR(C34="Natural Gas",C34="Propane")),'LCT - Heavy Duty'!$D$43,IF(AND(B34="Box Truck",C34="Gasoline"),'LCT - Light &amp; Light-Heavy Duty'!$C$19,IF(AND(B34="Box Truck",C34="Hybrid"),'LCT - Light &amp; Light-Heavy Duty'!$D$19,IF(AND(B34="Box Truck",C34="Plug-in Hybrid"),'LCT - Light &amp; Light-Heavy Duty'!$E$19,IF(AND(B34="Box Truck",C34="Battery Electric"),'LCT - Light &amp; Light-Heavy Duty'!$F$19,IF(AND(B34="Box Truck",C34="Fuel Cell Electric"),'LCT - Light &amp; Light-Heavy Duty'!$G$19,IF(AND(B34="Van",C34="Gasoline"),'LCT - Light &amp; Light-Heavy Duty'!$C$14,IF(AND(B34="Van",C34="Hybrid"),'LCT - Light &amp; Light-Heavy Duty'!$D$14,IF(AND(B34="Van",C34="Plug-in Hybrid"),'LCT - Light &amp; Light-Heavy Duty'!$E$14,IF(AND(B34="Van",'Interim Water Delivery Inputs'!F41="Battery Electric"),'LCT - Light &amp; Light-Heavy Duty'!$F$14,IF(AND(B34="Van",C34="Fuel Cell Electric"),'LCT - Light &amp; Light-Heavy Duty'!$G$14,IF(AND(B34="Sedan",C34="Gasoline"),'LCT - Light &amp; Light-Heavy Duty'!$C$27,IF(AND(B34="Sedan",C34="Hybrid"),'LCT - Light &amp; Light-Heavy Duty'!$D$27,IF(AND(B34="Sedan",C34="Plug-in Hybrid"),'LCT - Light &amp; Light-Heavy Duty'!$D$27,IF(AND(B34="Sedan",'Interim Water Delivery Inputs'!F41="Battery Electric"),'LCT - Light &amp; Light-Heavy Duty'!$E$27,IF(AND(B34="Sedan",C34="Fuel Cell Electric"),'LCT - Light &amp; Light-Heavy Duty'!$F$27,""))))))))))))))))))</f>
        <v/>
      </c>
      <c r="T34" s="174" t="str">
        <f>IFERROR(((Table7[[#This Row],[Diesel PM Emission Factor
(g/mi)]]*Table7[[#This Row],[Total Annual VMT 
(Miles/Year)]])*1/454),"")</f>
        <v/>
      </c>
      <c r="U34" s="186" t="str">
        <f>IFERROR((Table7[[#This Row],[Annual Diesel PM Emissions 
(lbs/year)]]*Table7[[#This Row],[Project Life
(Years)]]),"")</f>
        <v/>
      </c>
      <c r="V34" s="186" t="str">
        <f>IF(Table7[[#This Row],[Fuel Type]]="Diesel",Defaults!$C$42,IF(Table7[[#This Row],[Fuel Type]]="Natural Gas",Defaults!$C$42*'Fuel-Specific GHG'!C61,IF(Table7[[#This Row],[Fuel Type]]="Propane",Defaults!$C$42*'Fuel-Specific GHG'!C61,IF(AND(Table7[[#This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4"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4" s="583">
        <f>IF(OR(Table7[[#This Row],[Fuel Type]]="Diesel",Table7[[#This Row],[Fuel Type]]="Gasoline",Table7[[#This Row],[Fuel Type]]="Hybrid",Table7[[#This Row],[Fuel Type]]="Plug-in Hybrid",Table7[[#This Row],[Fuel Type]]="Natural Gas",Table7[[#This Row],[Fuel Type]]="Propane"),Table7[[#This Row],[Fuel Use 
(gal, Kwh, or kg)]],0)</f>
        <v>0</v>
      </c>
      <c r="Y34"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4" s="26">
        <f>IF(B34=0,0,IF('Project Info'!$C$33="",2023,YEAR('Project Info'!$C$33)))</f>
        <v>0</v>
      </c>
      <c r="AA34" s="193">
        <f>'Interim Water Delivery Inputs'!N41*Table7[[#This Row],[Project Life
(Years)]]</f>
        <v>0</v>
      </c>
      <c r="AB34" s="193">
        <f>Table7[[#This Row],[Column2]]*Defaults!$C$59*12</f>
        <v>0</v>
      </c>
      <c r="AC34" s="193">
        <f>Table7[[#This Row],[Column3]]*Defaults!$C$58</f>
        <v>0</v>
      </c>
      <c r="AD34" s="193">
        <f>IF(B34=0,0,Table7[[#This Row],[Column4]]*VLOOKUP(Table7[[#This Row],[Column1]],'Passenger Auto C&amp;T'!$B$45:$D$80,3,FALSE))</f>
        <v>0</v>
      </c>
      <c r="AE34" s="589">
        <f>Table7[[#This Row],[Column42]]*'Fuel Prices'!$C$11</f>
        <v>0</v>
      </c>
      <c r="AF34" s="590">
        <f>IF(B34=0,0,VLOOKUP(Table7[[#This Row],[Column1]],'Passenger Auto GHG'!$B$46:$D$81,3,FALSE))</f>
        <v>0</v>
      </c>
      <c r="AG34" s="591">
        <f>Table7[[#This Row],[Column5]]*Table7[[#This Row],[Column4]]/1000000</f>
        <v>0</v>
      </c>
      <c r="AH34" s="592">
        <f>IF(B34=0,0,VLOOKUP(Table7[[#This Row],[Column1]],'Passenger Auto C&amp;T'!$B$45:$L$80,4,FALSE))</f>
        <v>0</v>
      </c>
      <c r="AI34" s="593">
        <f>IF(B34=0,0,VLOOKUP(Table7[[#This Row],[Column1]],'Passenger Auto C&amp;T'!$B$45:$L$80,5,FALSE))</f>
        <v>0</v>
      </c>
      <c r="AJ34" s="593">
        <f>IF(B34=0,0,SUM(VLOOKUP(Table7[[#This Row],[Column1]],'Passenger Auto C&amp;T'!$B$45:$L$80,6,FALSE),VLOOKUP(Table7[[#This Row],[Column1]],'Passenger Auto C&amp;T'!$B$45:$L$80,7,FALSE),VLOOKUP(Table7[[#This Row],[Column1]],'Passenger Auto C&amp;T'!$B$45:$L$80,8,FALSE)))</f>
        <v>0</v>
      </c>
      <c r="AK34" s="594">
        <f>IF(B34=0,0,VLOOKUP(Table7[[#This Row],[Column1]],'Passenger Auto C&amp;T'!$B$45:$L$80,10,FALSE))</f>
        <v>0</v>
      </c>
      <c r="AL34" s="592">
        <f>Table7[[#This Row],[Column4]]*Table7[[#This Row],[Column7]]*0.00220462</f>
        <v>0</v>
      </c>
      <c r="AM34" s="593">
        <f>Table7[[#This Row],[Column4]]*Table7[[#This Row],[Column8]]*0.00220462</f>
        <v>0</v>
      </c>
      <c r="AN34" s="593">
        <f>Table7[[#This Row],[Column4]]*Table7[[#This Row],[Column9]]*0.00220462</f>
        <v>0</v>
      </c>
      <c r="AO34" s="595">
        <f>Table7[[#This Row],[Column4]]*Table7[[#This Row],[Column10]]*0.00220462</f>
        <v>0</v>
      </c>
      <c r="AP34" s="592">
        <f>IF(B34=0,0,Table7[[#This Row],[Column6]]-Table7[[#This Row],[Total Transportation GHG Emissions 
(MTCO2e)]])</f>
        <v>0</v>
      </c>
      <c r="AQ34" s="593">
        <f>IF(B34=0,0,Table7[[#This Row],[Column11]]-Table7[[#This Row],[Total ROG Emissions 
(lbs)]])</f>
        <v>0</v>
      </c>
      <c r="AR34" s="593">
        <f>IF(B34=0,0,Table7[[#This Row],[Column12]]-Table7[[#This Row],[Total NOx Emissions 
(lbs)]])</f>
        <v>0</v>
      </c>
      <c r="AS34" s="593">
        <f>IF(B34=0,0,Table7[[#This Row],[Column13]]-Table7[[#This Row],[Total PM2.5 Emissions 
(lbs)]])</f>
        <v>0</v>
      </c>
      <c r="AT34" s="596">
        <f>IF(B34=0,0,Table7[[#This Row],[Column14]]-Table7[[#This Row],[Total Diesel PM Emissions 
(lbs)]])</f>
        <v>0</v>
      </c>
      <c r="AU34" s="588">
        <f>IF(B34=0,0,Table7[[#This Row],[Column42]]-Table7[[#This Row],[Fuel Use 
(gal)]])</f>
        <v>0</v>
      </c>
      <c r="AV34" s="597">
        <f>IF(B34=0,0,Table7[[#This Row],[Column43]]-Table7[[#This Row],[Fuel Cost ($)]])</f>
        <v>0</v>
      </c>
    </row>
    <row r="35" spans="2:48" s="2" customFormat="1" ht="15.5" x14ac:dyDescent="0.35">
      <c r="B35" s="588">
        <f>'Interim Water Delivery Inputs'!D42</f>
        <v>0</v>
      </c>
      <c r="C35" s="580">
        <f>'Interim Water Delivery Inputs'!F42</f>
        <v>0</v>
      </c>
      <c r="D35" s="580">
        <f>'Interim Water Delivery Inputs'!H42</f>
        <v>0</v>
      </c>
      <c r="E35" s="581">
        <f>IF('Interim Water Delivery Inputs'!B42="",0,(IF('Interim Water Delivery Inputs'!J42="",(Defaults!$H$15*Table7[[#This Row],[Number of Identical Vehicles]]),'Interim Water Delivery Inputs'!J42)))</f>
        <v>0</v>
      </c>
      <c r="F35" s="581">
        <f>'Interim Water Delivery Inputs'!L42</f>
        <v>0</v>
      </c>
      <c r="G35" s="582" t="str">
        <f>IF(AND(B35="Heavy Duty Truck",C35="Diesel"),'LCT - Heavy Duty'!$C$15,IF(AND(B35="Heavy Duty Truck",C35="Battery Electric"),'LCT - Heavy Duty'!$F$15,IF(AND(B35="Heavy Duty Truck",OR(C35="Natural Gas",C35="Propane")),'LCT - Heavy Duty'!$D$39,IF(AND(B35="Box Truck",C35="Gasoline"),'LCT - Light &amp; Light-Heavy Duty'!$C$15,IF(AND(B35="Box Truck",C35="Hybrid"),'LCT - Light &amp; Light-Heavy Duty'!$D$15,IF(AND(B35="Box Truck",C35="Plug-in Hybrid"),'LCT - Light &amp; Light-Heavy Duty'!$E$15,IF(AND(B35="Box Truck",C35="Battery Electric"),'LCT - Light &amp; Light-Heavy Duty'!$F$15,IF(AND(B35="Box Truck",C35="Fuel Cell Electric"),'LCT - Light &amp; Light-Heavy Duty'!$G$15,IF(AND(B35="Van",C35="Gasoline"),'LCT - Light &amp; Light-Heavy Duty'!$C$10,IF(AND(B35="Van",C35="Hybrid"),'LCT - Light &amp; Light-Heavy Duty'!$D$10,IF(AND(B35="Van",C35="Plug-in Hybrid"),'LCT - Light &amp; Light-Heavy Duty'!$E$10,IF(AND(B35="Van",'Interim Water Delivery Inputs'!F42="Battery Electric"),'LCT - Light &amp; Light-Heavy Duty'!$F$10,IF(AND(B35="Van",C35="Fuel Cell Electric"),'LCT - Light &amp; Light-Heavy Duty'!$G$10,IF(AND(B35="Sedan",C35="Gasoline"),'LCT - Light &amp; Light-Heavy Duty'!$C$23,IF(AND(B35="Sedan",C35="Hybrid"),'LCT - Light &amp; Light-Heavy Duty'!$D$23,IF(AND(B35="Sedan",C35="Plug-in Hybrid"),'LCT - Light &amp; Light-Heavy Duty'!$D$23,IF(AND(B35="Sedan",'Interim Water Delivery Inputs'!F42="Battery Electric"),'LCT - Light &amp; Light-Heavy Duty'!$E$23,IF(AND(B35="Sedan",C35="Fuel Cell Electric"),'LCT - Light &amp; Light-Heavy Duty'!$F$23,""))))))))))))))))))</f>
        <v/>
      </c>
      <c r="H35" s="582" t="str">
        <f>IFERROR(((Table7[[#This Row],[GHG Emission Factor 
(g CO2e/mi)]]*Table7[[#This Row],[Total Annual VMT 
(Miles/Year)]])*1/1000000),"")</f>
        <v/>
      </c>
      <c r="I35" s="582" t="str">
        <f>IFERROR(Table7[[#This Row],[Annual Transportation GHG Emissions 
(MTCO2e/Year)]]*Table7[[#This Row],[Project Life
(Years)]],"")</f>
        <v/>
      </c>
      <c r="J35" s="582" t="str">
        <f>IF(AND(B35="Heavy Duty Truck",C35="Diesel"),'LCT - Heavy Duty'!$C$16,IF(AND(B35="Heavy Duty Truck",C35="Battery Electric"),'LCT - Heavy Duty'!$F$16,IF(AND(B35="Heavy Duty Truck",OR(C35="Natural Gas",C35="Propane")),'LCT - Heavy Duty'!$D$40,IF(AND(B35="Box Truck",C35="Gasoline"),'LCT - Light &amp; Light-Heavy Duty'!$C$16,IF(AND(B35="Box Truck",C35="Hybrid"),'LCT - Light &amp; Light-Heavy Duty'!$D$16,IF(AND(B35="Box Truck",C35="Plug-in Hybrid"),'LCT - Light &amp; Light-Heavy Duty'!$E$16,IF(AND(B35="Box Truck",C35="Battery Electric"),'LCT - Light &amp; Light-Heavy Duty'!$F$16,IF(AND(B35="Box Truck",C35="Fuel Cell Electric"),'LCT - Light &amp; Light-Heavy Duty'!$G$16,IF(AND(B35="Van",C35="Gasoline"),'LCT - Light &amp; Light-Heavy Duty'!$C$11,IF(AND(B35="Van",C35="Hybrid"),'LCT - Light &amp; Light-Heavy Duty'!$D$11,IF(AND(B35="Van",C35="Plug-in Hybrid"),'LCT - Light &amp; Light-Heavy Duty'!$E$11,IF(AND(B35="Van",'Interim Water Delivery Inputs'!F42="Battery Electric"),'LCT - Light &amp; Light-Heavy Duty'!$F$11,IF(AND(B35="Van",C35="Fuel Cell Electric"),'LCT - Light &amp; Light-Heavy Duty'!$G$11,IF(AND(B35="Sedan",C35="Gasoline"),'LCT - Light &amp; Light-Heavy Duty'!$C$24,IF(AND(B35="Sedan",C35="Hybrid"),'LCT - Light &amp; Light-Heavy Duty'!$D$24,IF(AND(B35="Sedan",C35="Plug-in Hybrid"),'LCT - Light &amp; Light-Heavy Duty'!$D$24,IF(AND(B35="Sedan",'Interim Water Delivery Inputs'!F42="Battery Electric"),'LCT - Light &amp; Light-Heavy Duty'!$E$24,IF(AND(B35="Sedan",C35="Fuel Cell Electric"),'LCT - Light &amp; Light-Heavy Duty'!$F$24,""))))))))))))))))))</f>
        <v/>
      </c>
      <c r="K35" s="582" t="str">
        <f>IFERROR(((Table7[[#This Row],[ROG Emission Factor
(g/mi)]]*Table7[[#This Row],[Total Annual VMT 
(Miles/Year)]])*1/454),"")</f>
        <v/>
      </c>
      <c r="L35" s="174" t="str">
        <f>IFERROR((Table7[[#This Row],[Annual ROG Emissions 
(lbs/year)]]*Table7[[#This Row],[Project Life
(Years)]]),"")</f>
        <v/>
      </c>
      <c r="M35" s="582" t="str">
        <f>IF(AND(B35="Heavy Duty Truck",C35="Diesel"),'LCT - Heavy Duty'!$C$17,IF(AND(B35="Heavy Duty Truck",C35="Battery Electric"),'LCT - Heavy Duty'!$F$17,IF(AND(B35="Heavy Duty Truck",OR(C35="Natural Gas",C35="Propane")),'LCT - Heavy Duty'!$D$41,IF(AND(B35="Box Truck",C35="Gasoline"),'LCT - Light &amp; Light-Heavy Duty'!$C$17,IF(AND(B35="Box Truck",C35="Hybrid"),'LCT - Light &amp; Light-Heavy Duty'!$D$17,IF(AND(B35="Box Truck",C35="Plug-in Hybrid"),'LCT - Light &amp; Light-Heavy Duty'!$E$17,IF(AND(B35="Box Truck",C35="Battery Electric"),'LCT - Light &amp; Light-Heavy Duty'!$F$17,IF(AND(B35="Box Truck",C35="Fuel Cell Electric"),'LCT - Light &amp; Light-Heavy Duty'!$G$17,IF(AND(B35="Van",C35="Gasoline"),'LCT - Light &amp; Light-Heavy Duty'!$C$12,IF(AND(B35="Van",C35="Hybrid"),'LCT - Light &amp; Light-Heavy Duty'!$D$12,IF(AND(B35="Van",C35="Plug-in Hybrid"),'LCT - Light &amp; Light-Heavy Duty'!$E$12,IF(AND(B35="Van",'Interim Water Delivery Inputs'!F42="Battery Electric"),'LCT - Light &amp; Light-Heavy Duty'!$F$12,IF(AND(B35="Van",C35="Fuel Cell Electric"),'LCT - Light &amp; Light-Heavy Duty'!$G$12,IF(AND(B35="Sedan",C35="Gasoline"),'LCT - Light &amp; Light-Heavy Duty'!$C$25,IF(AND(B35="Sedan",C35="Hybrid"),'LCT - Light &amp; Light-Heavy Duty'!$D$25,IF(AND(B35="Sedan",C35="Plug-in Hybrid"),'LCT - Light &amp; Light-Heavy Duty'!$D$25,IF(AND(B35="Sedan",'Interim Water Delivery Inputs'!F42="Battery Electric"),'LCT - Light &amp; Light-Heavy Duty'!$E$25,IF(AND(B35="Sedan",C35="Fuel Cell Electric"),'LCT - Light &amp; Light-Heavy Duty'!$F$25,""))))))))))))))))))</f>
        <v/>
      </c>
      <c r="N35" s="174" t="str">
        <f>IFERROR(((Table7[[#This Row],[NOx Emission Factor
(g/mi)]]*Table7[[#This Row],[Total Annual VMT 
(Miles/Year)]])*1/454),"")</f>
        <v/>
      </c>
      <c r="O35" s="174" t="str">
        <f>IFERROR((Table7[[#This Row],[Annual NOx Emissions 
(lbs/year)]]*Table7[[#This Row],[Project Life
(Years)]]),"")</f>
        <v/>
      </c>
      <c r="P35" s="174" t="str">
        <f>IF(AND(B35="Heavy Duty Truck",C35="Diesel"),'LCT - Heavy Duty'!$C$18,IF(AND(B35="Heavy Duty Truck",C35="Battery Electric"),'LCT - Heavy Duty'!$F$18,IF(AND(B35="Heavy Duty Truck",OR(C35="Natural Gas",C35="Propane")),'LCT - Heavy Duty'!$D$42,IF(AND(B35="Box Truck",C35="Gasoline"),'LCT - Light &amp; Light-Heavy Duty'!$C$18,IF(AND(B35="Box Truck",C35="Hybrid"),'LCT - Light &amp; Light-Heavy Duty'!$D$18,IF(AND(B35="Box Truck",C35="Plug-in Hybrid"),'LCT - Light &amp; Light-Heavy Duty'!$E$18,IF(AND(B35="Box Truck",C35="Battery Electric"),'LCT - Light &amp; Light-Heavy Duty'!$F$18,IF(AND(B35="Box Truck",C35="Fuel Cell Electric"),'LCT - Light &amp; Light-Heavy Duty'!$G$18,IF(AND(B35="Van",C35="Gasoline"),'LCT - Light &amp; Light-Heavy Duty'!$C$13,IF(AND(B35="Van",C35="Hybrid"),'LCT - Light &amp; Light-Heavy Duty'!$D$13,IF(AND(B35="Van",C35="Plug-in Hybrid"),'LCT - Light &amp; Light-Heavy Duty'!$E$13,IF(AND(B35="Van",'Interim Water Delivery Inputs'!F42="Battery Electric"),'LCT - Light &amp; Light-Heavy Duty'!$F$13,IF(AND(B35="Van",C35="Fuel Cell Electric"),'LCT - Light &amp; Light-Heavy Duty'!$G$13,IF(AND(B35="Sedan",C35="Gasoline"),'LCT - Light &amp; Light-Heavy Duty'!$C$26,IF(AND(B35="Sedan",C35="Hybrid"),'LCT - Light &amp; Light-Heavy Duty'!$D$26,IF(AND(B35="Sedan",C35="Plug-in Hybrid"),'LCT - Light &amp; Light-Heavy Duty'!$D$26,IF(AND(B35="Sedan",'Interim Water Delivery Inputs'!F42="Battery Electric"),'LCT - Light &amp; Light-Heavy Duty'!$E$26,IF(AND(B35="Sedan",C35="Fuel Cell Electric"),'LCT - Light &amp; Light-Heavy Duty'!$F$26,""))))))))))))))))))</f>
        <v/>
      </c>
      <c r="Q35" s="174" t="str">
        <f>IFERROR(((Table7[[#This Row],[PM2.5 Emission Factor
(g/mi)]]*Table7[[#This Row],[Total Annual VMT 
(Miles/Year)]])*1/454),"")</f>
        <v/>
      </c>
      <c r="R35" s="174" t="str">
        <f>IFERROR((Table7[[#This Row],[Annual PM2.5 Emissions 
(lbs/year)]]*Table7[[#This Row],[Project Life
(Years)]]),"")</f>
        <v/>
      </c>
      <c r="S35" s="174" t="str">
        <f>IF(AND(B35="Heavy Duty Truck",C35="Diesel"),'LCT - Heavy Duty'!$C$19,IF(AND(B35="Heavy Duty Truck",C35="Battery Electric"),'LCT - Heavy Duty'!$F$19,IF(AND(B35="Heavy Duty Truck",OR(C35="Natural Gas",C35="Propane")),'LCT - Heavy Duty'!$D$43,IF(AND(B35="Box Truck",C35="Gasoline"),'LCT - Light &amp; Light-Heavy Duty'!$C$19,IF(AND(B35="Box Truck",C35="Hybrid"),'LCT - Light &amp; Light-Heavy Duty'!$D$19,IF(AND(B35="Box Truck",C35="Plug-in Hybrid"),'LCT - Light &amp; Light-Heavy Duty'!$E$19,IF(AND(B35="Box Truck",C35="Battery Electric"),'LCT - Light &amp; Light-Heavy Duty'!$F$19,IF(AND(B35="Box Truck",C35="Fuel Cell Electric"),'LCT - Light &amp; Light-Heavy Duty'!$G$19,IF(AND(B35="Van",C35="Gasoline"),'LCT - Light &amp; Light-Heavy Duty'!$C$14,IF(AND(B35="Van",C35="Hybrid"),'LCT - Light &amp; Light-Heavy Duty'!$D$14,IF(AND(B35="Van",C35="Plug-in Hybrid"),'LCT - Light &amp; Light-Heavy Duty'!$E$14,IF(AND(B35="Van",'Interim Water Delivery Inputs'!F42="Battery Electric"),'LCT - Light &amp; Light-Heavy Duty'!$F$14,IF(AND(B35="Van",C35="Fuel Cell Electric"),'LCT - Light &amp; Light-Heavy Duty'!$G$14,IF(AND(B35="Sedan",C35="Gasoline"),'LCT - Light &amp; Light-Heavy Duty'!$C$27,IF(AND(B35="Sedan",C35="Hybrid"),'LCT - Light &amp; Light-Heavy Duty'!$D$27,IF(AND(B35="Sedan",C35="Plug-in Hybrid"),'LCT - Light &amp; Light-Heavy Duty'!$D$27,IF(AND(B35="Sedan",'Interim Water Delivery Inputs'!F42="Battery Electric"),'LCT - Light &amp; Light-Heavy Duty'!$E$27,IF(AND(B35="Sedan",C35="Fuel Cell Electric"),'LCT - Light &amp; Light-Heavy Duty'!$F$27,""))))))))))))))))))</f>
        <v/>
      </c>
      <c r="T35" s="174" t="str">
        <f>IFERROR(((Table7[[#This Row],[Diesel PM Emission Factor
(g/mi)]]*Table7[[#This Row],[Total Annual VMT 
(Miles/Year)]])*1/454),"")</f>
        <v/>
      </c>
      <c r="U35" s="186" t="str">
        <f>IFERROR((Table7[[#This Row],[Annual Diesel PM Emissions 
(lbs/year)]]*Table7[[#This Row],[Project Life
(Years)]]),"")</f>
        <v/>
      </c>
      <c r="V35" s="186" t="str">
        <f>IF(Table7[[#This Row],[Fuel Type]]="Diesel",Defaults!$C$42,IF(Table7[[#This Row],[Fuel Type]]="Natural Gas",Defaults!$C$42*'Fuel-Specific GHG'!C62,IF(Table7[[#This Row],[Fuel Type]]="Propane",Defaults!$C$42*'Fuel-Specific GHG'!C62,IF(AND(Table7[[#This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5"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5" s="583">
        <f>IF(OR(Table7[[#This Row],[Fuel Type]]="Diesel",Table7[[#This Row],[Fuel Type]]="Gasoline",Table7[[#This Row],[Fuel Type]]="Hybrid",Table7[[#This Row],[Fuel Type]]="Plug-in Hybrid",Table7[[#This Row],[Fuel Type]]="Natural Gas",Table7[[#This Row],[Fuel Type]]="Propane"),Table7[[#This Row],[Fuel Use 
(gal, Kwh, or kg)]],0)</f>
        <v>0</v>
      </c>
      <c r="Y35"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5" s="26">
        <f>IF(B35=0,0,IF('Project Info'!$C$33="",2023,YEAR('Project Info'!$C$33)))</f>
        <v>0</v>
      </c>
      <c r="AA35" s="193">
        <f>'Interim Water Delivery Inputs'!N42*Table7[[#This Row],[Project Life
(Years)]]</f>
        <v>0</v>
      </c>
      <c r="AB35" s="193">
        <f>Table7[[#This Row],[Column2]]*Defaults!$C$59*12</f>
        <v>0</v>
      </c>
      <c r="AC35" s="193">
        <f>Table7[[#This Row],[Column3]]*Defaults!$C$58</f>
        <v>0</v>
      </c>
      <c r="AD35" s="193">
        <f>IF(B35=0,0,Table7[[#This Row],[Column4]]*VLOOKUP(Table7[[#This Row],[Column1]],'Passenger Auto C&amp;T'!$B$45:$D$80,3,FALSE))</f>
        <v>0</v>
      </c>
      <c r="AE35" s="589">
        <f>Table7[[#This Row],[Column42]]*'Fuel Prices'!$C$11</f>
        <v>0</v>
      </c>
      <c r="AF35" s="590">
        <f>IF(B35=0,0,VLOOKUP(Table7[[#This Row],[Column1]],'Passenger Auto GHG'!$B$46:$D$81,3,FALSE))</f>
        <v>0</v>
      </c>
      <c r="AG35" s="591">
        <f>Table7[[#This Row],[Column5]]*Table7[[#This Row],[Column4]]/1000000</f>
        <v>0</v>
      </c>
      <c r="AH35" s="592">
        <f>IF(B35=0,0,VLOOKUP(Table7[[#This Row],[Column1]],'Passenger Auto C&amp;T'!$B$45:$L$80,4,FALSE))</f>
        <v>0</v>
      </c>
      <c r="AI35" s="593">
        <f>IF(B35=0,0,VLOOKUP(Table7[[#This Row],[Column1]],'Passenger Auto C&amp;T'!$B$45:$L$80,5,FALSE))</f>
        <v>0</v>
      </c>
      <c r="AJ35" s="593">
        <f>IF(B35=0,0,SUM(VLOOKUP(Table7[[#This Row],[Column1]],'Passenger Auto C&amp;T'!$B$45:$L$80,6,FALSE),VLOOKUP(Table7[[#This Row],[Column1]],'Passenger Auto C&amp;T'!$B$45:$L$80,7,FALSE),VLOOKUP(Table7[[#This Row],[Column1]],'Passenger Auto C&amp;T'!$B$45:$L$80,8,FALSE)))</f>
        <v>0</v>
      </c>
      <c r="AK35" s="594">
        <f>IF(B35=0,0,VLOOKUP(Table7[[#This Row],[Column1]],'Passenger Auto C&amp;T'!$B$45:$L$80,10,FALSE))</f>
        <v>0</v>
      </c>
      <c r="AL35" s="592">
        <f>Table7[[#This Row],[Column4]]*Table7[[#This Row],[Column7]]*0.00220462</f>
        <v>0</v>
      </c>
      <c r="AM35" s="593">
        <f>Table7[[#This Row],[Column4]]*Table7[[#This Row],[Column8]]*0.00220462</f>
        <v>0</v>
      </c>
      <c r="AN35" s="593">
        <f>Table7[[#This Row],[Column4]]*Table7[[#This Row],[Column9]]*0.00220462</f>
        <v>0</v>
      </c>
      <c r="AO35" s="595">
        <f>Table7[[#This Row],[Column4]]*Table7[[#This Row],[Column10]]*0.00220462</f>
        <v>0</v>
      </c>
      <c r="AP35" s="592">
        <f>IF(B35=0,0,Table7[[#This Row],[Column6]]-Table7[[#This Row],[Total Transportation GHG Emissions 
(MTCO2e)]])</f>
        <v>0</v>
      </c>
      <c r="AQ35" s="593">
        <f>IF(B35=0,0,Table7[[#This Row],[Column11]]-Table7[[#This Row],[Total ROG Emissions 
(lbs)]])</f>
        <v>0</v>
      </c>
      <c r="AR35" s="593">
        <f>IF(B35=0,0,Table7[[#This Row],[Column12]]-Table7[[#This Row],[Total NOx Emissions 
(lbs)]])</f>
        <v>0</v>
      </c>
      <c r="AS35" s="593">
        <f>IF(B35=0,0,Table7[[#This Row],[Column13]]-Table7[[#This Row],[Total PM2.5 Emissions 
(lbs)]])</f>
        <v>0</v>
      </c>
      <c r="AT35" s="596">
        <f>IF(B35=0,0,Table7[[#This Row],[Column14]]-Table7[[#This Row],[Total Diesel PM Emissions 
(lbs)]])</f>
        <v>0</v>
      </c>
      <c r="AU35" s="588">
        <f>IF(B35=0,0,Table7[[#This Row],[Column42]]-Table7[[#This Row],[Fuel Use 
(gal)]])</f>
        <v>0</v>
      </c>
      <c r="AV35" s="597">
        <f>IF(B35=0,0,Table7[[#This Row],[Column43]]-Table7[[#This Row],[Fuel Cost ($)]])</f>
        <v>0</v>
      </c>
    </row>
    <row r="36" spans="2:48" s="2" customFormat="1" ht="15.5" x14ac:dyDescent="0.35">
      <c r="B36" s="588">
        <f>'Interim Water Delivery Inputs'!D43</f>
        <v>0</v>
      </c>
      <c r="C36" s="580">
        <f>'Interim Water Delivery Inputs'!F43</f>
        <v>0</v>
      </c>
      <c r="D36" s="580">
        <f>'Interim Water Delivery Inputs'!H43</f>
        <v>0</v>
      </c>
      <c r="E36" s="581">
        <f>IF('Interim Water Delivery Inputs'!B43="",0,(IF('Interim Water Delivery Inputs'!J43="",(Defaults!$H$15*Table7[[#This Row],[Number of Identical Vehicles]]),'Interim Water Delivery Inputs'!J43)))</f>
        <v>0</v>
      </c>
      <c r="F36" s="581">
        <f>'Interim Water Delivery Inputs'!L43</f>
        <v>0</v>
      </c>
      <c r="G36" s="582" t="str">
        <f>IF(AND(B36="Heavy Duty Truck",C36="Diesel"),'LCT - Heavy Duty'!$C$15,IF(AND(B36="Heavy Duty Truck",C36="Battery Electric"),'LCT - Heavy Duty'!$F$15,IF(AND(B36="Heavy Duty Truck",OR(C36="Natural Gas",C36="Propane")),'LCT - Heavy Duty'!$D$39,IF(AND(B36="Box Truck",C36="Gasoline"),'LCT - Light &amp; Light-Heavy Duty'!$C$15,IF(AND(B36="Box Truck",C36="Hybrid"),'LCT - Light &amp; Light-Heavy Duty'!$D$15,IF(AND(B36="Box Truck",C36="Plug-in Hybrid"),'LCT - Light &amp; Light-Heavy Duty'!$E$15,IF(AND(B36="Box Truck",C36="Battery Electric"),'LCT - Light &amp; Light-Heavy Duty'!$F$15,IF(AND(B36="Box Truck",C36="Fuel Cell Electric"),'LCT - Light &amp; Light-Heavy Duty'!$G$15,IF(AND(B36="Van",C36="Gasoline"),'LCT - Light &amp; Light-Heavy Duty'!$C$10,IF(AND(B36="Van",C36="Hybrid"),'LCT - Light &amp; Light-Heavy Duty'!$D$10,IF(AND(B36="Van",C36="Plug-in Hybrid"),'LCT - Light &amp; Light-Heavy Duty'!$E$10,IF(AND(B36="Van",'Interim Water Delivery Inputs'!F43="Battery Electric"),'LCT - Light &amp; Light-Heavy Duty'!$F$10,IF(AND(B36="Van",C36="Fuel Cell Electric"),'LCT - Light &amp; Light-Heavy Duty'!$G$10,IF(AND(B36="Sedan",C36="Gasoline"),'LCT - Light &amp; Light-Heavy Duty'!$C$23,IF(AND(B36="Sedan",C36="Hybrid"),'LCT - Light &amp; Light-Heavy Duty'!$D$23,IF(AND(B36="Sedan",C36="Plug-in Hybrid"),'LCT - Light &amp; Light-Heavy Duty'!$D$23,IF(AND(B36="Sedan",'Interim Water Delivery Inputs'!F43="Battery Electric"),'LCT - Light &amp; Light-Heavy Duty'!$E$23,IF(AND(B36="Sedan",C36="Fuel Cell Electric"),'LCT - Light &amp; Light-Heavy Duty'!$F$23,""))))))))))))))))))</f>
        <v/>
      </c>
      <c r="H36" s="582" t="str">
        <f>IFERROR(((Table7[[#This Row],[GHG Emission Factor 
(g CO2e/mi)]]*Table7[[#This Row],[Total Annual VMT 
(Miles/Year)]])*1/1000000),"")</f>
        <v/>
      </c>
      <c r="I36" s="582" t="str">
        <f>IFERROR(Table7[[#This Row],[Annual Transportation GHG Emissions 
(MTCO2e/Year)]]*Table7[[#This Row],[Project Life
(Years)]],"")</f>
        <v/>
      </c>
      <c r="J36" s="582" t="str">
        <f>IF(AND(B36="Heavy Duty Truck",C36="Diesel"),'LCT - Heavy Duty'!$C$16,IF(AND(B36="Heavy Duty Truck",C36="Battery Electric"),'LCT - Heavy Duty'!$F$16,IF(AND(B36="Heavy Duty Truck",OR(C36="Natural Gas",C36="Propane")),'LCT - Heavy Duty'!$D$40,IF(AND(B36="Box Truck",C36="Gasoline"),'LCT - Light &amp; Light-Heavy Duty'!$C$16,IF(AND(B36="Box Truck",C36="Hybrid"),'LCT - Light &amp; Light-Heavy Duty'!$D$16,IF(AND(B36="Box Truck",C36="Plug-in Hybrid"),'LCT - Light &amp; Light-Heavy Duty'!$E$16,IF(AND(B36="Box Truck",C36="Battery Electric"),'LCT - Light &amp; Light-Heavy Duty'!$F$16,IF(AND(B36="Box Truck",C36="Fuel Cell Electric"),'LCT - Light &amp; Light-Heavy Duty'!$G$16,IF(AND(B36="Van",C36="Gasoline"),'LCT - Light &amp; Light-Heavy Duty'!$C$11,IF(AND(B36="Van",C36="Hybrid"),'LCT - Light &amp; Light-Heavy Duty'!$D$11,IF(AND(B36="Van",C36="Plug-in Hybrid"),'LCT - Light &amp; Light-Heavy Duty'!$E$11,IF(AND(B36="Van",'Interim Water Delivery Inputs'!F43="Battery Electric"),'LCT - Light &amp; Light-Heavy Duty'!$F$11,IF(AND(B36="Van",C36="Fuel Cell Electric"),'LCT - Light &amp; Light-Heavy Duty'!$G$11,IF(AND(B36="Sedan",C36="Gasoline"),'LCT - Light &amp; Light-Heavy Duty'!$C$24,IF(AND(B36="Sedan",C36="Hybrid"),'LCT - Light &amp; Light-Heavy Duty'!$D$24,IF(AND(B36="Sedan",C36="Plug-in Hybrid"),'LCT - Light &amp; Light-Heavy Duty'!$D$24,IF(AND(B36="Sedan",'Interim Water Delivery Inputs'!F43="Battery Electric"),'LCT - Light &amp; Light-Heavy Duty'!$E$24,IF(AND(B36="Sedan",C36="Fuel Cell Electric"),'LCT - Light &amp; Light-Heavy Duty'!$F$24,""))))))))))))))))))</f>
        <v/>
      </c>
      <c r="K36" s="582" t="str">
        <f>IFERROR(((Table7[[#This Row],[ROG Emission Factor
(g/mi)]]*Table7[[#This Row],[Total Annual VMT 
(Miles/Year)]])*1/454),"")</f>
        <v/>
      </c>
      <c r="L36" s="174" t="str">
        <f>IFERROR((Table7[[#This Row],[Annual ROG Emissions 
(lbs/year)]]*Table7[[#This Row],[Project Life
(Years)]]),"")</f>
        <v/>
      </c>
      <c r="M36" s="582" t="str">
        <f>IF(AND(B36="Heavy Duty Truck",C36="Diesel"),'LCT - Heavy Duty'!$C$17,IF(AND(B36="Heavy Duty Truck",C36="Battery Electric"),'LCT - Heavy Duty'!$F$17,IF(AND(B36="Heavy Duty Truck",OR(C36="Natural Gas",C36="Propane")),'LCT - Heavy Duty'!$D$41,IF(AND(B36="Box Truck",C36="Gasoline"),'LCT - Light &amp; Light-Heavy Duty'!$C$17,IF(AND(B36="Box Truck",C36="Hybrid"),'LCT - Light &amp; Light-Heavy Duty'!$D$17,IF(AND(B36="Box Truck",C36="Plug-in Hybrid"),'LCT - Light &amp; Light-Heavy Duty'!$E$17,IF(AND(B36="Box Truck",C36="Battery Electric"),'LCT - Light &amp; Light-Heavy Duty'!$F$17,IF(AND(B36="Box Truck",C36="Fuel Cell Electric"),'LCT - Light &amp; Light-Heavy Duty'!$G$17,IF(AND(B36="Van",C36="Gasoline"),'LCT - Light &amp; Light-Heavy Duty'!$C$12,IF(AND(B36="Van",C36="Hybrid"),'LCT - Light &amp; Light-Heavy Duty'!$D$12,IF(AND(B36="Van",C36="Plug-in Hybrid"),'LCT - Light &amp; Light-Heavy Duty'!$E$12,IF(AND(B36="Van",'Interim Water Delivery Inputs'!F43="Battery Electric"),'LCT - Light &amp; Light-Heavy Duty'!$F$12,IF(AND(B36="Van",C36="Fuel Cell Electric"),'LCT - Light &amp; Light-Heavy Duty'!$G$12,IF(AND(B36="Sedan",C36="Gasoline"),'LCT - Light &amp; Light-Heavy Duty'!$C$25,IF(AND(B36="Sedan",C36="Hybrid"),'LCT - Light &amp; Light-Heavy Duty'!$D$25,IF(AND(B36="Sedan",C36="Plug-in Hybrid"),'LCT - Light &amp; Light-Heavy Duty'!$D$25,IF(AND(B36="Sedan",'Interim Water Delivery Inputs'!F43="Battery Electric"),'LCT - Light &amp; Light-Heavy Duty'!$E$25,IF(AND(B36="Sedan",C36="Fuel Cell Electric"),'LCT - Light &amp; Light-Heavy Duty'!$F$25,""))))))))))))))))))</f>
        <v/>
      </c>
      <c r="N36" s="174" t="str">
        <f>IFERROR(((Table7[[#This Row],[NOx Emission Factor
(g/mi)]]*Table7[[#This Row],[Total Annual VMT 
(Miles/Year)]])*1/454),"")</f>
        <v/>
      </c>
      <c r="O36" s="174" t="str">
        <f>IFERROR((Table7[[#This Row],[Annual NOx Emissions 
(lbs/year)]]*Table7[[#This Row],[Project Life
(Years)]]),"")</f>
        <v/>
      </c>
      <c r="P36" s="174" t="str">
        <f>IF(AND(B36="Heavy Duty Truck",C36="Diesel"),'LCT - Heavy Duty'!$C$18,IF(AND(B36="Heavy Duty Truck",C36="Battery Electric"),'LCT - Heavy Duty'!$F$18,IF(AND(B36="Heavy Duty Truck",OR(C36="Natural Gas",C36="Propane")),'LCT - Heavy Duty'!$D$42,IF(AND(B36="Box Truck",C36="Gasoline"),'LCT - Light &amp; Light-Heavy Duty'!$C$18,IF(AND(B36="Box Truck",C36="Hybrid"),'LCT - Light &amp; Light-Heavy Duty'!$D$18,IF(AND(B36="Box Truck",C36="Plug-in Hybrid"),'LCT - Light &amp; Light-Heavy Duty'!$E$18,IF(AND(B36="Box Truck",C36="Battery Electric"),'LCT - Light &amp; Light-Heavy Duty'!$F$18,IF(AND(B36="Box Truck",C36="Fuel Cell Electric"),'LCT - Light &amp; Light-Heavy Duty'!$G$18,IF(AND(B36="Van",C36="Gasoline"),'LCT - Light &amp; Light-Heavy Duty'!$C$13,IF(AND(B36="Van",C36="Hybrid"),'LCT - Light &amp; Light-Heavy Duty'!$D$13,IF(AND(B36="Van",C36="Plug-in Hybrid"),'LCT - Light &amp; Light-Heavy Duty'!$E$13,IF(AND(B36="Van",'Interim Water Delivery Inputs'!F43="Battery Electric"),'LCT - Light &amp; Light-Heavy Duty'!$F$13,IF(AND(B36="Van",C36="Fuel Cell Electric"),'LCT - Light &amp; Light-Heavy Duty'!$G$13,IF(AND(B36="Sedan",C36="Gasoline"),'LCT - Light &amp; Light-Heavy Duty'!$C$26,IF(AND(B36="Sedan",C36="Hybrid"),'LCT - Light &amp; Light-Heavy Duty'!$D$26,IF(AND(B36="Sedan",C36="Plug-in Hybrid"),'LCT - Light &amp; Light-Heavy Duty'!$D$26,IF(AND(B36="Sedan",'Interim Water Delivery Inputs'!F43="Battery Electric"),'LCT - Light &amp; Light-Heavy Duty'!$E$26,IF(AND(B36="Sedan",C36="Fuel Cell Electric"),'LCT - Light &amp; Light-Heavy Duty'!$F$26,""))))))))))))))))))</f>
        <v/>
      </c>
      <c r="Q36" s="174" t="str">
        <f>IFERROR(((Table7[[#This Row],[PM2.5 Emission Factor
(g/mi)]]*Table7[[#This Row],[Total Annual VMT 
(Miles/Year)]])*1/454),"")</f>
        <v/>
      </c>
      <c r="R36" s="174" t="str">
        <f>IFERROR((Table7[[#This Row],[Annual PM2.5 Emissions 
(lbs/year)]]*Table7[[#This Row],[Project Life
(Years)]]),"")</f>
        <v/>
      </c>
      <c r="S36" s="174" t="str">
        <f>IF(AND(B36="Heavy Duty Truck",C36="Diesel"),'LCT - Heavy Duty'!$C$19,IF(AND(B36="Heavy Duty Truck",C36="Battery Electric"),'LCT - Heavy Duty'!$F$19,IF(AND(B36="Heavy Duty Truck",OR(C36="Natural Gas",C36="Propane")),'LCT - Heavy Duty'!$D$43,IF(AND(B36="Box Truck",C36="Gasoline"),'LCT - Light &amp; Light-Heavy Duty'!$C$19,IF(AND(B36="Box Truck",C36="Hybrid"),'LCT - Light &amp; Light-Heavy Duty'!$D$19,IF(AND(B36="Box Truck",C36="Plug-in Hybrid"),'LCT - Light &amp; Light-Heavy Duty'!$E$19,IF(AND(B36="Box Truck",C36="Battery Electric"),'LCT - Light &amp; Light-Heavy Duty'!$F$19,IF(AND(B36="Box Truck",C36="Fuel Cell Electric"),'LCT - Light &amp; Light-Heavy Duty'!$G$19,IF(AND(B36="Van",C36="Gasoline"),'LCT - Light &amp; Light-Heavy Duty'!$C$14,IF(AND(B36="Van",C36="Hybrid"),'LCT - Light &amp; Light-Heavy Duty'!$D$14,IF(AND(B36="Van",C36="Plug-in Hybrid"),'LCT - Light &amp; Light-Heavy Duty'!$E$14,IF(AND(B36="Van",'Interim Water Delivery Inputs'!F43="Battery Electric"),'LCT - Light &amp; Light-Heavy Duty'!$F$14,IF(AND(B36="Van",C36="Fuel Cell Electric"),'LCT - Light &amp; Light-Heavy Duty'!$G$14,IF(AND(B36="Sedan",C36="Gasoline"),'LCT - Light &amp; Light-Heavy Duty'!$C$27,IF(AND(B36="Sedan",C36="Hybrid"),'LCT - Light &amp; Light-Heavy Duty'!$D$27,IF(AND(B36="Sedan",C36="Plug-in Hybrid"),'LCT - Light &amp; Light-Heavy Duty'!$D$27,IF(AND(B36="Sedan",'Interim Water Delivery Inputs'!F43="Battery Electric"),'LCT - Light &amp; Light-Heavy Duty'!$E$27,IF(AND(B36="Sedan",C36="Fuel Cell Electric"),'LCT - Light &amp; Light-Heavy Duty'!$F$27,""))))))))))))))))))</f>
        <v/>
      </c>
      <c r="T36" s="174" t="str">
        <f>IFERROR(((Table7[[#This Row],[Diesel PM Emission Factor
(g/mi)]]*Table7[[#This Row],[Total Annual VMT 
(Miles/Year)]])*1/454),"")</f>
        <v/>
      </c>
      <c r="U36" s="186" t="str">
        <f>IFERROR((Table7[[#This Row],[Annual Diesel PM Emissions 
(lbs/year)]]*Table7[[#This Row],[Project Life
(Years)]]),"")</f>
        <v/>
      </c>
      <c r="V36" s="186" t="str">
        <f>IF(Table7[[#This Row],[Fuel Type]]="Diesel",Defaults!$C$42,IF(Table7[[#This Row],[Fuel Type]]="Natural Gas",Defaults!$C$42*'Fuel-Specific GHG'!C63,IF(Table7[[#This Row],[Fuel Type]]="Propane",Defaults!$C$42*'Fuel-Specific GHG'!C63,IF(AND(Table7[[#This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6"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6" s="583">
        <f>IF(OR(Table7[[#This Row],[Fuel Type]]="Diesel",Table7[[#This Row],[Fuel Type]]="Gasoline",Table7[[#This Row],[Fuel Type]]="Hybrid",Table7[[#This Row],[Fuel Type]]="Plug-in Hybrid",Table7[[#This Row],[Fuel Type]]="Natural Gas",Table7[[#This Row],[Fuel Type]]="Propane"),Table7[[#This Row],[Fuel Use 
(gal, Kwh, or kg)]],0)</f>
        <v>0</v>
      </c>
      <c r="Y36"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6" s="26">
        <f>IF(B36=0,0,IF('Project Info'!$C$33="",2023,YEAR('Project Info'!$C$33)))</f>
        <v>0</v>
      </c>
      <c r="AA36" s="193">
        <f>'Interim Water Delivery Inputs'!N43*Table7[[#This Row],[Project Life
(Years)]]</f>
        <v>0</v>
      </c>
      <c r="AB36" s="193">
        <f>Table7[[#This Row],[Column2]]*Defaults!$C$59*12</f>
        <v>0</v>
      </c>
      <c r="AC36" s="193">
        <f>Table7[[#This Row],[Column3]]*Defaults!$C$58</f>
        <v>0</v>
      </c>
      <c r="AD36" s="193">
        <f>IF(B36=0,0,Table7[[#This Row],[Column4]]*VLOOKUP(Table7[[#This Row],[Column1]],'Passenger Auto C&amp;T'!$B$45:$D$80,3,FALSE))</f>
        <v>0</v>
      </c>
      <c r="AE36" s="589">
        <f>Table7[[#This Row],[Column42]]*'Fuel Prices'!$C$11</f>
        <v>0</v>
      </c>
      <c r="AF36" s="590">
        <f>IF(B36=0,0,VLOOKUP(Table7[[#This Row],[Column1]],'Passenger Auto GHG'!$B$46:$D$81,3,FALSE))</f>
        <v>0</v>
      </c>
      <c r="AG36" s="591">
        <f>Table7[[#This Row],[Column5]]*Table7[[#This Row],[Column4]]/1000000</f>
        <v>0</v>
      </c>
      <c r="AH36" s="592">
        <f>IF(B36=0,0,VLOOKUP(Table7[[#This Row],[Column1]],'Passenger Auto C&amp;T'!$B$45:$L$80,4,FALSE))</f>
        <v>0</v>
      </c>
      <c r="AI36" s="593">
        <f>IF(B36=0,0,VLOOKUP(Table7[[#This Row],[Column1]],'Passenger Auto C&amp;T'!$B$45:$L$80,5,FALSE))</f>
        <v>0</v>
      </c>
      <c r="AJ36" s="593">
        <f>IF(B36=0,0,SUM(VLOOKUP(Table7[[#This Row],[Column1]],'Passenger Auto C&amp;T'!$B$45:$L$80,6,FALSE),VLOOKUP(Table7[[#This Row],[Column1]],'Passenger Auto C&amp;T'!$B$45:$L$80,7,FALSE),VLOOKUP(Table7[[#This Row],[Column1]],'Passenger Auto C&amp;T'!$B$45:$L$80,8,FALSE)))</f>
        <v>0</v>
      </c>
      <c r="AK36" s="594">
        <f>IF(B36=0,0,VLOOKUP(Table7[[#This Row],[Column1]],'Passenger Auto C&amp;T'!$B$45:$L$80,10,FALSE))</f>
        <v>0</v>
      </c>
      <c r="AL36" s="592">
        <f>Table7[[#This Row],[Column4]]*Table7[[#This Row],[Column7]]*0.00220462</f>
        <v>0</v>
      </c>
      <c r="AM36" s="593">
        <f>Table7[[#This Row],[Column4]]*Table7[[#This Row],[Column8]]*0.00220462</f>
        <v>0</v>
      </c>
      <c r="AN36" s="593">
        <f>Table7[[#This Row],[Column4]]*Table7[[#This Row],[Column9]]*0.00220462</f>
        <v>0</v>
      </c>
      <c r="AO36" s="595">
        <f>Table7[[#This Row],[Column4]]*Table7[[#This Row],[Column10]]*0.00220462</f>
        <v>0</v>
      </c>
      <c r="AP36" s="592">
        <f>IF(B36=0,0,Table7[[#This Row],[Column6]]-Table7[[#This Row],[Total Transportation GHG Emissions 
(MTCO2e)]])</f>
        <v>0</v>
      </c>
      <c r="AQ36" s="593">
        <f>IF(B36=0,0,Table7[[#This Row],[Column11]]-Table7[[#This Row],[Total ROG Emissions 
(lbs)]])</f>
        <v>0</v>
      </c>
      <c r="AR36" s="593">
        <f>IF(B36=0,0,Table7[[#This Row],[Column12]]-Table7[[#This Row],[Total NOx Emissions 
(lbs)]])</f>
        <v>0</v>
      </c>
      <c r="AS36" s="593">
        <f>IF(B36=0,0,Table7[[#This Row],[Column13]]-Table7[[#This Row],[Total PM2.5 Emissions 
(lbs)]])</f>
        <v>0</v>
      </c>
      <c r="AT36" s="596">
        <f>IF(B36=0,0,Table7[[#This Row],[Column14]]-Table7[[#This Row],[Total Diesel PM Emissions 
(lbs)]])</f>
        <v>0</v>
      </c>
      <c r="AU36" s="588">
        <f>IF(B36=0,0,Table7[[#This Row],[Column42]]-Table7[[#This Row],[Fuel Use 
(gal)]])</f>
        <v>0</v>
      </c>
      <c r="AV36" s="597">
        <f>IF(B36=0,0,Table7[[#This Row],[Column43]]-Table7[[#This Row],[Fuel Cost ($)]])</f>
        <v>0</v>
      </c>
    </row>
    <row r="37" spans="2:48" s="2" customFormat="1" ht="15.5" x14ac:dyDescent="0.35">
      <c r="B37" s="588">
        <f>'Interim Water Delivery Inputs'!D44</f>
        <v>0</v>
      </c>
      <c r="C37" s="580">
        <f>'Interim Water Delivery Inputs'!F44</f>
        <v>0</v>
      </c>
      <c r="D37" s="580">
        <f>'Interim Water Delivery Inputs'!H44</f>
        <v>0</v>
      </c>
      <c r="E37" s="581">
        <f>IF('Interim Water Delivery Inputs'!B44="",0,(IF('Interim Water Delivery Inputs'!J44="",(Defaults!$H$15*Table7[[#This Row],[Number of Identical Vehicles]]),'Interim Water Delivery Inputs'!J44)))</f>
        <v>0</v>
      </c>
      <c r="F37" s="581">
        <f>'Interim Water Delivery Inputs'!L44</f>
        <v>0</v>
      </c>
      <c r="G37" s="582" t="str">
        <f>IF(AND(B37="Heavy Duty Truck",C37="Diesel"),'LCT - Heavy Duty'!$C$15,IF(AND(B37="Heavy Duty Truck",C37="Battery Electric"),'LCT - Heavy Duty'!$F$15,IF(AND(B37="Heavy Duty Truck",OR(C37="Natural Gas",C37="Propane")),'LCT - Heavy Duty'!$D$39,IF(AND(B37="Box Truck",C37="Gasoline"),'LCT - Light &amp; Light-Heavy Duty'!$C$15,IF(AND(B37="Box Truck",C37="Hybrid"),'LCT - Light &amp; Light-Heavy Duty'!$D$15,IF(AND(B37="Box Truck",C37="Plug-in Hybrid"),'LCT - Light &amp; Light-Heavy Duty'!$E$15,IF(AND(B37="Box Truck",C37="Battery Electric"),'LCT - Light &amp; Light-Heavy Duty'!$F$15,IF(AND(B37="Box Truck",C37="Fuel Cell Electric"),'LCT - Light &amp; Light-Heavy Duty'!$G$15,IF(AND(B37="Van",C37="Gasoline"),'LCT - Light &amp; Light-Heavy Duty'!$C$10,IF(AND(B37="Van",C37="Hybrid"),'LCT - Light &amp; Light-Heavy Duty'!$D$10,IF(AND(B37="Van",C37="Plug-in Hybrid"),'LCT - Light &amp; Light-Heavy Duty'!$E$10,IF(AND(B37="Van",'Interim Water Delivery Inputs'!F44="Battery Electric"),'LCT - Light &amp; Light-Heavy Duty'!$F$10,IF(AND(B37="Van",C37="Fuel Cell Electric"),'LCT - Light &amp; Light-Heavy Duty'!$G$10,IF(AND(B37="Sedan",C37="Gasoline"),'LCT - Light &amp; Light-Heavy Duty'!$C$23,IF(AND(B37="Sedan",C37="Hybrid"),'LCT - Light &amp; Light-Heavy Duty'!$D$23,IF(AND(B37="Sedan",C37="Plug-in Hybrid"),'LCT - Light &amp; Light-Heavy Duty'!$D$23,IF(AND(B37="Sedan",'Interim Water Delivery Inputs'!F44="Battery Electric"),'LCT - Light &amp; Light-Heavy Duty'!$E$23,IF(AND(B37="Sedan",C37="Fuel Cell Electric"),'LCT - Light &amp; Light-Heavy Duty'!$F$23,""))))))))))))))))))</f>
        <v/>
      </c>
      <c r="H37" s="582" t="str">
        <f>IFERROR(((Table7[[#This Row],[GHG Emission Factor 
(g CO2e/mi)]]*Table7[[#This Row],[Total Annual VMT 
(Miles/Year)]])*1/1000000),"")</f>
        <v/>
      </c>
      <c r="I37" s="582" t="str">
        <f>IFERROR(Table7[[#This Row],[Annual Transportation GHG Emissions 
(MTCO2e/Year)]]*Table7[[#This Row],[Project Life
(Years)]],"")</f>
        <v/>
      </c>
      <c r="J37" s="582" t="str">
        <f>IF(AND(B37="Heavy Duty Truck",C37="Diesel"),'LCT - Heavy Duty'!$C$16,IF(AND(B37="Heavy Duty Truck",C37="Battery Electric"),'LCT - Heavy Duty'!$F$16,IF(AND(B37="Heavy Duty Truck",OR(C37="Natural Gas",C37="Propane")),'LCT - Heavy Duty'!$D$40,IF(AND(B37="Box Truck",C37="Gasoline"),'LCT - Light &amp; Light-Heavy Duty'!$C$16,IF(AND(B37="Box Truck",C37="Hybrid"),'LCT - Light &amp; Light-Heavy Duty'!$D$16,IF(AND(B37="Box Truck",C37="Plug-in Hybrid"),'LCT - Light &amp; Light-Heavy Duty'!$E$16,IF(AND(B37="Box Truck",C37="Battery Electric"),'LCT - Light &amp; Light-Heavy Duty'!$F$16,IF(AND(B37="Box Truck",C37="Fuel Cell Electric"),'LCT - Light &amp; Light-Heavy Duty'!$G$16,IF(AND(B37="Van",C37="Gasoline"),'LCT - Light &amp; Light-Heavy Duty'!$C$11,IF(AND(B37="Van",C37="Hybrid"),'LCT - Light &amp; Light-Heavy Duty'!$D$11,IF(AND(B37="Van",C37="Plug-in Hybrid"),'LCT - Light &amp; Light-Heavy Duty'!$E$11,IF(AND(B37="Van",'Interim Water Delivery Inputs'!F44="Battery Electric"),'LCT - Light &amp; Light-Heavy Duty'!$F$11,IF(AND(B37="Van",C37="Fuel Cell Electric"),'LCT - Light &amp; Light-Heavy Duty'!$G$11,IF(AND(B37="Sedan",C37="Gasoline"),'LCT - Light &amp; Light-Heavy Duty'!$C$24,IF(AND(B37="Sedan",C37="Hybrid"),'LCT - Light &amp; Light-Heavy Duty'!$D$24,IF(AND(B37="Sedan",C37="Plug-in Hybrid"),'LCT - Light &amp; Light-Heavy Duty'!$D$24,IF(AND(B37="Sedan",'Interim Water Delivery Inputs'!F44="Battery Electric"),'LCT - Light &amp; Light-Heavy Duty'!$E$24,IF(AND(B37="Sedan",C37="Fuel Cell Electric"),'LCT - Light &amp; Light-Heavy Duty'!$F$24,""))))))))))))))))))</f>
        <v/>
      </c>
      <c r="K37" s="582" t="str">
        <f>IFERROR(((Table7[[#This Row],[ROG Emission Factor
(g/mi)]]*Table7[[#This Row],[Total Annual VMT 
(Miles/Year)]])*1/454),"")</f>
        <v/>
      </c>
      <c r="L37" s="174" t="str">
        <f>IFERROR((Table7[[#This Row],[Annual ROG Emissions 
(lbs/year)]]*Table7[[#This Row],[Project Life
(Years)]]),"")</f>
        <v/>
      </c>
      <c r="M37" s="582" t="str">
        <f>IF(AND(B37="Heavy Duty Truck",C37="Diesel"),'LCT - Heavy Duty'!$C$17,IF(AND(B37="Heavy Duty Truck",C37="Battery Electric"),'LCT - Heavy Duty'!$F$17,IF(AND(B37="Heavy Duty Truck",OR(C37="Natural Gas",C37="Propane")),'LCT - Heavy Duty'!$D$41,IF(AND(B37="Box Truck",C37="Gasoline"),'LCT - Light &amp; Light-Heavy Duty'!$C$17,IF(AND(B37="Box Truck",C37="Hybrid"),'LCT - Light &amp; Light-Heavy Duty'!$D$17,IF(AND(B37="Box Truck",C37="Plug-in Hybrid"),'LCT - Light &amp; Light-Heavy Duty'!$E$17,IF(AND(B37="Box Truck",C37="Battery Electric"),'LCT - Light &amp; Light-Heavy Duty'!$F$17,IF(AND(B37="Box Truck",C37="Fuel Cell Electric"),'LCT - Light &amp; Light-Heavy Duty'!$G$17,IF(AND(B37="Van",C37="Gasoline"),'LCT - Light &amp; Light-Heavy Duty'!$C$12,IF(AND(B37="Van",C37="Hybrid"),'LCT - Light &amp; Light-Heavy Duty'!$D$12,IF(AND(B37="Van",C37="Plug-in Hybrid"),'LCT - Light &amp; Light-Heavy Duty'!$E$12,IF(AND(B37="Van",'Interim Water Delivery Inputs'!F44="Battery Electric"),'LCT - Light &amp; Light-Heavy Duty'!$F$12,IF(AND(B37="Van",C37="Fuel Cell Electric"),'LCT - Light &amp; Light-Heavy Duty'!$G$12,IF(AND(B37="Sedan",C37="Gasoline"),'LCT - Light &amp; Light-Heavy Duty'!$C$25,IF(AND(B37="Sedan",C37="Hybrid"),'LCT - Light &amp; Light-Heavy Duty'!$D$25,IF(AND(B37="Sedan",C37="Plug-in Hybrid"),'LCT - Light &amp; Light-Heavy Duty'!$D$25,IF(AND(B37="Sedan",'Interim Water Delivery Inputs'!F44="Battery Electric"),'LCT - Light &amp; Light-Heavy Duty'!$E$25,IF(AND(B37="Sedan",C37="Fuel Cell Electric"),'LCT - Light &amp; Light-Heavy Duty'!$F$25,""))))))))))))))))))</f>
        <v/>
      </c>
      <c r="N37" s="174" t="str">
        <f>IFERROR(((Table7[[#This Row],[NOx Emission Factor
(g/mi)]]*Table7[[#This Row],[Total Annual VMT 
(Miles/Year)]])*1/454),"")</f>
        <v/>
      </c>
      <c r="O37" s="174" t="str">
        <f>IFERROR((Table7[[#This Row],[Annual NOx Emissions 
(lbs/year)]]*Table7[[#This Row],[Project Life
(Years)]]),"")</f>
        <v/>
      </c>
      <c r="P37" s="174" t="str">
        <f>IF(AND(B37="Heavy Duty Truck",C37="Diesel"),'LCT - Heavy Duty'!$C$18,IF(AND(B37="Heavy Duty Truck",C37="Battery Electric"),'LCT - Heavy Duty'!$F$18,IF(AND(B37="Heavy Duty Truck",OR(C37="Natural Gas",C37="Propane")),'LCT - Heavy Duty'!$D$42,IF(AND(B37="Box Truck",C37="Gasoline"),'LCT - Light &amp; Light-Heavy Duty'!$C$18,IF(AND(B37="Box Truck",C37="Hybrid"),'LCT - Light &amp; Light-Heavy Duty'!$D$18,IF(AND(B37="Box Truck",C37="Plug-in Hybrid"),'LCT - Light &amp; Light-Heavy Duty'!$E$18,IF(AND(B37="Box Truck",C37="Battery Electric"),'LCT - Light &amp; Light-Heavy Duty'!$F$18,IF(AND(B37="Box Truck",C37="Fuel Cell Electric"),'LCT - Light &amp; Light-Heavy Duty'!$G$18,IF(AND(B37="Van",C37="Gasoline"),'LCT - Light &amp; Light-Heavy Duty'!$C$13,IF(AND(B37="Van",C37="Hybrid"),'LCT - Light &amp; Light-Heavy Duty'!$D$13,IF(AND(B37="Van",C37="Plug-in Hybrid"),'LCT - Light &amp; Light-Heavy Duty'!$E$13,IF(AND(B37="Van",'Interim Water Delivery Inputs'!F44="Battery Electric"),'LCT - Light &amp; Light-Heavy Duty'!$F$13,IF(AND(B37="Van",C37="Fuel Cell Electric"),'LCT - Light &amp; Light-Heavy Duty'!$G$13,IF(AND(B37="Sedan",C37="Gasoline"),'LCT - Light &amp; Light-Heavy Duty'!$C$26,IF(AND(B37="Sedan",C37="Hybrid"),'LCT - Light &amp; Light-Heavy Duty'!$D$26,IF(AND(B37="Sedan",C37="Plug-in Hybrid"),'LCT - Light &amp; Light-Heavy Duty'!$D$26,IF(AND(B37="Sedan",'Interim Water Delivery Inputs'!F44="Battery Electric"),'LCT - Light &amp; Light-Heavy Duty'!$E$26,IF(AND(B37="Sedan",C37="Fuel Cell Electric"),'LCT - Light &amp; Light-Heavy Duty'!$F$26,""))))))))))))))))))</f>
        <v/>
      </c>
      <c r="Q37" s="174" t="str">
        <f>IFERROR(((Table7[[#This Row],[PM2.5 Emission Factor
(g/mi)]]*Table7[[#This Row],[Total Annual VMT 
(Miles/Year)]])*1/454),"")</f>
        <v/>
      </c>
      <c r="R37" s="174" t="str">
        <f>IFERROR((Table7[[#This Row],[Annual PM2.5 Emissions 
(lbs/year)]]*Table7[[#This Row],[Project Life
(Years)]]),"")</f>
        <v/>
      </c>
      <c r="S37" s="174" t="str">
        <f>IF(AND(B37="Heavy Duty Truck",C37="Diesel"),'LCT - Heavy Duty'!$C$19,IF(AND(B37="Heavy Duty Truck",C37="Battery Electric"),'LCT - Heavy Duty'!$F$19,IF(AND(B37="Heavy Duty Truck",OR(C37="Natural Gas",C37="Propane")),'LCT - Heavy Duty'!$D$43,IF(AND(B37="Box Truck",C37="Gasoline"),'LCT - Light &amp; Light-Heavy Duty'!$C$19,IF(AND(B37="Box Truck",C37="Hybrid"),'LCT - Light &amp; Light-Heavy Duty'!$D$19,IF(AND(B37="Box Truck",C37="Plug-in Hybrid"),'LCT - Light &amp; Light-Heavy Duty'!$E$19,IF(AND(B37="Box Truck",C37="Battery Electric"),'LCT - Light &amp; Light-Heavy Duty'!$F$19,IF(AND(B37="Box Truck",C37="Fuel Cell Electric"),'LCT - Light &amp; Light-Heavy Duty'!$G$19,IF(AND(B37="Van",C37="Gasoline"),'LCT - Light &amp; Light-Heavy Duty'!$C$14,IF(AND(B37="Van",C37="Hybrid"),'LCT - Light &amp; Light-Heavy Duty'!$D$14,IF(AND(B37="Van",C37="Plug-in Hybrid"),'LCT - Light &amp; Light-Heavy Duty'!$E$14,IF(AND(B37="Van",'Interim Water Delivery Inputs'!F44="Battery Electric"),'LCT - Light &amp; Light-Heavy Duty'!$F$14,IF(AND(B37="Van",C37="Fuel Cell Electric"),'LCT - Light &amp; Light-Heavy Duty'!$G$14,IF(AND(B37="Sedan",C37="Gasoline"),'LCT - Light &amp; Light-Heavy Duty'!$C$27,IF(AND(B37="Sedan",C37="Hybrid"),'LCT - Light &amp; Light-Heavy Duty'!$D$27,IF(AND(B37="Sedan",C37="Plug-in Hybrid"),'LCT - Light &amp; Light-Heavy Duty'!$D$27,IF(AND(B37="Sedan",'Interim Water Delivery Inputs'!F44="Battery Electric"),'LCT - Light &amp; Light-Heavy Duty'!$E$27,IF(AND(B37="Sedan",C37="Fuel Cell Electric"),'LCT - Light &amp; Light-Heavy Duty'!$F$27,""))))))))))))))))))</f>
        <v/>
      </c>
      <c r="T37" s="174" t="str">
        <f>IFERROR(((Table7[[#This Row],[Diesel PM Emission Factor
(g/mi)]]*Table7[[#This Row],[Total Annual VMT 
(Miles/Year)]])*1/454),"")</f>
        <v/>
      </c>
      <c r="U37" s="186" t="str">
        <f>IFERROR((Table7[[#This Row],[Annual Diesel PM Emissions 
(lbs/year)]]*Table7[[#This Row],[Project Life
(Years)]]),"")</f>
        <v/>
      </c>
      <c r="V37" s="186" t="str">
        <f>IF(Table7[[#This Row],[Fuel Type]]="Diesel",Defaults!$C$42,IF(Table7[[#This Row],[Fuel Type]]="Natural Gas",Defaults!$C$42*'Fuel-Specific GHG'!C64,IF(Table7[[#This Row],[Fuel Type]]="Propane",Defaults!$C$42*'Fuel-Specific GHG'!C64,IF(AND(Table7[[#This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7"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7" s="583">
        <f>IF(OR(Table7[[#This Row],[Fuel Type]]="Diesel",Table7[[#This Row],[Fuel Type]]="Gasoline",Table7[[#This Row],[Fuel Type]]="Hybrid",Table7[[#This Row],[Fuel Type]]="Plug-in Hybrid",Table7[[#This Row],[Fuel Type]]="Natural Gas",Table7[[#This Row],[Fuel Type]]="Propane"),Table7[[#This Row],[Fuel Use 
(gal, Kwh, or kg)]],0)</f>
        <v>0</v>
      </c>
      <c r="Y37"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7" s="26">
        <f>IF(B37=0,0,IF('Project Info'!$C$33="",2023,YEAR('Project Info'!$C$33)))</f>
        <v>0</v>
      </c>
      <c r="AA37" s="193">
        <f>'Interim Water Delivery Inputs'!N44*Table7[[#This Row],[Project Life
(Years)]]</f>
        <v>0</v>
      </c>
      <c r="AB37" s="193">
        <f>Table7[[#This Row],[Column2]]*Defaults!$C$59*12</f>
        <v>0</v>
      </c>
      <c r="AC37" s="193">
        <f>Table7[[#This Row],[Column3]]*Defaults!$C$58</f>
        <v>0</v>
      </c>
      <c r="AD37" s="193">
        <f>IF(B37=0,0,Table7[[#This Row],[Column4]]*VLOOKUP(Table7[[#This Row],[Column1]],'Passenger Auto C&amp;T'!$B$45:$D$80,3,FALSE))</f>
        <v>0</v>
      </c>
      <c r="AE37" s="589">
        <f>Table7[[#This Row],[Column42]]*'Fuel Prices'!$C$11</f>
        <v>0</v>
      </c>
      <c r="AF37" s="590">
        <f>IF(B37=0,0,VLOOKUP(Table7[[#This Row],[Column1]],'Passenger Auto GHG'!$B$46:$D$81,3,FALSE))</f>
        <v>0</v>
      </c>
      <c r="AG37" s="591">
        <f>Table7[[#This Row],[Column5]]*Table7[[#This Row],[Column4]]/1000000</f>
        <v>0</v>
      </c>
      <c r="AH37" s="592">
        <f>IF(B37=0,0,VLOOKUP(Table7[[#This Row],[Column1]],'Passenger Auto C&amp;T'!$B$45:$L$80,4,FALSE))</f>
        <v>0</v>
      </c>
      <c r="AI37" s="593">
        <f>IF(B37=0,0,VLOOKUP(Table7[[#This Row],[Column1]],'Passenger Auto C&amp;T'!$B$45:$L$80,5,FALSE))</f>
        <v>0</v>
      </c>
      <c r="AJ37" s="593">
        <f>IF(B37=0,0,SUM(VLOOKUP(Table7[[#This Row],[Column1]],'Passenger Auto C&amp;T'!$B$45:$L$80,6,FALSE),VLOOKUP(Table7[[#This Row],[Column1]],'Passenger Auto C&amp;T'!$B$45:$L$80,7,FALSE),VLOOKUP(Table7[[#This Row],[Column1]],'Passenger Auto C&amp;T'!$B$45:$L$80,8,FALSE)))</f>
        <v>0</v>
      </c>
      <c r="AK37" s="594">
        <f>IF(B37=0,0,VLOOKUP(Table7[[#This Row],[Column1]],'Passenger Auto C&amp;T'!$B$45:$L$80,10,FALSE))</f>
        <v>0</v>
      </c>
      <c r="AL37" s="592">
        <f>Table7[[#This Row],[Column4]]*Table7[[#This Row],[Column7]]*0.00220462</f>
        <v>0</v>
      </c>
      <c r="AM37" s="593">
        <f>Table7[[#This Row],[Column4]]*Table7[[#This Row],[Column8]]*0.00220462</f>
        <v>0</v>
      </c>
      <c r="AN37" s="593">
        <f>Table7[[#This Row],[Column4]]*Table7[[#This Row],[Column9]]*0.00220462</f>
        <v>0</v>
      </c>
      <c r="AO37" s="595">
        <f>Table7[[#This Row],[Column4]]*Table7[[#This Row],[Column10]]*0.00220462</f>
        <v>0</v>
      </c>
      <c r="AP37" s="592">
        <f>IF(B37=0,0,Table7[[#This Row],[Column6]]-Table7[[#This Row],[Total Transportation GHG Emissions 
(MTCO2e)]])</f>
        <v>0</v>
      </c>
      <c r="AQ37" s="593">
        <f>IF(B37=0,0,Table7[[#This Row],[Column11]]-Table7[[#This Row],[Total ROG Emissions 
(lbs)]])</f>
        <v>0</v>
      </c>
      <c r="AR37" s="593">
        <f>IF(B37=0,0,Table7[[#This Row],[Column12]]-Table7[[#This Row],[Total NOx Emissions 
(lbs)]])</f>
        <v>0</v>
      </c>
      <c r="AS37" s="593">
        <f>IF(B37=0,0,Table7[[#This Row],[Column13]]-Table7[[#This Row],[Total PM2.5 Emissions 
(lbs)]])</f>
        <v>0</v>
      </c>
      <c r="AT37" s="596">
        <f>IF(B37=0,0,Table7[[#This Row],[Column14]]-Table7[[#This Row],[Total Diesel PM Emissions 
(lbs)]])</f>
        <v>0</v>
      </c>
      <c r="AU37" s="588">
        <f>IF(B37=0,0,Table7[[#This Row],[Column42]]-Table7[[#This Row],[Fuel Use 
(gal)]])</f>
        <v>0</v>
      </c>
      <c r="AV37" s="597">
        <f>IF(B37=0,0,Table7[[#This Row],[Column43]]-Table7[[#This Row],[Fuel Cost ($)]])</f>
        <v>0</v>
      </c>
    </row>
    <row r="38" spans="2:48" s="2" customFormat="1" ht="15.5" x14ac:dyDescent="0.35">
      <c r="B38" s="588">
        <f>'Interim Water Delivery Inputs'!D45</f>
        <v>0</v>
      </c>
      <c r="C38" s="580">
        <f>'Interim Water Delivery Inputs'!F45</f>
        <v>0</v>
      </c>
      <c r="D38" s="580">
        <f>'Interim Water Delivery Inputs'!H45</f>
        <v>0</v>
      </c>
      <c r="E38" s="581">
        <f>IF('Interim Water Delivery Inputs'!B45="",0,(IF('Interim Water Delivery Inputs'!J45="",(Defaults!$H$15*Table7[[#This Row],[Number of Identical Vehicles]]),'Interim Water Delivery Inputs'!J45)))</f>
        <v>0</v>
      </c>
      <c r="F38" s="581">
        <f>'Interim Water Delivery Inputs'!L45</f>
        <v>0</v>
      </c>
      <c r="G38" s="582" t="str">
        <f>IF(AND(B38="Heavy Duty Truck",C38="Diesel"),'LCT - Heavy Duty'!$C$15,IF(AND(B38="Heavy Duty Truck",C38="Battery Electric"),'LCT - Heavy Duty'!$F$15,IF(AND(B38="Heavy Duty Truck",OR(C38="Natural Gas",C38="Propane")),'LCT - Heavy Duty'!$D$39,IF(AND(B38="Box Truck",C38="Gasoline"),'LCT - Light &amp; Light-Heavy Duty'!$C$15,IF(AND(B38="Box Truck",C38="Hybrid"),'LCT - Light &amp; Light-Heavy Duty'!$D$15,IF(AND(B38="Box Truck",C38="Plug-in Hybrid"),'LCT - Light &amp; Light-Heavy Duty'!$E$15,IF(AND(B38="Box Truck",C38="Battery Electric"),'LCT - Light &amp; Light-Heavy Duty'!$F$15,IF(AND(B38="Box Truck",C38="Fuel Cell Electric"),'LCT - Light &amp; Light-Heavy Duty'!$G$15,IF(AND(B38="Van",C38="Gasoline"),'LCT - Light &amp; Light-Heavy Duty'!$C$10,IF(AND(B38="Van",C38="Hybrid"),'LCT - Light &amp; Light-Heavy Duty'!$D$10,IF(AND(B38="Van",C38="Plug-in Hybrid"),'LCT - Light &amp; Light-Heavy Duty'!$E$10,IF(AND(B38="Van",'Interim Water Delivery Inputs'!F45="Battery Electric"),'LCT - Light &amp; Light-Heavy Duty'!$F$10,IF(AND(B38="Van",C38="Fuel Cell Electric"),'LCT - Light &amp; Light-Heavy Duty'!$G$10,IF(AND(B38="Sedan",C38="Gasoline"),'LCT - Light &amp; Light-Heavy Duty'!$C$23,IF(AND(B38="Sedan",C38="Hybrid"),'LCT - Light &amp; Light-Heavy Duty'!$D$23,IF(AND(B38="Sedan",C38="Plug-in Hybrid"),'LCT - Light &amp; Light-Heavy Duty'!$D$23,IF(AND(B38="Sedan",'Interim Water Delivery Inputs'!F45="Battery Electric"),'LCT - Light &amp; Light-Heavy Duty'!$E$23,IF(AND(B38="Sedan",C38="Fuel Cell Electric"),'LCT - Light &amp; Light-Heavy Duty'!$F$23,""))))))))))))))))))</f>
        <v/>
      </c>
      <c r="H38" s="582" t="str">
        <f>IFERROR(((Table7[[#This Row],[GHG Emission Factor 
(g CO2e/mi)]]*Table7[[#This Row],[Total Annual VMT 
(Miles/Year)]])*1/1000000),"")</f>
        <v/>
      </c>
      <c r="I38" s="582" t="str">
        <f>IFERROR(Table7[[#This Row],[Annual Transportation GHG Emissions 
(MTCO2e/Year)]]*Table7[[#This Row],[Project Life
(Years)]],"")</f>
        <v/>
      </c>
      <c r="J38" s="582" t="str">
        <f>IF(AND(B38="Heavy Duty Truck",C38="Diesel"),'LCT - Heavy Duty'!$C$16,IF(AND(B38="Heavy Duty Truck",C38="Battery Electric"),'LCT - Heavy Duty'!$F$16,IF(AND(B38="Heavy Duty Truck",OR(C38="Natural Gas",C38="Propane")),'LCT - Heavy Duty'!$D$40,IF(AND(B38="Box Truck",C38="Gasoline"),'LCT - Light &amp; Light-Heavy Duty'!$C$16,IF(AND(B38="Box Truck",C38="Hybrid"),'LCT - Light &amp; Light-Heavy Duty'!$D$16,IF(AND(B38="Box Truck",C38="Plug-in Hybrid"),'LCT - Light &amp; Light-Heavy Duty'!$E$16,IF(AND(B38="Box Truck",C38="Battery Electric"),'LCT - Light &amp; Light-Heavy Duty'!$F$16,IF(AND(B38="Box Truck",C38="Fuel Cell Electric"),'LCT - Light &amp; Light-Heavy Duty'!$G$16,IF(AND(B38="Van",C38="Gasoline"),'LCT - Light &amp; Light-Heavy Duty'!$C$11,IF(AND(B38="Van",C38="Hybrid"),'LCT - Light &amp; Light-Heavy Duty'!$D$11,IF(AND(B38="Van",C38="Plug-in Hybrid"),'LCT - Light &amp; Light-Heavy Duty'!$E$11,IF(AND(B38="Van",'Interim Water Delivery Inputs'!F45="Battery Electric"),'LCT - Light &amp; Light-Heavy Duty'!$F$11,IF(AND(B38="Van",C38="Fuel Cell Electric"),'LCT - Light &amp; Light-Heavy Duty'!$G$11,IF(AND(B38="Sedan",C38="Gasoline"),'LCT - Light &amp; Light-Heavy Duty'!$C$24,IF(AND(B38="Sedan",C38="Hybrid"),'LCT - Light &amp; Light-Heavy Duty'!$D$24,IF(AND(B38="Sedan",C38="Plug-in Hybrid"),'LCT - Light &amp; Light-Heavy Duty'!$D$24,IF(AND(B38="Sedan",'Interim Water Delivery Inputs'!F45="Battery Electric"),'LCT - Light &amp; Light-Heavy Duty'!$E$24,IF(AND(B38="Sedan",C38="Fuel Cell Electric"),'LCT - Light &amp; Light-Heavy Duty'!$F$24,""))))))))))))))))))</f>
        <v/>
      </c>
      <c r="K38" s="582" t="str">
        <f>IFERROR(((Table7[[#This Row],[ROG Emission Factor
(g/mi)]]*Table7[[#This Row],[Total Annual VMT 
(Miles/Year)]])*1/454),"")</f>
        <v/>
      </c>
      <c r="L38" s="174" t="str">
        <f>IFERROR((Table7[[#This Row],[Annual ROG Emissions 
(lbs/year)]]*Table7[[#This Row],[Project Life
(Years)]]),"")</f>
        <v/>
      </c>
      <c r="M38" s="582" t="str">
        <f>IF(AND(B38="Heavy Duty Truck",C38="Diesel"),'LCT - Heavy Duty'!$C$17,IF(AND(B38="Heavy Duty Truck",C38="Battery Electric"),'LCT - Heavy Duty'!$F$17,IF(AND(B38="Heavy Duty Truck",OR(C38="Natural Gas",C38="Propane")),'LCT - Heavy Duty'!$D$41,IF(AND(B38="Box Truck",C38="Gasoline"),'LCT - Light &amp; Light-Heavy Duty'!$C$17,IF(AND(B38="Box Truck",C38="Hybrid"),'LCT - Light &amp; Light-Heavy Duty'!$D$17,IF(AND(B38="Box Truck",C38="Plug-in Hybrid"),'LCT - Light &amp; Light-Heavy Duty'!$E$17,IF(AND(B38="Box Truck",C38="Battery Electric"),'LCT - Light &amp; Light-Heavy Duty'!$F$17,IF(AND(B38="Box Truck",C38="Fuel Cell Electric"),'LCT - Light &amp; Light-Heavy Duty'!$G$17,IF(AND(B38="Van",C38="Gasoline"),'LCT - Light &amp; Light-Heavy Duty'!$C$12,IF(AND(B38="Van",C38="Hybrid"),'LCT - Light &amp; Light-Heavy Duty'!$D$12,IF(AND(B38="Van",C38="Plug-in Hybrid"),'LCT - Light &amp; Light-Heavy Duty'!$E$12,IF(AND(B38="Van",'Interim Water Delivery Inputs'!F45="Battery Electric"),'LCT - Light &amp; Light-Heavy Duty'!$F$12,IF(AND(B38="Van",C38="Fuel Cell Electric"),'LCT - Light &amp; Light-Heavy Duty'!$G$12,IF(AND(B38="Sedan",C38="Gasoline"),'LCT - Light &amp; Light-Heavy Duty'!$C$25,IF(AND(B38="Sedan",C38="Hybrid"),'LCT - Light &amp; Light-Heavy Duty'!$D$25,IF(AND(B38="Sedan",C38="Plug-in Hybrid"),'LCT - Light &amp; Light-Heavy Duty'!$D$25,IF(AND(B38="Sedan",'Interim Water Delivery Inputs'!F45="Battery Electric"),'LCT - Light &amp; Light-Heavy Duty'!$E$25,IF(AND(B38="Sedan",C38="Fuel Cell Electric"),'LCT - Light &amp; Light-Heavy Duty'!$F$25,""))))))))))))))))))</f>
        <v/>
      </c>
      <c r="N38" s="174" t="str">
        <f>IFERROR(((Table7[[#This Row],[NOx Emission Factor
(g/mi)]]*Table7[[#This Row],[Total Annual VMT 
(Miles/Year)]])*1/454),"")</f>
        <v/>
      </c>
      <c r="O38" s="174" t="str">
        <f>IFERROR((Table7[[#This Row],[Annual NOx Emissions 
(lbs/year)]]*Table7[[#This Row],[Project Life
(Years)]]),"")</f>
        <v/>
      </c>
      <c r="P38" s="174" t="str">
        <f>IF(AND(B38="Heavy Duty Truck",C38="Diesel"),'LCT - Heavy Duty'!$C$18,IF(AND(B38="Heavy Duty Truck",C38="Battery Electric"),'LCT - Heavy Duty'!$F$18,IF(AND(B38="Heavy Duty Truck",OR(C38="Natural Gas",C38="Propane")),'LCT - Heavy Duty'!$D$42,IF(AND(B38="Box Truck",C38="Gasoline"),'LCT - Light &amp; Light-Heavy Duty'!$C$18,IF(AND(B38="Box Truck",C38="Hybrid"),'LCT - Light &amp; Light-Heavy Duty'!$D$18,IF(AND(B38="Box Truck",C38="Plug-in Hybrid"),'LCT - Light &amp; Light-Heavy Duty'!$E$18,IF(AND(B38="Box Truck",C38="Battery Electric"),'LCT - Light &amp; Light-Heavy Duty'!$F$18,IF(AND(B38="Box Truck",C38="Fuel Cell Electric"),'LCT - Light &amp; Light-Heavy Duty'!$G$18,IF(AND(B38="Van",C38="Gasoline"),'LCT - Light &amp; Light-Heavy Duty'!$C$13,IF(AND(B38="Van",C38="Hybrid"),'LCT - Light &amp; Light-Heavy Duty'!$D$13,IF(AND(B38="Van",C38="Plug-in Hybrid"),'LCT - Light &amp; Light-Heavy Duty'!$E$13,IF(AND(B38="Van",'Interim Water Delivery Inputs'!F45="Battery Electric"),'LCT - Light &amp; Light-Heavy Duty'!$F$13,IF(AND(B38="Van",C38="Fuel Cell Electric"),'LCT - Light &amp; Light-Heavy Duty'!$G$13,IF(AND(B38="Sedan",C38="Gasoline"),'LCT - Light &amp; Light-Heavy Duty'!$C$26,IF(AND(B38="Sedan",C38="Hybrid"),'LCT - Light &amp; Light-Heavy Duty'!$D$26,IF(AND(B38="Sedan",C38="Plug-in Hybrid"),'LCT - Light &amp; Light-Heavy Duty'!$D$26,IF(AND(B38="Sedan",'Interim Water Delivery Inputs'!F45="Battery Electric"),'LCT - Light &amp; Light-Heavy Duty'!$E$26,IF(AND(B38="Sedan",C38="Fuel Cell Electric"),'LCT - Light &amp; Light-Heavy Duty'!$F$26,""))))))))))))))))))</f>
        <v/>
      </c>
      <c r="Q38" s="174" t="str">
        <f>IFERROR(((Table7[[#This Row],[PM2.5 Emission Factor
(g/mi)]]*Table7[[#This Row],[Total Annual VMT 
(Miles/Year)]])*1/454),"")</f>
        <v/>
      </c>
      <c r="R38" s="174" t="str">
        <f>IFERROR((Table7[[#This Row],[Annual PM2.5 Emissions 
(lbs/year)]]*Table7[[#This Row],[Project Life
(Years)]]),"")</f>
        <v/>
      </c>
      <c r="S38" s="174" t="str">
        <f>IF(AND(B38="Heavy Duty Truck",C38="Diesel"),'LCT - Heavy Duty'!$C$19,IF(AND(B38="Heavy Duty Truck",C38="Battery Electric"),'LCT - Heavy Duty'!$F$19,IF(AND(B38="Heavy Duty Truck",OR(C38="Natural Gas",C38="Propane")),'LCT - Heavy Duty'!$D$43,IF(AND(B38="Box Truck",C38="Gasoline"),'LCT - Light &amp; Light-Heavy Duty'!$C$19,IF(AND(B38="Box Truck",C38="Hybrid"),'LCT - Light &amp; Light-Heavy Duty'!$D$19,IF(AND(B38="Box Truck",C38="Plug-in Hybrid"),'LCT - Light &amp; Light-Heavy Duty'!$E$19,IF(AND(B38="Box Truck",C38="Battery Electric"),'LCT - Light &amp; Light-Heavy Duty'!$F$19,IF(AND(B38="Box Truck",C38="Fuel Cell Electric"),'LCT - Light &amp; Light-Heavy Duty'!$G$19,IF(AND(B38="Van",C38="Gasoline"),'LCT - Light &amp; Light-Heavy Duty'!$C$14,IF(AND(B38="Van",C38="Hybrid"),'LCT - Light &amp; Light-Heavy Duty'!$D$14,IF(AND(B38="Van",C38="Plug-in Hybrid"),'LCT - Light &amp; Light-Heavy Duty'!$E$14,IF(AND(B38="Van",'Interim Water Delivery Inputs'!F45="Battery Electric"),'LCT - Light &amp; Light-Heavy Duty'!$F$14,IF(AND(B38="Van",C38="Fuel Cell Electric"),'LCT - Light &amp; Light-Heavy Duty'!$G$14,IF(AND(B38="Sedan",C38="Gasoline"),'LCT - Light &amp; Light-Heavy Duty'!$C$27,IF(AND(B38="Sedan",C38="Hybrid"),'LCT - Light &amp; Light-Heavy Duty'!$D$27,IF(AND(B38="Sedan",C38="Plug-in Hybrid"),'LCT - Light &amp; Light-Heavy Duty'!$D$27,IF(AND(B38="Sedan",'Interim Water Delivery Inputs'!F45="Battery Electric"),'LCT - Light &amp; Light-Heavy Duty'!$E$27,IF(AND(B38="Sedan",C38="Fuel Cell Electric"),'LCT - Light &amp; Light-Heavy Duty'!$F$27,""))))))))))))))))))</f>
        <v/>
      </c>
      <c r="T38" s="174" t="str">
        <f>IFERROR(((Table7[[#This Row],[Diesel PM Emission Factor
(g/mi)]]*Table7[[#This Row],[Total Annual VMT 
(Miles/Year)]])*1/454),"")</f>
        <v/>
      </c>
      <c r="U38" s="186" t="str">
        <f>IFERROR((Table7[[#This Row],[Annual Diesel PM Emissions 
(lbs/year)]]*Table7[[#This Row],[Project Life
(Years)]]),"")</f>
        <v/>
      </c>
      <c r="V38" s="186" t="str">
        <f>IF(Table7[[#This Row],[Fuel Type]]="Diesel",Defaults!$C$42,IF(Table7[[#This Row],[Fuel Type]]="Natural Gas",Defaults!$C$42*'Fuel-Specific GHG'!C65,IF(Table7[[#This Row],[Fuel Type]]="Propane",Defaults!$C$42*'Fuel-Specific GHG'!C65,IF(AND(Table7[[#This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8"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8" s="583">
        <f>IF(OR(Table7[[#This Row],[Fuel Type]]="Diesel",Table7[[#This Row],[Fuel Type]]="Gasoline",Table7[[#This Row],[Fuel Type]]="Hybrid",Table7[[#This Row],[Fuel Type]]="Plug-in Hybrid",Table7[[#This Row],[Fuel Type]]="Natural Gas",Table7[[#This Row],[Fuel Type]]="Propane"),Table7[[#This Row],[Fuel Use 
(gal, Kwh, or kg)]],0)</f>
        <v>0</v>
      </c>
      <c r="Y38"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8" s="26">
        <f>IF(B38=0,0,IF('Project Info'!$C$33="",2023,YEAR('Project Info'!$C$33)))</f>
        <v>0</v>
      </c>
      <c r="AA38" s="193">
        <f>'Interim Water Delivery Inputs'!N45*Table7[[#This Row],[Project Life
(Years)]]</f>
        <v>0</v>
      </c>
      <c r="AB38" s="193">
        <f>Table7[[#This Row],[Column2]]*Defaults!$C$59*12</f>
        <v>0</v>
      </c>
      <c r="AC38" s="193">
        <f>Table7[[#This Row],[Column3]]*Defaults!$C$58</f>
        <v>0</v>
      </c>
      <c r="AD38" s="193">
        <f>IF(B38=0,0,Table7[[#This Row],[Column4]]*VLOOKUP(Table7[[#This Row],[Column1]],'Passenger Auto C&amp;T'!$B$45:$D$80,3,FALSE))</f>
        <v>0</v>
      </c>
      <c r="AE38" s="589">
        <f>Table7[[#This Row],[Column42]]*'Fuel Prices'!$C$11</f>
        <v>0</v>
      </c>
      <c r="AF38" s="590">
        <f>IF(B38=0,0,VLOOKUP(Table7[[#This Row],[Column1]],'Passenger Auto GHG'!$B$46:$D$81,3,FALSE))</f>
        <v>0</v>
      </c>
      <c r="AG38" s="591">
        <f>Table7[[#This Row],[Column5]]*Table7[[#This Row],[Column4]]/1000000</f>
        <v>0</v>
      </c>
      <c r="AH38" s="592">
        <f>IF(B38=0,0,VLOOKUP(Table7[[#This Row],[Column1]],'Passenger Auto C&amp;T'!$B$45:$L$80,4,FALSE))</f>
        <v>0</v>
      </c>
      <c r="AI38" s="593">
        <f>IF(B38=0,0,VLOOKUP(Table7[[#This Row],[Column1]],'Passenger Auto C&amp;T'!$B$45:$L$80,5,FALSE))</f>
        <v>0</v>
      </c>
      <c r="AJ38" s="593">
        <f>IF(B38=0,0,SUM(VLOOKUP(Table7[[#This Row],[Column1]],'Passenger Auto C&amp;T'!$B$45:$L$80,6,FALSE),VLOOKUP(Table7[[#This Row],[Column1]],'Passenger Auto C&amp;T'!$B$45:$L$80,7,FALSE),VLOOKUP(Table7[[#This Row],[Column1]],'Passenger Auto C&amp;T'!$B$45:$L$80,8,FALSE)))</f>
        <v>0</v>
      </c>
      <c r="AK38" s="594">
        <f>IF(B38=0,0,VLOOKUP(Table7[[#This Row],[Column1]],'Passenger Auto C&amp;T'!$B$45:$L$80,10,FALSE))</f>
        <v>0</v>
      </c>
      <c r="AL38" s="592">
        <f>Table7[[#This Row],[Column4]]*Table7[[#This Row],[Column7]]*0.00220462</f>
        <v>0</v>
      </c>
      <c r="AM38" s="593">
        <f>Table7[[#This Row],[Column4]]*Table7[[#This Row],[Column8]]*0.00220462</f>
        <v>0</v>
      </c>
      <c r="AN38" s="593">
        <f>Table7[[#This Row],[Column4]]*Table7[[#This Row],[Column9]]*0.00220462</f>
        <v>0</v>
      </c>
      <c r="AO38" s="595">
        <f>Table7[[#This Row],[Column4]]*Table7[[#This Row],[Column10]]*0.00220462</f>
        <v>0</v>
      </c>
      <c r="AP38" s="592">
        <f>IF(B38=0,0,Table7[[#This Row],[Column6]]-Table7[[#This Row],[Total Transportation GHG Emissions 
(MTCO2e)]])</f>
        <v>0</v>
      </c>
      <c r="AQ38" s="593">
        <f>IF(B38=0,0,Table7[[#This Row],[Column11]]-Table7[[#This Row],[Total ROG Emissions 
(lbs)]])</f>
        <v>0</v>
      </c>
      <c r="AR38" s="593">
        <f>IF(B38=0,0,Table7[[#This Row],[Column12]]-Table7[[#This Row],[Total NOx Emissions 
(lbs)]])</f>
        <v>0</v>
      </c>
      <c r="AS38" s="593">
        <f>IF(B38=0,0,Table7[[#This Row],[Column13]]-Table7[[#This Row],[Total PM2.5 Emissions 
(lbs)]])</f>
        <v>0</v>
      </c>
      <c r="AT38" s="596">
        <f>IF(B38=0,0,Table7[[#This Row],[Column14]]-Table7[[#This Row],[Total Diesel PM Emissions 
(lbs)]])</f>
        <v>0</v>
      </c>
      <c r="AU38" s="588">
        <f>IF(B38=0,0,Table7[[#This Row],[Column42]]-Table7[[#This Row],[Fuel Use 
(gal)]])</f>
        <v>0</v>
      </c>
      <c r="AV38" s="597">
        <f>IF(B38=0,0,Table7[[#This Row],[Column43]]-Table7[[#This Row],[Fuel Cost ($)]])</f>
        <v>0</v>
      </c>
    </row>
    <row r="39" spans="2:48" s="2" customFormat="1" ht="15.5" x14ac:dyDescent="0.35">
      <c r="B39" s="588">
        <f>'Interim Water Delivery Inputs'!D46</f>
        <v>0</v>
      </c>
      <c r="C39" s="580">
        <f>'Interim Water Delivery Inputs'!F46</f>
        <v>0</v>
      </c>
      <c r="D39" s="580">
        <f>'Interim Water Delivery Inputs'!H46</f>
        <v>0</v>
      </c>
      <c r="E39" s="581">
        <f>IF('Interim Water Delivery Inputs'!B46="",0,(IF('Interim Water Delivery Inputs'!J46="",(Defaults!$H$15*Table7[[#This Row],[Number of Identical Vehicles]]),'Interim Water Delivery Inputs'!J46)))</f>
        <v>0</v>
      </c>
      <c r="F39" s="581">
        <f>'Interim Water Delivery Inputs'!L46</f>
        <v>0</v>
      </c>
      <c r="G39" s="582" t="str">
        <f>IF(AND(B39="Heavy Duty Truck",C39="Diesel"),'LCT - Heavy Duty'!$C$15,IF(AND(B39="Heavy Duty Truck",C39="Battery Electric"),'LCT - Heavy Duty'!$F$15,IF(AND(B39="Heavy Duty Truck",OR(C39="Natural Gas",C39="Propane")),'LCT - Heavy Duty'!$D$39,IF(AND(B39="Box Truck",C39="Gasoline"),'LCT - Light &amp; Light-Heavy Duty'!$C$15,IF(AND(B39="Box Truck",C39="Hybrid"),'LCT - Light &amp; Light-Heavy Duty'!$D$15,IF(AND(B39="Box Truck",C39="Plug-in Hybrid"),'LCT - Light &amp; Light-Heavy Duty'!$E$15,IF(AND(B39="Box Truck",C39="Battery Electric"),'LCT - Light &amp; Light-Heavy Duty'!$F$15,IF(AND(B39="Box Truck",C39="Fuel Cell Electric"),'LCT - Light &amp; Light-Heavy Duty'!$G$15,IF(AND(B39="Van",C39="Gasoline"),'LCT - Light &amp; Light-Heavy Duty'!$C$10,IF(AND(B39="Van",C39="Hybrid"),'LCT - Light &amp; Light-Heavy Duty'!$D$10,IF(AND(B39="Van",C39="Plug-in Hybrid"),'LCT - Light &amp; Light-Heavy Duty'!$E$10,IF(AND(B39="Van",'Interim Water Delivery Inputs'!F46="Battery Electric"),'LCT - Light &amp; Light-Heavy Duty'!$F$10,IF(AND(B39="Van",C39="Fuel Cell Electric"),'LCT - Light &amp; Light-Heavy Duty'!$G$10,IF(AND(B39="Sedan",C39="Gasoline"),'LCT - Light &amp; Light-Heavy Duty'!$C$23,IF(AND(B39="Sedan",C39="Hybrid"),'LCT - Light &amp; Light-Heavy Duty'!$D$23,IF(AND(B39="Sedan",C39="Plug-in Hybrid"),'LCT - Light &amp; Light-Heavy Duty'!$D$23,IF(AND(B39="Sedan",'Interim Water Delivery Inputs'!F46="Battery Electric"),'LCT - Light &amp; Light-Heavy Duty'!$E$23,IF(AND(B39="Sedan",C39="Fuel Cell Electric"),'LCT - Light &amp; Light-Heavy Duty'!$F$23,""))))))))))))))))))</f>
        <v/>
      </c>
      <c r="H39" s="582" t="str">
        <f>IFERROR(((Table7[[#This Row],[GHG Emission Factor 
(g CO2e/mi)]]*Table7[[#This Row],[Total Annual VMT 
(Miles/Year)]])*1/1000000),"")</f>
        <v/>
      </c>
      <c r="I39" s="582" t="str">
        <f>IFERROR(Table7[[#This Row],[Annual Transportation GHG Emissions 
(MTCO2e/Year)]]*Table7[[#This Row],[Project Life
(Years)]],"")</f>
        <v/>
      </c>
      <c r="J39" s="582" t="str">
        <f>IF(AND(B39="Heavy Duty Truck",C39="Diesel"),'LCT - Heavy Duty'!$C$16,IF(AND(B39="Heavy Duty Truck",C39="Battery Electric"),'LCT - Heavy Duty'!$F$16,IF(AND(B39="Heavy Duty Truck",OR(C39="Natural Gas",C39="Propane")),'LCT - Heavy Duty'!$D$40,IF(AND(B39="Box Truck",C39="Gasoline"),'LCT - Light &amp; Light-Heavy Duty'!$C$16,IF(AND(B39="Box Truck",C39="Hybrid"),'LCT - Light &amp; Light-Heavy Duty'!$D$16,IF(AND(B39="Box Truck",C39="Plug-in Hybrid"),'LCT - Light &amp; Light-Heavy Duty'!$E$16,IF(AND(B39="Box Truck",C39="Battery Electric"),'LCT - Light &amp; Light-Heavy Duty'!$F$16,IF(AND(B39="Box Truck",C39="Fuel Cell Electric"),'LCT - Light &amp; Light-Heavy Duty'!$G$16,IF(AND(B39="Van",C39="Gasoline"),'LCT - Light &amp; Light-Heavy Duty'!$C$11,IF(AND(B39="Van",C39="Hybrid"),'LCT - Light &amp; Light-Heavy Duty'!$D$11,IF(AND(B39="Van",C39="Plug-in Hybrid"),'LCT - Light &amp; Light-Heavy Duty'!$E$11,IF(AND(B39="Van",'Interim Water Delivery Inputs'!F46="Battery Electric"),'LCT - Light &amp; Light-Heavy Duty'!$F$11,IF(AND(B39="Van",C39="Fuel Cell Electric"),'LCT - Light &amp; Light-Heavy Duty'!$G$11,IF(AND(B39="Sedan",C39="Gasoline"),'LCT - Light &amp; Light-Heavy Duty'!$C$24,IF(AND(B39="Sedan",C39="Hybrid"),'LCT - Light &amp; Light-Heavy Duty'!$D$24,IF(AND(B39="Sedan",C39="Plug-in Hybrid"),'LCT - Light &amp; Light-Heavy Duty'!$D$24,IF(AND(B39="Sedan",'Interim Water Delivery Inputs'!F46="Battery Electric"),'LCT - Light &amp; Light-Heavy Duty'!$E$24,IF(AND(B39="Sedan",C39="Fuel Cell Electric"),'LCT - Light &amp; Light-Heavy Duty'!$F$24,""))))))))))))))))))</f>
        <v/>
      </c>
      <c r="K39" s="582" t="str">
        <f>IFERROR(((Table7[[#This Row],[ROG Emission Factor
(g/mi)]]*Table7[[#This Row],[Total Annual VMT 
(Miles/Year)]])*1/454),"")</f>
        <v/>
      </c>
      <c r="L39" s="174" t="str">
        <f>IFERROR((Table7[[#This Row],[Annual ROG Emissions 
(lbs/year)]]*Table7[[#This Row],[Project Life
(Years)]]),"")</f>
        <v/>
      </c>
      <c r="M39" s="582" t="str">
        <f>IF(AND(B39="Heavy Duty Truck",C39="Diesel"),'LCT - Heavy Duty'!$C$17,IF(AND(B39="Heavy Duty Truck",C39="Battery Electric"),'LCT - Heavy Duty'!$F$17,IF(AND(B39="Heavy Duty Truck",OR(C39="Natural Gas",C39="Propane")),'LCT - Heavy Duty'!$D$41,IF(AND(B39="Box Truck",C39="Gasoline"),'LCT - Light &amp; Light-Heavy Duty'!$C$17,IF(AND(B39="Box Truck",C39="Hybrid"),'LCT - Light &amp; Light-Heavy Duty'!$D$17,IF(AND(B39="Box Truck",C39="Plug-in Hybrid"),'LCT - Light &amp; Light-Heavy Duty'!$E$17,IF(AND(B39="Box Truck",C39="Battery Electric"),'LCT - Light &amp; Light-Heavy Duty'!$F$17,IF(AND(B39="Box Truck",C39="Fuel Cell Electric"),'LCT - Light &amp; Light-Heavy Duty'!$G$17,IF(AND(B39="Van",C39="Gasoline"),'LCT - Light &amp; Light-Heavy Duty'!$C$12,IF(AND(B39="Van",C39="Hybrid"),'LCT - Light &amp; Light-Heavy Duty'!$D$12,IF(AND(B39="Van",C39="Plug-in Hybrid"),'LCT - Light &amp; Light-Heavy Duty'!$E$12,IF(AND(B39="Van",'Interim Water Delivery Inputs'!F46="Battery Electric"),'LCT - Light &amp; Light-Heavy Duty'!$F$12,IF(AND(B39="Van",C39="Fuel Cell Electric"),'LCT - Light &amp; Light-Heavy Duty'!$G$12,IF(AND(B39="Sedan",C39="Gasoline"),'LCT - Light &amp; Light-Heavy Duty'!$C$25,IF(AND(B39="Sedan",C39="Hybrid"),'LCT - Light &amp; Light-Heavy Duty'!$D$25,IF(AND(B39="Sedan",C39="Plug-in Hybrid"),'LCT - Light &amp; Light-Heavy Duty'!$D$25,IF(AND(B39="Sedan",'Interim Water Delivery Inputs'!F46="Battery Electric"),'LCT - Light &amp; Light-Heavy Duty'!$E$25,IF(AND(B39="Sedan",C39="Fuel Cell Electric"),'LCT - Light &amp; Light-Heavy Duty'!$F$25,""))))))))))))))))))</f>
        <v/>
      </c>
      <c r="N39" s="174" t="str">
        <f>IFERROR(((Table7[[#This Row],[NOx Emission Factor
(g/mi)]]*Table7[[#This Row],[Total Annual VMT 
(Miles/Year)]])*1/454),"")</f>
        <v/>
      </c>
      <c r="O39" s="174" t="str">
        <f>IFERROR((Table7[[#This Row],[Annual NOx Emissions 
(lbs/year)]]*Table7[[#This Row],[Project Life
(Years)]]),"")</f>
        <v/>
      </c>
      <c r="P39" s="174" t="str">
        <f>IF(AND(B39="Heavy Duty Truck",C39="Diesel"),'LCT - Heavy Duty'!$C$18,IF(AND(B39="Heavy Duty Truck",C39="Battery Electric"),'LCT - Heavy Duty'!$F$18,IF(AND(B39="Heavy Duty Truck",OR(C39="Natural Gas",C39="Propane")),'LCT - Heavy Duty'!$D$42,IF(AND(B39="Box Truck",C39="Gasoline"),'LCT - Light &amp; Light-Heavy Duty'!$C$18,IF(AND(B39="Box Truck",C39="Hybrid"),'LCT - Light &amp; Light-Heavy Duty'!$D$18,IF(AND(B39="Box Truck",C39="Plug-in Hybrid"),'LCT - Light &amp; Light-Heavy Duty'!$E$18,IF(AND(B39="Box Truck",C39="Battery Electric"),'LCT - Light &amp; Light-Heavy Duty'!$F$18,IF(AND(B39="Box Truck",C39="Fuel Cell Electric"),'LCT - Light &amp; Light-Heavy Duty'!$G$18,IF(AND(B39="Van",C39="Gasoline"),'LCT - Light &amp; Light-Heavy Duty'!$C$13,IF(AND(B39="Van",C39="Hybrid"),'LCT - Light &amp; Light-Heavy Duty'!$D$13,IF(AND(B39="Van",C39="Plug-in Hybrid"),'LCT - Light &amp; Light-Heavy Duty'!$E$13,IF(AND(B39="Van",'Interim Water Delivery Inputs'!F46="Battery Electric"),'LCT - Light &amp; Light-Heavy Duty'!$F$13,IF(AND(B39="Van",C39="Fuel Cell Electric"),'LCT - Light &amp; Light-Heavy Duty'!$G$13,IF(AND(B39="Sedan",C39="Gasoline"),'LCT - Light &amp; Light-Heavy Duty'!$C$26,IF(AND(B39="Sedan",C39="Hybrid"),'LCT - Light &amp; Light-Heavy Duty'!$D$26,IF(AND(B39="Sedan",C39="Plug-in Hybrid"),'LCT - Light &amp; Light-Heavy Duty'!$D$26,IF(AND(B39="Sedan",'Interim Water Delivery Inputs'!F46="Battery Electric"),'LCT - Light &amp; Light-Heavy Duty'!$E$26,IF(AND(B39="Sedan",C39="Fuel Cell Electric"),'LCT - Light &amp; Light-Heavy Duty'!$F$26,""))))))))))))))))))</f>
        <v/>
      </c>
      <c r="Q39" s="174" t="str">
        <f>IFERROR(((Table7[[#This Row],[PM2.5 Emission Factor
(g/mi)]]*Table7[[#This Row],[Total Annual VMT 
(Miles/Year)]])*1/454),"")</f>
        <v/>
      </c>
      <c r="R39" s="174" t="str">
        <f>IFERROR((Table7[[#This Row],[Annual PM2.5 Emissions 
(lbs/year)]]*Table7[[#This Row],[Project Life
(Years)]]),"")</f>
        <v/>
      </c>
      <c r="S39" s="174" t="str">
        <f>IF(AND(B39="Heavy Duty Truck",C39="Diesel"),'LCT - Heavy Duty'!$C$19,IF(AND(B39="Heavy Duty Truck",C39="Battery Electric"),'LCT - Heavy Duty'!$F$19,IF(AND(B39="Heavy Duty Truck",OR(C39="Natural Gas",C39="Propane")),'LCT - Heavy Duty'!$D$43,IF(AND(B39="Box Truck",C39="Gasoline"),'LCT - Light &amp; Light-Heavy Duty'!$C$19,IF(AND(B39="Box Truck",C39="Hybrid"),'LCT - Light &amp; Light-Heavy Duty'!$D$19,IF(AND(B39="Box Truck",C39="Plug-in Hybrid"),'LCT - Light &amp; Light-Heavy Duty'!$E$19,IF(AND(B39="Box Truck",C39="Battery Electric"),'LCT - Light &amp; Light-Heavy Duty'!$F$19,IF(AND(B39="Box Truck",C39="Fuel Cell Electric"),'LCT - Light &amp; Light-Heavy Duty'!$G$19,IF(AND(B39="Van",C39="Gasoline"),'LCT - Light &amp; Light-Heavy Duty'!$C$14,IF(AND(B39="Van",C39="Hybrid"),'LCT - Light &amp; Light-Heavy Duty'!$D$14,IF(AND(B39="Van",C39="Plug-in Hybrid"),'LCT - Light &amp; Light-Heavy Duty'!$E$14,IF(AND(B39="Van",'Interim Water Delivery Inputs'!F46="Battery Electric"),'LCT - Light &amp; Light-Heavy Duty'!$F$14,IF(AND(B39="Van",C39="Fuel Cell Electric"),'LCT - Light &amp; Light-Heavy Duty'!$G$14,IF(AND(B39="Sedan",C39="Gasoline"),'LCT - Light &amp; Light-Heavy Duty'!$C$27,IF(AND(B39="Sedan",C39="Hybrid"),'LCT - Light &amp; Light-Heavy Duty'!$D$27,IF(AND(B39="Sedan",C39="Plug-in Hybrid"),'LCT - Light &amp; Light-Heavy Duty'!$D$27,IF(AND(B39="Sedan",'Interim Water Delivery Inputs'!F46="Battery Electric"),'LCT - Light &amp; Light-Heavy Duty'!$E$27,IF(AND(B39="Sedan",C39="Fuel Cell Electric"),'LCT - Light &amp; Light-Heavy Duty'!$F$27,""))))))))))))))))))</f>
        <v/>
      </c>
      <c r="T39" s="174" t="str">
        <f>IFERROR(((Table7[[#This Row],[Diesel PM Emission Factor
(g/mi)]]*Table7[[#This Row],[Total Annual VMT 
(Miles/Year)]])*1/454),"")</f>
        <v/>
      </c>
      <c r="U39" s="186" t="str">
        <f>IFERROR((Table7[[#This Row],[Annual Diesel PM Emissions 
(lbs/year)]]*Table7[[#This Row],[Project Life
(Years)]]),"")</f>
        <v/>
      </c>
      <c r="V39" s="186" t="str">
        <f>IF(Table7[[#This Row],[Fuel Type]]="Diesel",Defaults!$C$42,IF(Table7[[#This Row],[Fuel Type]]="Natural Gas",Defaults!$C$42*'Fuel-Specific GHG'!C66,IF(Table7[[#This Row],[Fuel Type]]="Propane",Defaults!$C$42*'Fuel-Specific GHG'!C66,IF(AND(Table7[[#This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39"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39" s="583">
        <f>IF(OR(Table7[[#This Row],[Fuel Type]]="Diesel",Table7[[#This Row],[Fuel Type]]="Gasoline",Table7[[#This Row],[Fuel Type]]="Hybrid",Table7[[#This Row],[Fuel Type]]="Plug-in Hybrid",Table7[[#This Row],[Fuel Type]]="Natural Gas",Table7[[#This Row],[Fuel Type]]="Propane"),Table7[[#This Row],[Fuel Use 
(gal, Kwh, or kg)]],0)</f>
        <v>0</v>
      </c>
      <c r="Y39"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39" s="26">
        <f>IF(B39=0,0,IF('Project Info'!$C$33="",2023,YEAR('Project Info'!$C$33)))</f>
        <v>0</v>
      </c>
      <c r="AA39" s="193">
        <f>'Interim Water Delivery Inputs'!N46*Table7[[#This Row],[Project Life
(Years)]]</f>
        <v>0</v>
      </c>
      <c r="AB39" s="193">
        <f>Table7[[#This Row],[Column2]]*Defaults!$C$59*12</f>
        <v>0</v>
      </c>
      <c r="AC39" s="193">
        <f>Table7[[#This Row],[Column3]]*Defaults!$C$58</f>
        <v>0</v>
      </c>
      <c r="AD39" s="193">
        <f>IF(B39=0,0,Table7[[#This Row],[Column4]]*VLOOKUP(Table7[[#This Row],[Column1]],'Passenger Auto C&amp;T'!$B$45:$D$80,3,FALSE))</f>
        <v>0</v>
      </c>
      <c r="AE39" s="589">
        <f>Table7[[#This Row],[Column42]]*'Fuel Prices'!$C$11</f>
        <v>0</v>
      </c>
      <c r="AF39" s="590">
        <f>IF(B39=0,0,VLOOKUP(Table7[[#This Row],[Column1]],'Passenger Auto GHG'!$B$46:$D$81,3,FALSE))</f>
        <v>0</v>
      </c>
      <c r="AG39" s="591">
        <f>Table7[[#This Row],[Column5]]*Table7[[#This Row],[Column4]]/1000000</f>
        <v>0</v>
      </c>
      <c r="AH39" s="592">
        <f>IF(B39=0,0,VLOOKUP(Table7[[#This Row],[Column1]],'Passenger Auto C&amp;T'!$B$45:$L$80,4,FALSE))</f>
        <v>0</v>
      </c>
      <c r="AI39" s="593">
        <f>IF(B39=0,0,VLOOKUP(Table7[[#This Row],[Column1]],'Passenger Auto C&amp;T'!$B$45:$L$80,5,FALSE))</f>
        <v>0</v>
      </c>
      <c r="AJ39" s="593">
        <f>IF(B39=0,0,SUM(VLOOKUP(Table7[[#This Row],[Column1]],'Passenger Auto C&amp;T'!$B$45:$L$80,6,FALSE),VLOOKUP(Table7[[#This Row],[Column1]],'Passenger Auto C&amp;T'!$B$45:$L$80,7,FALSE),VLOOKUP(Table7[[#This Row],[Column1]],'Passenger Auto C&amp;T'!$B$45:$L$80,8,FALSE)))</f>
        <v>0</v>
      </c>
      <c r="AK39" s="594">
        <f>IF(B39=0,0,VLOOKUP(Table7[[#This Row],[Column1]],'Passenger Auto C&amp;T'!$B$45:$L$80,10,FALSE))</f>
        <v>0</v>
      </c>
      <c r="AL39" s="592">
        <f>Table7[[#This Row],[Column4]]*Table7[[#This Row],[Column7]]*0.00220462</f>
        <v>0</v>
      </c>
      <c r="AM39" s="593">
        <f>Table7[[#This Row],[Column4]]*Table7[[#This Row],[Column8]]*0.00220462</f>
        <v>0</v>
      </c>
      <c r="AN39" s="593">
        <f>Table7[[#This Row],[Column4]]*Table7[[#This Row],[Column9]]*0.00220462</f>
        <v>0</v>
      </c>
      <c r="AO39" s="595">
        <f>Table7[[#This Row],[Column4]]*Table7[[#This Row],[Column10]]*0.00220462</f>
        <v>0</v>
      </c>
      <c r="AP39" s="592">
        <f>IF(B39=0,0,Table7[[#This Row],[Column6]]-Table7[[#This Row],[Total Transportation GHG Emissions 
(MTCO2e)]])</f>
        <v>0</v>
      </c>
      <c r="AQ39" s="593">
        <f>IF(B39=0,0,Table7[[#This Row],[Column11]]-Table7[[#This Row],[Total ROG Emissions 
(lbs)]])</f>
        <v>0</v>
      </c>
      <c r="AR39" s="593">
        <f>IF(B39=0,0,Table7[[#This Row],[Column12]]-Table7[[#This Row],[Total NOx Emissions 
(lbs)]])</f>
        <v>0</v>
      </c>
      <c r="AS39" s="593">
        <f>IF(B39=0,0,Table7[[#This Row],[Column13]]-Table7[[#This Row],[Total PM2.5 Emissions 
(lbs)]])</f>
        <v>0</v>
      </c>
      <c r="AT39" s="596">
        <f>IF(B39=0,0,Table7[[#This Row],[Column14]]-Table7[[#This Row],[Total Diesel PM Emissions 
(lbs)]])</f>
        <v>0</v>
      </c>
      <c r="AU39" s="588">
        <f>IF(B39=0,0,Table7[[#This Row],[Column42]]-Table7[[#This Row],[Fuel Use 
(gal)]])</f>
        <v>0</v>
      </c>
      <c r="AV39" s="597">
        <f>IF(B39=0,0,Table7[[#This Row],[Column43]]-Table7[[#This Row],[Fuel Cost ($)]])</f>
        <v>0</v>
      </c>
    </row>
    <row r="40" spans="2:48" s="2" customFormat="1" ht="15.5" x14ac:dyDescent="0.35">
      <c r="B40" s="588">
        <f>'Interim Water Delivery Inputs'!D47</f>
        <v>0</v>
      </c>
      <c r="C40" s="580">
        <f>'Interim Water Delivery Inputs'!F47</f>
        <v>0</v>
      </c>
      <c r="D40" s="580">
        <f>'Interim Water Delivery Inputs'!H47</f>
        <v>0</v>
      </c>
      <c r="E40" s="581">
        <f>IF('Interim Water Delivery Inputs'!B47="",0,(IF('Interim Water Delivery Inputs'!J47="",(Defaults!$H$15*Table7[[#This Row],[Number of Identical Vehicles]]),'Interim Water Delivery Inputs'!J47)))</f>
        <v>0</v>
      </c>
      <c r="F40" s="581">
        <f>'Interim Water Delivery Inputs'!L47</f>
        <v>0</v>
      </c>
      <c r="G40" s="582" t="str">
        <f>IF(AND(B40="Heavy Duty Truck",C40="Diesel"),'LCT - Heavy Duty'!$C$15,IF(AND(B40="Heavy Duty Truck",C40="Battery Electric"),'LCT - Heavy Duty'!$F$15,IF(AND(B40="Heavy Duty Truck",OR(C40="Natural Gas",C40="Propane")),'LCT - Heavy Duty'!$D$39,IF(AND(B40="Box Truck",C40="Gasoline"),'LCT - Light &amp; Light-Heavy Duty'!$C$15,IF(AND(B40="Box Truck",C40="Hybrid"),'LCT - Light &amp; Light-Heavy Duty'!$D$15,IF(AND(B40="Box Truck",C40="Plug-in Hybrid"),'LCT - Light &amp; Light-Heavy Duty'!$E$15,IF(AND(B40="Box Truck",C40="Battery Electric"),'LCT - Light &amp; Light-Heavy Duty'!$F$15,IF(AND(B40="Box Truck",C40="Fuel Cell Electric"),'LCT - Light &amp; Light-Heavy Duty'!$G$15,IF(AND(B40="Van",C40="Gasoline"),'LCT - Light &amp; Light-Heavy Duty'!$C$10,IF(AND(B40="Van",C40="Hybrid"),'LCT - Light &amp; Light-Heavy Duty'!$D$10,IF(AND(B40="Van",C40="Plug-in Hybrid"),'LCT - Light &amp; Light-Heavy Duty'!$E$10,IF(AND(B40="Van",'Interim Water Delivery Inputs'!F47="Battery Electric"),'LCT - Light &amp; Light-Heavy Duty'!$F$10,IF(AND(B40="Van",C40="Fuel Cell Electric"),'LCT - Light &amp; Light-Heavy Duty'!$G$10,IF(AND(B40="Sedan",C40="Gasoline"),'LCT - Light &amp; Light-Heavy Duty'!$C$23,IF(AND(B40="Sedan",C40="Hybrid"),'LCT - Light &amp; Light-Heavy Duty'!$D$23,IF(AND(B40="Sedan",C40="Plug-in Hybrid"),'LCT - Light &amp; Light-Heavy Duty'!$D$23,IF(AND(B40="Sedan",'Interim Water Delivery Inputs'!F47="Battery Electric"),'LCT - Light &amp; Light-Heavy Duty'!$E$23,IF(AND(B40="Sedan",C40="Fuel Cell Electric"),'LCT - Light &amp; Light-Heavy Duty'!$F$23,""))))))))))))))))))</f>
        <v/>
      </c>
      <c r="H40" s="582" t="str">
        <f>IFERROR(((Table7[[#This Row],[GHG Emission Factor 
(g CO2e/mi)]]*Table7[[#This Row],[Total Annual VMT 
(Miles/Year)]])*1/1000000),"")</f>
        <v/>
      </c>
      <c r="I40" s="582" t="str">
        <f>IFERROR(Table7[[#This Row],[Annual Transportation GHG Emissions 
(MTCO2e/Year)]]*Table7[[#This Row],[Project Life
(Years)]],"")</f>
        <v/>
      </c>
      <c r="J40" s="582" t="str">
        <f>IF(AND(B40="Heavy Duty Truck",C40="Diesel"),'LCT - Heavy Duty'!$C$16,IF(AND(B40="Heavy Duty Truck",C40="Battery Electric"),'LCT - Heavy Duty'!$F$16,IF(AND(B40="Heavy Duty Truck",OR(C40="Natural Gas",C40="Propane")),'LCT - Heavy Duty'!$D$40,IF(AND(B40="Box Truck",C40="Gasoline"),'LCT - Light &amp; Light-Heavy Duty'!$C$16,IF(AND(B40="Box Truck",C40="Hybrid"),'LCT - Light &amp; Light-Heavy Duty'!$D$16,IF(AND(B40="Box Truck",C40="Plug-in Hybrid"),'LCT - Light &amp; Light-Heavy Duty'!$E$16,IF(AND(B40="Box Truck",C40="Battery Electric"),'LCT - Light &amp; Light-Heavy Duty'!$F$16,IF(AND(B40="Box Truck",C40="Fuel Cell Electric"),'LCT - Light &amp; Light-Heavy Duty'!$G$16,IF(AND(B40="Van",C40="Gasoline"),'LCT - Light &amp; Light-Heavy Duty'!$C$11,IF(AND(B40="Van",C40="Hybrid"),'LCT - Light &amp; Light-Heavy Duty'!$D$11,IF(AND(B40="Van",C40="Plug-in Hybrid"),'LCT - Light &amp; Light-Heavy Duty'!$E$11,IF(AND(B40="Van",'Interim Water Delivery Inputs'!F47="Battery Electric"),'LCT - Light &amp; Light-Heavy Duty'!$F$11,IF(AND(B40="Van",C40="Fuel Cell Electric"),'LCT - Light &amp; Light-Heavy Duty'!$G$11,IF(AND(B40="Sedan",C40="Gasoline"),'LCT - Light &amp; Light-Heavy Duty'!$C$24,IF(AND(B40="Sedan",C40="Hybrid"),'LCT - Light &amp; Light-Heavy Duty'!$D$24,IF(AND(B40="Sedan",C40="Plug-in Hybrid"),'LCT - Light &amp; Light-Heavy Duty'!$D$24,IF(AND(B40="Sedan",'Interim Water Delivery Inputs'!F47="Battery Electric"),'LCT - Light &amp; Light-Heavy Duty'!$E$24,IF(AND(B40="Sedan",C40="Fuel Cell Electric"),'LCT - Light &amp; Light-Heavy Duty'!$F$24,""))))))))))))))))))</f>
        <v/>
      </c>
      <c r="K40" s="582" t="str">
        <f>IFERROR(((Table7[[#This Row],[ROG Emission Factor
(g/mi)]]*Table7[[#This Row],[Total Annual VMT 
(Miles/Year)]])*1/454),"")</f>
        <v/>
      </c>
      <c r="L40" s="174" t="str">
        <f>IFERROR((Table7[[#This Row],[Annual ROG Emissions 
(lbs/year)]]*Table7[[#This Row],[Project Life
(Years)]]),"")</f>
        <v/>
      </c>
      <c r="M40" s="582" t="str">
        <f>IF(AND(B40="Heavy Duty Truck",C40="Diesel"),'LCT - Heavy Duty'!$C$17,IF(AND(B40="Heavy Duty Truck",C40="Battery Electric"),'LCT - Heavy Duty'!$F$17,IF(AND(B40="Heavy Duty Truck",OR(C40="Natural Gas",C40="Propane")),'LCT - Heavy Duty'!$D$41,IF(AND(B40="Box Truck",C40="Gasoline"),'LCT - Light &amp; Light-Heavy Duty'!$C$17,IF(AND(B40="Box Truck",C40="Hybrid"),'LCT - Light &amp; Light-Heavy Duty'!$D$17,IF(AND(B40="Box Truck",C40="Plug-in Hybrid"),'LCT - Light &amp; Light-Heavy Duty'!$E$17,IF(AND(B40="Box Truck",C40="Battery Electric"),'LCT - Light &amp; Light-Heavy Duty'!$F$17,IF(AND(B40="Box Truck",C40="Fuel Cell Electric"),'LCT - Light &amp; Light-Heavy Duty'!$G$17,IF(AND(B40="Van",C40="Gasoline"),'LCT - Light &amp; Light-Heavy Duty'!$C$12,IF(AND(B40="Van",C40="Hybrid"),'LCT - Light &amp; Light-Heavy Duty'!$D$12,IF(AND(B40="Van",C40="Plug-in Hybrid"),'LCT - Light &amp; Light-Heavy Duty'!$E$12,IF(AND(B40="Van",'Interim Water Delivery Inputs'!F47="Battery Electric"),'LCT - Light &amp; Light-Heavy Duty'!$F$12,IF(AND(B40="Van",C40="Fuel Cell Electric"),'LCT - Light &amp; Light-Heavy Duty'!$G$12,IF(AND(B40="Sedan",C40="Gasoline"),'LCT - Light &amp; Light-Heavy Duty'!$C$25,IF(AND(B40="Sedan",C40="Hybrid"),'LCT - Light &amp; Light-Heavy Duty'!$D$25,IF(AND(B40="Sedan",C40="Plug-in Hybrid"),'LCT - Light &amp; Light-Heavy Duty'!$D$25,IF(AND(B40="Sedan",'Interim Water Delivery Inputs'!F47="Battery Electric"),'LCT - Light &amp; Light-Heavy Duty'!$E$25,IF(AND(B40="Sedan",C40="Fuel Cell Electric"),'LCT - Light &amp; Light-Heavy Duty'!$F$25,""))))))))))))))))))</f>
        <v/>
      </c>
      <c r="N40" s="174" t="str">
        <f>IFERROR(((Table7[[#This Row],[NOx Emission Factor
(g/mi)]]*Table7[[#This Row],[Total Annual VMT 
(Miles/Year)]])*1/454),"")</f>
        <v/>
      </c>
      <c r="O40" s="174" t="str">
        <f>IFERROR((Table7[[#This Row],[Annual NOx Emissions 
(lbs/year)]]*Table7[[#This Row],[Project Life
(Years)]]),"")</f>
        <v/>
      </c>
      <c r="P40" s="174" t="str">
        <f>IF(AND(B40="Heavy Duty Truck",C40="Diesel"),'LCT - Heavy Duty'!$C$18,IF(AND(B40="Heavy Duty Truck",C40="Battery Electric"),'LCT - Heavy Duty'!$F$18,IF(AND(B40="Heavy Duty Truck",OR(C40="Natural Gas",C40="Propane")),'LCT - Heavy Duty'!$D$42,IF(AND(B40="Box Truck",C40="Gasoline"),'LCT - Light &amp; Light-Heavy Duty'!$C$18,IF(AND(B40="Box Truck",C40="Hybrid"),'LCT - Light &amp; Light-Heavy Duty'!$D$18,IF(AND(B40="Box Truck",C40="Plug-in Hybrid"),'LCT - Light &amp; Light-Heavy Duty'!$E$18,IF(AND(B40="Box Truck",C40="Battery Electric"),'LCT - Light &amp; Light-Heavy Duty'!$F$18,IF(AND(B40="Box Truck",C40="Fuel Cell Electric"),'LCT - Light &amp; Light-Heavy Duty'!$G$18,IF(AND(B40="Van",C40="Gasoline"),'LCT - Light &amp; Light-Heavy Duty'!$C$13,IF(AND(B40="Van",C40="Hybrid"),'LCT - Light &amp; Light-Heavy Duty'!$D$13,IF(AND(B40="Van",C40="Plug-in Hybrid"),'LCT - Light &amp; Light-Heavy Duty'!$E$13,IF(AND(B40="Van",'Interim Water Delivery Inputs'!F47="Battery Electric"),'LCT - Light &amp; Light-Heavy Duty'!$F$13,IF(AND(B40="Van",C40="Fuel Cell Electric"),'LCT - Light &amp; Light-Heavy Duty'!$G$13,IF(AND(B40="Sedan",C40="Gasoline"),'LCT - Light &amp; Light-Heavy Duty'!$C$26,IF(AND(B40="Sedan",C40="Hybrid"),'LCT - Light &amp; Light-Heavy Duty'!$D$26,IF(AND(B40="Sedan",C40="Plug-in Hybrid"),'LCT - Light &amp; Light-Heavy Duty'!$D$26,IF(AND(B40="Sedan",'Interim Water Delivery Inputs'!F47="Battery Electric"),'LCT - Light &amp; Light-Heavy Duty'!$E$26,IF(AND(B40="Sedan",C40="Fuel Cell Electric"),'LCT - Light &amp; Light-Heavy Duty'!$F$26,""))))))))))))))))))</f>
        <v/>
      </c>
      <c r="Q40" s="174" t="str">
        <f>IFERROR(((Table7[[#This Row],[PM2.5 Emission Factor
(g/mi)]]*Table7[[#This Row],[Total Annual VMT 
(Miles/Year)]])*1/454),"")</f>
        <v/>
      </c>
      <c r="R40" s="174" t="str">
        <f>IFERROR((Table7[[#This Row],[Annual PM2.5 Emissions 
(lbs/year)]]*Table7[[#This Row],[Project Life
(Years)]]),"")</f>
        <v/>
      </c>
      <c r="S40" s="174" t="str">
        <f>IF(AND(B40="Heavy Duty Truck",C40="Diesel"),'LCT - Heavy Duty'!$C$19,IF(AND(B40="Heavy Duty Truck",C40="Battery Electric"),'LCT - Heavy Duty'!$F$19,IF(AND(B40="Heavy Duty Truck",OR(C40="Natural Gas",C40="Propane")),'LCT - Heavy Duty'!$D$43,IF(AND(B40="Box Truck",C40="Gasoline"),'LCT - Light &amp; Light-Heavy Duty'!$C$19,IF(AND(B40="Box Truck",C40="Hybrid"),'LCT - Light &amp; Light-Heavy Duty'!$D$19,IF(AND(B40="Box Truck",C40="Plug-in Hybrid"),'LCT - Light &amp; Light-Heavy Duty'!$E$19,IF(AND(B40="Box Truck",C40="Battery Electric"),'LCT - Light &amp; Light-Heavy Duty'!$F$19,IF(AND(B40="Box Truck",C40="Fuel Cell Electric"),'LCT - Light &amp; Light-Heavy Duty'!$G$19,IF(AND(B40="Van",C40="Gasoline"),'LCT - Light &amp; Light-Heavy Duty'!$C$14,IF(AND(B40="Van",C40="Hybrid"),'LCT - Light &amp; Light-Heavy Duty'!$D$14,IF(AND(B40="Van",C40="Plug-in Hybrid"),'LCT - Light &amp; Light-Heavy Duty'!$E$14,IF(AND(B40="Van",'Interim Water Delivery Inputs'!F47="Battery Electric"),'LCT - Light &amp; Light-Heavy Duty'!$F$14,IF(AND(B40="Van",C40="Fuel Cell Electric"),'LCT - Light &amp; Light-Heavy Duty'!$G$14,IF(AND(B40="Sedan",C40="Gasoline"),'LCT - Light &amp; Light-Heavy Duty'!$C$27,IF(AND(B40="Sedan",C40="Hybrid"),'LCT - Light &amp; Light-Heavy Duty'!$D$27,IF(AND(B40="Sedan",C40="Plug-in Hybrid"),'LCT - Light &amp; Light-Heavy Duty'!$D$27,IF(AND(B40="Sedan",'Interim Water Delivery Inputs'!F47="Battery Electric"),'LCT - Light &amp; Light-Heavy Duty'!$E$27,IF(AND(B40="Sedan",C40="Fuel Cell Electric"),'LCT - Light &amp; Light-Heavy Duty'!$F$27,""))))))))))))))))))</f>
        <v/>
      </c>
      <c r="T40" s="174" t="str">
        <f>IFERROR(((Table7[[#This Row],[Diesel PM Emission Factor
(g/mi)]]*Table7[[#This Row],[Total Annual VMT 
(Miles/Year)]])*1/454),"")</f>
        <v/>
      </c>
      <c r="U40" s="186" t="str">
        <f>IFERROR((Table7[[#This Row],[Annual Diesel PM Emissions 
(lbs/year)]]*Table7[[#This Row],[Project Life
(Years)]]),"")</f>
        <v/>
      </c>
      <c r="V40" s="186" t="str">
        <f>IF(Table7[[#This Row],[Fuel Type]]="Diesel",Defaults!$C$42,IF(Table7[[#This Row],[Fuel Type]]="Natural Gas",Defaults!$C$42*'Fuel-Specific GHG'!C67,IF(Table7[[#This Row],[Fuel Type]]="Propane",Defaults!$C$42*'Fuel-Specific GHG'!C67,IF(AND(Table7[[#This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40"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40" s="583">
        <f>IF(OR(Table7[[#This Row],[Fuel Type]]="Diesel",Table7[[#This Row],[Fuel Type]]="Gasoline",Table7[[#This Row],[Fuel Type]]="Hybrid",Table7[[#This Row],[Fuel Type]]="Plug-in Hybrid",Table7[[#This Row],[Fuel Type]]="Natural Gas",Table7[[#This Row],[Fuel Type]]="Propane"),Table7[[#This Row],[Fuel Use 
(gal, Kwh, or kg)]],0)</f>
        <v>0</v>
      </c>
      <c r="Y40"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40" s="26">
        <f>IF(B40=0,0,IF('Project Info'!$C$33="",2023,YEAR('Project Info'!$C$33)))</f>
        <v>0</v>
      </c>
      <c r="AA40" s="193">
        <f>'Interim Water Delivery Inputs'!N47*Table7[[#This Row],[Project Life
(Years)]]</f>
        <v>0</v>
      </c>
      <c r="AB40" s="193">
        <f>Table7[[#This Row],[Column2]]*Defaults!$C$59*12</f>
        <v>0</v>
      </c>
      <c r="AC40" s="193">
        <f>Table7[[#This Row],[Column3]]*Defaults!$C$58</f>
        <v>0</v>
      </c>
      <c r="AD40" s="193">
        <f>IF(B40=0,0,Table7[[#This Row],[Column4]]*VLOOKUP(Table7[[#This Row],[Column1]],'Passenger Auto C&amp;T'!$B$45:$D$80,3,FALSE))</f>
        <v>0</v>
      </c>
      <c r="AE40" s="589">
        <f>Table7[[#This Row],[Column42]]*'Fuel Prices'!$C$11</f>
        <v>0</v>
      </c>
      <c r="AF40" s="590">
        <f>IF(B40=0,0,VLOOKUP(Table7[[#This Row],[Column1]],'Passenger Auto GHG'!$B$46:$D$81,3,FALSE))</f>
        <v>0</v>
      </c>
      <c r="AG40" s="591">
        <f>Table7[[#This Row],[Column5]]*Table7[[#This Row],[Column4]]/1000000</f>
        <v>0</v>
      </c>
      <c r="AH40" s="592">
        <f>IF(B40=0,0,VLOOKUP(Table7[[#This Row],[Column1]],'Passenger Auto C&amp;T'!$B$45:$L$80,4,FALSE))</f>
        <v>0</v>
      </c>
      <c r="AI40" s="593">
        <f>IF(B40=0,0,VLOOKUP(Table7[[#This Row],[Column1]],'Passenger Auto C&amp;T'!$B$45:$L$80,5,FALSE))</f>
        <v>0</v>
      </c>
      <c r="AJ40" s="593">
        <f>IF(B40=0,0,SUM(VLOOKUP(Table7[[#This Row],[Column1]],'Passenger Auto C&amp;T'!$B$45:$L$80,6,FALSE),VLOOKUP(Table7[[#This Row],[Column1]],'Passenger Auto C&amp;T'!$B$45:$L$80,7,FALSE),VLOOKUP(Table7[[#This Row],[Column1]],'Passenger Auto C&amp;T'!$B$45:$L$80,8,FALSE)))</f>
        <v>0</v>
      </c>
      <c r="AK40" s="594">
        <f>IF(B40=0,0,VLOOKUP(Table7[[#This Row],[Column1]],'Passenger Auto C&amp;T'!$B$45:$L$80,10,FALSE))</f>
        <v>0</v>
      </c>
      <c r="AL40" s="592">
        <f>Table7[[#This Row],[Column4]]*Table7[[#This Row],[Column7]]*0.00220462</f>
        <v>0</v>
      </c>
      <c r="AM40" s="593">
        <f>Table7[[#This Row],[Column4]]*Table7[[#This Row],[Column8]]*0.00220462</f>
        <v>0</v>
      </c>
      <c r="AN40" s="593">
        <f>Table7[[#This Row],[Column4]]*Table7[[#This Row],[Column9]]*0.00220462</f>
        <v>0</v>
      </c>
      <c r="AO40" s="595">
        <f>Table7[[#This Row],[Column4]]*Table7[[#This Row],[Column10]]*0.00220462</f>
        <v>0</v>
      </c>
      <c r="AP40" s="592">
        <f>IF(B40=0,0,Table7[[#This Row],[Column6]]-Table7[[#This Row],[Total Transportation GHG Emissions 
(MTCO2e)]])</f>
        <v>0</v>
      </c>
      <c r="AQ40" s="593">
        <f>IF(B40=0,0,Table7[[#This Row],[Column11]]-Table7[[#This Row],[Total ROG Emissions 
(lbs)]])</f>
        <v>0</v>
      </c>
      <c r="AR40" s="593">
        <f>IF(B40=0,0,Table7[[#This Row],[Column12]]-Table7[[#This Row],[Total NOx Emissions 
(lbs)]])</f>
        <v>0</v>
      </c>
      <c r="AS40" s="593">
        <f>IF(B40=0,0,Table7[[#This Row],[Column13]]-Table7[[#This Row],[Total PM2.5 Emissions 
(lbs)]])</f>
        <v>0</v>
      </c>
      <c r="AT40" s="596">
        <f>IF(B40=0,0,Table7[[#This Row],[Column14]]-Table7[[#This Row],[Total Diesel PM Emissions 
(lbs)]])</f>
        <v>0</v>
      </c>
      <c r="AU40" s="588">
        <f>IF(B40=0,0,Table7[[#This Row],[Column42]]-Table7[[#This Row],[Fuel Use 
(gal)]])</f>
        <v>0</v>
      </c>
      <c r="AV40" s="597">
        <f>IF(B40=0,0,Table7[[#This Row],[Column43]]-Table7[[#This Row],[Fuel Cost ($)]])</f>
        <v>0</v>
      </c>
    </row>
    <row r="41" spans="2:48" s="2" customFormat="1" ht="15.5" x14ac:dyDescent="0.35">
      <c r="B41" s="588">
        <f>'Interim Water Delivery Inputs'!D48</f>
        <v>0</v>
      </c>
      <c r="C41" s="580">
        <f>'Interim Water Delivery Inputs'!F48</f>
        <v>0</v>
      </c>
      <c r="D41" s="580">
        <f>'Interim Water Delivery Inputs'!H48</f>
        <v>0</v>
      </c>
      <c r="E41" s="581">
        <f>IF('Interim Water Delivery Inputs'!B48="",0,(IF('Interim Water Delivery Inputs'!J48="",(Defaults!$H$15*Table7[[#This Row],[Number of Identical Vehicles]]),'Interim Water Delivery Inputs'!J48)))</f>
        <v>0</v>
      </c>
      <c r="F41" s="581">
        <f>'Interim Water Delivery Inputs'!L48</f>
        <v>0</v>
      </c>
      <c r="G41" s="582" t="str">
        <f>IF(AND(B41="Heavy Duty Truck",C41="Diesel"),'LCT - Heavy Duty'!$C$15,IF(AND(B41="Heavy Duty Truck",C41="Battery Electric"),'LCT - Heavy Duty'!$F$15,IF(AND(B41="Heavy Duty Truck",OR(C41="Natural Gas",C41="Propane")),'LCT - Heavy Duty'!$D$39,IF(AND(B41="Box Truck",C41="Gasoline"),'LCT - Light &amp; Light-Heavy Duty'!$C$15,IF(AND(B41="Box Truck",C41="Hybrid"),'LCT - Light &amp; Light-Heavy Duty'!$D$15,IF(AND(B41="Box Truck",C41="Plug-in Hybrid"),'LCT - Light &amp; Light-Heavy Duty'!$E$15,IF(AND(B41="Box Truck",C41="Battery Electric"),'LCT - Light &amp; Light-Heavy Duty'!$F$15,IF(AND(B41="Box Truck",C41="Fuel Cell Electric"),'LCT - Light &amp; Light-Heavy Duty'!$G$15,IF(AND(B41="Van",C41="Gasoline"),'LCT - Light &amp; Light-Heavy Duty'!$C$10,IF(AND(B41="Van",C41="Hybrid"),'LCT - Light &amp; Light-Heavy Duty'!$D$10,IF(AND(B41="Van",C41="Plug-in Hybrid"),'LCT - Light &amp; Light-Heavy Duty'!$E$10,IF(AND(B41="Van",'Interim Water Delivery Inputs'!F48="Battery Electric"),'LCT - Light &amp; Light-Heavy Duty'!$F$10,IF(AND(B41="Van",C41="Fuel Cell Electric"),'LCT - Light &amp; Light-Heavy Duty'!$G$10,IF(AND(B41="Sedan",C41="Gasoline"),'LCT - Light &amp; Light-Heavy Duty'!$C$23,IF(AND(B41="Sedan",C41="Hybrid"),'LCT - Light &amp; Light-Heavy Duty'!$D$23,IF(AND(B41="Sedan",C41="Plug-in Hybrid"),'LCT - Light &amp; Light-Heavy Duty'!$D$23,IF(AND(B41="Sedan",'Interim Water Delivery Inputs'!F48="Battery Electric"),'LCT - Light &amp; Light-Heavy Duty'!$E$23,IF(AND(B41="Sedan",C41="Fuel Cell Electric"),'LCT - Light &amp; Light-Heavy Duty'!$F$23,""))))))))))))))))))</f>
        <v/>
      </c>
      <c r="H41" s="582" t="str">
        <f>IFERROR(((Table7[[#This Row],[GHG Emission Factor 
(g CO2e/mi)]]*Table7[[#This Row],[Total Annual VMT 
(Miles/Year)]])*1/1000000),"")</f>
        <v/>
      </c>
      <c r="I41" s="582" t="str">
        <f>IFERROR(Table7[[#This Row],[Annual Transportation GHG Emissions 
(MTCO2e/Year)]]*Table7[[#This Row],[Project Life
(Years)]],"")</f>
        <v/>
      </c>
      <c r="J41" s="582" t="str">
        <f>IF(AND(B41="Heavy Duty Truck",C41="Diesel"),'LCT - Heavy Duty'!$C$16,IF(AND(B41="Heavy Duty Truck",C41="Battery Electric"),'LCT - Heavy Duty'!$F$16,IF(AND(B41="Heavy Duty Truck",OR(C41="Natural Gas",C41="Propane")),'LCT - Heavy Duty'!$D$40,IF(AND(B41="Box Truck",C41="Gasoline"),'LCT - Light &amp; Light-Heavy Duty'!$C$16,IF(AND(B41="Box Truck",C41="Hybrid"),'LCT - Light &amp; Light-Heavy Duty'!$D$16,IF(AND(B41="Box Truck",C41="Plug-in Hybrid"),'LCT - Light &amp; Light-Heavy Duty'!$E$16,IF(AND(B41="Box Truck",C41="Battery Electric"),'LCT - Light &amp; Light-Heavy Duty'!$F$16,IF(AND(B41="Box Truck",C41="Fuel Cell Electric"),'LCT - Light &amp; Light-Heavy Duty'!$G$16,IF(AND(B41="Van",C41="Gasoline"),'LCT - Light &amp; Light-Heavy Duty'!$C$11,IF(AND(B41="Van",C41="Hybrid"),'LCT - Light &amp; Light-Heavy Duty'!$D$11,IF(AND(B41="Van",C41="Plug-in Hybrid"),'LCT - Light &amp; Light-Heavy Duty'!$E$11,IF(AND(B41="Van",'Interim Water Delivery Inputs'!F48="Battery Electric"),'LCT - Light &amp; Light-Heavy Duty'!$F$11,IF(AND(B41="Van",C41="Fuel Cell Electric"),'LCT - Light &amp; Light-Heavy Duty'!$G$11,IF(AND(B41="Sedan",C41="Gasoline"),'LCT - Light &amp; Light-Heavy Duty'!$C$24,IF(AND(B41="Sedan",C41="Hybrid"),'LCT - Light &amp; Light-Heavy Duty'!$D$24,IF(AND(B41="Sedan",C41="Plug-in Hybrid"),'LCT - Light &amp; Light-Heavy Duty'!$D$24,IF(AND(B41="Sedan",'Interim Water Delivery Inputs'!F48="Battery Electric"),'LCT - Light &amp; Light-Heavy Duty'!$E$24,IF(AND(B41="Sedan",C41="Fuel Cell Electric"),'LCT - Light &amp; Light-Heavy Duty'!$F$24,""))))))))))))))))))</f>
        <v/>
      </c>
      <c r="K41" s="582" t="str">
        <f>IFERROR(((Table7[[#This Row],[ROG Emission Factor
(g/mi)]]*Table7[[#This Row],[Total Annual VMT 
(Miles/Year)]])*1/454),"")</f>
        <v/>
      </c>
      <c r="L41" s="174" t="str">
        <f>IFERROR((Table7[[#This Row],[Annual ROG Emissions 
(lbs/year)]]*Table7[[#This Row],[Project Life
(Years)]]),"")</f>
        <v/>
      </c>
      <c r="M41" s="582" t="str">
        <f>IF(AND(B41="Heavy Duty Truck",C41="Diesel"),'LCT - Heavy Duty'!$C$17,IF(AND(B41="Heavy Duty Truck",C41="Battery Electric"),'LCT - Heavy Duty'!$F$17,IF(AND(B41="Heavy Duty Truck",OR(C41="Natural Gas",C41="Propane")),'LCT - Heavy Duty'!$D$41,IF(AND(B41="Box Truck",C41="Gasoline"),'LCT - Light &amp; Light-Heavy Duty'!$C$17,IF(AND(B41="Box Truck",C41="Hybrid"),'LCT - Light &amp; Light-Heavy Duty'!$D$17,IF(AND(B41="Box Truck",C41="Plug-in Hybrid"),'LCT - Light &amp; Light-Heavy Duty'!$E$17,IF(AND(B41="Box Truck",C41="Battery Electric"),'LCT - Light &amp; Light-Heavy Duty'!$F$17,IF(AND(B41="Box Truck",C41="Fuel Cell Electric"),'LCT - Light &amp; Light-Heavy Duty'!$G$17,IF(AND(B41="Van",C41="Gasoline"),'LCT - Light &amp; Light-Heavy Duty'!$C$12,IF(AND(B41="Van",C41="Hybrid"),'LCT - Light &amp; Light-Heavy Duty'!$D$12,IF(AND(B41="Van",C41="Plug-in Hybrid"),'LCT - Light &amp; Light-Heavy Duty'!$E$12,IF(AND(B41="Van",'Interim Water Delivery Inputs'!F48="Battery Electric"),'LCT - Light &amp; Light-Heavy Duty'!$F$12,IF(AND(B41="Van",C41="Fuel Cell Electric"),'LCT - Light &amp; Light-Heavy Duty'!$G$12,IF(AND(B41="Sedan",C41="Gasoline"),'LCT - Light &amp; Light-Heavy Duty'!$C$25,IF(AND(B41="Sedan",C41="Hybrid"),'LCT - Light &amp; Light-Heavy Duty'!$D$25,IF(AND(B41="Sedan",C41="Plug-in Hybrid"),'LCT - Light &amp; Light-Heavy Duty'!$D$25,IF(AND(B41="Sedan",'Interim Water Delivery Inputs'!F48="Battery Electric"),'LCT - Light &amp; Light-Heavy Duty'!$E$25,IF(AND(B41="Sedan",C41="Fuel Cell Electric"),'LCT - Light &amp; Light-Heavy Duty'!$F$25,""))))))))))))))))))</f>
        <v/>
      </c>
      <c r="N41" s="174" t="str">
        <f>IFERROR(((Table7[[#This Row],[NOx Emission Factor
(g/mi)]]*Table7[[#This Row],[Total Annual VMT 
(Miles/Year)]])*1/454),"")</f>
        <v/>
      </c>
      <c r="O41" s="174" t="str">
        <f>IFERROR((Table7[[#This Row],[Annual NOx Emissions 
(lbs/year)]]*Table7[[#This Row],[Project Life
(Years)]]),"")</f>
        <v/>
      </c>
      <c r="P41" s="174" t="str">
        <f>IF(AND(B41="Heavy Duty Truck",C41="Diesel"),'LCT - Heavy Duty'!$C$18,IF(AND(B41="Heavy Duty Truck",C41="Battery Electric"),'LCT - Heavy Duty'!$F$18,IF(AND(B41="Heavy Duty Truck",OR(C41="Natural Gas",C41="Propane")),'LCT - Heavy Duty'!$D$42,IF(AND(B41="Box Truck",C41="Gasoline"),'LCT - Light &amp; Light-Heavy Duty'!$C$18,IF(AND(B41="Box Truck",C41="Hybrid"),'LCT - Light &amp; Light-Heavy Duty'!$D$18,IF(AND(B41="Box Truck",C41="Plug-in Hybrid"),'LCT - Light &amp; Light-Heavy Duty'!$E$18,IF(AND(B41="Box Truck",C41="Battery Electric"),'LCT - Light &amp; Light-Heavy Duty'!$F$18,IF(AND(B41="Box Truck",C41="Fuel Cell Electric"),'LCT - Light &amp; Light-Heavy Duty'!$G$18,IF(AND(B41="Van",C41="Gasoline"),'LCT - Light &amp; Light-Heavy Duty'!$C$13,IF(AND(B41="Van",C41="Hybrid"),'LCT - Light &amp; Light-Heavy Duty'!$D$13,IF(AND(B41="Van",C41="Plug-in Hybrid"),'LCT - Light &amp; Light-Heavy Duty'!$E$13,IF(AND(B41="Van",'Interim Water Delivery Inputs'!F48="Battery Electric"),'LCT - Light &amp; Light-Heavy Duty'!$F$13,IF(AND(B41="Van",C41="Fuel Cell Electric"),'LCT - Light &amp; Light-Heavy Duty'!$G$13,IF(AND(B41="Sedan",C41="Gasoline"),'LCT - Light &amp; Light-Heavy Duty'!$C$26,IF(AND(B41="Sedan",C41="Hybrid"),'LCT - Light &amp; Light-Heavy Duty'!$D$26,IF(AND(B41="Sedan",C41="Plug-in Hybrid"),'LCT - Light &amp; Light-Heavy Duty'!$D$26,IF(AND(B41="Sedan",'Interim Water Delivery Inputs'!F48="Battery Electric"),'LCT - Light &amp; Light-Heavy Duty'!$E$26,IF(AND(B41="Sedan",C41="Fuel Cell Electric"),'LCT - Light &amp; Light-Heavy Duty'!$F$26,""))))))))))))))))))</f>
        <v/>
      </c>
      <c r="Q41" s="174" t="str">
        <f>IFERROR(((Table7[[#This Row],[PM2.5 Emission Factor
(g/mi)]]*Table7[[#This Row],[Total Annual VMT 
(Miles/Year)]])*1/454),"")</f>
        <v/>
      </c>
      <c r="R41" s="174" t="str">
        <f>IFERROR((Table7[[#This Row],[Annual PM2.5 Emissions 
(lbs/year)]]*Table7[[#This Row],[Project Life
(Years)]]),"")</f>
        <v/>
      </c>
      <c r="S41" s="174" t="str">
        <f>IF(AND(B41="Heavy Duty Truck",C41="Diesel"),'LCT - Heavy Duty'!$C$19,IF(AND(B41="Heavy Duty Truck",C41="Battery Electric"),'LCT - Heavy Duty'!$F$19,IF(AND(B41="Heavy Duty Truck",OR(C41="Natural Gas",C41="Propane")),'LCT - Heavy Duty'!$D$43,IF(AND(B41="Box Truck",C41="Gasoline"),'LCT - Light &amp; Light-Heavy Duty'!$C$19,IF(AND(B41="Box Truck",C41="Hybrid"),'LCT - Light &amp; Light-Heavy Duty'!$D$19,IF(AND(B41="Box Truck",C41="Plug-in Hybrid"),'LCT - Light &amp; Light-Heavy Duty'!$E$19,IF(AND(B41="Box Truck",C41="Battery Electric"),'LCT - Light &amp; Light-Heavy Duty'!$F$19,IF(AND(B41="Box Truck",C41="Fuel Cell Electric"),'LCT - Light &amp; Light-Heavy Duty'!$G$19,IF(AND(B41="Van",C41="Gasoline"),'LCT - Light &amp; Light-Heavy Duty'!$C$14,IF(AND(B41="Van",C41="Hybrid"),'LCT - Light &amp; Light-Heavy Duty'!$D$14,IF(AND(B41="Van",C41="Plug-in Hybrid"),'LCT - Light &amp; Light-Heavy Duty'!$E$14,IF(AND(B41="Van",'Interim Water Delivery Inputs'!F48="Battery Electric"),'LCT - Light &amp; Light-Heavy Duty'!$F$14,IF(AND(B41="Van",C41="Fuel Cell Electric"),'LCT - Light &amp; Light-Heavy Duty'!$G$14,IF(AND(B41="Sedan",C41="Gasoline"),'LCT - Light &amp; Light-Heavy Duty'!$C$27,IF(AND(B41="Sedan",C41="Hybrid"),'LCT - Light &amp; Light-Heavy Duty'!$D$27,IF(AND(B41="Sedan",C41="Plug-in Hybrid"),'LCT - Light &amp; Light-Heavy Duty'!$D$27,IF(AND(B41="Sedan",'Interim Water Delivery Inputs'!F48="Battery Electric"),'LCT - Light &amp; Light-Heavy Duty'!$E$27,IF(AND(B41="Sedan",C41="Fuel Cell Electric"),'LCT - Light &amp; Light-Heavy Duty'!$F$27,""))))))))))))))))))</f>
        <v/>
      </c>
      <c r="T41" s="174" t="str">
        <f>IFERROR(((Table7[[#This Row],[Diesel PM Emission Factor
(g/mi)]]*Table7[[#This Row],[Total Annual VMT 
(Miles/Year)]])*1/454),"")</f>
        <v/>
      </c>
      <c r="U41" s="186" t="str">
        <f>IFERROR((Table7[[#This Row],[Annual Diesel PM Emissions 
(lbs/year)]]*Table7[[#This Row],[Project Life
(Years)]]),"")</f>
        <v/>
      </c>
      <c r="V41" s="186" t="str">
        <f>IF(Table7[[#This Row],[Fuel Type]]="Diesel",Defaults!$C$42,IF(Table7[[#This Row],[Fuel Type]]="Natural Gas",Defaults!$C$42*'Fuel-Specific GHG'!C68,IF(Table7[[#This Row],[Fuel Type]]="Propane",Defaults!$C$42*'Fuel-Specific GHG'!C68,IF(AND(Table7[[#This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41"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41" s="583">
        <f>IF(OR(Table7[[#This Row],[Fuel Type]]="Diesel",Table7[[#This Row],[Fuel Type]]="Gasoline",Table7[[#This Row],[Fuel Type]]="Hybrid",Table7[[#This Row],[Fuel Type]]="Plug-in Hybrid",Table7[[#This Row],[Fuel Type]]="Natural Gas",Table7[[#This Row],[Fuel Type]]="Propane"),Table7[[#This Row],[Fuel Use 
(gal, Kwh, or kg)]],0)</f>
        <v>0</v>
      </c>
      <c r="Y41"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41" s="26">
        <f>IF(B41=0,0,IF('Project Info'!$C$33="",2023,YEAR('Project Info'!$C$33)))</f>
        <v>0</v>
      </c>
      <c r="AA41" s="193">
        <f>'Interim Water Delivery Inputs'!N48*Table7[[#This Row],[Project Life
(Years)]]</f>
        <v>0</v>
      </c>
      <c r="AB41" s="193">
        <f>Table7[[#This Row],[Column2]]*Defaults!$C$59*12</f>
        <v>0</v>
      </c>
      <c r="AC41" s="193">
        <f>Table7[[#This Row],[Column3]]*Defaults!$C$58</f>
        <v>0</v>
      </c>
      <c r="AD41" s="193">
        <f>IF(B41=0,0,Table7[[#This Row],[Column4]]*VLOOKUP(Table7[[#This Row],[Column1]],'Passenger Auto C&amp;T'!$B$45:$D$80,3,FALSE))</f>
        <v>0</v>
      </c>
      <c r="AE41" s="589">
        <f>Table7[[#This Row],[Column42]]*'Fuel Prices'!$C$11</f>
        <v>0</v>
      </c>
      <c r="AF41" s="590">
        <f>IF(B41=0,0,VLOOKUP(Table7[[#This Row],[Column1]],'Passenger Auto GHG'!$B$46:$D$81,3,FALSE))</f>
        <v>0</v>
      </c>
      <c r="AG41" s="591">
        <f>Table7[[#This Row],[Column5]]*Table7[[#This Row],[Column4]]/1000000</f>
        <v>0</v>
      </c>
      <c r="AH41" s="592">
        <f>IF(B41=0,0,VLOOKUP(Table7[[#This Row],[Column1]],'Passenger Auto C&amp;T'!$B$45:$L$80,4,FALSE))</f>
        <v>0</v>
      </c>
      <c r="AI41" s="593">
        <f>IF(B41=0,0,VLOOKUP(Table7[[#This Row],[Column1]],'Passenger Auto C&amp;T'!$B$45:$L$80,5,FALSE))</f>
        <v>0</v>
      </c>
      <c r="AJ41" s="593">
        <f>IF(B41=0,0,SUM(VLOOKUP(Table7[[#This Row],[Column1]],'Passenger Auto C&amp;T'!$B$45:$L$80,6,FALSE),VLOOKUP(Table7[[#This Row],[Column1]],'Passenger Auto C&amp;T'!$B$45:$L$80,7,FALSE),VLOOKUP(Table7[[#This Row],[Column1]],'Passenger Auto C&amp;T'!$B$45:$L$80,8,FALSE)))</f>
        <v>0</v>
      </c>
      <c r="AK41" s="594">
        <f>IF(B41=0,0,VLOOKUP(Table7[[#This Row],[Column1]],'Passenger Auto C&amp;T'!$B$45:$L$80,10,FALSE))</f>
        <v>0</v>
      </c>
      <c r="AL41" s="592">
        <f>Table7[[#This Row],[Column4]]*Table7[[#This Row],[Column7]]*0.00220462</f>
        <v>0</v>
      </c>
      <c r="AM41" s="593">
        <f>Table7[[#This Row],[Column4]]*Table7[[#This Row],[Column8]]*0.00220462</f>
        <v>0</v>
      </c>
      <c r="AN41" s="593">
        <f>Table7[[#This Row],[Column4]]*Table7[[#This Row],[Column9]]*0.00220462</f>
        <v>0</v>
      </c>
      <c r="AO41" s="595">
        <f>Table7[[#This Row],[Column4]]*Table7[[#This Row],[Column10]]*0.00220462</f>
        <v>0</v>
      </c>
      <c r="AP41" s="592">
        <f>IF(B41=0,0,Table7[[#This Row],[Column6]]-Table7[[#This Row],[Total Transportation GHG Emissions 
(MTCO2e)]])</f>
        <v>0</v>
      </c>
      <c r="AQ41" s="593">
        <f>IF(B41=0,0,Table7[[#This Row],[Column11]]-Table7[[#This Row],[Total ROG Emissions 
(lbs)]])</f>
        <v>0</v>
      </c>
      <c r="AR41" s="593">
        <f>IF(B41=0,0,Table7[[#This Row],[Column12]]-Table7[[#This Row],[Total NOx Emissions 
(lbs)]])</f>
        <v>0</v>
      </c>
      <c r="AS41" s="593">
        <f>IF(B41=0,0,Table7[[#This Row],[Column13]]-Table7[[#This Row],[Total PM2.5 Emissions 
(lbs)]])</f>
        <v>0</v>
      </c>
      <c r="AT41" s="596">
        <f>IF(B41=0,0,Table7[[#This Row],[Column14]]-Table7[[#This Row],[Total Diesel PM Emissions 
(lbs)]])</f>
        <v>0</v>
      </c>
      <c r="AU41" s="588">
        <f>IF(B41=0,0,Table7[[#This Row],[Column42]]-Table7[[#This Row],[Fuel Use 
(gal)]])</f>
        <v>0</v>
      </c>
      <c r="AV41" s="597">
        <f>IF(B41=0,0,Table7[[#This Row],[Column43]]-Table7[[#This Row],[Fuel Cost ($)]])</f>
        <v>0</v>
      </c>
    </row>
    <row r="42" spans="2:48" s="2" customFormat="1" ht="15.5" x14ac:dyDescent="0.35">
      <c r="B42" s="588">
        <f>'Interim Water Delivery Inputs'!D49</f>
        <v>0</v>
      </c>
      <c r="C42" s="580">
        <f>'Interim Water Delivery Inputs'!F49</f>
        <v>0</v>
      </c>
      <c r="D42" s="580">
        <f>'Interim Water Delivery Inputs'!H49</f>
        <v>0</v>
      </c>
      <c r="E42" s="581">
        <f>IF('Interim Water Delivery Inputs'!B49="",0,(IF('Interim Water Delivery Inputs'!J49="",(Defaults!$H$15*Table7[[#This Row],[Number of Identical Vehicles]]),'Interim Water Delivery Inputs'!J49)))</f>
        <v>0</v>
      </c>
      <c r="F42" s="581">
        <f>'Interim Water Delivery Inputs'!L49</f>
        <v>0</v>
      </c>
      <c r="G42" s="582" t="str">
        <f>IF(AND(B42="Heavy Duty Truck",C42="Diesel"),'LCT - Heavy Duty'!$C$15,IF(AND(B42="Heavy Duty Truck",C42="Battery Electric"),'LCT - Heavy Duty'!$F$15,IF(AND(B42="Heavy Duty Truck",OR(C42="Natural Gas",C42="Propane")),'LCT - Heavy Duty'!$D$39,IF(AND(B42="Box Truck",C42="Gasoline"),'LCT - Light &amp; Light-Heavy Duty'!$C$15,IF(AND(B42="Box Truck",C42="Hybrid"),'LCT - Light &amp; Light-Heavy Duty'!$D$15,IF(AND(B42="Box Truck",C42="Plug-in Hybrid"),'LCT - Light &amp; Light-Heavy Duty'!$E$15,IF(AND(B42="Box Truck",C42="Battery Electric"),'LCT - Light &amp; Light-Heavy Duty'!$F$15,IF(AND(B42="Box Truck",C42="Fuel Cell Electric"),'LCT - Light &amp; Light-Heavy Duty'!$G$15,IF(AND(B42="Van",C42="Gasoline"),'LCT - Light &amp; Light-Heavy Duty'!$C$10,IF(AND(B42="Van",C42="Hybrid"),'LCT - Light &amp; Light-Heavy Duty'!$D$10,IF(AND(B42="Van",C42="Plug-in Hybrid"),'LCT - Light &amp; Light-Heavy Duty'!$E$10,IF(AND(B42="Van",'Interim Water Delivery Inputs'!F49="Battery Electric"),'LCT - Light &amp; Light-Heavy Duty'!$F$10,IF(AND(B42="Van",C42="Fuel Cell Electric"),'LCT - Light &amp; Light-Heavy Duty'!$G$10,IF(AND(B42="Sedan",C42="Gasoline"),'LCT - Light &amp; Light-Heavy Duty'!$C$23,IF(AND(B42="Sedan",C42="Hybrid"),'LCT - Light &amp; Light-Heavy Duty'!$D$23,IF(AND(B42="Sedan",C42="Plug-in Hybrid"),'LCT - Light &amp; Light-Heavy Duty'!$D$23,IF(AND(B42="Sedan",'Interim Water Delivery Inputs'!F49="Battery Electric"),'LCT - Light &amp; Light-Heavy Duty'!$E$23,IF(AND(B42="Sedan",C42="Fuel Cell Electric"),'LCT - Light &amp; Light-Heavy Duty'!$F$23,""))))))))))))))))))</f>
        <v/>
      </c>
      <c r="H42" s="582" t="str">
        <f>IFERROR(((Table7[[#This Row],[GHG Emission Factor 
(g CO2e/mi)]]*Table7[[#This Row],[Total Annual VMT 
(Miles/Year)]])*1/1000000),"")</f>
        <v/>
      </c>
      <c r="I42" s="582" t="str">
        <f>IFERROR(Table7[[#This Row],[Annual Transportation GHG Emissions 
(MTCO2e/Year)]]*Table7[[#This Row],[Project Life
(Years)]],"")</f>
        <v/>
      </c>
      <c r="J42" s="582" t="str">
        <f>IF(AND(B42="Heavy Duty Truck",C42="Diesel"),'LCT - Heavy Duty'!$C$16,IF(AND(B42="Heavy Duty Truck",C42="Battery Electric"),'LCT - Heavy Duty'!$F$16,IF(AND(B42="Heavy Duty Truck",OR(C42="Natural Gas",C42="Propane")),'LCT - Heavy Duty'!$D$40,IF(AND(B42="Box Truck",C42="Gasoline"),'LCT - Light &amp; Light-Heavy Duty'!$C$16,IF(AND(B42="Box Truck",C42="Hybrid"),'LCT - Light &amp; Light-Heavy Duty'!$D$16,IF(AND(B42="Box Truck",C42="Plug-in Hybrid"),'LCT - Light &amp; Light-Heavy Duty'!$E$16,IF(AND(B42="Box Truck",C42="Battery Electric"),'LCT - Light &amp; Light-Heavy Duty'!$F$16,IF(AND(B42="Box Truck",C42="Fuel Cell Electric"),'LCT - Light &amp; Light-Heavy Duty'!$G$16,IF(AND(B42="Van",C42="Gasoline"),'LCT - Light &amp; Light-Heavy Duty'!$C$11,IF(AND(B42="Van",C42="Hybrid"),'LCT - Light &amp; Light-Heavy Duty'!$D$11,IF(AND(B42="Van",C42="Plug-in Hybrid"),'LCT - Light &amp; Light-Heavy Duty'!$E$11,IF(AND(B42="Van",'Interim Water Delivery Inputs'!F49="Battery Electric"),'LCT - Light &amp; Light-Heavy Duty'!$F$11,IF(AND(B42="Van",C42="Fuel Cell Electric"),'LCT - Light &amp; Light-Heavy Duty'!$G$11,IF(AND(B42="Sedan",C42="Gasoline"),'LCT - Light &amp; Light-Heavy Duty'!$C$24,IF(AND(B42="Sedan",C42="Hybrid"),'LCT - Light &amp; Light-Heavy Duty'!$D$24,IF(AND(B42="Sedan",C42="Plug-in Hybrid"),'LCT - Light &amp; Light-Heavy Duty'!$D$24,IF(AND(B42="Sedan",'Interim Water Delivery Inputs'!F49="Battery Electric"),'LCT - Light &amp; Light-Heavy Duty'!$E$24,IF(AND(B42="Sedan",C42="Fuel Cell Electric"),'LCT - Light &amp; Light-Heavy Duty'!$F$24,""))))))))))))))))))</f>
        <v/>
      </c>
      <c r="K42" s="582" t="str">
        <f>IFERROR(((Table7[[#This Row],[ROG Emission Factor
(g/mi)]]*Table7[[#This Row],[Total Annual VMT 
(Miles/Year)]])*1/454),"")</f>
        <v/>
      </c>
      <c r="L42" s="174" t="str">
        <f>IFERROR((Table7[[#This Row],[Annual ROG Emissions 
(lbs/year)]]*Table7[[#This Row],[Project Life
(Years)]]),"")</f>
        <v/>
      </c>
      <c r="M42" s="582" t="str">
        <f>IF(AND(B42="Heavy Duty Truck",C42="Diesel"),'LCT - Heavy Duty'!$C$17,IF(AND(B42="Heavy Duty Truck",C42="Battery Electric"),'LCT - Heavy Duty'!$F$17,IF(AND(B42="Heavy Duty Truck",OR(C42="Natural Gas",C42="Propane")),'LCT - Heavy Duty'!$D$41,IF(AND(B42="Box Truck",C42="Gasoline"),'LCT - Light &amp; Light-Heavy Duty'!$C$17,IF(AND(B42="Box Truck",C42="Hybrid"),'LCT - Light &amp; Light-Heavy Duty'!$D$17,IF(AND(B42="Box Truck",C42="Plug-in Hybrid"),'LCT - Light &amp; Light-Heavy Duty'!$E$17,IF(AND(B42="Box Truck",C42="Battery Electric"),'LCT - Light &amp; Light-Heavy Duty'!$F$17,IF(AND(B42="Box Truck",C42="Fuel Cell Electric"),'LCT - Light &amp; Light-Heavy Duty'!$G$17,IF(AND(B42="Van",C42="Gasoline"),'LCT - Light &amp; Light-Heavy Duty'!$C$12,IF(AND(B42="Van",C42="Hybrid"),'LCT - Light &amp; Light-Heavy Duty'!$D$12,IF(AND(B42="Van",C42="Plug-in Hybrid"),'LCT - Light &amp; Light-Heavy Duty'!$E$12,IF(AND(B42="Van",'Interim Water Delivery Inputs'!F49="Battery Electric"),'LCT - Light &amp; Light-Heavy Duty'!$F$12,IF(AND(B42="Van",C42="Fuel Cell Electric"),'LCT - Light &amp; Light-Heavy Duty'!$G$12,IF(AND(B42="Sedan",C42="Gasoline"),'LCT - Light &amp; Light-Heavy Duty'!$C$25,IF(AND(B42="Sedan",C42="Hybrid"),'LCT - Light &amp; Light-Heavy Duty'!$D$25,IF(AND(B42="Sedan",C42="Plug-in Hybrid"),'LCT - Light &amp; Light-Heavy Duty'!$D$25,IF(AND(B42="Sedan",'Interim Water Delivery Inputs'!F49="Battery Electric"),'LCT - Light &amp; Light-Heavy Duty'!$E$25,IF(AND(B42="Sedan",C42="Fuel Cell Electric"),'LCT - Light &amp; Light-Heavy Duty'!$F$25,""))))))))))))))))))</f>
        <v/>
      </c>
      <c r="N42" s="174" t="str">
        <f>IFERROR(((Table7[[#This Row],[NOx Emission Factor
(g/mi)]]*Table7[[#This Row],[Total Annual VMT 
(Miles/Year)]])*1/454),"")</f>
        <v/>
      </c>
      <c r="O42" s="174" t="str">
        <f>IFERROR((Table7[[#This Row],[Annual NOx Emissions 
(lbs/year)]]*Table7[[#This Row],[Project Life
(Years)]]),"")</f>
        <v/>
      </c>
      <c r="P42" s="174" t="str">
        <f>IF(AND(B42="Heavy Duty Truck",C42="Diesel"),'LCT - Heavy Duty'!$C$18,IF(AND(B42="Heavy Duty Truck",C42="Battery Electric"),'LCT - Heavy Duty'!$F$18,IF(AND(B42="Heavy Duty Truck",OR(C42="Natural Gas",C42="Propane")),'LCT - Heavy Duty'!$D$42,IF(AND(B42="Box Truck",C42="Gasoline"),'LCT - Light &amp; Light-Heavy Duty'!$C$18,IF(AND(B42="Box Truck",C42="Hybrid"),'LCT - Light &amp; Light-Heavy Duty'!$D$18,IF(AND(B42="Box Truck",C42="Plug-in Hybrid"),'LCT - Light &amp; Light-Heavy Duty'!$E$18,IF(AND(B42="Box Truck",C42="Battery Electric"),'LCT - Light &amp; Light-Heavy Duty'!$F$18,IF(AND(B42="Box Truck",C42="Fuel Cell Electric"),'LCT - Light &amp; Light-Heavy Duty'!$G$18,IF(AND(B42="Van",C42="Gasoline"),'LCT - Light &amp; Light-Heavy Duty'!$C$13,IF(AND(B42="Van",C42="Hybrid"),'LCT - Light &amp; Light-Heavy Duty'!$D$13,IF(AND(B42="Van",C42="Plug-in Hybrid"),'LCT - Light &amp; Light-Heavy Duty'!$E$13,IF(AND(B42="Van",'Interim Water Delivery Inputs'!F49="Battery Electric"),'LCT - Light &amp; Light-Heavy Duty'!$F$13,IF(AND(B42="Van",C42="Fuel Cell Electric"),'LCT - Light &amp; Light-Heavy Duty'!$G$13,IF(AND(B42="Sedan",C42="Gasoline"),'LCT - Light &amp; Light-Heavy Duty'!$C$26,IF(AND(B42="Sedan",C42="Hybrid"),'LCT - Light &amp; Light-Heavy Duty'!$D$26,IF(AND(B42="Sedan",C42="Plug-in Hybrid"),'LCT - Light &amp; Light-Heavy Duty'!$D$26,IF(AND(B42="Sedan",'Interim Water Delivery Inputs'!F49="Battery Electric"),'LCT - Light &amp; Light-Heavy Duty'!$E$26,IF(AND(B42="Sedan",C42="Fuel Cell Electric"),'LCT - Light &amp; Light-Heavy Duty'!$F$26,""))))))))))))))))))</f>
        <v/>
      </c>
      <c r="Q42" s="174" t="str">
        <f>IFERROR(((Table7[[#This Row],[PM2.5 Emission Factor
(g/mi)]]*Table7[[#This Row],[Total Annual VMT 
(Miles/Year)]])*1/454),"")</f>
        <v/>
      </c>
      <c r="R42" s="174" t="str">
        <f>IFERROR((Table7[[#This Row],[Annual PM2.5 Emissions 
(lbs/year)]]*Table7[[#This Row],[Project Life
(Years)]]),"")</f>
        <v/>
      </c>
      <c r="S42" s="174" t="str">
        <f>IF(AND(B42="Heavy Duty Truck",C42="Diesel"),'LCT - Heavy Duty'!$C$19,IF(AND(B42="Heavy Duty Truck",C42="Battery Electric"),'LCT - Heavy Duty'!$F$19,IF(AND(B42="Heavy Duty Truck",OR(C42="Natural Gas",C42="Propane")),'LCT - Heavy Duty'!$D$43,IF(AND(B42="Box Truck",C42="Gasoline"),'LCT - Light &amp; Light-Heavy Duty'!$C$19,IF(AND(B42="Box Truck",C42="Hybrid"),'LCT - Light &amp; Light-Heavy Duty'!$D$19,IF(AND(B42="Box Truck",C42="Plug-in Hybrid"),'LCT - Light &amp; Light-Heavy Duty'!$E$19,IF(AND(B42="Box Truck",C42="Battery Electric"),'LCT - Light &amp; Light-Heavy Duty'!$F$19,IF(AND(B42="Box Truck",C42="Fuel Cell Electric"),'LCT - Light &amp; Light-Heavy Duty'!$G$19,IF(AND(B42="Van",C42="Gasoline"),'LCT - Light &amp; Light-Heavy Duty'!$C$14,IF(AND(B42="Van",C42="Hybrid"),'LCT - Light &amp; Light-Heavy Duty'!$D$14,IF(AND(B42="Van",C42="Plug-in Hybrid"),'LCT - Light &amp; Light-Heavy Duty'!$E$14,IF(AND(B42="Van",'Interim Water Delivery Inputs'!F49="Battery Electric"),'LCT - Light &amp; Light-Heavy Duty'!$F$14,IF(AND(B42="Van",C42="Fuel Cell Electric"),'LCT - Light &amp; Light-Heavy Duty'!$G$14,IF(AND(B42="Sedan",C42="Gasoline"),'LCT - Light &amp; Light-Heavy Duty'!$C$27,IF(AND(B42="Sedan",C42="Hybrid"),'LCT - Light &amp; Light-Heavy Duty'!$D$27,IF(AND(B42="Sedan",C42="Plug-in Hybrid"),'LCT - Light &amp; Light-Heavy Duty'!$D$27,IF(AND(B42="Sedan",'Interim Water Delivery Inputs'!F49="Battery Electric"),'LCT - Light &amp; Light-Heavy Duty'!$E$27,IF(AND(B42="Sedan",C42="Fuel Cell Electric"),'LCT - Light &amp; Light-Heavy Duty'!$F$27,""))))))))))))))))))</f>
        <v/>
      </c>
      <c r="T42" s="174" t="str">
        <f>IFERROR(((Table7[[#This Row],[Diesel PM Emission Factor
(g/mi)]]*Table7[[#This Row],[Total Annual VMT 
(Miles/Year)]])*1/454),"")</f>
        <v/>
      </c>
      <c r="U42" s="186" t="str">
        <f>IFERROR((Table7[[#This Row],[Annual Diesel PM Emissions 
(lbs/year)]]*Table7[[#This Row],[Project Life
(Years)]]),"")</f>
        <v/>
      </c>
      <c r="V42" s="186" t="str">
        <f>IF(Table7[[#This Row],[Fuel Type]]="Diesel",Defaults!$C$42,IF(Table7[[#This Row],[Fuel Type]]="Natural Gas",Defaults!$C$42*'Fuel-Specific GHG'!C69,IF(Table7[[#This Row],[Fuel Type]]="Propane",Defaults!$C$42*'Fuel-Specific GHG'!C69,IF(AND(Table7[[#This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42"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42" s="583">
        <f>IF(OR(Table7[[#This Row],[Fuel Type]]="Diesel",Table7[[#This Row],[Fuel Type]]="Gasoline",Table7[[#This Row],[Fuel Type]]="Hybrid",Table7[[#This Row],[Fuel Type]]="Plug-in Hybrid",Table7[[#This Row],[Fuel Type]]="Natural Gas",Table7[[#This Row],[Fuel Type]]="Propane"),Table7[[#This Row],[Fuel Use 
(gal, Kwh, or kg)]],0)</f>
        <v>0</v>
      </c>
      <c r="Y42"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42" s="26">
        <f>IF(B42=0,0,IF('Project Info'!$C$33="",2023,YEAR('Project Info'!$C$33)))</f>
        <v>0</v>
      </c>
      <c r="AA42" s="193">
        <f>'Interim Water Delivery Inputs'!N49*Table7[[#This Row],[Project Life
(Years)]]</f>
        <v>0</v>
      </c>
      <c r="AB42" s="193">
        <f>Table7[[#This Row],[Column2]]*Defaults!$C$59*12</f>
        <v>0</v>
      </c>
      <c r="AC42" s="193">
        <f>Table7[[#This Row],[Column3]]*Defaults!$C$58</f>
        <v>0</v>
      </c>
      <c r="AD42" s="193">
        <f>IF(B42=0,0,Table7[[#This Row],[Column4]]*VLOOKUP(Table7[[#This Row],[Column1]],'Passenger Auto C&amp;T'!$B$45:$D$80,3,FALSE))</f>
        <v>0</v>
      </c>
      <c r="AE42" s="589">
        <f>Table7[[#This Row],[Column42]]*'Fuel Prices'!$C$11</f>
        <v>0</v>
      </c>
      <c r="AF42" s="590">
        <f>IF(B42=0,0,VLOOKUP(Table7[[#This Row],[Column1]],'Passenger Auto GHG'!$B$46:$D$81,3,FALSE))</f>
        <v>0</v>
      </c>
      <c r="AG42" s="591">
        <f>Table7[[#This Row],[Column5]]*Table7[[#This Row],[Column4]]/1000000</f>
        <v>0</v>
      </c>
      <c r="AH42" s="592">
        <f>IF(B42=0,0,VLOOKUP(Table7[[#This Row],[Column1]],'Passenger Auto C&amp;T'!$B$45:$L$80,4,FALSE))</f>
        <v>0</v>
      </c>
      <c r="AI42" s="593">
        <f>IF(B42=0,0,VLOOKUP(Table7[[#This Row],[Column1]],'Passenger Auto C&amp;T'!$B$45:$L$80,5,FALSE))</f>
        <v>0</v>
      </c>
      <c r="AJ42" s="593">
        <f>IF(B42=0,0,SUM(VLOOKUP(Table7[[#This Row],[Column1]],'Passenger Auto C&amp;T'!$B$45:$L$80,6,FALSE),VLOOKUP(Table7[[#This Row],[Column1]],'Passenger Auto C&amp;T'!$B$45:$L$80,7,FALSE),VLOOKUP(Table7[[#This Row],[Column1]],'Passenger Auto C&amp;T'!$B$45:$L$80,8,FALSE)))</f>
        <v>0</v>
      </c>
      <c r="AK42" s="594">
        <f>IF(B42=0,0,VLOOKUP(Table7[[#This Row],[Column1]],'Passenger Auto C&amp;T'!$B$45:$L$80,10,FALSE))</f>
        <v>0</v>
      </c>
      <c r="AL42" s="592">
        <f>Table7[[#This Row],[Column4]]*Table7[[#This Row],[Column7]]*0.00220462</f>
        <v>0</v>
      </c>
      <c r="AM42" s="593">
        <f>Table7[[#This Row],[Column4]]*Table7[[#This Row],[Column8]]*0.00220462</f>
        <v>0</v>
      </c>
      <c r="AN42" s="593">
        <f>Table7[[#This Row],[Column4]]*Table7[[#This Row],[Column9]]*0.00220462</f>
        <v>0</v>
      </c>
      <c r="AO42" s="595">
        <f>Table7[[#This Row],[Column4]]*Table7[[#This Row],[Column10]]*0.00220462</f>
        <v>0</v>
      </c>
      <c r="AP42" s="592">
        <f>IF(B42=0,0,Table7[[#This Row],[Column6]]-Table7[[#This Row],[Total Transportation GHG Emissions 
(MTCO2e)]])</f>
        <v>0</v>
      </c>
      <c r="AQ42" s="593">
        <f>IF(B42=0,0,Table7[[#This Row],[Column11]]-Table7[[#This Row],[Total ROG Emissions 
(lbs)]])</f>
        <v>0</v>
      </c>
      <c r="AR42" s="593">
        <f>IF(B42=0,0,Table7[[#This Row],[Column12]]-Table7[[#This Row],[Total NOx Emissions 
(lbs)]])</f>
        <v>0</v>
      </c>
      <c r="AS42" s="593">
        <f>IF(B42=0,0,Table7[[#This Row],[Column13]]-Table7[[#This Row],[Total PM2.5 Emissions 
(lbs)]])</f>
        <v>0</v>
      </c>
      <c r="AT42" s="596">
        <f>IF(B42=0,0,Table7[[#This Row],[Column14]]-Table7[[#This Row],[Total Diesel PM Emissions 
(lbs)]])</f>
        <v>0</v>
      </c>
      <c r="AU42" s="588">
        <f>IF(B42=0,0,Table7[[#This Row],[Column42]]-Table7[[#This Row],[Fuel Use 
(gal)]])</f>
        <v>0</v>
      </c>
      <c r="AV42" s="597">
        <f>IF(B42=0,0,Table7[[#This Row],[Column43]]-Table7[[#This Row],[Fuel Cost ($)]])</f>
        <v>0</v>
      </c>
    </row>
    <row r="43" spans="2:48" s="2" customFormat="1" ht="15.5" x14ac:dyDescent="0.35">
      <c r="B43" s="588">
        <f>'Interim Water Delivery Inputs'!D50</f>
        <v>0</v>
      </c>
      <c r="C43" s="580">
        <f>'Interim Water Delivery Inputs'!F50</f>
        <v>0</v>
      </c>
      <c r="D43" s="580">
        <f>'Interim Water Delivery Inputs'!H50</f>
        <v>0</v>
      </c>
      <c r="E43" s="581">
        <f>IF('Interim Water Delivery Inputs'!B50="",0,(IF('Interim Water Delivery Inputs'!J50="",(Defaults!$H$15*Table7[[#This Row],[Number of Identical Vehicles]]),'Interim Water Delivery Inputs'!J50)))</f>
        <v>0</v>
      </c>
      <c r="F43" s="581">
        <f>'Interim Water Delivery Inputs'!L50</f>
        <v>0</v>
      </c>
      <c r="G43" s="582" t="str">
        <f>IF(AND(B43="Heavy Duty Truck",C43="Diesel"),'LCT - Heavy Duty'!$C$15,IF(AND(B43="Heavy Duty Truck",C43="Battery Electric"),'LCT - Heavy Duty'!$F$15,IF(AND(B43="Heavy Duty Truck",OR(C43="Natural Gas",C43="Propane")),'LCT - Heavy Duty'!$D$39,IF(AND(B43="Box Truck",C43="Gasoline"),'LCT - Light &amp; Light-Heavy Duty'!$C$15,IF(AND(B43="Box Truck",C43="Hybrid"),'LCT - Light &amp; Light-Heavy Duty'!$D$15,IF(AND(B43="Box Truck",C43="Plug-in Hybrid"),'LCT - Light &amp; Light-Heavy Duty'!$E$15,IF(AND(B43="Box Truck",C43="Battery Electric"),'LCT - Light &amp; Light-Heavy Duty'!$F$15,IF(AND(B43="Box Truck",C43="Fuel Cell Electric"),'LCT - Light &amp; Light-Heavy Duty'!$G$15,IF(AND(B43="Van",C43="Gasoline"),'LCT - Light &amp; Light-Heavy Duty'!$C$10,IF(AND(B43="Van",C43="Hybrid"),'LCT - Light &amp; Light-Heavy Duty'!$D$10,IF(AND(B43="Van",C43="Plug-in Hybrid"),'LCT - Light &amp; Light-Heavy Duty'!$E$10,IF(AND(B43="Van",'Interim Water Delivery Inputs'!F50="Battery Electric"),'LCT - Light &amp; Light-Heavy Duty'!$F$10,IF(AND(B43="Van",C43="Fuel Cell Electric"),'LCT - Light &amp; Light-Heavy Duty'!$G$10,IF(AND(B43="Sedan",C43="Gasoline"),'LCT - Light &amp; Light-Heavy Duty'!$C$23,IF(AND(B43="Sedan",C43="Hybrid"),'LCT - Light &amp; Light-Heavy Duty'!$D$23,IF(AND(B43="Sedan",C43="Plug-in Hybrid"),'LCT - Light &amp; Light-Heavy Duty'!$D$23,IF(AND(B43="Sedan",'Interim Water Delivery Inputs'!F50="Battery Electric"),'LCT - Light &amp; Light-Heavy Duty'!$E$23,IF(AND(B43="Sedan",C43="Fuel Cell Electric"),'LCT - Light &amp; Light-Heavy Duty'!$F$23,""))))))))))))))))))</f>
        <v/>
      </c>
      <c r="H43" s="582" t="str">
        <f>IFERROR(((Table7[[#This Row],[GHG Emission Factor 
(g CO2e/mi)]]*Table7[[#This Row],[Total Annual VMT 
(Miles/Year)]])*1/1000000),"")</f>
        <v/>
      </c>
      <c r="I43" s="582" t="str">
        <f>IFERROR(Table7[[#This Row],[Annual Transportation GHG Emissions 
(MTCO2e/Year)]]*Table7[[#This Row],[Project Life
(Years)]],"")</f>
        <v/>
      </c>
      <c r="J43" s="582" t="str">
        <f>IF(AND(B43="Heavy Duty Truck",C43="Diesel"),'LCT - Heavy Duty'!$C$16,IF(AND(B43="Heavy Duty Truck",C43="Battery Electric"),'LCT - Heavy Duty'!$F$16,IF(AND(B43="Heavy Duty Truck",OR(C43="Natural Gas",C43="Propane")),'LCT - Heavy Duty'!$D$40,IF(AND(B43="Box Truck",C43="Gasoline"),'LCT - Light &amp; Light-Heavy Duty'!$C$16,IF(AND(B43="Box Truck",C43="Hybrid"),'LCT - Light &amp; Light-Heavy Duty'!$D$16,IF(AND(B43="Box Truck",C43="Plug-in Hybrid"),'LCT - Light &amp; Light-Heavy Duty'!$E$16,IF(AND(B43="Box Truck",C43="Battery Electric"),'LCT - Light &amp; Light-Heavy Duty'!$F$16,IF(AND(B43="Box Truck",C43="Fuel Cell Electric"),'LCT - Light &amp; Light-Heavy Duty'!$G$16,IF(AND(B43="Van",C43="Gasoline"),'LCT - Light &amp; Light-Heavy Duty'!$C$11,IF(AND(B43="Van",C43="Hybrid"),'LCT - Light &amp; Light-Heavy Duty'!$D$11,IF(AND(B43="Van",C43="Plug-in Hybrid"),'LCT - Light &amp; Light-Heavy Duty'!$E$11,IF(AND(B43="Van",'Interim Water Delivery Inputs'!F50="Battery Electric"),'LCT - Light &amp; Light-Heavy Duty'!$F$11,IF(AND(B43="Van",C43="Fuel Cell Electric"),'LCT - Light &amp; Light-Heavy Duty'!$G$11,IF(AND(B43="Sedan",C43="Gasoline"),'LCT - Light &amp; Light-Heavy Duty'!$C$24,IF(AND(B43="Sedan",C43="Hybrid"),'LCT - Light &amp; Light-Heavy Duty'!$D$24,IF(AND(B43="Sedan",C43="Plug-in Hybrid"),'LCT - Light &amp; Light-Heavy Duty'!$D$24,IF(AND(B43="Sedan",'Interim Water Delivery Inputs'!F50="Battery Electric"),'LCT - Light &amp; Light-Heavy Duty'!$E$24,IF(AND(B43="Sedan",C43="Fuel Cell Electric"),'LCT - Light &amp; Light-Heavy Duty'!$F$24,""))))))))))))))))))</f>
        <v/>
      </c>
      <c r="K43" s="582" t="str">
        <f>IFERROR(((Table7[[#This Row],[ROG Emission Factor
(g/mi)]]*Table7[[#This Row],[Total Annual VMT 
(Miles/Year)]])*1/454),"")</f>
        <v/>
      </c>
      <c r="L43" s="174" t="str">
        <f>IFERROR((Table7[[#This Row],[Annual ROG Emissions 
(lbs/year)]]*Table7[[#This Row],[Project Life
(Years)]]),"")</f>
        <v/>
      </c>
      <c r="M43" s="582" t="str">
        <f>IF(AND(B43="Heavy Duty Truck",C43="Diesel"),'LCT - Heavy Duty'!$C$17,IF(AND(B43="Heavy Duty Truck",C43="Battery Electric"),'LCT - Heavy Duty'!$F$17,IF(AND(B43="Heavy Duty Truck",OR(C43="Natural Gas",C43="Propane")),'LCT - Heavy Duty'!$D$41,IF(AND(B43="Box Truck",C43="Gasoline"),'LCT - Light &amp; Light-Heavy Duty'!$C$17,IF(AND(B43="Box Truck",C43="Hybrid"),'LCT - Light &amp; Light-Heavy Duty'!$D$17,IF(AND(B43="Box Truck",C43="Plug-in Hybrid"),'LCT - Light &amp; Light-Heavy Duty'!$E$17,IF(AND(B43="Box Truck",C43="Battery Electric"),'LCT - Light &amp; Light-Heavy Duty'!$F$17,IF(AND(B43="Box Truck",C43="Fuel Cell Electric"),'LCT - Light &amp; Light-Heavy Duty'!$G$17,IF(AND(B43="Van",C43="Gasoline"),'LCT - Light &amp; Light-Heavy Duty'!$C$12,IF(AND(B43="Van",C43="Hybrid"),'LCT - Light &amp; Light-Heavy Duty'!$D$12,IF(AND(B43="Van",C43="Plug-in Hybrid"),'LCT - Light &amp; Light-Heavy Duty'!$E$12,IF(AND(B43="Van",'Interim Water Delivery Inputs'!F50="Battery Electric"),'LCT - Light &amp; Light-Heavy Duty'!$F$12,IF(AND(B43="Van",C43="Fuel Cell Electric"),'LCT - Light &amp; Light-Heavy Duty'!$G$12,IF(AND(B43="Sedan",C43="Gasoline"),'LCT - Light &amp; Light-Heavy Duty'!$C$25,IF(AND(B43="Sedan",C43="Hybrid"),'LCT - Light &amp; Light-Heavy Duty'!$D$25,IF(AND(B43="Sedan",C43="Plug-in Hybrid"),'LCT - Light &amp; Light-Heavy Duty'!$D$25,IF(AND(B43="Sedan",'Interim Water Delivery Inputs'!F50="Battery Electric"),'LCT - Light &amp; Light-Heavy Duty'!$E$25,IF(AND(B43="Sedan",C43="Fuel Cell Electric"),'LCT - Light &amp; Light-Heavy Duty'!$F$25,""))))))))))))))))))</f>
        <v/>
      </c>
      <c r="N43" s="174" t="str">
        <f>IFERROR(((Table7[[#This Row],[NOx Emission Factor
(g/mi)]]*Table7[[#This Row],[Total Annual VMT 
(Miles/Year)]])*1/454),"")</f>
        <v/>
      </c>
      <c r="O43" s="174" t="str">
        <f>IFERROR((Table7[[#This Row],[Annual NOx Emissions 
(lbs/year)]]*Table7[[#This Row],[Project Life
(Years)]]),"")</f>
        <v/>
      </c>
      <c r="P43" s="174" t="str">
        <f>IF(AND(B43="Heavy Duty Truck",C43="Diesel"),'LCT - Heavy Duty'!$C$18,IF(AND(B43="Heavy Duty Truck",C43="Battery Electric"),'LCT - Heavy Duty'!$F$18,IF(AND(B43="Heavy Duty Truck",OR(C43="Natural Gas",C43="Propane")),'LCT - Heavy Duty'!$D$42,IF(AND(B43="Box Truck",C43="Gasoline"),'LCT - Light &amp; Light-Heavy Duty'!$C$18,IF(AND(B43="Box Truck",C43="Hybrid"),'LCT - Light &amp; Light-Heavy Duty'!$D$18,IF(AND(B43="Box Truck",C43="Plug-in Hybrid"),'LCT - Light &amp; Light-Heavy Duty'!$E$18,IF(AND(B43="Box Truck",C43="Battery Electric"),'LCT - Light &amp; Light-Heavy Duty'!$F$18,IF(AND(B43="Box Truck",C43="Fuel Cell Electric"),'LCT - Light &amp; Light-Heavy Duty'!$G$18,IF(AND(B43="Van",C43="Gasoline"),'LCT - Light &amp; Light-Heavy Duty'!$C$13,IF(AND(B43="Van",C43="Hybrid"),'LCT - Light &amp; Light-Heavy Duty'!$D$13,IF(AND(B43="Van",C43="Plug-in Hybrid"),'LCT - Light &amp; Light-Heavy Duty'!$E$13,IF(AND(B43="Van",'Interim Water Delivery Inputs'!F50="Battery Electric"),'LCT - Light &amp; Light-Heavy Duty'!$F$13,IF(AND(B43="Van",C43="Fuel Cell Electric"),'LCT - Light &amp; Light-Heavy Duty'!$G$13,IF(AND(B43="Sedan",C43="Gasoline"),'LCT - Light &amp; Light-Heavy Duty'!$C$26,IF(AND(B43="Sedan",C43="Hybrid"),'LCT - Light &amp; Light-Heavy Duty'!$D$26,IF(AND(B43="Sedan",C43="Plug-in Hybrid"),'LCT - Light &amp; Light-Heavy Duty'!$D$26,IF(AND(B43="Sedan",'Interim Water Delivery Inputs'!F50="Battery Electric"),'LCT - Light &amp; Light-Heavy Duty'!$E$26,IF(AND(B43="Sedan",C43="Fuel Cell Electric"),'LCT - Light &amp; Light-Heavy Duty'!$F$26,""))))))))))))))))))</f>
        <v/>
      </c>
      <c r="Q43" s="174" t="str">
        <f>IFERROR(((Table7[[#This Row],[PM2.5 Emission Factor
(g/mi)]]*Table7[[#This Row],[Total Annual VMT 
(Miles/Year)]])*1/454),"")</f>
        <v/>
      </c>
      <c r="R43" s="174" t="str">
        <f>IFERROR((Table7[[#This Row],[Annual PM2.5 Emissions 
(lbs/year)]]*Table7[[#This Row],[Project Life
(Years)]]),"")</f>
        <v/>
      </c>
      <c r="S43" s="174" t="str">
        <f>IF(AND(B43="Heavy Duty Truck",C43="Diesel"),'LCT - Heavy Duty'!$C$19,IF(AND(B43="Heavy Duty Truck",C43="Battery Electric"),'LCT - Heavy Duty'!$F$19,IF(AND(B43="Heavy Duty Truck",OR(C43="Natural Gas",C43="Propane")),'LCT - Heavy Duty'!$D$43,IF(AND(B43="Box Truck",C43="Gasoline"),'LCT - Light &amp; Light-Heavy Duty'!$C$19,IF(AND(B43="Box Truck",C43="Hybrid"),'LCT - Light &amp; Light-Heavy Duty'!$D$19,IF(AND(B43="Box Truck",C43="Plug-in Hybrid"),'LCT - Light &amp; Light-Heavy Duty'!$E$19,IF(AND(B43="Box Truck",C43="Battery Electric"),'LCT - Light &amp; Light-Heavy Duty'!$F$19,IF(AND(B43="Box Truck",C43="Fuel Cell Electric"),'LCT - Light &amp; Light-Heavy Duty'!$G$19,IF(AND(B43="Van",C43="Gasoline"),'LCT - Light &amp; Light-Heavy Duty'!$C$14,IF(AND(B43="Van",C43="Hybrid"),'LCT - Light &amp; Light-Heavy Duty'!$D$14,IF(AND(B43="Van",C43="Plug-in Hybrid"),'LCT - Light &amp; Light-Heavy Duty'!$E$14,IF(AND(B43="Van",'Interim Water Delivery Inputs'!F50="Battery Electric"),'LCT - Light &amp; Light-Heavy Duty'!$F$14,IF(AND(B43="Van",C43="Fuel Cell Electric"),'LCT - Light &amp; Light-Heavy Duty'!$G$14,IF(AND(B43="Sedan",C43="Gasoline"),'LCT - Light &amp; Light-Heavy Duty'!$C$27,IF(AND(B43="Sedan",C43="Hybrid"),'LCT - Light &amp; Light-Heavy Duty'!$D$27,IF(AND(B43="Sedan",C43="Plug-in Hybrid"),'LCT - Light &amp; Light-Heavy Duty'!$D$27,IF(AND(B43="Sedan",'Interim Water Delivery Inputs'!F50="Battery Electric"),'LCT - Light &amp; Light-Heavy Duty'!$E$27,IF(AND(B43="Sedan",C43="Fuel Cell Electric"),'LCT - Light &amp; Light-Heavy Duty'!$F$27,""))))))))))))))))))</f>
        <v/>
      </c>
      <c r="T43" s="174" t="str">
        <f>IFERROR(((Table7[[#This Row],[Diesel PM Emission Factor
(g/mi)]]*Table7[[#This Row],[Total Annual VMT 
(Miles/Year)]])*1/454),"")</f>
        <v/>
      </c>
      <c r="U43" s="186" t="str">
        <f>IFERROR((Table7[[#This Row],[Annual Diesel PM Emissions 
(lbs/year)]]*Table7[[#This Row],[Project Life
(Years)]]),"")</f>
        <v/>
      </c>
      <c r="V43" s="186" t="str">
        <f>IF(Table7[[#This Row],[Fuel Type]]="Diesel",Defaults!$C$42,IF(Table7[[#This Row],[Fuel Type]]="Natural Gas",Defaults!$C$42*'Fuel-Specific GHG'!C70,IF(Table7[[#This Row],[Fuel Type]]="Propane",Defaults!$C$42*'Fuel-Specific GHG'!C70,IF(AND(Table7[[#This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43"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43" s="583">
        <f>IF(OR(Table7[[#This Row],[Fuel Type]]="Diesel",Table7[[#This Row],[Fuel Type]]="Gasoline",Table7[[#This Row],[Fuel Type]]="Hybrid",Table7[[#This Row],[Fuel Type]]="Plug-in Hybrid",Table7[[#This Row],[Fuel Type]]="Natural Gas",Table7[[#This Row],[Fuel Type]]="Propane"),Table7[[#This Row],[Fuel Use 
(gal, Kwh, or kg)]],0)</f>
        <v>0</v>
      </c>
      <c r="Y43"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43" s="26">
        <f>IF(B43=0,0,IF('Project Info'!$C$33="",2023,YEAR('Project Info'!$C$33)))</f>
        <v>0</v>
      </c>
      <c r="AA43" s="193">
        <f>'Interim Water Delivery Inputs'!N50*Table7[[#This Row],[Project Life
(Years)]]</f>
        <v>0</v>
      </c>
      <c r="AB43" s="193">
        <f>Table7[[#This Row],[Column2]]*Defaults!$C$59*12</f>
        <v>0</v>
      </c>
      <c r="AC43" s="193">
        <f>Table7[[#This Row],[Column3]]*Defaults!$C$58</f>
        <v>0</v>
      </c>
      <c r="AD43" s="193">
        <f>IF(B43=0,0,Table7[[#This Row],[Column4]]*VLOOKUP(Table7[[#This Row],[Column1]],'Passenger Auto C&amp;T'!$B$45:$D$80,3,FALSE))</f>
        <v>0</v>
      </c>
      <c r="AE43" s="589">
        <f>Table7[[#This Row],[Column42]]*'Fuel Prices'!$C$11</f>
        <v>0</v>
      </c>
      <c r="AF43" s="590">
        <f>IF(B43=0,0,VLOOKUP(Table7[[#This Row],[Column1]],'Passenger Auto GHG'!$B$46:$D$81,3,FALSE))</f>
        <v>0</v>
      </c>
      <c r="AG43" s="591">
        <f>Table7[[#This Row],[Column5]]*Table7[[#This Row],[Column4]]/1000000</f>
        <v>0</v>
      </c>
      <c r="AH43" s="592">
        <f>IF(B43=0,0,VLOOKUP(Table7[[#This Row],[Column1]],'Passenger Auto C&amp;T'!$B$45:$L$80,4,FALSE))</f>
        <v>0</v>
      </c>
      <c r="AI43" s="593">
        <f>IF(B43=0,0,VLOOKUP(Table7[[#This Row],[Column1]],'Passenger Auto C&amp;T'!$B$45:$L$80,5,FALSE))</f>
        <v>0</v>
      </c>
      <c r="AJ43" s="593">
        <f>IF(B43=0,0,SUM(VLOOKUP(Table7[[#This Row],[Column1]],'Passenger Auto C&amp;T'!$B$45:$L$80,6,FALSE),VLOOKUP(Table7[[#This Row],[Column1]],'Passenger Auto C&amp;T'!$B$45:$L$80,7,FALSE),VLOOKUP(Table7[[#This Row],[Column1]],'Passenger Auto C&amp;T'!$B$45:$L$80,8,FALSE)))</f>
        <v>0</v>
      </c>
      <c r="AK43" s="594">
        <f>IF(B43=0,0,VLOOKUP(Table7[[#This Row],[Column1]],'Passenger Auto C&amp;T'!$B$45:$L$80,10,FALSE))</f>
        <v>0</v>
      </c>
      <c r="AL43" s="592">
        <f>Table7[[#This Row],[Column4]]*Table7[[#This Row],[Column7]]*0.00220462</f>
        <v>0</v>
      </c>
      <c r="AM43" s="593">
        <f>Table7[[#This Row],[Column4]]*Table7[[#This Row],[Column8]]*0.00220462</f>
        <v>0</v>
      </c>
      <c r="AN43" s="593">
        <f>Table7[[#This Row],[Column4]]*Table7[[#This Row],[Column9]]*0.00220462</f>
        <v>0</v>
      </c>
      <c r="AO43" s="595">
        <f>Table7[[#This Row],[Column4]]*Table7[[#This Row],[Column10]]*0.00220462</f>
        <v>0</v>
      </c>
      <c r="AP43" s="592">
        <f>IF(B43=0,0,Table7[[#This Row],[Column6]]-Table7[[#This Row],[Total Transportation GHG Emissions 
(MTCO2e)]])</f>
        <v>0</v>
      </c>
      <c r="AQ43" s="593">
        <f>IF(B43=0,0,Table7[[#This Row],[Column11]]-Table7[[#This Row],[Total ROG Emissions 
(lbs)]])</f>
        <v>0</v>
      </c>
      <c r="AR43" s="593">
        <f>IF(B43=0,0,Table7[[#This Row],[Column12]]-Table7[[#This Row],[Total NOx Emissions 
(lbs)]])</f>
        <v>0</v>
      </c>
      <c r="AS43" s="593">
        <f>IF(B43=0,0,Table7[[#This Row],[Column13]]-Table7[[#This Row],[Total PM2.5 Emissions 
(lbs)]])</f>
        <v>0</v>
      </c>
      <c r="AT43" s="596">
        <f>IF(B43=0,0,Table7[[#This Row],[Column14]]-Table7[[#This Row],[Total Diesel PM Emissions 
(lbs)]])</f>
        <v>0</v>
      </c>
      <c r="AU43" s="588">
        <f>IF(B43=0,0,Table7[[#This Row],[Column42]]-Table7[[#This Row],[Fuel Use 
(gal)]])</f>
        <v>0</v>
      </c>
      <c r="AV43" s="597">
        <f>IF(B43=0,0,Table7[[#This Row],[Column43]]-Table7[[#This Row],[Fuel Cost ($)]])</f>
        <v>0</v>
      </c>
    </row>
    <row r="44" spans="2:48" s="2" customFormat="1" ht="16" thickBot="1" x14ac:dyDescent="0.4">
      <c r="B44" s="588">
        <f>'Interim Water Delivery Inputs'!D51</f>
        <v>0</v>
      </c>
      <c r="C44" s="580">
        <f>'Interim Water Delivery Inputs'!F51</f>
        <v>0</v>
      </c>
      <c r="D44" s="580">
        <f>'Interim Water Delivery Inputs'!H51</f>
        <v>0</v>
      </c>
      <c r="E44" s="581">
        <f>IF('Interim Water Delivery Inputs'!B51="",0,(IF('Interim Water Delivery Inputs'!J51="",(Defaults!$H$15*Table7[[#This Row],[Number of Identical Vehicles]]),'Interim Water Delivery Inputs'!J51)))</f>
        <v>0</v>
      </c>
      <c r="F44" s="581">
        <f>'Interim Water Delivery Inputs'!L51</f>
        <v>0</v>
      </c>
      <c r="G44" s="582" t="str">
        <f>IF(AND(B44="Heavy Duty Truck",C44="Diesel"),'LCT - Heavy Duty'!$C$15,IF(AND(B44="Heavy Duty Truck",C44="Battery Electric"),'LCT - Heavy Duty'!$F$15,IF(AND(B44="Heavy Duty Truck",OR(C44="Natural Gas",C44="Propane")),'LCT - Heavy Duty'!$D$39,IF(AND(B44="Box Truck",C44="Gasoline"),'LCT - Light &amp; Light-Heavy Duty'!$C$15,IF(AND(B44="Box Truck",C44="Hybrid"),'LCT - Light &amp; Light-Heavy Duty'!$D$15,IF(AND(B44="Box Truck",C44="Plug-in Hybrid"),'LCT - Light &amp; Light-Heavy Duty'!$E$15,IF(AND(B44="Box Truck",C44="Battery Electric"),'LCT - Light &amp; Light-Heavy Duty'!$F$15,IF(AND(B44="Box Truck",C44="Fuel Cell Electric"),'LCT - Light &amp; Light-Heavy Duty'!$G$15,IF(AND(B44="Van",C44="Gasoline"),'LCT - Light &amp; Light-Heavy Duty'!$C$10,IF(AND(B44="Van",C44="Hybrid"),'LCT - Light &amp; Light-Heavy Duty'!$D$10,IF(AND(B44="Van",C44="Plug-in Hybrid"),'LCT - Light &amp; Light-Heavy Duty'!$E$10,IF(AND(B44="Van",'Interim Water Delivery Inputs'!F51="Battery Electric"),'LCT - Light &amp; Light-Heavy Duty'!$F$10,IF(AND(B44="Van",C44="Fuel Cell Electric"),'LCT - Light &amp; Light-Heavy Duty'!$G$10,IF(AND(B44="Sedan",C44="Gasoline"),'LCT - Light &amp; Light-Heavy Duty'!$C$23,IF(AND(B44="Sedan",C44="Hybrid"),'LCT - Light &amp; Light-Heavy Duty'!$D$23,IF(AND(B44="Sedan",C44="Plug-in Hybrid"),'LCT - Light &amp; Light-Heavy Duty'!$D$23,IF(AND(B44="Sedan",'Interim Water Delivery Inputs'!F51="Battery Electric"),'LCT - Light &amp; Light-Heavy Duty'!$E$23,IF(AND(B44="Sedan",C44="Fuel Cell Electric"),'LCT - Light &amp; Light-Heavy Duty'!$F$23,""))))))))))))))))))</f>
        <v/>
      </c>
      <c r="H44" s="582" t="str">
        <f>IFERROR(((Table7[[#This Row],[GHG Emission Factor 
(g CO2e/mi)]]*Table7[[#This Row],[Total Annual VMT 
(Miles/Year)]])*1/1000000),"")</f>
        <v/>
      </c>
      <c r="I44" s="582" t="str">
        <f>IFERROR(Table7[[#This Row],[Annual Transportation GHG Emissions 
(MTCO2e/Year)]]*Table7[[#This Row],[Project Life
(Years)]],"")</f>
        <v/>
      </c>
      <c r="J44" s="582" t="str">
        <f>IF(AND(B44="Heavy Duty Truck",C44="Diesel"),'LCT - Heavy Duty'!$C$16,IF(AND(B44="Heavy Duty Truck",C44="Battery Electric"),'LCT - Heavy Duty'!$F$16,IF(AND(B44="Heavy Duty Truck",OR(C44="Natural Gas",C44="Propane")),'LCT - Heavy Duty'!$D$40,IF(AND(B44="Box Truck",C44="Gasoline"),'LCT - Light &amp; Light-Heavy Duty'!$C$16,IF(AND(B44="Box Truck",C44="Hybrid"),'LCT - Light &amp; Light-Heavy Duty'!$D$16,IF(AND(B44="Box Truck",C44="Plug-in Hybrid"),'LCT - Light &amp; Light-Heavy Duty'!$E$16,IF(AND(B44="Box Truck",C44="Battery Electric"),'LCT - Light &amp; Light-Heavy Duty'!$F$16,IF(AND(B44="Box Truck",C44="Fuel Cell Electric"),'LCT - Light &amp; Light-Heavy Duty'!$G$16,IF(AND(B44="Van",C44="Gasoline"),'LCT - Light &amp; Light-Heavy Duty'!$C$11,IF(AND(B44="Van",C44="Hybrid"),'LCT - Light &amp; Light-Heavy Duty'!$D$11,IF(AND(B44="Van",C44="Plug-in Hybrid"),'LCT - Light &amp; Light-Heavy Duty'!$E$11,IF(AND(B44="Van",'Interim Water Delivery Inputs'!F51="Battery Electric"),'LCT - Light &amp; Light-Heavy Duty'!$F$11,IF(AND(B44="Van",C44="Fuel Cell Electric"),'LCT - Light &amp; Light-Heavy Duty'!$G$11,IF(AND(B44="Sedan",C44="Gasoline"),'LCT - Light &amp; Light-Heavy Duty'!$C$24,IF(AND(B44="Sedan",C44="Hybrid"),'LCT - Light &amp; Light-Heavy Duty'!$D$24,IF(AND(B44="Sedan",C44="Plug-in Hybrid"),'LCT - Light &amp; Light-Heavy Duty'!$D$24,IF(AND(B44="Sedan",'Interim Water Delivery Inputs'!F51="Battery Electric"),'LCT - Light &amp; Light-Heavy Duty'!$E$24,IF(AND(B44="Sedan",C44="Fuel Cell Electric"),'LCT - Light &amp; Light-Heavy Duty'!$F$24,""))))))))))))))))))</f>
        <v/>
      </c>
      <c r="K44" s="582" t="str">
        <f>IFERROR(((Table7[[#This Row],[ROG Emission Factor
(g/mi)]]*Table7[[#This Row],[Total Annual VMT 
(Miles/Year)]])*1/454),"")</f>
        <v/>
      </c>
      <c r="L44" s="174" t="str">
        <f>IFERROR((Table7[[#This Row],[Annual ROG Emissions 
(lbs/year)]]*Table7[[#This Row],[Project Life
(Years)]]),"")</f>
        <v/>
      </c>
      <c r="M44" s="582" t="str">
        <f>IF(AND(B44="Heavy Duty Truck",C44="Diesel"),'LCT - Heavy Duty'!$C$17,IF(AND(B44="Heavy Duty Truck",C44="Battery Electric"),'LCT - Heavy Duty'!$F$17,IF(AND(B44="Heavy Duty Truck",OR(C44="Natural Gas",C44="Propane")),'LCT - Heavy Duty'!$D$41,IF(AND(B44="Box Truck",C44="Gasoline"),'LCT - Light &amp; Light-Heavy Duty'!$C$17,IF(AND(B44="Box Truck",C44="Hybrid"),'LCT - Light &amp; Light-Heavy Duty'!$D$17,IF(AND(B44="Box Truck",C44="Plug-in Hybrid"),'LCT - Light &amp; Light-Heavy Duty'!$E$17,IF(AND(B44="Box Truck",C44="Battery Electric"),'LCT - Light &amp; Light-Heavy Duty'!$F$17,IF(AND(B44="Box Truck",C44="Fuel Cell Electric"),'LCT - Light &amp; Light-Heavy Duty'!$G$17,IF(AND(B44="Van",C44="Gasoline"),'LCT - Light &amp; Light-Heavy Duty'!$C$12,IF(AND(B44="Van",C44="Hybrid"),'LCT - Light &amp; Light-Heavy Duty'!$D$12,IF(AND(B44="Van",C44="Plug-in Hybrid"),'LCT - Light &amp; Light-Heavy Duty'!$E$12,IF(AND(B44="Van",'Interim Water Delivery Inputs'!F51="Battery Electric"),'LCT - Light &amp; Light-Heavy Duty'!$F$12,IF(AND(B44="Van",C44="Fuel Cell Electric"),'LCT - Light &amp; Light-Heavy Duty'!$G$12,IF(AND(B44="Sedan",C44="Gasoline"),'LCT - Light &amp; Light-Heavy Duty'!$C$25,IF(AND(B44="Sedan",C44="Hybrid"),'LCT - Light &amp; Light-Heavy Duty'!$D$25,IF(AND(B44="Sedan",C44="Plug-in Hybrid"),'LCT - Light &amp; Light-Heavy Duty'!$D$25,IF(AND(B44="Sedan",'Interim Water Delivery Inputs'!F51="Battery Electric"),'LCT - Light &amp; Light-Heavy Duty'!$E$25,IF(AND(B44="Sedan",C44="Fuel Cell Electric"),'LCT - Light &amp; Light-Heavy Duty'!$F$25,""))))))))))))))))))</f>
        <v/>
      </c>
      <c r="N44" s="174" t="str">
        <f>IFERROR(((Table7[[#This Row],[NOx Emission Factor
(g/mi)]]*Table7[[#This Row],[Total Annual VMT 
(Miles/Year)]])*1/454),"")</f>
        <v/>
      </c>
      <c r="O44" s="174" t="str">
        <f>IFERROR((Table7[[#This Row],[Annual NOx Emissions 
(lbs/year)]]*Table7[[#This Row],[Project Life
(Years)]]),"")</f>
        <v/>
      </c>
      <c r="P44" s="174" t="str">
        <f>IF(AND(B44="Heavy Duty Truck",C44="Diesel"),'LCT - Heavy Duty'!$C$18,IF(AND(B44="Heavy Duty Truck",C44="Battery Electric"),'LCT - Heavy Duty'!$F$18,IF(AND(B44="Heavy Duty Truck",OR(C44="Natural Gas",C44="Propane")),'LCT - Heavy Duty'!$D$42,IF(AND(B44="Box Truck",C44="Gasoline"),'LCT - Light &amp; Light-Heavy Duty'!$C$18,IF(AND(B44="Box Truck",C44="Hybrid"),'LCT - Light &amp; Light-Heavy Duty'!$D$18,IF(AND(B44="Box Truck",C44="Plug-in Hybrid"),'LCT - Light &amp; Light-Heavy Duty'!$E$18,IF(AND(B44="Box Truck",C44="Battery Electric"),'LCT - Light &amp; Light-Heavy Duty'!$F$18,IF(AND(B44="Box Truck",C44="Fuel Cell Electric"),'LCT - Light &amp; Light-Heavy Duty'!$G$18,IF(AND(B44="Van",C44="Gasoline"),'LCT - Light &amp; Light-Heavy Duty'!$C$13,IF(AND(B44="Van",C44="Hybrid"),'LCT - Light &amp; Light-Heavy Duty'!$D$13,IF(AND(B44="Van",C44="Plug-in Hybrid"),'LCT - Light &amp; Light-Heavy Duty'!$E$13,IF(AND(B44="Van",'Interim Water Delivery Inputs'!F51="Battery Electric"),'LCT - Light &amp; Light-Heavy Duty'!$F$13,IF(AND(B44="Van",C44="Fuel Cell Electric"),'LCT - Light &amp; Light-Heavy Duty'!$G$13,IF(AND(B44="Sedan",C44="Gasoline"),'LCT - Light &amp; Light-Heavy Duty'!$C$26,IF(AND(B44="Sedan",C44="Hybrid"),'LCT - Light &amp; Light-Heavy Duty'!$D$26,IF(AND(B44="Sedan",C44="Plug-in Hybrid"),'LCT - Light &amp; Light-Heavy Duty'!$D$26,IF(AND(B44="Sedan",'Interim Water Delivery Inputs'!F51="Battery Electric"),'LCT - Light &amp; Light-Heavy Duty'!$E$26,IF(AND(B44="Sedan",C44="Fuel Cell Electric"),'LCT - Light &amp; Light-Heavy Duty'!$F$26,""))))))))))))))))))</f>
        <v/>
      </c>
      <c r="Q44" s="174" t="str">
        <f>IFERROR(((Table7[[#This Row],[PM2.5 Emission Factor
(g/mi)]]*Table7[[#This Row],[Total Annual VMT 
(Miles/Year)]])*1/454),"")</f>
        <v/>
      </c>
      <c r="R44" s="174" t="str">
        <f>IFERROR((Table7[[#This Row],[Annual PM2.5 Emissions 
(lbs/year)]]*Table7[[#This Row],[Project Life
(Years)]]),"")</f>
        <v/>
      </c>
      <c r="S44" s="174" t="str">
        <f>IF(AND(B44="Heavy Duty Truck",C44="Diesel"),'LCT - Heavy Duty'!$C$19,IF(AND(B44="Heavy Duty Truck",C44="Battery Electric"),'LCT - Heavy Duty'!$F$19,IF(AND(B44="Heavy Duty Truck",OR(C44="Natural Gas",C44="Propane")),'LCT - Heavy Duty'!$D$43,IF(AND(B44="Box Truck",C44="Gasoline"),'LCT - Light &amp; Light-Heavy Duty'!$C$19,IF(AND(B44="Box Truck",C44="Hybrid"),'LCT - Light &amp; Light-Heavy Duty'!$D$19,IF(AND(B44="Box Truck",C44="Plug-in Hybrid"),'LCT - Light &amp; Light-Heavy Duty'!$E$19,IF(AND(B44="Box Truck",C44="Battery Electric"),'LCT - Light &amp; Light-Heavy Duty'!$F$19,IF(AND(B44="Box Truck",C44="Fuel Cell Electric"),'LCT - Light &amp; Light-Heavy Duty'!$G$19,IF(AND(B44="Van",C44="Gasoline"),'LCT - Light &amp; Light-Heavy Duty'!$C$14,IF(AND(B44="Van",C44="Hybrid"),'LCT - Light &amp; Light-Heavy Duty'!$D$14,IF(AND(B44="Van",C44="Plug-in Hybrid"),'LCT - Light &amp; Light-Heavy Duty'!$E$14,IF(AND(B44="Van",'Interim Water Delivery Inputs'!F51="Battery Electric"),'LCT - Light &amp; Light-Heavy Duty'!$F$14,IF(AND(B44="Van",C44="Fuel Cell Electric"),'LCT - Light &amp; Light-Heavy Duty'!$G$14,IF(AND(B44="Sedan",C44="Gasoline"),'LCT - Light &amp; Light-Heavy Duty'!$C$27,IF(AND(B44="Sedan",C44="Hybrid"),'LCT - Light &amp; Light-Heavy Duty'!$D$27,IF(AND(B44="Sedan",C44="Plug-in Hybrid"),'LCT - Light &amp; Light-Heavy Duty'!$D$27,IF(AND(B44="Sedan",'Interim Water Delivery Inputs'!F51="Battery Electric"),'LCT - Light &amp; Light-Heavy Duty'!$E$27,IF(AND(B44="Sedan",C44="Fuel Cell Electric"),'LCT - Light &amp; Light-Heavy Duty'!$F$27,""))))))))))))))))))</f>
        <v/>
      </c>
      <c r="T44" s="174" t="str">
        <f>IFERROR(((Table7[[#This Row],[Diesel PM Emission Factor
(g/mi)]]*Table7[[#This Row],[Total Annual VMT 
(Miles/Year)]])*1/454),"")</f>
        <v/>
      </c>
      <c r="U44" s="186" t="str">
        <f>IFERROR((Table7[[#This Row],[Annual Diesel PM Emissions 
(lbs/year)]]*Table7[[#This Row],[Project Life
(Years)]]),"")</f>
        <v/>
      </c>
      <c r="V44" s="186" t="str">
        <f>IF(Table7[[#This Row],[Fuel Type]]="Diesel",Defaults!$C$42,IF(Table7[[#This Row],[Fuel Type]]="Natural Gas",Defaults!$C$42*'Fuel-Specific GHG'!C71,IF(Table7[[#This Row],[Fuel Type]]="Propane",Defaults!$C$42*'Fuel-Specific GHG'!C71,IF(AND(Table7[[#This Row],[New Vehicle Type 
(select from options)]]="Box Truck",Table7[[#This Row],[Fuel Type]]="Gasoline"),Defaults!$D$43,IF(AND(Table7[[#This Row],[New Vehicle Type 
(select from options)]]="Box Truck",Table7[[#This Row],[Fuel Type]]="Hybrid"),Defaults!$E$43,IF(AND(Table7[[#This Row],[New Vehicle Type 
(select from options)]]="Box Truck",Table7[[#This Row],[Fuel Type]]="Plug-in Hybrid"),Defaults!$F$43,IF(AND(Table7[[#This Row],[New Vehicle Type 
(select from options)]]="Box Truck",Table7[[#This Row],[Fuel Type]]="Battery Electric"),Defaults!$G$43,IF(AND(Table7[[#This Row],[New Vehicle Type 
(select from options)]]="Box Truck",Table7[[#This Row],[Fuel Type]]="Fuel Cell Electric"),Defaults!$H$43,IF(AND(Table7[[#This Row],[New Vehicle Type 
(select from options)]]="Van",Table7[[#This Row],[Fuel Type]]="Gasoline"),Defaults!$D$44,IF(AND(Table7[[#This Row],[New Vehicle Type 
(select from options)]]="Van",Table7[[#This Row],[Fuel Type]]="Hybrid"),Defaults!$E$44,IF(AND(Table7[[#This Row],[New Vehicle Type 
(select from options)]]="Van",Table7[[#This Row],[Fuel Type]]="Plug-in Hybrid"),Defaults!$F$44,IF(AND(Table7[[#This Row],[New Vehicle Type 
(select from options)]]="Van",Table7[[#This Row],[Fuel Type]]="Battery Electric"),Defaults!$G$44,IF(AND(Table7[[#This Row],[New Vehicle Type 
(select from options)]]="Van",Table7[[#This Row],[Fuel Type]]="Fuel Cell Electric"),Defaults!$H$43,IF(AND(Table7[[#This Row],[New Vehicle Type 
(select from options)]]="Sedan",Table7[[#This Row],[Fuel Type]]="Gasoline"),Defaults!$D$45,IF(AND(Table7[[#This Row],[New Vehicle Type 
(select from options)]]="Sedan",Table7[[#This Row],[Fuel Type]]="Hybrid"),Defaults!$E$45,IF(AND(Table7[[#This Row],[New Vehicle Type 
(select from options)]]="Sedan",Table7[[#This Row],[Fuel Type]]="Plug-in Hybrid"),Defaults!$F$45,IF(AND(Table7[[#This Row],[New Vehicle Type 
(select from options)]]="Sedan",Table7[[#This Row],[Fuel Type]]="Battery Electric"),Defaults!$G$45,IF(AND(Table7[[#This Row],[New Vehicle Type 
(select from options)]]="Sedan",Table7[[#This Row],[Fuel Type]]="Fuel Cell Electric"),Defaults!$H$45,""))))))))))))))))))</f>
        <v/>
      </c>
      <c r="W44" s="583" t="str">
        <f>IF(Table7[[#This Row],[New Vehicle Type 
(select from options)]]=0,"",IF(Table7[[#This Row],[Fuel Type]]="Plug-in Hybrid",(0.6*Table7[[#This Row],[Total Annual VMT 
(Miles/Year)]]/Table7[[#This Row],[Fuel Economy
( mi /
gal, kWh, or kg )]])*Table7[[#This Row],[Project Life
(Years)]],(Table7[[#This Row],[Total Annual VMT 
(Miles/Year)]]/Table7[[#This Row],[Fuel Economy
( mi /
gal, kWh, or kg )]])*Table7[[#This Row],[Project Life
(Years)]]))</f>
        <v/>
      </c>
      <c r="X44" s="583">
        <f>IF(OR(Table7[[#This Row],[Fuel Type]]="Diesel",Table7[[#This Row],[Fuel Type]]="Gasoline",Table7[[#This Row],[Fuel Type]]="Hybrid",Table7[[#This Row],[Fuel Type]]="Plug-in Hybrid",Table7[[#This Row],[Fuel Type]]="Natural Gas",Table7[[#This Row],[Fuel Type]]="Propane"),Table7[[#This Row],[Fuel Use 
(gal, Kwh, or kg)]],0)</f>
        <v>0</v>
      </c>
      <c r="Y44" s="584" t="str">
        <f>IFERROR(Table7[[#This Row],[Fuel Use 
(gal, Kwh, or kg)]]*(IF(Table7[[#This Row],[Fuel Type]]="Diesel",Defaults!$C$31,IF(Table7[[#This Row],[Fuel Type]]="Gasoline",Defaults!$C$32,IF(Table7[[#This Row],[Fuel Type]]="Hybrid",Defaults!$C$32,IF(Table7[[#This Row],[Fuel Type]]="Plug-in Hybrid",Defaults!$C$32,IF(Table7[[#This Row],[Fuel Type]]="Battery Electric",Defaults!$C$33,IF(Table7[[#This Row],[Fuel Type]]="Natural Gas",'Fuel Prices'!$C$14,IF(Table7[[#This Row],[Fuel Type]]="Propane",'Fuel Prices'!$C$16,IF(Table7[[#This Row],[Fuel Type]]="Fuel Cell Electric",Defaults!$C$33,0))))))))),"")</f>
        <v/>
      </c>
      <c r="Z44" s="598">
        <f>IF(B44=0,0,IF('Project Info'!$C$33="",2023,YEAR('Project Info'!$C$33)))</f>
        <v>0</v>
      </c>
      <c r="AA44" s="599">
        <f>'Interim Water Delivery Inputs'!N51*Table7[[#This Row],[Project Life
(Years)]]</f>
        <v>0</v>
      </c>
      <c r="AB44" s="599">
        <f>Table7[[#This Row],[Column2]]*Defaults!$C$59*12</f>
        <v>0</v>
      </c>
      <c r="AC44" s="599">
        <f>Table7[[#This Row],[Column3]]*Defaults!$C$58</f>
        <v>0</v>
      </c>
      <c r="AD44" s="599">
        <f>IF(B44=0,0,Table7[[#This Row],[Column4]]*VLOOKUP(Table7[[#This Row],[Column1]],'Passenger Auto C&amp;T'!$B$45:$D$80,3,FALSE))</f>
        <v>0</v>
      </c>
      <c r="AE44" s="600">
        <f>Table7[[#This Row],[Column42]]*'Fuel Prices'!$C$11</f>
        <v>0</v>
      </c>
      <c r="AF44" s="601">
        <f>IF(B44=0,0,VLOOKUP(Table7[[#This Row],[Column1]],'Passenger Auto GHG'!$B$46:$D$81,3,FALSE))</f>
        <v>0</v>
      </c>
      <c r="AG44" s="602">
        <f>Table7[[#This Row],[Column5]]*Table7[[#This Row],[Column4]]/1000000</f>
        <v>0</v>
      </c>
      <c r="AH44" s="603">
        <f>IF(B44=0,0,VLOOKUP(Table7[[#This Row],[Column1]],'Passenger Auto C&amp;T'!$B$45:$L$80,4,FALSE))</f>
        <v>0</v>
      </c>
      <c r="AI44" s="604">
        <f>IF(B44=0,0,VLOOKUP(Table7[[#This Row],[Column1]],'Passenger Auto C&amp;T'!$B$45:$L$80,5,FALSE))</f>
        <v>0</v>
      </c>
      <c r="AJ44" s="604">
        <f>IF(B44=0,0,SUM(VLOOKUP(Table7[[#This Row],[Column1]],'Passenger Auto C&amp;T'!$B$45:$L$80,6,FALSE),VLOOKUP(Table7[[#This Row],[Column1]],'Passenger Auto C&amp;T'!$B$45:$L$80,7,FALSE),VLOOKUP(Table7[[#This Row],[Column1]],'Passenger Auto C&amp;T'!$B$45:$L$80,8,FALSE)))</f>
        <v>0</v>
      </c>
      <c r="AK44" s="605">
        <f>IF(B44=0,0,VLOOKUP(Table7[[#This Row],[Column1]],'Passenger Auto C&amp;T'!$B$45:$L$80,10,FALSE))</f>
        <v>0</v>
      </c>
      <c r="AL44" s="603">
        <f>Table7[[#This Row],[Column4]]*Table7[[#This Row],[Column7]]*0.00220462</f>
        <v>0</v>
      </c>
      <c r="AM44" s="604">
        <f>Table7[[#This Row],[Column4]]*Table7[[#This Row],[Column8]]*0.00220462</f>
        <v>0</v>
      </c>
      <c r="AN44" s="604">
        <f>Table7[[#This Row],[Column4]]*Table7[[#This Row],[Column9]]*0.00220462</f>
        <v>0</v>
      </c>
      <c r="AO44" s="606">
        <f>Table7[[#This Row],[Column4]]*Table7[[#This Row],[Column10]]*0.00220462</f>
        <v>0</v>
      </c>
      <c r="AP44" s="603">
        <f>IF(B44=0,0,Table7[[#This Row],[Column6]]-Table7[[#This Row],[Total Transportation GHG Emissions 
(MTCO2e)]])</f>
        <v>0</v>
      </c>
      <c r="AQ44" s="604">
        <f>IF(B44=0,0,Table7[[#This Row],[Column11]]-Table7[[#This Row],[Total ROG Emissions 
(lbs)]])</f>
        <v>0</v>
      </c>
      <c r="AR44" s="604">
        <f>IF(B44=0,0,Table7[[#This Row],[Column12]]-Table7[[#This Row],[Total NOx Emissions 
(lbs)]])</f>
        <v>0</v>
      </c>
      <c r="AS44" s="604">
        <f>IF(B44=0,0,Table7[[#This Row],[Column13]]-Table7[[#This Row],[Total PM2.5 Emissions 
(lbs)]])</f>
        <v>0</v>
      </c>
      <c r="AT44" s="607">
        <f>IF(B44=0,0,Table7[[#This Row],[Column14]]-Table7[[#This Row],[Total Diesel PM Emissions 
(lbs)]])</f>
        <v>0</v>
      </c>
      <c r="AU44" s="608">
        <f>IF(B44=0,0,Table7[[#This Row],[Column42]]-Table7[[#This Row],[Fuel Use 
(gal)]])</f>
        <v>0</v>
      </c>
      <c r="AV44" s="609">
        <f>IF(B44=0,0,Table7[[#This Row],[Column43]]-Table7[[#This Row],[Fuel Cost ($)]])</f>
        <v>0</v>
      </c>
    </row>
    <row r="45" spans="2:48" s="187" customFormat="1" thickBot="1" x14ac:dyDescent="0.35">
      <c r="B45" s="281" t="s">
        <v>163</v>
      </c>
      <c r="C45" s="282"/>
      <c r="D45" s="282"/>
      <c r="E45" s="296">
        <f>SUM(Table7[Total Annual VMT 
(Miles/Year)])</f>
        <v>0</v>
      </c>
      <c r="F45" s="282"/>
      <c r="G45" s="282"/>
      <c r="H45" s="283">
        <f>SUM(Table7[Annual Transportation GHG Emissions 
(MTCO2e/Year)])</f>
        <v>0</v>
      </c>
      <c r="I45" s="283">
        <f>SUM(Table7[Total Transportation GHG Emissions 
(MTCO2e)])</f>
        <v>0</v>
      </c>
      <c r="J45" s="283"/>
      <c r="K45" s="283">
        <f>SUM(Table7[Annual ROG Emissions 
(lbs/year)])</f>
        <v>0</v>
      </c>
      <c r="L45" s="283">
        <f>SUM(Table7[Total ROG Emissions 
(lbs)])</f>
        <v>0</v>
      </c>
      <c r="M45" s="283"/>
      <c r="N45" s="283">
        <f>SUM(Table7[Annual NOx Emissions 
(lbs/year)])</f>
        <v>0</v>
      </c>
      <c r="O45" s="283">
        <f>SUM(Table7[Total NOx Emissions 
(lbs)])</f>
        <v>0</v>
      </c>
      <c r="P45" s="283"/>
      <c r="Q45" s="283">
        <f>SUM(Table7[Annual PM2.5 Emissions 
(lbs/year)])</f>
        <v>0</v>
      </c>
      <c r="R45" s="283">
        <f>SUM(Table7[Total PM2.5 Emissions 
(lbs)])</f>
        <v>0</v>
      </c>
      <c r="S45" s="283"/>
      <c r="T45" s="283">
        <f>SUM(Table7[Annual Diesel PM Emissions 
(lbs/year)])</f>
        <v>0</v>
      </c>
      <c r="U45" s="283">
        <f>SUM(Table7[Total Diesel PM Emissions 
(lbs)])</f>
        <v>0</v>
      </c>
      <c r="V45" s="283"/>
      <c r="W45" s="296"/>
      <c r="X45" s="296">
        <f>SUM(Table7[Fuel Use 
(gal)])</f>
        <v>0</v>
      </c>
      <c r="Y45" s="610">
        <f>SUM(Table7[Fuel Cost ($)])</f>
        <v>0</v>
      </c>
      <c r="Z45" s="611">
        <f>SUM(Table7[Column1])</f>
        <v>0</v>
      </c>
      <c r="AA45" s="611">
        <f>SUM(Table7[Column2])</f>
        <v>0</v>
      </c>
      <c r="AB45" s="611">
        <f>SUM(Table7[Column3])</f>
        <v>0</v>
      </c>
      <c r="AC45" s="611">
        <f>SUM(Table7[Column4])</f>
        <v>0</v>
      </c>
      <c r="AD45" s="611">
        <f>SUM(Table7[Column42])</f>
        <v>0</v>
      </c>
      <c r="AE45" s="610">
        <f>SUM(Table7[Column43])</f>
        <v>0</v>
      </c>
      <c r="AF45" s="611">
        <f>SUM(Table7[Column5])</f>
        <v>0</v>
      </c>
      <c r="AG45" s="611">
        <f>SUM(Table7[Column6])</f>
        <v>0</v>
      </c>
      <c r="AH45" s="611">
        <f>SUM(Table7[Column7])</f>
        <v>0</v>
      </c>
      <c r="AI45" s="611">
        <f>SUM(Table7[Column8])</f>
        <v>0</v>
      </c>
      <c r="AJ45" s="611">
        <f>SUM(Table7[Column9])</f>
        <v>0</v>
      </c>
      <c r="AK45" s="611">
        <f>SUM(Table7[Column10])</f>
        <v>0</v>
      </c>
      <c r="AL45" s="611">
        <f>SUM(Table7[Column11])</f>
        <v>0</v>
      </c>
      <c r="AM45" s="611">
        <f>SUM(Table7[Column12])</f>
        <v>0</v>
      </c>
      <c r="AN45" s="611">
        <f>SUM(Table7[Column13])</f>
        <v>0</v>
      </c>
      <c r="AO45" s="611">
        <f>SUM(Table7[Column14])</f>
        <v>0</v>
      </c>
      <c r="AP45" s="611">
        <f>SUM(Table7[Column15])</f>
        <v>0</v>
      </c>
      <c r="AQ45" s="611">
        <f>SUM(Table7[Column16])</f>
        <v>0</v>
      </c>
      <c r="AR45" s="611">
        <f>SUM(Table7[Column17])</f>
        <v>0</v>
      </c>
      <c r="AS45" s="611">
        <f>SUM(Table7[Column18])</f>
        <v>0</v>
      </c>
      <c r="AT45" s="611">
        <f>SUM(Table7[Column19])</f>
        <v>0</v>
      </c>
      <c r="AU45" s="612">
        <f>SUM(AU12:AU44)</f>
        <v>0</v>
      </c>
      <c r="AV45" s="610">
        <f>SUM(AV12:AV44)</f>
        <v>0</v>
      </c>
    </row>
  </sheetData>
  <sheetProtection algorithmName="SHA-512" hashValue="hNSUf4z3GnD62vNKjOXAWSi2hLTnCpkDDa4Z/ViGfWyZuwxWnk6ViZpv3YacxK6+ZP5LolnwwAgUUFUM30yiGw==" saltValue="z23J5GR5zNNIFYBHhTObzQ==" spinCount="100000" sheet="1"/>
  <phoneticPr fontId="32" type="noConversion"/>
  <pageMargins left="0.7" right="0.7" top="0.75" bottom="0.75" header="0.3" footer="0.3"/>
  <pageSetup scale="10" orientation="portrait" r:id="rId1"/>
  <headerFooter>
    <oddFooter>&amp;L&amp;"Avenir LT Std 55 Roman,Regular"&amp;12FINAL June 1, 2022&amp;C&amp;"Avenir LT Std 55 Roman,Regular"&amp;12Page &amp;P of &amp;N&amp;R&amp;"Avenir LT Std 55 Roman,Regular"&amp;12&amp;A</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pageSetUpPr fitToPage="1"/>
  </sheetPr>
  <dimension ref="B1:V24"/>
  <sheetViews>
    <sheetView showGridLines="0" showWhiteSpace="0" zoomScaleNormal="100" workbookViewId="0">
      <selection activeCell="O16" sqref="O16"/>
    </sheetView>
  </sheetViews>
  <sheetFormatPr defaultColWidth="9.1796875" defaultRowHeight="14.5" x14ac:dyDescent="0.35"/>
  <cols>
    <col min="1" max="1" width="3.1796875" customWidth="1"/>
    <col min="2" max="2" width="22.453125" customWidth="1"/>
    <col min="3" max="3" width="20.453125" customWidth="1"/>
    <col min="4" max="4" width="19.1796875" customWidth="1"/>
    <col min="5" max="6" width="19.81640625" customWidth="1"/>
    <col min="7" max="7" width="20" customWidth="1"/>
    <col min="8" max="8" width="20.453125" customWidth="1"/>
    <col min="9" max="11" width="26.1796875" customWidth="1"/>
    <col min="12" max="12" width="18.453125" customWidth="1"/>
    <col min="13" max="13" width="29.7265625" customWidth="1"/>
    <col min="14" max="21" width="19.1796875" customWidth="1"/>
    <col min="22" max="22" width="21" customWidth="1"/>
    <col min="23" max="23" width="5.7265625" customWidth="1"/>
    <col min="24" max="24" width="55" customWidth="1"/>
    <col min="25" max="25" width="17.26953125" customWidth="1"/>
    <col min="26" max="26" width="24.26953125" customWidth="1"/>
    <col min="27" max="27" width="18.81640625" customWidth="1"/>
    <col min="28" max="28" width="16" customWidth="1"/>
    <col min="29" max="29" width="16.54296875" customWidth="1"/>
    <col min="30" max="30" width="11.81640625" customWidth="1"/>
    <col min="31" max="31" width="23.54296875" customWidth="1"/>
    <col min="32" max="33" width="20.26953125" customWidth="1"/>
    <col min="34" max="34" width="11.453125" customWidth="1"/>
    <col min="35" max="36" width="13.1796875" customWidth="1"/>
  </cols>
  <sheetData>
    <row r="1" spans="2:22" s="2" customFormat="1" ht="18" x14ac:dyDescent="0.4">
      <c r="D1" s="12" t="str">
        <f>'Read Me'!B1</f>
        <v>California Air Resources Board</v>
      </c>
      <c r="E1" s="11"/>
      <c r="F1" s="11"/>
      <c r="G1" s="14"/>
      <c r="H1" s="14"/>
      <c r="I1" s="14"/>
      <c r="J1" s="14"/>
      <c r="K1" s="14"/>
      <c r="L1" s="14"/>
    </row>
    <row r="2" spans="2:22" s="2" customFormat="1" ht="18" x14ac:dyDescent="0.4">
      <c r="D2" s="440"/>
      <c r="E2" s="11"/>
      <c r="F2" s="11"/>
      <c r="G2" s="14"/>
      <c r="H2" s="14"/>
      <c r="I2" s="14"/>
      <c r="J2" s="14"/>
      <c r="K2" s="14"/>
      <c r="L2" s="14"/>
    </row>
    <row r="3" spans="2:22" s="2" customFormat="1" ht="18" x14ac:dyDescent="0.4">
      <c r="D3" s="12" t="str">
        <f>'Read Me'!B3</f>
        <v>Benefits Calculator Tool</v>
      </c>
      <c r="E3" s="11"/>
      <c r="F3" s="11"/>
      <c r="G3" s="14"/>
      <c r="H3" s="14"/>
      <c r="I3" s="14"/>
      <c r="J3" s="14"/>
      <c r="K3" s="14"/>
      <c r="L3" s="14"/>
    </row>
    <row r="4" spans="2:22" s="2" customFormat="1" ht="18" x14ac:dyDescent="0.4">
      <c r="D4" s="20" t="str">
        <f>'Read Me'!B4</f>
        <v>Safe and Affordable Drinking Water</v>
      </c>
      <c r="E4" s="11"/>
      <c r="F4" s="11"/>
      <c r="G4" s="14"/>
      <c r="H4" s="14"/>
      <c r="I4" s="14"/>
      <c r="J4" s="14"/>
      <c r="K4" s="14"/>
      <c r="L4" s="14"/>
    </row>
    <row r="5" spans="2:22" s="2" customFormat="1" ht="18" x14ac:dyDescent="0.4">
      <c r="D5" s="20" t="str">
        <f>'Read Me'!B5</f>
        <v>(SADW) Fund</v>
      </c>
      <c r="E5" s="11"/>
      <c r="F5" s="11"/>
      <c r="G5" s="14"/>
      <c r="H5" s="14"/>
      <c r="I5" s="14"/>
      <c r="J5" s="14"/>
      <c r="K5" s="14"/>
      <c r="L5" s="14"/>
    </row>
    <row r="6" spans="2:22" s="2" customFormat="1" ht="18" x14ac:dyDescent="0.4">
      <c r="D6" s="12"/>
      <c r="E6" s="11"/>
      <c r="F6" s="11"/>
      <c r="G6" s="14"/>
      <c r="H6" s="14"/>
      <c r="I6" s="14"/>
      <c r="J6" s="14"/>
      <c r="K6" s="14"/>
      <c r="L6" s="14"/>
    </row>
    <row r="7" spans="2:22" s="2" customFormat="1" ht="18" x14ac:dyDescent="0.4">
      <c r="D7" s="12" t="str">
        <f>'Read Me'!B8</f>
        <v xml:space="preserve">California Climate Investments </v>
      </c>
      <c r="E7" s="11"/>
      <c r="F7" s="11"/>
      <c r="G7" s="14"/>
      <c r="H7" s="14"/>
      <c r="I7" s="14"/>
      <c r="J7" s="14"/>
      <c r="K7" s="14"/>
      <c r="L7" s="14"/>
    </row>
    <row r="8" spans="2:22" s="2" customFormat="1" ht="15.5" x14ac:dyDescent="0.35">
      <c r="D8" s="3"/>
      <c r="G8" s="3"/>
      <c r="H8" s="3"/>
      <c r="I8" s="3"/>
      <c r="J8" s="3"/>
      <c r="K8" s="3"/>
      <c r="L8" s="3"/>
    </row>
    <row r="9" spans="2:22" s="2" customFormat="1" ht="16" thickBot="1" x14ac:dyDescent="0.4">
      <c r="E9" s="3"/>
      <c r="F9" s="3"/>
      <c r="H9" s="3"/>
      <c r="I9" s="3"/>
      <c r="J9" s="3"/>
      <c r="K9" s="3"/>
      <c r="L9" s="3"/>
    </row>
    <row r="10" spans="2:22" s="2" customFormat="1" ht="78" thickBot="1" x14ac:dyDescent="0.4">
      <c r="B10" s="287" t="s">
        <v>213</v>
      </c>
      <c r="C10" s="285" t="s">
        <v>216</v>
      </c>
      <c r="D10" s="288" t="s">
        <v>212</v>
      </c>
      <c r="E10" s="280" t="s">
        <v>217</v>
      </c>
      <c r="F10" s="280" t="s">
        <v>218</v>
      </c>
      <c r="G10" s="280" t="s">
        <v>219</v>
      </c>
      <c r="H10" s="280" t="s">
        <v>220</v>
      </c>
      <c r="I10" s="285" t="s">
        <v>215</v>
      </c>
      <c r="J10" s="285" t="s">
        <v>222</v>
      </c>
      <c r="K10" s="285" t="s">
        <v>270</v>
      </c>
      <c r="L10" s="285" t="s">
        <v>211</v>
      </c>
      <c r="M10" s="288" t="s">
        <v>214</v>
      </c>
      <c r="N10" s="280" t="s">
        <v>225</v>
      </c>
      <c r="O10" s="280" t="s">
        <v>226</v>
      </c>
      <c r="P10" s="280" t="s">
        <v>227</v>
      </c>
      <c r="Q10" s="280" t="s">
        <v>228</v>
      </c>
      <c r="R10" s="280" t="s">
        <v>763</v>
      </c>
      <c r="S10" s="180" t="s">
        <v>161</v>
      </c>
      <c r="T10" s="180" t="s">
        <v>153</v>
      </c>
      <c r="U10" s="180" t="s">
        <v>156</v>
      </c>
      <c r="V10" s="286" t="s">
        <v>158</v>
      </c>
    </row>
    <row r="11" spans="2:22" s="2" customFormat="1" ht="78.5" hidden="1" thickTop="1" thickBot="1" x14ac:dyDescent="0.4">
      <c r="B11" s="287" t="s">
        <v>213</v>
      </c>
      <c r="C11" s="285" t="s">
        <v>216</v>
      </c>
      <c r="D11" s="288" t="s">
        <v>212</v>
      </c>
      <c r="E11" s="280" t="s">
        <v>217</v>
      </c>
      <c r="F11" s="280" t="s">
        <v>218</v>
      </c>
      <c r="G11" s="280" t="s">
        <v>219</v>
      </c>
      <c r="H11" s="280" t="s">
        <v>220</v>
      </c>
      <c r="I11" s="285" t="s">
        <v>215</v>
      </c>
      <c r="J11" s="285" t="s">
        <v>222</v>
      </c>
      <c r="K11" s="285" t="s">
        <v>270</v>
      </c>
      <c r="L11" s="285" t="s">
        <v>211</v>
      </c>
      <c r="M11" s="288" t="s">
        <v>214</v>
      </c>
      <c r="N11" s="280" t="s">
        <v>225</v>
      </c>
      <c r="O11" s="280" t="s">
        <v>226</v>
      </c>
      <c r="P11" s="280" t="s">
        <v>227</v>
      </c>
      <c r="Q11" s="280" t="s">
        <v>228</v>
      </c>
      <c r="R11" s="280" t="s">
        <v>763</v>
      </c>
      <c r="S11" s="180" t="s">
        <v>161</v>
      </c>
      <c r="T11" s="180" t="s">
        <v>153</v>
      </c>
      <c r="U11" s="180" t="s">
        <v>156</v>
      </c>
      <c r="V11" s="286" t="s">
        <v>158</v>
      </c>
    </row>
    <row r="12" spans="2:22" s="2" customFormat="1" ht="16" thickTop="1" x14ac:dyDescent="0.35">
      <c r="B12" s="185" t="str">
        <f>IF(ISBLANK('Energy Efficiency Inputs'!D19),"",'Energy Efficiency Inputs'!D19)</f>
        <v/>
      </c>
      <c r="C12" s="171" t="str">
        <f>IF(ISBLANK('Energy Efficiency Inputs'!F19),"",'Energy Efficiency Inputs'!F19)</f>
        <v/>
      </c>
      <c r="D12" s="171" t="str">
        <f>IFERROR((Table716[[#This Row],[Baseline Equipment Watts 
(Watts)]]/1000)*Table716[[#This Row],[Baseline Equipment Hours
(hr/yr)]]*Table716[[#This Row],[Quantity]],"")</f>
        <v/>
      </c>
      <c r="E12" s="171" t="str">
        <f>IFERROR(Table716[[#This Row],[Baseline Equipment Energy Use 
(kWh/yr)]]*'Grid Electricity'!$B$19,"")</f>
        <v/>
      </c>
      <c r="F12" s="172" t="str">
        <f>IFERROR(Table716[[#This Row],[Baseline Equipment Energy Use 
(kWh/yr)]]*'Grid Electricity'!$C$39,"")</f>
        <v/>
      </c>
      <c r="G12" s="173" t="str">
        <f>IFERROR(Table716[[#This Row],[Baseline Equipment Energy Use 
(kWh/yr)]]*'Grid Electricity'!$D$39,"")</f>
        <v/>
      </c>
      <c r="H12" s="173" t="str">
        <f>IFERROR(Table716[[#This Row],[Baseline Equipment Energy Use 
(kWh/yr)]]*'Grid Electricity'!$G$39,"")</f>
        <v/>
      </c>
      <c r="I12" s="173" t="str">
        <f>IF(ISBLANK('Energy Efficiency Inputs'!H19),"",'Energy Efficiency Inputs'!H19)</f>
        <v/>
      </c>
      <c r="J12" s="173" t="str">
        <f>IF(ISBLANK('Energy Efficiency Inputs'!J19),"",'Energy Efficiency Inputs'!J19)</f>
        <v/>
      </c>
      <c r="K12" s="173" t="str">
        <f>IF(ISBLANK('Energy Efficiency Inputs'!L19),"",'Energy Efficiency Inputs'!L19)</f>
        <v/>
      </c>
      <c r="L12" s="173" t="str">
        <f>IF(ISBLANK('Energy Efficiency Inputs'!N19),"",'Energy Efficiency Inputs'!N19)</f>
        <v/>
      </c>
      <c r="M12" s="173" t="str">
        <f>IFERROR((Table716[[#This Row],[Project Equipment Watts 
(Watts)]]/1000)*Table716[[#This Row],[Project Equipment Hours
(hr/yr)]]*Table716[[#This Row],[Quantity]],"")</f>
        <v/>
      </c>
      <c r="N12" s="171" t="str">
        <f>IFERROR(Table716[[#This Row],[Project Equipment Energy Use 
(kWh/yr)]]*'Grid Electricity'!$B$19,"")</f>
        <v/>
      </c>
      <c r="O12" s="172" t="str">
        <f>IFERROR(Table716[[#This Row],[Project Equipment Energy Use 
(kWh/yr)]]*'Grid Electricity'!$C$39,"")</f>
        <v/>
      </c>
      <c r="P12" s="173" t="str">
        <f>IFERROR(Table716[[#This Row],[Project Equipment Energy Use 
(kWh/yr)]]*'Grid Electricity'!$D$39,"")</f>
        <v/>
      </c>
      <c r="Q12" s="173" t="str">
        <f>IFERROR(Table716[[#This Row],[Project Equipment Energy Use 
(kWh/yr)]]*'Grid Electricity'!$G$39,"")</f>
        <v/>
      </c>
      <c r="R12" s="173" t="str">
        <f>IFERROR(((Table716[[#This Row],[Project Equipment Energy Use 
(kWh/yr)]]-Table716[[#This Row],[Baseline Equipment Energy Use 
(kWh/yr)]])*Table716[[#This Row],[Project Useful Life
(yr)]]),"")</f>
        <v/>
      </c>
      <c r="S12" s="174" t="str">
        <f>IFERROR((Table716[[#This Row],[Baseline GHG Emissions 
(MTCO2e/Year)]]-Table716[[#This Row],[Project GHG Emissions 
(MTCO2e/Year)]])*Table716[[#This Row],[Project Useful Life
(yr)]],"")</f>
        <v/>
      </c>
      <c r="T12" s="174" t="str">
        <f>IFERROR((Table716[[#This Row],[Baseline ROG Emissions 
(lbs/year)]]-Table716[[#This Row],[Project ROG Emissions 
(lbs/year)]])*15,"")</f>
        <v/>
      </c>
      <c r="U12" s="174" t="str">
        <f>IFERROR((Table716[[#This Row],[Baseline NOx Emissions 
(lbs/year)]]-Table716[[#This Row],[Project NOx Emissions 
(lbs/year)]])*15,"")</f>
        <v/>
      </c>
      <c r="V12" s="186" t="str">
        <f>IFERROR((Table716[[#This Row],[Baseline PM2.5 Emissions 
(lbs/year)]]-Table716[[#This Row],[Project PM2.5 Emissions 
(lbs/year)]])*15,"")</f>
        <v/>
      </c>
    </row>
    <row r="13" spans="2:22" s="2" customFormat="1" ht="15.5" x14ac:dyDescent="0.35">
      <c r="B13" s="185" t="str">
        <f>IF(ISBLANK('Energy Efficiency Inputs'!D20),"",'Energy Efficiency Inputs'!D20)</f>
        <v/>
      </c>
      <c r="C13" s="171" t="str">
        <f>IF(ISBLANK('Energy Efficiency Inputs'!F20),"",'Energy Efficiency Inputs'!F20)</f>
        <v/>
      </c>
      <c r="D13" s="171" t="str">
        <f>IFERROR((Table716[[#This Row],[Baseline Equipment Watts 
(Watts)]]/1000)*Table716[[#This Row],[Baseline Equipment Hours
(hr/yr)]]*Table716[[#This Row],[Quantity]],"")</f>
        <v/>
      </c>
      <c r="E13" s="171" t="str">
        <f>IFERROR(Table716[[#This Row],[Baseline Equipment Energy Use 
(kWh/yr)]]*'Grid Electricity'!$B$19,"")</f>
        <v/>
      </c>
      <c r="F13" s="172" t="str">
        <f>IFERROR(Table716[[#This Row],[Baseline Equipment Energy Use 
(kWh/yr)]]*'Grid Electricity'!$C$39,"")</f>
        <v/>
      </c>
      <c r="G13" s="173" t="str">
        <f>IFERROR(Table716[[#This Row],[Baseline Equipment Energy Use 
(kWh/yr)]]*'Grid Electricity'!$D$39,"")</f>
        <v/>
      </c>
      <c r="H13" s="173" t="str">
        <f>IFERROR(Table716[[#This Row],[Baseline Equipment Energy Use 
(kWh/yr)]]*'Grid Electricity'!$G$39,"")</f>
        <v/>
      </c>
      <c r="I13" s="173" t="str">
        <f>IF(ISBLANK('Energy Efficiency Inputs'!H20),"",'Energy Efficiency Inputs'!H20)</f>
        <v/>
      </c>
      <c r="J13" s="173" t="str">
        <f>IF(ISBLANK('Energy Efficiency Inputs'!J20),"",'Energy Efficiency Inputs'!J20)</f>
        <v/>
      </c>
      <c r="K13" s="173" t="str">
        <f>IF(ISBLANK('Energy Efficiency Inputs'!L20),"",'Energy Efficiency Inputs'!L20)</f>
        <v/>
      </c>
      <c r="L13" s="173" t="str">
        <f>IF(ISBLANK('Energy Efficiency Inputs'!N20),"",'Energy Efficiency Inputs'!N20)</f>
        <v/>
      </c>
      <c r="M13" s="173" t="str">
        <f>IFERROR((Table716[[#This Row],[Project Equipment Watts 
(Watts)]]/1000)*Table716[[#This Row],[Project Equipment Hours
(hr/yr)]]*Table716[[#This Row],[Quantity]],"")</f>
        <v/>
      </c>
      <c r="N13" s="171" t="str">
        <f>IFERROR(Table716[[#This Row],[Project Equipment Energy Use 
(kWh/yr)]]*'Grid Electricity'!$B$19,"")</f>
        <v/>
      </c>
      <c r="O13" s="172" t="str">
        <f>IFERROR(Table716[[#This Row],[Project Equipment Energy Use 
(kWh/yr)]]*'Grid Electricity'!$C$39,"")</f>
        <v/>
      </c>
      <c r="P13" s="173" t="str">
        <f>IFERROR(Table716[[#This Row],[Project Equipment Energy Use 
(kWh/yr)]]*'Grid Electricity'!$D$39,"")</f>
        <v/>
      </c>
      <c r="Q13" s="173" t="str">
        <f>IFERROR(Table716[[#This Row],[Project Equipment Energy Use 
(kWh/yr)]]*'Grid Electricity'!$G$39,"")</f>
        <v/>
      </c>
      <c r="R13" s="173" t="str">
        <f>IFERROR(((Table716[[#This Row],[Project Equipment Energy Use 
(kWh/yr)]]-Table716[[#This Row],[Baseline Equipment Energy Use 
(kWh/yr)]])*Table716[[#This Row],[Project Useful Life
(yr)]]),"")</f>
        <v/>
      </c>
      <c r="S13" s="174" t="str">
        <f>IFERROR((Table716[[#This Row],[Baseline GHG Emissions 
(MTCO2e/Year)]]-Table716[[#This Row],[Project GHG Emissions 
(MTCO2e/Year)]])*Table716[[#This Row],[Project Useful Life
(yr)]],"")</f>
        <v/>
      </c>
      <c r="T13" s="174" t="str">
        <f>IFERROR((Table716[[#This Row],[Baseline ROG Emissions 
(lbs/year)]]-Table716[[#This Row],[Project ROG Emissions 
(lbs/year)]])*15,"")</f>
        <v/>
      </c>
      <c r="U13" s="174" t="str">
        <f>IFERROR((Table716[[#This Row],[Baseline NOx Emissions 
(lbs/year)]]-Table716[[#This Row],[Project NOx Emissions 
(lbs/year)]])*15,"")</f>
        <v/>
      </c>
      <c r="V13" s="186" t="str">
        <f>IFERROR((Table716[[#This Row],[Baseline PM2.5 Emissions 
(lbs/year)]]-Table716[[#This Row],[Project PM2.5 Emissions 
(lbs/year)]])*15,"")</f>
        <v/>
      </c>
    </row>
    <row r="14" spans="2:22" s="2" customFormat="1" ht="15.5" x14ac:dyDescent="0.35">
      <c r="B14" s="185" t="str">
        <f>IF(ISBLANK('Energy Efficiency Inputs'!D21),"",'Energy Efficiency Inputs'!D21)</f>
        <v/>
      </c>
      <c r="C14" s="171" t="str">
        <f>IF(ISBLANK('Energy Efficiency Inputs'!F21),"",'Energy Efficiency Inputs'!F21)</f>
        <v/>
      </c>
      <c r="D14" s="171" t="str">
        <f>IFERROR((Table716[[#This Row],[Baseline Equipment Watts 
(Watts)]]/1000)*Table716[[#This Row],[Baseline Equipment Hours
(hr/yr)]]*Table716[[#This Row],[Quantity]],"")</f>
        <v/>
      </c>
      <c r="E14" s="171" t="str">
        <f>IFERROR(Table716[[#This Row],[Baseline Equipment Energy Use 
(kWh/yr)]]*'Grid Electricity'!$B$19,"")</f>
        <v/>
      </c>
      <c r="F14" s="172" t="str">
        <f>IFERROR(Table716[[#This Row],[Baseline Equipment Energy Use 
(kWh/yr)]]*'Grid Electricity'!$C$39,"")</f>
        <v/>
      </c>
      <c r="G14" s="173" t="str">
        <f>IFERROR(Table716[[#This Row],[Baseline Equipment Energy Use 
(kWh/yr)]]*'Grid Electricity'!$D$39,"")</f>
        <v/>
      </c>
      <c r="H14" s="173" t="str">
        <f>IFERROR(Table716[[#This Row],[Baseline Equipment Energy Use 
(kWh/yr)]]*'Grid Electricity'!$G$39,"")</f>
        <v/>
      </c>
      <c r="I14" s="173" t="str">
        <f>IF(ISBLANK('Energy Efficiency Inputs'!H21),"",'Energy Efficiency Inputs'!H21)</f>
        <v/>
      </c>
      <c r="J14" s="173" t="str">
        <f>IF(ISBLANK('Energy Efficiency Inputs'!J21),"",'Energy Efficiency Inputs'!J21)</f>
        <v/>
      </c>
      <c r="K14" s="173" t="str">
        <f>IF(ISBLANK('Energy Efficiency Inputs'!L21),"",'Energy Efficiency Inputs'!L21)</f>
        <v/>
      </c>
      <c r="L14" s="173" t="str">
        <f>IF(ISBLANK('Energy Efficiency Inputs'!N21),"",'Energy Efficiency Inputs'!N21)</f>
        <v/>
      </c>
      <c r="M14" s="173" t="str">
        <f>IFERROR((Table716[[#This Row],[Project Equipment Watts 
(Watts)]]/1000)*Table716[[#This Row],[Project Equipment Hours
(hr/yr)]]*Table716[[#This Row],[Quantity]],"")</f>
        <v/>
      </c>
      <c r="N14" s="171" t="str">
        <f>IFERROR(Table716[[#This Row],[Project Equipment Energy Use 
(kWh/yr)]]*'Grid Electricity'!$B$19,"")</f>
        <v/>
      </c>
      <c r="O14" s="172" t="str">
        <f>IFERROR(Table716[[#This Row],[Project Equipment Energy Use 
(kWh/yr)]]*'Grid Electricity'!$C$39,"")</f>
        <v/>
      </c>
      <c r="P14" s="173" t="str">
        <f>IFERROR(Table716[[#This Row],[Project Equipment Energy Use 
(kWh/yr)]]*'Grid Electricity'!$D$39,"")</f>
        <v/>
      </c>
      <c r="Q14" s="173" t="str">
        <f>IFERROR(Table716[[#This Row],[Project Equipment Energy Use 
(kWh/yr)]]*'Grid Electricity'!$G$39,"")</f>
        <v/>
      </c>
      <c r="R14" s="173" t="str">
        <f>IFERROR(((Table716[[#This Row],[Project Equipment Energy Use 
(kWh/yr)]]-Table716[[#This Row],[Baseline Equipment Energy Use 
(kWh/yr)]])*Table716[[#This Row],[Project Useful Life
(yr)]]),"")</f>
        <v/>
      </c>
      <c r="S14" s="174" t="str">
        <f>IFERROR((Table716[[#This Row],[Baseline GHG Emissions 
(MTCO2e/Year)]]-Table716[[#This Row],[Project GHG Emissions 
(MTCO2e/Year)]])*Table716[[#This Row],[Project Useful Life
(yr)]],"")</f>
        <v/>
      </c>
      <c r="T14" s="174" t="str">
        <f>IFERROR((Table716[[#This Row],[Baseline ROG Emissions 
(lbs/year)]]-Table716[[#This Row],[Project ROG Emissions 
(lbs/year)]])*15,"")</f>
        <v/>
      </c>
      <c r="U14" s="174" t="str">
        <f>IFERROR((Table716[[#This Row],[Baseline NOx Emissions 
(lbs/year)]]-Table716[[#This Row],[Project NOx Emissions 
(lbs/year)]])*15,"")</f>
        <v/>
      </c>
      <c r="V14" s="186" t="str">
        <f>IFERROR((Table716[[#This Row],[Baseline PM2.5 Emissions 
(lbs/year)]]-Table716[[#This Row],[Project PM2.5 Emissions 
(lbs/year)]])*15,"")</f>
        <v/>
      </c>
    </row>
    <row r="15" spans="2:22" s="2" customFormat="1" ht="15.5" x14ac:dyDescent="0.35">
      <c r="B15" s="185" t="str">
        <f>IF(ISBLANK('Energy Efficiency Inputs'!D22),"",'Energy Efficiency Inputs'!D22)</f>
        <v/>
      </c>
      <c r="C15" s="171" t="str">
        <f>IF(ISBLANK('Energy Efficiency Inputs'!F22),"",'Energy Efficiency Inputs'!F22)</f>
        <v/>
      </c>
      <c r="D15" s="171" t="str">
        <f>IFERROR((Table716[[#This Row],[Baseline Equipment Watts 
(Watts)]]/1000)*Table716[[#This Row],[Baseline Equipment Hours
(hr/yr)]]*Table716[[#This Row],[Quantity]],"")</f>
        <v/>
      </c>
      <c r="E15" s="171" t="str">
        <f>IFERROR(Table716[[#This Row],[Baseline Equipment Energy Use 
(kWh/yr)]]*'Grid Electricity'!$B$19,"")</f>
        <v/>
      </c>
      <c r="F15" s="172" t="str">
        <f>IFERROR(Table716[[#This Row],[Baseline Equipment Energy Use 
(kWh/yr)]]*'Grid Electricity'!$C$39,"")</f>
        <v/>
      </c>
      <c r="G15" s="173" t="str">
        <f>IFERROR(Table716[[#This Row],[Baseline Equipment Energy Use 
(kWh/yr)]]*'Grid Electricity'!$D$39,"")</f>
        <v/>
      </c>
      <c r="H15" s="173" t="str">
        <f>IFERROR(Table716[[#This Row],[Baseline Equipment Energy Use 
(kWh/yr)]]*'Grid Electricity'!$G$39,"")</f>
        <v/>
      </c>
      <c r="I15" s="173" t="str">
        <f>IF(ISBLANK('Energy Efficiency Inputs'!H22),"",'Energy Efficiency Inputs'!H22)</f>
        <v/>
      </c>
      <c r="J15" s="173" t="str">
        <f>IF(ISBLANK('Energy Efficiency Inputs'!J22),"",'Energy Efficiency Inputs'!J22)</f>
        <v/>
      </c>
      <c r="K15" s="173" t="str">
        <f>IF(ISBLANK('Energy Efficiency Inputs'!L22),"",'Energy Efficiency Inputs'!L22)</f>
        <v/>
      </c>
      <c r="L15" s="173" t="str">
        <f>IF(ISBLANK('Energy Efficiency Inputs'!N22),"",'Energy Efficiency Inputs'!N22)</f>
        <v/>
      </c>
      <c r="M15" s="173" t="str">
        <f>IFERROR((Table716[[#This Row],[Project Equipment Watts 
(Watts)]]/1000)*Table716[[#This Row],[Project Equipment Hours
(hr/yr)]]*Table716[[#This Row],[Quantity]],"")</f>
        <v/>
      </c>
      <c r="N15" s="171" t="str">
        <f>IFERROR(Table716[[#This Row],[Project Equipment Energy Use 
(kWh/yr)]]*'Grid Electricity'!$B$19,"")</f>
        <v/>
      </c>
      <c r="O15" s="172" t="str">
        <f>IFERROR(Table716[[#This Row],[Project Equipment Energy Use 
(kWh/yr)]]*'Grid Electricity'!$C$39,"")</f>
        <v/>
      </c>
      <c r="P15" s="173" t="str">
        <f>IFERROR(Table716[[#This Row],[Project Equipment Energy Use 
(kWh/yr)]]*'Grid Electricity'!$D$39,"")</f>
        <v/>
      </c>
      <c r="Q15" s="173" t="str">
        <f>IFERROR(Table716[[#This Row],[Project Equipment Energy Use 
(kWh/yr)]]*'Grid Electricity'!$G$39,"")</f>
        <v/>
      </c>
      <c r="R15" s="173" t="str">
        <f>IFERROR(((Table716[[#This Row],[Project Equipment Energy Use 
(kWh/yr)]]-Table716[[#This Row],[Baseline Equipment Energy Use 
(kWh/yr)]])*Table716[[#This Row],[Project Useful Life
(yr)]]),"")</f>
        <v/>
      </c>
      <c r="S15" s="174" t="str">
        <f>IFERROR((Table716[[#This Row],[Baseline GHG Emissions 
(MTCO2e/Year)]]-Table716[[#This Row],[Project GHG Emissions 
(MTCO2e/Year)]])*Table716[[#This Row],[Project Useful Life
(yr)]],"")</f>
        <v/>
      </c>
      <c r="T15" s="174" t="str">
        <f>IFERROR((Table716[[#This Row],[Baseline ROG Emissions 
(lbs/year)]]-Table716[[#This Row],[Project ROG Emissions 
(lbs/year)]])*15,"")</f>
        <v/>
      </c>
      <c r="U15" s="174" t="str">
        <f>IFERROR((Table716[[#This Row],[Baseline NOx Emissions 
(lbs/year)]]-Table716[[#This Row],[Project NOx Emissions 
(lbs/year)]])*15,"")</f>
        <v/>
      </c>
      <c r="V15" s="186" t="str">
        <f>IFERROR((Table716[[#This Row],[Baseline PM2.5 Emissions 
(lbs/year)]]-Table716[[#This Row],[Project PM2.5 Emissions 
(lbs/year)]])*15,"")</f>
        <v/>
      </c>
    </row>
    <row r="16" spans="2:22" s="2" customFormat="1" ht="15.5" x14ac:dyDescent="0.35">
      <c r="B16" s="185" t="str">
        <f>IF(ISBLANK('Energy Efficiency Inputs'!D23),"",'Energy Efficiency Inputs'!D23)</f>
        <v/>
      </c>
      <c r="C16" s="171" t="str">
        <f>IF(ISBLANK('Energy Efficiency Inputs'!F23),"",'Energy Efficiency Inputs'!F23)</f>
        <v/>
      </c>
      <c r="D16" s="171" t="str">
        <f>IFERROR((Table716[[#This Row],[Baseline Equipment Watts 
(Watts)]]/1000)*Table716[[#This Row],[Baseline Equipment Hours
(hr/yr)]]*Table716[[#This Row],[Quantity]],"")</f>
        <v/>
      </c>
      <c r="E16" s="171" t="str">
        <f>IFERROR(Table716[[#This Row],[Baseline Equipment Energy Use 
(kWh/yr)]]*'Grid Electricity'!$B$19,"")</f>
        <v/>
      </c>
      <c r="F16" s="172" t="str">
        <f>IFERROR(Table716[[#This Row],[Baseline Equipment Energy Use 
(kWh/yr)]]*'Grid Electricity'!$C$39,"")</f>
        <v/>
      </c>
      <c r="G16" s="173" t="str">
        <f>IFERROR(Table716[[#This Row],[Baseline Equipment Energy Use 
(kWh/yr)]]*'Grid Electricity'!$D$39,"")</f>
        <v/>
      </c>
      <c r="H16" s="173" t="str">
        <f>IFERROR(Table716[[#This Row],[Baseline Equipment Energy Use 
(kWh/yr)]]*'Grid Electricity'!$G$39,"")</f>
        <v/>
      </c>
      <c r="I16" s="173" t="str">
        <f>IF(ISBLANK('Energy Efficiency Inputs'!H23),"",'Energy Efficiency Inputs'!H23)</f>
        <v/>
      </c>
      <c r="J16" s="173" t="str">
        <f>IF(ISBLANK('Energy Efficiency Inputs'!J23),"",'Energy Efficiency Inputs'!J23)</f>
        <v/>
      </c>
      <c r="K16" s="173" t="str">
        <f>IF(ISBLANK('Energy Efficiency Inputs'!L23),"",'Energy Efficiency Inputs'!L23)</f>
        <v/>
      </c>
      <c r="L16" s="173" t="str">
        <f>IF(ISBLANK('Energy Efficiency Inputs'!N23),"",'Energy Efficiency Inputs'!N23)</f>
        <v/>
      </c>
      <c r="M16" s="173" t="str">
        <f>IFERROR((Table716[[#This Row],[Project Equipment Watts 
(Watts)]]/1000)*Table716[[#This Row],[Project Equipment Hours
(hr/yr)]]*Table716[[#This Row],[Quantity]],"")</f>
        <v/>
      </c>
      <c r="N16" s="171" t="str">
        <f>IFERROR(Table716[[#This Row],[Project Equipment Energy Use 
(kWh/yr)]]*'Grid Electricity'!$B$19,"")</f>
        <v/>
      </c>
      <c r="O16" s="172" t="str">
        <f>IFERROR(Table716[[#This Row],[Project Equipment Energy Use 
(kWh/yr)]]*'Grid Electricity'!$C$39,"")</f>
        <v/>
      </c>
      <c r="P16" s="173" t="str">
        <f>IFERROR(Table716[[#This Row],[Project Equipment Energy Use 
(kWh/yr)]]*'Grid Electricity'!$D$39,"")</f>
        <v/>
      </c>
      <c r="Q16" s="173" t="str">
        <f>IFERROR(Table716[[#This Row],[Project Equipment Energy Use 
(kWh/yr)]]*'Grid Electricity'!$G$39,"")</f>
        <v/>
      </c>
      <c r="R16" s="173" t="str">
        <f>IFERROR(((Table716[[#This Row],[Project Equipment Energy Use 
(kWh/yr)]]-Table716[[#This Row],[Baseline Equipment Energy Use 
(kWh/yr)]])*Table716[[#This Row],[Project Useful Life
(yr)]]),"")</f>
        <v/>
      </c>
      <c r="S16" s="174" t="str">
        <f>IFERROR((Table716[[#This Row],[Baseline GHG Emissions 
(MTCO2e/Year)]]-Table716[[#This Row],[Project GHG Emissions 
(MTCO2e/Year)]])*Table716[[#This Row],[Project Useful Life
(yr)]],"")</f>
        <v/>
      </c>
      <c r="T16" s="174" t="str">
        <f>IFERROR((Table716[[#This Row],[Baseline ROG Emissions 
(lbs/year)]]-Table716[[#This Row],[Project ROG Emissions 
(lbs/year)]])*15,"")</f>
        <v/>
      </c>
      <c r="U16" s="174" t="str">
        <f>IFERROR((Table716[[#This Row],[Baseline NOx Emissions 
(lbs/year)]]-Table716[[#This Row],[Project NOx Emissions 
(lbs/year)]])*15,"")</f>
        <v/>
      </c>
      <c r="V16" s="186" t="str">
        <f>IFERROR((Table716[[#This Row],[Baseline PM2.5 Emissions 
(lbs/year)]]-Table716[[#This Row],[Project PM2.5 Emissions 
(lbs/year)]])*15,"")</f>
        <v/>
      </c>
    </row>
    <row r="17" spans="2:22" s="2" customFormat="1" ht="15.5" x14ac:dyDescent="0.35">
      <c r="B17" s="185" t="str">
        <f>IF(ISBLANK('Energy Efficiency Inputs'!D24),"",'Energy Efficiency Inputs'!D24)</f>
        <v/>
      </c>
      <c r="C17" s="171" t="str">
        <f>IF(ISBLANK('Energy Efficiency Inputs'!F24),"",'Energy Efficiency Inputs'!F24)</f>
        <v/>
      </c>
      <c r="D17" s="171" t="str">
        <f>IFERROR((Table716[[#This Row],[Baseline Equipment Watts 
(Watts)]]/1000)*Table716[[#This Row],[Baseline Equipment Hours
(hr/yr)]]*Table716[[#This Row],[Quantity]],"")</f>
        <v/>
      </c>
      <c r="E17" s="171" t="str">
        <f>IFERROR(Table716[[#This Row],[Baseline Equipment Energy Use 
(kWh/yr)]]*'Grid Electricity'!$B$19,"")</f>
        <v/>
      </c>
      <c r="F17" s="172" t="str">
        <f>IFERROR(Table716[[#This Row],[Baseline Equipment Energy Use 
(kWh/yr)]]*'Grid Electricity'!$C$39,"")</f>
        <v/>
      </c>
      <c r="G17" s="173" t="str">
        <f>IFERROR(Table716[[#This Row],[Baseline Equipment Energy Use 
(kWh/yr)]]*'Grid Electricity'!$D$39,"")</f>
        <v/>
      </c>
      <c r="H17" s="173" t="str">
        <f>IFERROR(Table716[[#This Row],[Baseline Equipment Energy Use 
(kWh/yr)]]*'Grid Electricity'!$G$39,"")</f>
        <v/>
      </c>
      <c r="I17" s="173" t="str">
        <f>IF(ISBLANK('Energy Efficiency Inputs'!H24),"",'Energy Efficiency Inputs'!H24)</f>
        <v/>
      </c>
      <c r="J17" s="173" t="str">
        <f>IF(ISBLANK('Energy Efficiency Inputs'!J24),"",'Energy Efficiency Inputs'!J24)</f>
        <v/>
      </c>
      <c r="K17" s="173" t="str">
        <f>IF(ISBLANK('Energy Efficiency Inputs'!L24),"",'Energy Efficiency Inputs'!L24)</f>
        <v/>
      </c>
      <c r="L17" s="173" t="str">
        <f>IF(ISBLANK('Energy Efficiency Inputs'!N24),"",'Energy Efficiency Inputs'!N24)</f>
        <v/>
      </c>
      <c r="M17" s="173" t="str">
        <f>IFERROR((Table716[[#This Row],[Project Equipment Watts 
(Watts)]]/1000)*Table716[[#This Row],[Project Equipment Hours
(hr/yr)]]*Table716[[#This Row],[Quantity]],"")</f>
        <v/>
      </c>
      <c r="N17" s="171" t="str">
        <f>IFERROR(Table716[[#This Row],[Project Equipment Energy Use 
(kWh/yr)]]*'Grid Electricity'!$B$19,"")</f>
        <v/>
      </c>
      <c r="O17" s="172" t="str">
        <f>IFERROR(Table716[[#This Row],[Project Equipment Energy Use 
(kWh/yr)]]*'Grid Electricity'!$C$39,"")</f>
        <v/>
      </c>
      <c r="P17" s="173" t="str">
        <f>IFERROR(Table716[[#This Row],[Project Equipment Energy Use 
(kWh/yr)]]*'Grid Electricity'!$D$39,"")</f>
        <v/>
      </c>
      <c r="Q17" s="173" t="str">
        <f>IFERROR(Table716[[#This Row],[Project Equipment Energy Use 
(kWh/yr)]]*'Grid Electricity'!$G$39,"")</f>
        <v/>
      </c>
      <c r="R17" s="173" t="str">
        <f>IFERROR(((Table716[[#This Row],[Project Equipment Energy Use 
(kWh/yr)]]-Table716[[#This Row],[Baseline Equipment Energy Use 
(kWh/yr)]])*Table716[[#This Row],[Project Useful Life
(yr)]]),"")</f>
        <v/>
      </c>
      <c r="S17" s="174" t="str">
        <f>IFERROR((Table716[[#This Row],[Baseline GHG Emissions 
(MTCO2e/Year)]]-Table716[[#This Row],[Project GHG Emissions 
(MTCO2e/Year)]])*Table716[[#This Row],[Project Useful Life
(yr)]],"")</f>
        <v/>
      </c>
      <c r="T17" s="174" t="str">
        <f>IFERROR((Table716[[#This Row],[Baseline ROG Emissions 
(lbs/year)]]-Table716[[#This Row],[Project ROG Emissions 
(lbs/year)]])*15,"")</f>
        <v/>
      </c>
      <c r="U17" s="174" t="str">
        <f>IFERROR((Table716[[#This Row],[Baseline NOx Emissions 
(lbs/year)]]-Table716[[#This Row],[Project NOx Emissions 
(lbs/year)]])*15,"")</f>
        <v/>
      </c>
      <c r="V17" s="186" t="str">
        <f>IFERROR((Table716[[#This Row],[Baseline PM2.5 Emissions 
(lbs/year)]]-Table716[[#This Row],[Project PM2.5 Emissions 
(lbs/year)]])*15,"")</f>
        <v/>
      </c>
    </row>
    <row r="18" spans="2:22" s="2" customFormat="1" ht="15.5" x14ac:dyDescent="0.35">
      <c r="B18" s="185" t="str">
        <f>IF(ISBLANK('Energy Efficiency Inputs'!D25),"",'Energy Efficiency Inputs'!D25)</f>
        <v/>
      </c>
      <c r="C18" s="171" t="str">
        <f>IF(ISBLANK('Energy Efficiency Inputs'!F25),"",'Energy Efficiency Inputs'!F25)</f>
        <v/>
      </c>
      <c r="D18" s="171" t="str">
        <f>IFERROR((Table716[[#This Row],[Baseline Equipment Watts 
(Watts)]]/1000)*Table716[[#This Row],[Baseline Equipment Hours
(hr/yr)]]*Table716[[#This Row],[Quantity]],"")</f>
        <v/>
      </c>
      <c r="E18" s="171" t="str">
        <f>IFERROR(Table716[[#This Row],[Baseline Equipment Energy Use 
(kWh/yr)]]*'Grid Electricity'!$B$19,"")</f>
        <v/>
      </c>
      <c r="F18" s="172" t="str">
        <f>IFERROR(Table716[[#This Row],[Baseline Equipment Energy Use 
(kWh/yr)]]*'Grid Electricity'!$C$39,"")</f>
        <v/>
      </c>
      <c r="G18" s="173" t="str">
        <f>IFERROR(Table716[[#This Row],[Baseline Equipment Energy Use 
(kWh/yr)]]*'Grid Electricity'!$D$39,"")</f>
        <v/>
      </c>
      <c r="H18" s="173" t="str">
        <f>IFERROR(Table716[[#This Row],[Baseline Equipment Energy Use 
(kWh/yr)]]*'Grid Electricity'!$G$39,"")</f>
        <v/>
      </c>
      <c r="I18" s="173" t="str">
        <f>IF(ISBLANK('Energy Efficiency Inputs'!H25),"",'Energy Efficiency Inputs'!H25)</f>
        <v/>
      </c>
      <c r="J18" s="173" t="str">
        <f>IF(ISBLANK('Energy Efficiency Inputs'!J25),"",'Energy Efficiency Inputs'!J25)</f>
        <v/>
      </c>
      <c r="K18" s="173" t="str">
        <f>IF(ISBLANK('Energy Efficiency Inputs'!L25),"",'Energy Efficiency Inputs'!L25)</f>
        <v/>
      </c>
      <c r="L18" s="173" t="str">
        <f>IF(ISBLANK('Energy Efficiency Inputs'!N25),"",'Energy Efficiency Inputs'!N25)</f>
        <v/>
      </c>
      <c r="M18" s="173" t="str">
        <f>IFERROR((Table716[[#This Row],[Project Equipment Watts 
(Watts)]]/1000)*Table716[[#This Row],[Project Equipment Hours
(hr/yr)]]*Table716[[#This Row],[Quantity]],"")</f>
        <v/>
      </c>
      <c r="N18" s="171" t="str">
        <f>IFERROR(Table716[[#This Row],[Project Equipment Energy Use 
(kWh/yr)]]*'Grid Electricity'!$B$19,"")</f>
        <v/>
      </c>
      <c r="O18" s="172" t="str">
        <f>IFERROR(Table716[[#This Row],[Project Equipment Energy Use 
(kWh/yr)]]*'Grid Electricity'!$C$39,"")</f>
        <v/>
      </c>
      <c r="P18" s="173" t="str">
        <f>IFERROR(Table716[[#This Row],[Project Equipment Energy Use 
(kWh/yr)]]*'Grid Electricity'!$D$39,"")</f>
        <v/>
      </c>
      <c r="Q18" s="173" t="str">
        <f>IFERROR(Table716[[#This Row],[Project Equipment Energy Use 
(kWh/yr)]]*'Grid Electricity'!$G$39,"")</f>
        <v/>
      </c>
      <c r="R18" s="173" t="str">
        <f>IFERROR(((Table716[[#This Row],[Project Equipment Energy Use 
(kWh/yr)]]-Table716[[#This Row],[Baseline Equipment Energy Use 
(kWh/yr)]])*Table716[[#This Row],[Project Useful Life
(yr)]]),"")</f>
        <v/>
      </c>
      <c r="S18" s="174" t="str">
        <f>IFERROR((Table716[[#This Row],[Baseline GHG Emissions 
(MTCO2e/Year)]]-Table716[[#This Row],[Project GHG Emissions 
(MTCO2e/Year)]])*Table716[[#This Row],[Project Useful Life
(yr)]],"")</f>
        <v/>
      </c>
      <c r="T18" s="174" t="str">
        <f>IFERROR((Table716[[#This Row],[Baseline ROG Emissions 
(lbs/year)]]-Table716[[#This Row],[Project ROG Emissions 
(lbs/year)]])*15,"")</f>
        <v/>
      </c>
      <c r="U18" s="174" t="str">
        <f>IFERROR((Table716[[#This Row],[Baseline NOx Emissions 
(lbs/year)]]-Table716[[#This Row],[Project NOx Emissions 
(lbs/year)]])*15,"")</f>
        <v/>
      </c>
      <c r="V18" s="186" t="str">
        <f>IFERROR((Table716[[#This Row],[Baseline PM2.5 Emissions 
(lbs/year)]]-Table716[[#This Row],[Project PM2.5 Emissions 
(lbs/year)]])*15,"")</f>
        <v/>
      </c>
    </row>
    <row r="19" spans="2:22" s="2" customFormat="1" ht="15.5" x14ac:dyDescent="0.35">
      <c r="B19" s="185" t="str">
        <f>IF(ISBLANK('Energy Efficiency Inputs'!D26),"",'Energy Efficiency Inputs'!D26)</f>
        <v/>
      </c>
      <c r="C19" s="171" t="str">
        <f>IF(ISBLANK('Energy Efficiency Inputs'!F26),"",'Energy Efficiency Inputs'!F26)</f>
        <v/>
      </c>
      <c r="D19" s="171" t="str">
        <f>IFERROR((Table716[[#This Row],[Baseline Equipment Watts 
(Watts)]]/1000)*Table716[[#This Row],[Baseline Equipment Hours
(hr/yr)]]*Table716[[#This Row],[Quantity]],"")</f>
        <v/>
      </c>
      <c r="E19" s="171" t="str">
        <f>IFERROR(Table716[[#This Row],[Baseline Equipment Energy Use 
(kWh/yr)]]*'Grid Electricity'!$B$19,"")</f>
        <v/>
      </c>
      <c r="F19" s="172" t="str">
        <f>IFERROR(Table716[[#This Row],[Baseline Equipment Energy Use 
(kWh/yr)]]*'Grid Electricity'!$C$39,"")</f>
        <v/>
      </c>
      <c r="G19" s="173" t="str">
        <f>IFERROR(Table716[[#This Row],[Baseline Equipment Energy Use 
(kWh/yr)]]*'Grid Electricity'!$D$39,"")</f>
        <v/>
      </c>
      <c r="H19" s="173" t="str">
        <f>IFERROR(Table716[[#This Row],[Baseline Equipment Energy Use 
(kWh/yr)]]*'Grid Electricity'!$G$39,"")</f>
        <v/>
      </c>
      <c r="I19" s="173" t="str">
        <f>IF(ISBLANK('Energy Efficiency Inputs'!H26),"",'Energy Efficiency Inputs'!H26)</f>
        <v/>
      </c>
      <c r="J19" s="173" t="str">
        <f>IF(ISBLANK('Energy Efficiency Inputs'!J26),"",'Energy Efficiency Inputs'!J26)</f>
        <v/>
      </c>
      <c r="K19" s="173" t="str">
        <f>IF(ISBLANK('Energy Efficiency Inputs'!L26),"",'Energy Efficiency Inputs'!L26)</f>
        <v/>
      </c>
      <c r="L19" s="173" t="str">
        <f>IF(ISBLANK('Energy Efficiency Inputs'!N26),"",'Energy Efficiency Inputs'!N26)</f>
        <v/>
      </c>
      <c r="M19" s="173" t="str">
        <f>IFERROR((Table716[[#This Row],[Project Equipment Watts 
(Watts)]]/1000)*Table716[[#This Row],[Project Equipment Hours
(hr/yr)]]*Table716[[#This Row],[Quantity]],"")</f>
        <v/>
      </c>
      <c r="N19" s="171" t="str">
        <f>IFERROR(Table716[[#This Row],[Project Equipment Energy Use 
(kWh/yr)]]*'Grid Electricity'!$B$19,"")</f>
        <v/>
      </c>
      <c r="O19" s="172" t="str">
        <f>IFERROR(Table716[[#This Row],[Project Equipment Energy Use 
(kWh/yr)]]*'Grid Electricity'!$C$39,"")</f>
        <v/>
      </c>
      <c r="P19" s="173" t="str">
        <f>IFERROR(Table716[[#This Row],[Project Equipment Energy Use 
(kWh/yr)]]*'Grid Electricity'!$D$39,"")</f>
        <v/>
      </c>
      <c r="Q19" s="173" t="str">
        <f>IFERROR(Table716[[#This Row],[Project Equipment Energy Use 
(kWh/yr)]]*'Grid Electricity'!$G$39,"")</f>
        <v/>
      </c>
      <c r="R19" s="173" t="str">
        <f>IFERROR(((Table716[[#This Row],[Project Equipment Energy Use 
(kWh/yr)]]-Table716[[#This Row],[Baseline Equipment Energy Use 
(kWh/yr)]])*Table716[[#This Row],[Project Useful Life
(yr)]]),"")</f>
        <v/>
      </c>
      <c r="S19" s="174" t="str">
        <f>IFERROR((Table716[[#This Row],[Baseline GHG Emissions 
(MTCO2e/Year)]]-Table716[[#This Row],[Project GHG Emissions 
(MTCO2e/Year)]])*Table716[[#This Row],[Project Useful Life
(yr)]],"")</f>
        <v/>
      </c>
      <c r="T19" s="174" t="str">
        <f>IFERROR((Table716[[#This Row],[Baseline ROG Emissions 
(lbs/year)]]-Table716[[#This Row],[Project ROG Emissions 
(lbs/year)]])*15,"")</f>
        <v/>
      </c>
      <c r="U19" s="174" t="str">
        <f>IFERROR((Table716[[#This Row],[Baseline NOx Emissions 
(lbs/year)]]-Table716[[#This Row],[Project NOx Emissions 
(lbs/year)]])*15,"")</f>
        <v/>
      </c>
      <c r="V19" s="186" t="str">
        <f>IFERROR((Table716[[#This Row],[Baseline PM2.5 Emissions 
(lbs/year)]]-Table716[[#This Row],[Project PM2.5 Emissions 
(lbs/year)]])*15,"")</f>
        <v/>
      </c>
    </row>
    <row r="20" spans="2:22" s="2" customFormat="1" ht="15.5" x14ac:dyDescent="0.35">
      <c r="B20" s="185" t="str">
        <f>IF(ISBLANK('Energy Efficiency Inputs'!D27),"",'Energy Efficiency Inputs'!D27)</f>
        <v/>
      </c>
      <c r="C20" s="171" t="str">
        <f>IF(ISBLANK('Energy Efficiency Inputs'!F27),"",'Energy Efficiency Inputs'!F27)</f>
        <v/>
      </c>
      <c r="D20" s="171" t="str">
        <f>IFERROR((Table716[[#This Row],[Baseline Equipment Watts 
(Watts)]]/1000)*Table716[[#This Row],[Baseline Equipment Hours
(hr/yr)]]*Table716[[#This Row],[Quantity]],"")</f>
        <v/>
      </c>
      <c r="E20" s="171" t="str">
        <f>IFERROR(Table716[[#This Row],[Baseline Equipment Energy Use 
(kWh/yr)]]*'Grid Electricity'!$B$19,"")</f>
        <v/>
      </c>
      <c r="F20" s="172" t="str">
        <f>IFERROR(Table716[[#This Row],[Baseline Equipment Energy Use 
(kWh/yr)]]*'Grid Electricity'!$C$39,"")</f>
        <v/>
      </c>
      <c r="G20" s="173" t="str">
        <f>IFERROR(Table716[[#This Row],[Baseline Equipment Energy Use 
(kWh/yr)]]*'Grid Electricity'!$D$39,"")</f>
        <v/>
      </c>
      <c r="H20" s="173" t="str">
        <f>IFERROR(Table716[[#This Row],[Baseline Equipment Energy Use 
(kWh/yr)]]*'Grid Electricity'!$G$39,"")</f>
        <v/>
      </c>
      <c r="I20" s="173" t="str">
        <f>IF(ISBLANK('Energy Efficiency Inputs'!H27),"",'Energy Efficiency Inputs'!H27)</f>
        <v/>
      </c>
      <c r="J20" s="173" t="str">
        <f>IF(ISBLANK('Energy Efficiency Inputs'!J27),"",'Energy Efficiency Inputs'!J27)</f>
        <v/>
      </c>
      <c r="K20" s="173" t="str">
        <f>IF(ISBLANK('Energy Efficiency Inputs'!L27),"",'Energy Efficiency Inputs'!L27)</f>
        <v/>
      </c>
      <c r="L20" s="173" t="str">
        <f>IF(ISBLANK('Energy Efficiency Inputs'!N27),"",'Energy Efficiency Inputs'!N27)</f>
        <v/>
      </c>
      <c r="M20" s="173" t="str">
        <f>IFERROR((Table716[[#This Row],[Project Equipment Watts 
(Watts)]]/1000)*Table716[[#This Row],[Project Equipment Hours
(hr/yr)]]*Table716[[#This Row],[Quantity]],"")</f>
        <v/>
      </c>
      <c r="N20" s="171" t="str">
        <f>IFERROR(Table716[[#This Row],[Project Equipment Energy Use 
(kWh/yr)]]*'Grid Electricity'!$B$19,"")</f>
        <v/>
      </c>
      <c r="O20" s="172" t="str">
        <f>IFERROR(Table716[[#This Row],[Project Equipment Energy Use 
(kWh/yr)]]*'Grid Electricity'!$C$39,"")</f>
        <v/>
      </c>
      <c r="P20" s="173" t="str">
        <f>IFERROR(Table716[[#This Row],[Project Equipment Energy Use 
(kWh/yr)]]*'Grid Electricity'!$D$39,"")</f>
        <v/>
      </c>
      <c r="Q20" s="173" t="str">
        <f>IFERROR(Table716[[#This Row],[Project Equipment Energy Use 
(kWh/yr)]]*'Grid Electricity'!$G$39,"")</f>
        <v/>
      </c>
      <c r="R20" s="173" t="str">
        <f>IFERROR(((Table716[[#This Row],[Project Equipment Energy Use 
(kWh/yr)]]-Table716[[#This Row],[Baseline Equipment Energy Use 
(kWh/yr)]])*Table716[[#This Row],[Project Useful Life
(yr)]]),"")</f>
        <v/>
      </c>
      <c r="S20" s="174" t="str">
        <f>IFERROR((Table716[[#This Row],[Baseline GHG Emissions 
(MTCO2e/Year)]]-Table716[[#This Row],[Project GHG Emissions 
(MTCO2e/Year)]])*Table716[[#This Row],[Project Useful Life
(yr)]],"")</f>
        <v/>
      </c>
      <c r="T20" s="174" t="str">
        <f>IFERROR((Table716[[#This Row],[Baseline ROG Emissions 
(lbs/year)]]-Table716[[#This Row],[Project ROG Emissions 
(lbs/year)]])*15,"")</f>
        <v/>
      </c>
      <c r="U20" s="174" t="str">
        <f>IFERROR((Table716[[#This Row],[Baseline NOx Emissions 
(lbs/year)]]-Table716[[#This Row],[Project NOx Emissions 
(lbs/year)]])*15,"")</f>
        <v/>
      </c>
      <c r="V20" s="186" t="str">
        <f>IFERROR((Table716[[#This Row],[Baseline PM2.5 Emissions 
(lbs/year)]]-Table716[[#This Row],[Project PM2.5 Emissions 
(lbs/year)]])*15,"")</f>
        <v/>
      </c>
    </row>
    <row r="21" spans="2:22" s="2" customFormat="1" ht="15.5" x14ac:dyDescent="0.35">
      <c r="B21" s="185" t="str">
        <f>IF(ISBLANK('Energy Efficiency Inputs'!D28),"",'Energy Efficiency Inputs'!D28)</f>
        <v/>
      </c>
      <c r="C21" s="171" t="str">
        <f>IF(ISBLANK('Energy Efficiency Inputs'!F28),"",'Energy Efficiency Inputs'!F28)</f>
        <v/>
      </c>
      <c r="D21" s="171" t="str">
        <f>IFERROR((Table716[[#This Row],[Baseline Equipment Watts 
(Watts)]]/1000)*Table716[[#This Row],[Baseline Equipment Hours
(hr/yr)]]*Table716[[#This Row],[Quantity]],"")</f>
        <v/>
      </c>
      <c r="E21" s="171" t="str">
        <f>IFERROR(Table716[[#This Row],[Baseline Equipment Energy Use 
(kWh/yr)]]*'Grid Electricity'!$B$19,"")</f>
        <v/>
      </c>
      <c r="F21" s="172" t="str">
        <f>IFERROR(Table716[[#This Row],[Baseline Equipment Energy Use 
(kWh/yr)]]*'Grid Electricity'!$C$39,"")</f>
        <v/>
      </c>
      <c r="G21" s="173" t="str">
        <f>IFERROR(Table716[[#This Row],[Baseline Equipment Energy Use 
(kWh/yr)]]*'Grid Electricity'!$D$39,"")</f>
        <v/>
      </c>
      <c r="H21" s="173" t="str">
        <f>IFERROR(Table716[[#This Row],[Baseline Equipment Energy Use 
(kWh/yr)]]*'Grid Electricity'!$G$39,"")</f>
        <v/>
      </c>
      <c r="I21" s="173" t="str">
        <f>IF(ISBLANK('Energy Efficiency Inputs'!H28),"",'Energy Efficiency Inputs'!H28)</f>
        <v/>
      </c>
      <c r="J21" s="173" t="str">
        <f>IF(ISBLANK('Energy Efficiency Inputs'!J28),"",'Energy Efficiency Inputs'!J28)</f>
        <v/>
      </c>
      <c r="K21" s="173" t="str">
        <f>IF(ISBLANK('Energy Efficiency Inputs'!L28),"",'Energy Efficiency Inputs'!L28)</f>
        <v/>
      </c>
      <c r="L21" s="173" t="str">
        <f>IF(ISBLANK('Energy Efficiency Inputs'!N28),"",'Energy Efficiency Inputs'!N28)</f>
        <v/>
      </c>
      <c r="M21" s="173" t="str">
        <f>IFERROR((Table716[[#This Row],[Project Equipment Watts 
(Watts)]]/1000)*Table716[[#This Row],[Project Equipment Hours
(hr/yr)]]*Table716[[#This Row],[Quantity]],"")</f>
        <v/>
      </c>
      <c r="N21" s="171" t="str">
        <f>IFERROR(Table716[[#This Row],[Project Equipment Energy Use 
(kWh/yr)]]*'Grid Electricity'!$B$19,"")</f>
        <v/>
      </c>
      <c r="O21" s="172" t="str">
        <f>IFERROR(Table716[[#This Row],[Project Equipment Energy Use 
(kWh/yr)]]*'Grid Electricity'!$C$39,"")</f>
        <v/>
      </c>
      <c r="P21" s="173" t="str">
        <f>IFERROR(Table716[[#This Row],[Project Equipment Energy Use 
(kWh/yr)]]*'Grid Electricity'!$D$39,"")</f>
        <v/>
      </c>
      <c r="Q21" s="173" t="str">
        <f>IFERROR(Table716[[#This Row],[Project Equipment Energy Use 
(kWh/yr)]]*'Grid Electricity'!$G$39,"")</f>
        <v/>
      </c>
      <c r="R21" s="173" t="str">
        <f>IFERROR(((Table716[[#This Row],[Project Equipment Energy Use 
(kWh/yr)]]-Table716[[#This Row],[Baseline Equipment Energy Use 
(kWh/yr)]])*Table716[[#This Row],[Project Useful Life
(yr)]]),"")</f>
        <v/>
      </c>
      <c r="S21" s="174" t="str">
        <f>IFERROR((Table716[[#This Row],[Baseline GHG Emissions 
(MTCO2e/Year)]]-Table716[[#This Row],[Project GHG Emissions 
(MTCO2e/Year)]])*Table716[[#This Row],[Project Useful Life
(yr)]],"")</f>
        <v/>
      </c>
      <c r="T21" s="174" t="str">
        <f>IFERROR((Table716[[#This Row],[Baseline ROG Emissions 
(lbs/year)]]-Table716[[#This Row],[Project ROG Emissions 
(lbs/year)]])*15,"")</f>
        <v/>
      </c>
      <c r="U21" s="174" t="str">
        <f>IFERROR((Table716[[#This Row],[Baseline NOx Emissions 
(lbs/year)]]-Table716[[#This Row],[Project NOx Emissions 
(lbs/year)]])*15,"")</f>
        <v/>
      </c>
      <c r="V21" s="186" t="str">
        <f>IFERROR((Table716[[#This Row],[Baseline PM2.5 Emissions 
(lbs/year)]]-Table716[[#This Row],[Project PM2.5 Emissions 
(lbs/year)]])*15,"")</f>
        <v/>
      </c>
    </row>
    <row r="22" spans="2:22" s="2" customFormat="1" ht="15.5" x14ac:dyDescent="0.35">
      <c r="B22" s="185" t="str">
        <f>IF(ISBLANK('Energy Efficiency Inputs'!D29),"",'Energy Efficiency Inputs'!D29)</f>
        <v/>
      </c>
      <c r="C22" s="171" t="str">
        <f>IF(ISBLANK('Energy Efficiency Inputs'!F29),"",'Energy Efficiency Inputs'!F29)</f>
        <v/>
      </c>
      <c r="D22" s="171" t="str">
        <f>IFERROR((Table716[[#This Row],[Baseline Equipment Watts 
(Watts)]]/1000)*Table716[[#This Row],[Baseline Equipment Hours
(hr/yr)]]*Table716[[#This Row],[Quantity]],"")</f>
        <v/>
      </c>
      <c r="E22" s="171" t="str">
        <f>IFERROR(Table716[[#This Row],[Baseline Equipment Energy Use 
(kWh/yr)]]*'Grid Electricity'!$B$19,"")</f>
        <v/>
      </c>
      <c r="F22" s="172" t="str">
        <f>IFERROR(Table716[[#This Row],[Baseline Equipment Energy Use 
(kWh/yr)]]*'Grid Electricity'!$C$39,"")</f>
        <v/>
      </c>
      <c r="G22" s="173" t="str">
        <f>IFERROR(Table716[[#This Row],[Baseline Equipment Energy Use 
(kWh/yr)]]*'Grid Electricity'!$D$39,"")</f>
        <v/>
      </c>
      <c r="H22" s="173" t="str">
        <f>IFERROR(Table716[[#This Row],[Baseline Equipment Energy Use 
(kWh/yr)]]*'Grid Electricity'!$G$39,"")</f>
        <v/>
      </c>
      <c r="I22" s="173" t="str">
        <f>IF(ISBLANK('Energy Efficiency Inputs'!H29),"",'Energy Efficiency Inputs'!H29)</f>
        <v/>
      </c>
      <c r="J22" s="173" t="str">
        <f>IF(ISBLANK('Energy Efficiency Inputs'!J29),"",'Energy Efficiency Inputs'!J29)</f>
        <v/>
      </c>
      <c r="K22" s="173" t="str">
        <f>IF(ISBLANK('Energy Efficiency Inputs'!L29),"",'Energy Efficiency Inputs'!L29)</f>
        <v/>
      </c>
      <c r="L22" s="173" t="str">
        <f>IF(ISBLANK('Energy Efficiency Inputs'!N29),"",'Energy Efficiency Inputs'!N29)</f>
        <v/>
      </c>
      <c r="M22" s="173" t="str">
        <f>IFERROR((Table716[[#This Row],[Project Equipment Watts 
(Watts)]]/1000)*Table716[[#This Row],[Project Equipment Hours
(hr/yr)]]*Table716[[#This Row],[Quantity]],"")</f>
        <v/>
      </c>
      <c r="N22" s="171" t="str">
        <f>IFERROR(Table716[[#This Row],[Project Equipment Energy Use 
(kWh/yr)]]*'Grid Electricity'!$B$19,"")</f>
        <v/>
      </c>
      <c r="O22" s="172" t="str">
        <f>IFERROR(Table716[[#This Row],[Project Equipment Energy Use 
(kWh/yr)]]*'Grid Electricity'!$C$39,"")</f>
        <v/>
      </c>
      <c r="P22" s="173" t="str">
        <f>IFERROR(Table716[[#This Row],[Project Equipment Energy Use 
(kWh/yr)]]*'Grid Electricity'!$D$39,"")</f>
        <v/>
      </c>
      <c r="Q22" s="173" t="str">
        <f>IFERROR(Table716[[#This Row],[Project Equipment Energy Use 
(kWh/yr)]]*'Grid Electricity'!$G$39,"")</f>
        <v/>
      </c>
      <c r="R22" s="173" t="str">
        <f>IFERROR(((Table716[[#This Row],[Project Equipment Energy Use 
(kWh/yr)]]-Table716[[#This Row],[Baseline Equipment Energy Use 
(kWh/yr)]])*Table716[[#This Row],[Project Useful Life
(yr)]]),"")</f>
        <v/>
      </c>
      <c r="S22" s="174" t="str">
        <f>IFERROR((Table716[[#This Row],[Baseline GHG Emissions 
(MTCO2e/Year)]]-Table716[[#This Row],[Project GHG Emissions 
(MTCO2e/Year)]])*Table716[[#This Row],[Project Useful Life
(yr)]],"")</f>
        <v/>
      </c>
      <c r="T22" s="174" t="str">
        <f>IFERROR((Table716[[#This Row],[Baseline ROG Emissions 
(lbs/year)]]-Table716[[#This Row],[Project ROG Emissions 
(lbs/year)]])*15,"")</f>
        <v/>
      </c>
      <c r="U22" s="174" t="str">
        <f>IFERROR((Table716[[#This Row],[Baseline NOx Emissions 
(lbs/year)]]-Table716[[#This Row],[Project NOx Emissions 
(lbs/year)]])*15,"")</f>
        <v/>
      </c>
      <c r="V22" s="186" t="str">
        <f>IFERROR((Table716[[#This Row],[Baseline PM2.5 Emissions 
(lbs/year)]]-Table716[[#This Row],[Project PM2.5 Emissions 
(lbs/year)]])*15,"")</f>
        <v/>
      </c>
    </row>
    <row r="23" spans="2:22" s="2" customFormat="1" ht="15.5" x14ac:dyDescent="0.35">
      <c r="B23" s="185" t="str">
        <f>IF(ISBLANK('Energy Efficiency Inputs'!D30),"",'Energy Efficiency Inputs'!D30)</f>
        <v/>
      </c>
      <c r="C23" s="171" t="str">
        <f>IF(ISBLANK('Energy Efficiency Inputs'!F30),"",'Energy Efficiency Inputs'!F30)</f>
        <v/>
      </c>
      <c r="D23" s="171" t="str">
        <f>IFERROR((Table716[[#This Row],[Baseline Equipment Watts 
(Watts)]]/1000)*Table716[[#This Row],[Baseline Equipment Hours
(hr/yr)]]*Table716[[#This Row],[Quantity]],"")</f>
        <v/>
      </c>
      <c r="E23" s="171" t="str">
        <f>IFERROR(Table716[[#This Row],[Baseline Equipment Energy Use 
(kWh/yr)]]*'Grid Electricity'!$B$19,"")</f>
        <v/>
      </c>
      <c r="F23" s="172" t="str">
        <f>IFERROR(Table716[[#This Row],[Baseline Equipment Energy Use 
(kWh/yr)]]*'Grid Electricity'!$C$39,"")</f>
        <v/>
      </c>
      <c r="G23" s="173" t="str">
        <f>IFERROR(Table716[[#This Row],[Baseline Equipment Energy Use 
(kWh/yr)]]*'Grid Electricity'!$D$39,"")</f>
        <v/>
      </c>
      <c r="H23" s="173" t="str">
        <f>IFERROR(Table716[[#This Row],[Baseline Equipment Energy Use 
(kWh/yr)]]*'Grid Electricity'!$G$39,"")</f>
        <v/>
      </c>
      <c r="I23" s="173" t="str">
        <f>IF(ISBLANK('Energy Efficiency Inputs'!H30),"",'Energy Efficiency Inputs'!H30)</f>
        <v/>
      </c>
      <c r="J23" s="173" t="str">
        <f>IF(ISBLANK('Energy Efficiency Inputs'!J30),"",'Energy Efficiency Inputs'!J30)</f>
        <v/>
      </c>
      <c r="K23" s="173" t="str">
        <f>IF(ISBLANK('Energy Efficiency Inputs'!L30),"",'Energy Efficiency Inputs'!L30)</f>
        <v/>
      </c>
      <c r="L23" s="173" t="str">
        <f>IF(ISBLANK('Energy Efficiency Inputs'!N30),"",'Energy Efficiency Inputs'!N30)</f>
        <v/>
      </c>
      <c r="M23" s="173" t="str">
        <f>IFERROR((Table716[[#This Row],[Project Equipment Watts 
(Watts)]]/1000)*Table716[[#This Row],[Project Equipment Hours
(hr/yr)]]*Table716[[#This Row],[Quantity]],"")</f>
        <v/>
      </c>
      <c r="N23" s="171" t="str">
        <f>IFERROR(Table716[[#This Row],[Project Equipment Energy Use 
(kWh/yr)]]*'Grid Electricity'!$B$19,"")</f>
        <v/>
      </c>
      <c r="O23" s="172" t="str">
        <f>IFERROR(Table716[[#This Row],[Project Equipment Energy Use 
(kWh/yr)]]*'Grid Electricity'!$C$39,"")</f>
        <v/>
      </c>
      <c r="P23" s="173" t="str">
        <f>IFERROR(Table716[[#This Row],[Project Equipment Energy Use 
(kWh/yr)]]*'Grid Electricity'!$D$39,"")</f>
        <v/>
      </c>
      <c r="Q23" s="173" t="str">
        <f>IFERROR(Table716[[#This Row],[Project Equipment Energy Use 
(kWh/yr)]]*'Grid Electricity'!$G$39,"")</f>
        <v/>
      </c>
      <c r="R23" s="173" t="str">
        <f>IFERROR(((Table716[[#This Row],[Project Equipment Energy Use 
(kWh/yr)]]-Table716[[#This Row],[Baseline Equipment Energy Use 
(kWh/yr)]])*Table716[[#This Row],[Project Useful Life
(yr)]]),"")</f>
        <v/>
      </c>
      <c r="S23" s="174" t="str">
        <f>IFERROR((Table716[[#This Row],[Baseline GHG Emissions 
(MTCO2e/Year)]]-Table716[[#This Row],[Project GHG Emissions 
(MTCO2e/Year)]])*Table716[[#This Row],[Project Useful Life
(yr)]],"")</f>
        <v/>
      </c>
      <c r="T23" s="174" t="str">
        <f>IFERROR((Table716[[#This Row],[Baseline ROG Emissions 
(lbs/year)]]-Table716[[#This Row],[Project ROG Emissions 
(lbs/year)]])*15,"")</f>
        <v/>
      </c>
      <c r="U23" s="174" t="str">
        <f>IFERROR((Table716[[#This Row],[Baseline NOx Emissions 
(lbs/year)]]-Table716[[#This Row],[Project NOx Emissions 
(lbs/year)]])*15,"")</f>
        <v/>
      </c>
      <c r="V23" s="186" t="str">
        <f>IFERROR((Table716[[#This Row],[Baseline PM2.5 Emissions 
(lbs/year)]]-Table716[[#This Row],[Project PM2.5 Emissions 
(lbs/year)]])*15,"")</f>
        <v/>
      </c>
    </row>
    <row r="24" spans="2:22" s="187" customFormat="1" thickBot="1" x14ac:dyDescent="0.35">
      <c r="B24" s="281" t="s">
        <v>221</v>
      </c>
      <c r="C24" s="282"/>
      <c r="D24" s="282">
        <f>SUM(Table716[Baseline Equipment Energy Use 
(kWh/yr)])</f>
        <v>0</v>
      </c>
      <c r="E24" s="282">
        <f>SUM(Table716[Baseline GHG Emissions 
(MTCO2e/Year)])</f>
        <v>0</v>
      </c>
      <c r="F24" s="282">
        <f>SUM(Table716[Baseline ROG Emissions 
(lbs/year)])</f>
        <v>0</v>
      </c>
      <c r="G24" s="282">
        <f>SUM(Table716[Baseline NOx Emissions 
(lbs/year)])</f>
        <v>0</v>
      </c>
      <c r="H24" s="282">
        <f>SUM(Table716[Baseline PM2.5 Emissions 
(lbs/year)])</f>
        <v>0</v>
      </c>
      <c r="I24" s="283"/>
      <c r="J24" s="283"/>
      <c r="K24" s="283"/>
      <c r="L24" s="283"/>
      <c r="M24" s="296">
        <f>SUM(Table716[Project Equipment Energy Use 
(kWh/yr)])</f>
        <v>0</v>
      </c>
      <c r="N24" s="282">
        <f>SUM(Table716[Baseline GHG Emissions 
(MTCO2e/Year)])</f>
        <v>0</v>
      </c>
      <c r="O24" s="282">
        <f>SUM(Table716[Baseline ROG Emissions 
(lbs/year)])</f>
        <v>0</v>
      </c>
      <c r="P24" s="282">
        <f>SUM(Table716[Baseline NOx Emissions 
(lbs/year)])</f>
        <v>0</v>
      </c>
      <c r="Q24" s="282">
        <f>SUM(Table716[Baseline PM2.5 Emissions 
(lbs/year)])</f>
        <v>0</v>
      </c>
      <c r="R24" s="282">
        <f>SUM(Table716[Energy Savings (kWh)])</f>
        <v>0</v>
      </c>
      <c r="S24" s="282">
        <f>SUM(Table716[Baseline GHG Emissions 
(MTCO2e/Year)])</f>
        <v>0</v>
      </c>
      <c r="T24" s="282">
        <f>SUM(Table716[Baseline ROG Emissions 
(lbs/year)])</f>
        <v>0</v>
      </c>
      <c r="U24" s="282">
        <f>SUM(Table716[Baseline NOx Emissions 
(lbs/year)])</f>
        <v>0</v>
      </c>
      <c r="V24" s="284">
        <f>SUM(Table716[Baseline PM2.5 Emissions 
(lbs/year)])</f>
        <v>0</v>
      </c>
    </row>
  </sheetData>
  <sheetProtection algorithmName="SHA-512" hashValue="qjA/xr5M370zl0+5IwOB8QBKfUCr27E+8Z79itZnEkgzHDLLG5oxXYIle5RHsy41YZNcN7D0Atn7gGQs12DxbA==" saltValue="yPmg1lPNXMtkNixOhdEPFw==" spinCount="100000" sheet="1" objects="1" scenarios="1"/>
  <dataValidations count="1">
    <dataValidation operator="greaterThan" allowBlank="1" showInputMessage="1" showErrorMessage="1" sqref="B12:V23" xr:uid="{00000000-0002-0000-0900-000000000000}"/>
  </dataValidations>
  <pageMargins left="0.7" right="0.7" top="0.75" bottom="0.75" header="0.3" footer="0.3"/>
  <pageSetup scale="20" orientation="portrait" r:id="rId1"/>
  <headerFooter>
    <oddFooter>&amp;L&amp;"Avenir LT Std 55 Roman,Regular"&amp;12FINAL June 1, 2022&amp;C&amp;"Avenir LT Std 55 Roman,Regular"&amp;12Page &amp;P of &amp;N&amp;R&amp;"Avenir LT Std 55 Roman,Regular"&amp;12&amp;A</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1"/>
  </sheetPr>
  <dimension ref="A2:I2495"/>
  <sheetViews>
    <sheetView showGridLines="0" showWhiteSpace="0" topLeftCell="A5" zoomScaleNormal="100" workbookViewId="0">
      <selection activeCell="C10" sqref="C10:C14"/>
    </sheetView>
  </sheetViews>
  <sheetFormatPr defaultColWidth="9.1796875" defaultRowHeight="15.5" x14ac:dyDescent="0.35"/>
  <cols>
    <col min="1" max="1" width="28.7265625" style="2" customWidth="1"/>
    <col min="2" max="2" width="16.7265625" style="107" customWidth="1"/>
    <col min="3" max="6" width="16.7265625" style="2" customWidth="1"/>
    <col min="7" max="8" width="10.7265625" style="2" customWidth="1"/>
    <col min="9" max="16384" width="9.1796875" style="2"/>
  </cols>
  <sheetData>
    <row r="2" spans="1:9" ht="18" x14ac:dyDescent="0.4">
      <c r="D2" s="23"/>
      <c r="E2" s="23" t="s">
        <v>0</v>
      </c>
      <c r="I2" s="131"/>
    </row>
    <row r="3" spans="1:9" ht="18" x14ac:dyDescent="0.4">
      <c r="D3" s="24"/>
      <c r="E3" s="24" t="s">
        <v>1</v>
      </c>
      <c r="I3" s="132"/>
    </row>
    <row r="4" spans="1:9" ht="18" x14ac:dyDescent="0.4">
      <c r="D4" s="25"/>
      <c r="E4" s="25" t="s">
        <v>70</v>
      </c>
    </row>
    <row r="7" spans="1:9" ht="16" thickBot="1" x14ac:dyDescent="0.4"/>
    <row r="8" spans="1:9" ht="16" customHeight="1" x14ac:dyDescent="0.35">
      <c r="A8" s="133" t="s">
        <v>132</v>
      </c>
      <c r="B8" s="134"/>
      <c r="C8" s="134"/>
      <c r="D8" s="134"/>
      <c r="E8" s="134"/>
      <c r="F8" s="135"/>
      <c r="G8" s="21"/>
      <c r="H8" s="21"/>
    </row>
    <row r="9" spans="1:9" ht="47" thickBot="1" x14ac:dyDescent="0.4">
      <c r="A9" s="136" t="s">
        <v>113</v>
      </c>
      <c r="B9" s="137" t="s">
        <v>114</v>
      </c>
      <c r="C9" s="137" t="s">
        <v>3586</v>
      </c>
      <c r="D9" s="137" t="s">
        <v>3587</v>
      </c>
      <c r="E9" s="138" t="s">
        <v>3588</v>
      </c>
      <c r="F9" s="139" t="s">
        <v>3589</v>
      </c>
      <c r="G9" s="21"/>
      <c r="H9" s="21"/>
    </row>
    <row r="10" spans="1:9" ht="19.5" customHeight="1" x14ac:dyDescent="0.45">
      <c r="A10" s="140" t="s">
        <v>133</v>
      </c>
      <c r="B10" s="141" t="s">
        <v>116</v>
      </c>
      <c r="C10" s="90">
        <v>1167.204436246853</v>
      </c>
      <c r="D10" s="142"/>
      <c r="E10" s="90">
        <v>933.76354899748242</v>
      </c>
      <c r="F10" s="91">
        <v>178.31676733344156</v>
      </c>
      <c r="G10" s="21"/>
      <c r="H10" s="21"/>
    </row>
    <row r="11" spans="1:9" ht="19.5" customHeight="1" x14ac:dyDescent="0.35">
      <c r="A11" s="143" t="s">
        <v>133</v>
      </c>
      <c r="B11" s="144" t="s">
        <v>117</v>
      </c>
      <c r="C11" s="145">
        <v>1.0918503260987379E-2</v>
      </c>
      <c r="D11" s="146"/>
      <c r="E11" s="145">
        <v>8.734802608789902E-3</v>
      </c>
      <c r="F11" s="147">
        <v>0</v>
      </c>
      <c r="G11" s="21"/>
      <c r="H11" s="21"/>
    </row>
    <row r="12" spans="1:9" ht="19.5" customHeight="1" x14ac:dyDescent="0.45">
      <c r="A12" s="143" t="s">
        <v>133</v>
      </c>
      <c r="B12" s="144" t="s">
        <v>118</v>
      </c>
      <c r="C12" s="145">
        <v>1.4474796460345261</v>
      </c>
      <c r="D12" s="146"/>
      <c r="E12" s="145">
        <v>1.1579837168276208</v>
      </c>
      <c r="F12" s="147">
        <v>0</v>
      </c>
      <c r="G12" s="21"/>
      <c r="H12" s="21"/>
    </row>
    <row r="13" spans="1:9" ht="19.5" customHeight="1" x14ac:dyDescent="0.45">
      <c r="A13" s="143" t="s">
        <v>133</v>
      </c>
      <c r="B13" s="144" t="s">
        <v>119</v>
      </c>
      <c r="C13" s="145">
        <v>6.5750506178422083E-2</v>
      </c>
      <c r="D13" s="146"/>
      <c r="E13" s="145">
        <v>3.6442400311839679E-2</v>
      </c>
      <c r="F13" s="148">
        <v>3.0930008864567069E-2</v>
      </c>
      <c r="G13" s="21"/>
      <c r="H13" s="21"/>
    </row>
    <row r="14" spans="1:9" ht="19.5" customHeight="1" thickBot="1" x14ac:dyDescent="0.4">
      <c r="A14" s="149" t="s">
        <v>133</v>
      </c>
      <c r="B14" s="150" t="s">
        <v>120</v>
      </c>
      <c r="C14" s="151">
        <v>7.2020466595543731E-3</v>
      </c>
      <c r="D14" s="152"/>
      <c r="E14" s="151">
        <v>5.7616373276434983E-3</v>
      </c>
      <c r="F14" s="153">
        <v>0</v>
      </c>
      <c r="G14" s="21"/>
      <c r="H14" s="21"/>
    </row>
    <row r="15" spans="1:9" ht="19.5" customHeight="1" x14ac:dyDescent="0.45">
      <c r="A15" s="140" t="s">
        <v>134</v>
      </c>
      <c r="B15" s="141" t="s">
        <v>116</v>
      </c>
      <c r="C15" s="90">
        <v>1589.0522212829621</v>
      </c>
      <c r="D15" s="154"/>
      <c r="E15" s="154"/>
      <c r="F15" s="91">
        <v>242.76351804687243</v>
      </c>
      <c r="G15" s="21"/>
      <c r="H15" s="21"/>
    </row>
    <row r="16" spans="1:9" ht="19.5" customHeight="1" x14ac:dyDescent="0.35">
      <c r="A16" s="143" t="s">
        <v>134</v>
      </c>
      <c r="B16" s="144" t="s">
        <v>117</v>
      </c>
      <c r="C16" s="145">
        <v>4.9575725412123066E-2</v>
      </c>
      <c r="D16" s="146"/>
      <c r="E16" s="146"/>
      <c r="F16" s="147">
        <v>0</v>
      </c>
      <c r="G16" s="21"/>
      <c r="H16" s="21"/>
    </row>
    <row r="17" spans="1:8" ht="19.5" customHeight="1" x14ac:dyDescent="0.45">
      <c r="A17" s="143" t="s">
        <v>134</v>
      </c>
      <c r="B17" s="144" t="s">
        <v>118</v>
      </c>
      <c r="C17" s="145">
        <v>2.555153944522853</v>
      </c>
      <c r="D17" s="146"/>
      <c r="E17" s="146"/>
      <c r="F17" s="147">
        <v>0</v>
      </c>
      <c r="G17" s="21"/>
      <c r="H17" s="21"/>
    </row>
    <row r="18" spans="1:8" ht="19.5" customHeight="1" x14ac:dyDescent="0.45">
      <c r="A18" s="143" t="s">
        <v>134</v>
      </c>
      <c r="B18" s="144" t="s">
        <v>119</v>
      </c>
      <c r="C18" s="145">
        <v>5.6532306127735639E-2</v>
      </c>
      <c r="D18" s="146"/>
      <c r="E18" s="146"/>
      <c r="F18" s="148">
        <v>2.2230006371138866E-2</v>
      </c>
      <c r="G18" s="21"/>
      <c r="H18" s="21"/>
    </row>
    <row r="19" spans="1:8" ht="19.5" customHeight="1" thickBot="1" x14ac:dyDescent="0.4">
      <c r="A19" s="149" t="s">
        <v>134</v>
      </c>
      <c r="B19" s="150" t="s">
        <v>120</v>
      </c>
      <c r="C19" s="151">
        <v>2.2025091681469145E-2</v>
      </c>
      <c r="D19" s="152"/>
      <c r="E19" s="152"/>
      <c r="F19" s="153">
        <v>0</v>
      </c>
      <c r="G19" s="21"/>
      <c r="H19" s="21"/>
    </row>
    <row r="20" spans="1:8" ht="19.5" customHeight="1" x14ac:dyDescent="0.45">
      <c r="A20" s="140" t="s">
        <v>135</v>
      </c>
      <c r="B20" s="141" t="s">
        <v>116</v>
      </c>
      <c r="C20" s="90">
        <v>1734.9706747512255</v>
      </c>
      <c r="D20" s="90">
        <v>1663.8676787891297</v>
      </c>
      <c r="E20" s="154"/>
      <c r="F20" s="91">
        <v>265.05584842939078</v>
      </c>
      <c r="G20" s="21"/>
      <c r="H20" s="21"/>
    </row>
    <row r="21" spans="1:8" ht="19.5" customHeight="1" x14ac:dyDescent="0.35">
      <c r="A21" s="143" t="s">
        <v>135</v>
      </c>
      <c r="B21" s="144" t="s">
        <v>117</v>
      </c>
      <c r="C21" s="145">
        <v>3.3625588106080198E-3</v>
      </c>
      <c r="D21" s="145">
        <v>3.3625588106080198E-3</v>
      </c>
      <c r="E21" s="146"/>
      <c r="F21" s="147">
        <v>0</v>
      </c>
      <c r="G21" s="21"/>
      <c r="H21" s="21"/>
    </row>
    <row r="22" spans="1:8" ht="19.5" customHeight="1" x14ac:dyDescent="0.45">
      <c r="A22" s="143" t="s">
        <v>135</v>
      </c>
      <c r="B22" s="144" t="s">
        <v>118</v>
      </c>
      <c r="C22" s="145">
        <v>0.668236116235292</v>
      </c>
      <c r="D22" s="145">
        <v>0.668236116235292</v>
      </c>
      <c r="E22" s="146"/>
      <c r="F22" s="147">
        <v>0</v>
      </c>
      <c r="G22" s="21"/>
      <c r="H22" s="21"/>
    </row>
    <row r="23" spans="1:8" ht="19.5" customHeight="1" x14ac:dyDescent="0.45">
      <c r="A23" s="143" t="s">
        <v>135</v>
      </c>
      <c r="B23" s="144" t="s">
        <v>119</v>
      </c>
      <c r="C23" s="145">
        <v>5.1213236144930882E-2</v>
      </c>
      <c r="D23" s="145">
        <v>5.1213236144930882E-2</v>
      </c>
      <c r="E23" s="146"/>
      <c r="F23" s="148">
        <v>2.615144001936175E-2</v>
      </c>
      <c r="G23" s="21"/>
      <c r="H23" s="21"/>
    </row>
    <row r="24" spans="1:8" ht="19.5" customHeight="1" thickBot="1" x14ac:dyDescent="0.4">
      <c r="A24" s="149" t="s">
        <v>135</v>
      </c>
      <c r="B24" s="150" t="s">
        <v>120</v>
      </c>
      <c r="C24" s="151">
        <v>5.3363578996244304E-3</v>
      </c>
      <c r="D24" s="155">
        <v>0</v>
      </c>
      <c r="E24" s="152"/>
      <c r="F24" s="153">
        <v>0</v>
      </c>
      <c r="G24" s="21"/>
      <c r="H24" s="21"/>
    </row>
    <row r="25" spans="1:8" ht="19.5" customHeight="1" x14ac:dyDescent="0.45">
      <c r="A25" s="156" t="s">
        <v>136</v>
      </c>
      <c r="B25" s="157" t="s">
        <v>116</v>
      </c>
      <c r="C25" s="104">
        <v>1318.4503001334922</v>
      </c>
      <c r="D25" s="158"/>
      <c r="E25" s="158"/>
      <c r="F25" s="105">
        <v>201.4229796500604</v>
      </c>
      <c r="G25" s="21"/>
      <c r="H25" s="21"/>
    </row>
    <row r="26" spans="1:8" ht="19.5" customHeight="1" x14ac:dyDescent="0.35">
      <c r="A26" s="143" t="s">
        <v>136</v>
      </c>
      <c r="B26" s="144" t="s">
        <v>117</v>
      </c>
      <c r="C26" s="145">
        <v>1.6290849777035807E-2</v>
      </c>
      <c r="D26" s="146"/>
      <c r="E26" s="146"/>
      <c r="F26" s="147">
        <v>0</v>
      </c>
      <c r="G26" s="21"/>
      <c r="H26" s="21"/>
    </row>
    <row r="27" spans="1:8" ht="19.5" customHeight="1" x14ac:dyDescent="0.45">
      <c r="A27" s="143" t="s">
        <v>136</v>
      </c>
      <c r="B27" s="144" t="s">
        <v>118</v>
      </c>
      <c r="C27" s="145">
        <v>1.7532680836075156</v>
      </c>
      <c r="D27" s="146"/>
      <c r="E27" s="146"/>
      <c r="F27" s="147">
        <v>0</v>
      </c>
      <c r="G27" s="21"/>
      <c r="H27" s="21"/>
    </row>
    <row r="28" spans="1:8" ht="19.5" customHeight="1" x14ac:dyDescent="0.45">
      <c r="A28" s="143" t="s">
        <v>136</v>
      </c>
      <c r="B28" s="144" t="s">
        <v>119</v>
      </c>
      <c r="C28" s="145">
        <v>0.32680530697115201</v>
      </c>
      <c r="D28" s="146"/>
      <c r="E28" s="146"/>
      <c r="F28" s="148">
        <v>0.1626000466013128</v>
      </c>
      <c r="G28" s="21"/>
      <c r="H28" s="21"/>
    </row>
    <row r="29" spans="1:8" ht="19.5" customHeight="1" thickBot="1" x14ac:dyDescent="0.4">
      <c r="A29" s="149" t="s">
        <v>136</v>
      </c>
      <c r="B29" s="150" t="s">
        <v>120</v>
      </c>
      <c r="C29" s="151">
        <v>4.8134419984850012E-3</v>
      </c>
      <c r="D29" s="152"/>
      <c r="E29" s="152"/>
      <c r="F29" s="153">
        <v>0</v>
      </c>
      <c r="G29" s="21"/>
      <c r="H29" s="21"/>
    </row>
    <row r="30" spans="1:8" x14ac:dyDescent="0.35">
      <c r="B30" s="2"/>
      <c r="G30" s="21"/>
      <c r="H30" s="21"/>
    </row>
    <row r="31" spans="1:8" ht="16" thickBot="1" x14ac:dyDescent="0.4">
      <c r="B31" s="2"/>
      <c r="G31" s="21"/>
      <c r="H31" s="21"/>
    </row>
    <row r="32" spans="1:8" ht="16" customHeight="1" x14ac:dyDescent="0.35">
      <c r="A32" s="133" t="s">
        <v>137</v>
      </c>
      <c r="B32" s="134"/>
      <c r="C32" s="134"/>
      <c r="D32" s="134"/>
      <c r="E32" s="135"/>
      <c r="G32" s="21"/>
      <c r="H32" s="21"/>
    </row>
    <row r="33" spans="1:8" ht="33.5" thickBot="1" x14ac:dyDescent="0.4">
      <c r="A33" s="136" t="s">
        <v>113</v>
      </c>
      <c r="B33" s="137" t="s">
        <v>114</v>
      </c>
      <c r="C33" s="137" t="s">
        <v>3586</v>
      </c>
      <c r="D33" s="137" t="s">
        <v>3587</v>
      </c>
      <c r="E33" s="159" t="s">
        <v>3590</v>
      </c>
      <c r="G33" s="21"/>
      <c r="H33" s="21"/>
    </row>
    <row r="34" spans="1:8" ht="19.5" customHeight="1" x14ac:dyDescent="0.45">
      <c r="A34" s="160" t="s">
        <v>133</v>
      </c>
      <c r="B34" s="157" t="s">
        <v>116</v>
      </c>
      <c r="C34" s="158"/>
      <c r="D34" s="104">
        <v>1119.3697762579743</v>
      </c>
      <c r="E34" s="105">
        <v>-652.64293183207144</v>
      </c>
      <c r="G34" s="21"/>
      <c r="H34" s="21"/>
    </row>
    <row r="35" spans="1:8" ht="19.5" customHeight="1" x14ac:dyDescent="0.35">
      <c r="A35" s="143" t="s">
        <v>133</v>
      </c>
      <c r="B35" s="144" t="s">
        <v>117</v>
      </c>
      <c r="C35" s="146"/>
      <c r="D35" s="145">
        <v>1.0918503260987379E-2</v>
      </c>
      <c r="E35" s="145">
        <v>1.0918503260987379E-2</v>
      </c>
      <c r="G35" s="21"/>
      <c r="H35" s="21"/>
    </row>
    <row r="36" spans="1:8" ht="19.5" customHeight="1" x14ac:dyDescent="0.45">
      <c r="A36" s="143" t="s">
        <v>133</v>
      </c>
      <c r="B36" s="144" t="s">
        <v>118</v>
      </c>
      <c r="C36" s="146"/>
      <c r="D36" s="145">
        <v>1.4474796460345261</v>
      </c>
      <c r="E36" s="145">
        <v>0.1447479646034526</v>
      </c>
      <c r="G36" s="21"/>
      <c r="H36" s="21"/>
    </row>
    <row r="37" spans="1:8" ht="19.5" customHeight="1" x14ac:dyDescent="0.45">
      <c r="A37" s="143" t="s">
        <v>133</v>
      </c>
      <c r="B37" s="144" t="s">
        <v>119</v>
      </c>
      <c r="C37" s="146"/>
      <c r="D37" s="145">
        <v>6.5750506178422083E-2</v>
      </c>
      <c r="E37" s="145">
        <v>6.5750506178422083E-2</v>
      </c>
      <c r="G37" s="21"/>
      <c r="H37" s="21"/>
    </row>
    <row r="38" spans="1:8" ht="19.5" customHeight="1" thickBot="1" x14ac:dyDescent="0.4">
      <c r="A38" s="161" t="s">
        <v>133</v>
      </c>
      <c r="B38" s="162" t="s">
        <v>120</v>
      </c>
      <c r="C38" s="163"/>
      <c r="D38" s="164">
        <v>0</v>
      </c>
      <c r="E38" s="165">
        <v>0</v>
      </c>
      <c r="G38" s="21"/>
      <c r="H38" s="21"/>
    </row>
    <row r="39" spans="1:8" ht="19.5" customHeight="1" x14ac:dyDescent="0.45">
      <c r="A39" s="166" t="s">
        <v>134</v>
      </c>
      <c r="B39" s="141" t="s">
        <v>116</v>
      </c>
      <c r="C39" s="90">
        <v>1589.0522212829621</v>
      </c>
      <c r="D39" s="90">
        <v>1523.9292913581421</v>
      </c>
      <c r="E39" s="91">
        <v>-888.51932731434908</v>
      </c>
      <c r="G39" s="21"/>
      <c r="H39" s="21"/>
    </row>
    <row r="40" spans="1:8" ht="19.5" customHeight="1" x14ac:dyDescent="0.35">
      <c r="A40" s="143" t="s">
        <v>134</v>
      </c>
      <c r="B40" s="144" t="s">
        <v>117</v>
      </c>
      <c r="C40" s="145">
        <v>4.9575725412123066E-2</v>
      </c>
      <c r="D40" s="145">
        <v>4.9575725412123066E-2</v>
      </c>
      <c r="E40" s="148">
        <v>4.9575725412123066E-2</v>
      </c>
      <c r="G40" s="21"/>
      <c r="H40" s="21"/>
    </row>
    <row r="41" spans="1:8" ht="19.5" customHeight="1" x14ac:dyDescent="0.45">
      <c r="A41" s="143" t="s">
        <v>134</v>
      </c>
      <c r="B41" s="144" t="s">
        <v>118</v>
      </c>
      <c r="C41" s="145">
        <v>2.555153944522853</v>
      </c>
      <c r="D41" s="145">
        <v>2.555153944522853</v>
      </c>
      <c r="E41" s="148">
        <v>0.25551539445228533</v>
      </c>
      <c r="G41" s="21"/>
      <c r="H41" s="21"/>
    </row>
    <row r="42" spans="1:8" ht="19.5" customHeight="1" x14ac:dyDescent="0.45">
      <c r="A42" s="143" t="s">
        <v>134</v>
      </c>
      <c r="B42" s="144" t="s">
        <v>119</v>
      </c>
      <c r="C42" s="145">
        <v>5.6532306127735639E-2</v>
      </c>
      <c r="D42" s="145">
        <v>5.6532306127735639E-2</v>
      </c>
      <c r="E42" s="148">
        <v>5.6532306127735639E-2</v>
      </c>
      <c r="G42" s="21"/>
      <c r="H42" s="21"/>
    </row>
    <row r="43" spans="1:8" ht="19.5" customHeight="1" thickBot="1" x14ac:dyDescent="0.4">
      <c r="A43" s="149" t="s">
        <v>134</v>
      </c>
      <c r="B43" s="150" t="s">
        <v>120</v>
      </c>
      <c r="C43" s="167">
        <v>2.2025091681469145E-2</v>
      </c>
      <c r="D43" s="155">
        <v>0</v>
      </c>
      <c r="E43" s="153">
        <v>0</v>
      </c>
      <c r="G43" s="21"/>
      <c r="H43" s="21"/>
    </row>
    <row r="44" spans="1:8" ht="19.5" customHeight="1" x14ac:dyDescent="0.45">
      <c r="A44" s="160" t="s">
        <v>135</v>
      </c>
      <c r="B44" s="157" t="s">
        <v>116</v>
      </c>
      <c r="C44" s="158"/>
      <c r="D44" s="104">
        <v>1663.8676787891297</v>
      </c>
      <c r="E44" s="105">
        <v>-970.10970199296992</v>
      </c>
      <c r="G44" s="21"/>
      <c r="H44" s="21"/>
    </row>
    <row r="45" spans="1:8" ht="19.5" customHeight="1" x14ac:dyDescent="0.35">
      <c r="A45" s="143" t="s">
        <v>135</v>
      </c>
      <c r="B45" s="144" t="s">
        <v>117</v>
      </c>
      <c r="C45" s="146"/>
      <c r="D45" s="145">
        <v>3.3625588106080198E-3</v>
      </c>
      <c r="E45" s="148">
        <v>3.3625588106080198E-3</v>
      </c>
      <c r="G45" s="21"/>
      <c r="H45" s="21"/>
    </row>
    <row r="46" spans="1:8" ht="19.5" customHeight="1" x14ac:dyDescent="0.45">
      <c r="A46" s="143" t="s">
        <v>135</v>
      </c>
      <c r="B46" s="144" t="s">
        <v>118</v>
      </c>
      <c r="C46" s="146"/>
      <c r="D46" s="145">
        <v>0.668236116235292</v>
      </c>
      <c r="E46" s="148">
        <v>6.6823611623529205E-2</v>
      </c>
      <c r="G46" s="21"/>
      <c r="H46" s="21"/>
    </row>
    <row r="47" spans="1:8" ht="19.5" customHeight="1" x14ac:dyDescent="0.45">
      <c r="A47" s="143" t="s">
        <v>135</v>
      </c>
      <c r="B47" s="144" t="s">
        <v>119</v>
      </c>
      <c r="C47" s="146"/>
      <c r="D47" s="145">
        <v>5.1213236144930882E-2</v>
      </c>
      <c r="E47" s="148">
        <v>5.1213236144930882E-2</v>
      </c>
      <c r="G47" s="21"/>
      <c r="H47" s="21"/>
    </row>
    <row r="48" spans="1:8" ht="19.5" customHeight="1" thickBot="1" x14ac:dyDescent="0.4">
      <c r="A48" s="149" t="s">
        <v>135</v>
      </c>
      <c r="B48" s="150" t="s">
        <v>120</v>
      </c>
      <c r="C48" s="152"/>
      <c r="D48" s="155">
        <v>0</v>
      </c>
      <c r="E48" s="153">
        <v>0</v>
      </c>
      <c r="G48" s="21"/>
      <c r="H48" s="21"/>
    </row>
    <row r="49" spans="1:9" ht="16" thickBot="1" x14ac:dyDescent="0.4">
      <c r="B49" s="2"/>
    </row>
    <row r="50" spans="1:9" x14ac:dyDescent="0.35">
      <c r="A50" s="120" t="s">
        <v>92</v>
      </c>
      <c r="B50" s="121"/>
      <c r="C50" s="121"/>
      <c r="D50" s="121"/>
      <c r="E50" s="121"/>
      <c r="F50" s="121"/>
      <c r="G50" s="122"/>
      <c r="H50" s="106"/>
      <c r="I50" s="106"/>
    </row>
    <row r="51" spans="1:9" x14ac:dyDescent="0.35">
      <c r="A51" s="168" t="s">
        <v>138</v>
      </c>
      <c r="G51" s="16"/>
    </row>
    <row r="52" spans="1:9" x14ac:dyDescent="0.35">
      <c r="A52" s="26" t="s">
        <v>98</v>
      </c>
      <c r="B52" s="2"/>
      <c r="G52" s="16"/>
    </row>
    <row r="53" spans="1:9" x14ac:dyDescent="0.35">
      <c r="A53" s="26" t="s">
        <v>104</v>
      </c>
      <c r="B53" s="2"/>
      <c r="G53" s="16"/>
    </row>
    <row r="54" spans="1:9" x14ac:dyDescent="0.35">
      <c r="A54" s="26" t="s">
        <v>99</v>
      </c>
      <c r="B54" s="2"/>
      <c r="G54" s="16"/>
    </row>
    <row r="55" spans="1:9" x14ac:dyDescent="0.35">
      <c r="A55" s="127" t="s">
        <v>3600</v>
      </c>
      <c r="B55" s="6"/>
      <c r="C55" s="6"/>
      <c r="D55" s="6"/>
      <c r="E55" s="6"/>
      <c r="F55" s="6"/>
      <c r="G55" s="16"/>
    </row>
    <row r="56" spans="1:9" x14ac:dyDescent="0.35">
      <c r="A56" s="26" t="s">
        <v>100</v>
      </c>
      <c r="B56" s="2"/>
      <c r="G56" s="16"/>
    </row>
    <row r="57" spans="1:9" x14ac:dyDescent="0.35">
      <c r="A57" s="26" t="s">
        <v>126</v>
      </c>
      <c r="B57" s="2"/>
      <c r="G57" s="16"/>
    </row>
    <row r="58" spans="1:9" x14ac:dyDescent="0.35">
      <c r="A58" s="169" t="s">
        <v>3601</v>
      </c>
      <c r="B58" s="49"/>
      <c r="C58" s="49"/>
      <c r="D58" s="49"/>
      <c r="E58" s="49"/>
      <c r="F58" s="49"/>
      <c r="G58" s="16"/>
    </row>
    <row r="59" spans="1:9" x14ac:dyDescent="0.35">
      <c r="A59" s="26" t="s">
        <v>101</v>
      </c>
      <c r="B59" s="2"/>
      <c r="G59" s="16"/>
    </row>
    <row r="60" spans="1:9" x14ac:dyDescent="0.35">
      <c r="A60" s="26" t="s">
        <v>139</v>
      </c>
      <c r="B60" s="2"/>
      <c r="G60" s="16"/>
    </row>
    <row r="61" spans="1:9" x14ac:dyDescent="0.35">
      <c r="A61" s="26" t="s">
        <v>140</v>
      </c>
      <c r="B61" s="2"/>
      <c r="G61" s="16"/>
    </row>
    <row r="62" spans="1:9" x14ac:dyDescent="0.35">
      <c r="A62" s="26" t="s">
        <v>141</v>
      </c>
      <c r="B62" s="2"/>
      <c r="G62" s="16"/>
    </row>
    <row r="63" spans="1:9" ht="15.75" customHeight="1" x14ac:dyDescent="0.35">
      <c r="A63" s="50" t="s">
        <v>102</v>
      </c>
      <c r="B63" s="22"/>
      <c r="C63" s="22"/>
      <c r="D63" s="22"/>
      <c r="E63" s="22"/>
      <c r="F63" s="22"/>
      <c r="G63" s="16"/>
    </row>
    <row r="64" spans="1:9" x14ac:dyDescent="0.35">
      <c r="A64" s="125" t="s">
        <v>103</v>
      </c>
      <c r="B64" s="2"/>
      <c r="G64" s="16"/>
    </row>
    <row r="65" spans="1:7" x14ac:dyDescent="0.35">
      <c r="A65" s="26"/>
      <c r="B65" s="2"/>
      <c r="G65" s="16"/>
    </row>
    <row r="66" spans="1:7" x14ac:dyDescent="0.35">
      <c r="A66" s="168" t="s">
        <v>142</v>
      </c>
      <c r="B66" s="106"/>
      <c r="C66" s="106"/>
      <c r="D66" s="106"/>
      <c r="E66" s="106"/>
      <c r="F66" s="106"/>
      <c r="G66" s="16"/>
    </row>
    <row r="67" spans="1:7" x14ac:dyDescent="0.35">
      <c r="A67" s="26" t="s">
        <v>98</v>
      </c>
      <c r="B67" s="2"/>
      <c r="G67" s="16"/>
    </row>
    <row r="68" spans="1:7" x14ac:dyDescent="0.35">
      <c r="A68" s="26" t="s">
        <v>104</v>
      </c>
      <c r="B68" s="2"/>
      <c r="G68" s="16"/>
    </row>
    <row r="69" spans="1:7" x14ac:dyDescent="0.35">
      <c r="A69" s="26" t="s">
        <v>99</v>
      </c>
      <c r="B69" s="2"/>
      <c r="G69" s="16"/>
    </row>
    <row r="70" spans="1:7" x14ac:dyDescent="0.35">
      <c r="A70" s="50" t="s">
        <v>3600</v>
      </c>
      <c r="B70" s="22"/>
      <c r="C70" s="6"/>
      <c r="D70" s="6"/>
      <c r="E70" s="6"/>
      <c r="F70" s="6"/>
      <c r="G70" s="16"/>
    </row>
    <row r="71" spans="1:7" x14ac:dyDescent="0.35">
      <c r="A71" s="26" t="s">
        <v>100</v>
      </c>
      <c r="B71" s="2"/>
      <c r="G71" s="16"/>
    </row>
    <row r="72" spans="1:7" x14ac:dyDescent="0.35">
      <c r="A72" s="26" t="s">
        <v>126</v>
      </c>
      <c r="B72" s="2"/>
      <c r="G72" s="16"/>
    </row>
    <row r="73" spans="1:7" x14ac:dyDescent="0.35">
      <c r="A73" s="26" t="s">
        <v>3601</v>
      </c>
      <c r="B73" s="2"/>
      <c r="G73" s="16"/>
    </row>
    <row r="74" spans="1:7" x14ac:dyDescent="0.35">
      <c r="A74" s="26" t="s">
        <v>101</v>
      </c>
      <c r="B74" s="2"/>
      <c r="G74" s="16"/>
    </row>
    <row r="75" spans="1:7" x14ac:dyDescent="0.35">
      <c r="A75" s="26" t="s">
        <v>139</v>
      </c>
      <c r="B75" s="2"/>
      <c r="G75" s="16"/>
    </row>
    <row r="76" spans="1:7" x14ac:dyDescent="0.35">
      <c r="A76" s="26" t="s">
        <v>140</v>
      </c>
      <c r="B76" s="2"/>
      <c r="G76" s="16"/>
    </row>
    <row r="77" spans="1:7" x14ac:dyDescent="0.35">
      <c r="A77" s="26" t="s">
        <v>141</v>
      </c>
      <c r="B77" s="2"/>
      <c r="G77" s="16"/>
    </row>
    <row r="78" spans="1:7" ht="15.75" customHeight="1" x14ac:dyDescent="0.35">
      <c r="A78" s="50" t="s">
        <v>102</v>
      </c>
      <c r="B78" s="22"/>
      <c r="C78" s="22"/>
      <c r="D78" s="22"/>
      <c r="E78" s="22"/>
      <c r="F78" s="22"/>
      <c r="G78" s="16"/>
    </row>
    <row r="79" spans="1:7" ht="16" thickBot="1" x14ac:dyDescent="0.4">
      <c r="A79" s="63" t="s">
        <v>103</v>
      </c>
      <c r="B79" s="17"/>
      <c r="C79" s="17"/>
      <c r="D79" s="17"/>
      <c r="E79" s="17"/>
      <c r="F79" s="17"/>
      <c r="G79" s="18"/>
    </row>
    <row r="80" spans="1:7" x14ac:dyDescent="0.35">
      <c r="B80" s="2"/>
    </row>
    <row r="81" spans="2:2" x14ac:dyDescent="0.35">
      <c r="B81" s="2"/>
    </row>
    <row r="82" spans="2:2" x14ac:dyDescent="0.35">
      <c r="B82" s="2"/>
    </row>
    <row r="83" spans="2:2" x14ac:dyDescent="0.35">
      <c r="B83" s="2"/>
    </row>
    <row r="84" spans="2:2" x14ac:dyDescent="0.35">
      <c r="B84" s="2"/>
    </row>
    <row r="85" spans="2:2" x14ac:dyDescent="0.35">
      <c r="B85" s="2"/>
    </row>
    <row r="86" spans="2:2" x14ac:dyDescent="0.35">
      <c r="B86" s="2"/>
    </row>
    <row r="87" spans="2:2" x14ac:dyDescent="0.35">
      <c r="B87" s="2"/>
    </row>
    <row r="88" spans="2:2" x14ac:dyDescent="0.35">
      <c r="B88" s="2"/>
    </row>
    <row r="89" spans="2:2" x14ac:dyDescent="0.35">
      <c r="B89" s="2"/>
    </row>
    <row r="90" spans="2:2" x14ac:dyDescent="0.35">
      <c r="B90" s="2"/>
    </row>
    <row r="91" spans="2:2" x14ac:dyDescent="0.35">
      <c r="B91" s="2"/>
    </row>
    <row r="92" spans="2:2" x14ac:dyDescent="0.35">
      <c r="B92" s="2"/>
    </row>
    <row r="93" spans="2:2" x14ac:dyDescent="0.35">
      <c r="B93" s="2"/>
    </row>
    <row r="94" spans="2:2" x14ac:dyDescent="0.35">
      <c r="B94" s="2"/>
    </row>
    <row r="95" spans="2:2" x14ac:dyDescent="0.35">
      <c r="B95" s="2"/>
    </row>
    <row r="96" spans="2:2" x14ac:dyDescent="0.35">
      <c r="B96" s="2"/>
    </row>
    <row r="97" spans="2:2" x14ac:dyDescent="0.35">
      <c r="B97" s="2"/>
    </row>
    <row r="98" spans="2:2" x14ac:dyDescent="0.35">
      <c r="B98" s="2"/>
    </row>
    <row r="99" spans="2:2" x14ac:dyDescent="0.35">
      <c r="B99" s="2"/>
    </row>
    <row r="100" spans="2:2" x14ac:dyDescent="0.35">
      <c r="B100" s="2"/>
    </row>
    <row r="101" spans="2:2" x14ac:dyDescent="0.35">
      <c r="B101" s="2"/>
    </row>
    <row r="102" spans="2:2" x14ac:dyDescent="0.35">
      <c r="B102" s="2"/>
    </row>
    <row r="103" spans="2:2" x14ac:dyDescent="0.35">
      <c r="B103" s="2"/>
    </row>
    <row r="104" spans="2:2" x14ac:dyDescent="0.35">
      <c r="B104" s="2"/>
    </row>
    <row r="105" spans="2:2" x14ac:dyDescent="0.35">
      <c r="B105" s="2"/>
    </row>
    <row r="106" spans="2:2" x14ac:dyDescent="0.35">
      <c r="B106" s="2"/>
    </row>
    <row r="107" spans="2:2" x14ac:dyDescent="0.35">
      <c r="B107" s="2"/>
    </row>
    <row r="108" spans="2:2" x14ac:dyDescent="0.35">
      <c r="B108" s="2"/>
    </row>
    <row r="109" spans="2:2" x14ac:dyDescent="0.35">
      <c r="B109" s="2"/>
    </row>
    <row r="110" spans="2:2" x14ac:dyDescent="0.35">
      <c r="B110" s="2"/>
    </row>
    <row r="111" spans="2:2" x14ac:dyDescent="0.35">
      <c r="B111" s="2"/>
    </row>
    <row r="112" spans="2:2" x14ac:dyDescent="0.35">
      <c r="B112" s="2"/>
    </row>
    <row r="113" spans="2:2" x14ac:dyDescent="0.35">
      <c r="B113" s="2"/>
    </row>
    <row r="114" spans="2:2" x14ac:dyDescent="0.35">
      <c r="B114" s="2"/>
    </row>
    <row r="115" spans="2:2" x14ac:dyDescent="0.35">
      <c r="B115" s="2"/>
    </row>
    <row r="116" spans="2:2" x14ac:dyDescent="0.35">
      <c r="B116" s="2"/>
    </row>
    <row r="117" spans="2:2" x14ac:dyDescent="0.35">
      <c r="B117" s="2"/>
    </row>
    <row r="118" spans="2:2" x14ac:dyDescent="0.35">
      <c r="B118" s="2"/>
    </row>
    <row r="119" spans="2:2" x14ac:dyDescent="0.35">
      <c r="B119" s="2"/>
    </row>
    <row r="120" spans="2:2" x14ac:dyDescent="0.35">
      <c r="B120" s="2"/>
    </row>
    <row r="121" spans="2:2" x14ac:dyDescent="0.35">
      <c r="B121" s="2"/>
    </row>
    <row r="122" spans="2:2" x14ac:dyDescent="0.35">
      <c r="B122" s="2"/>
    </row>
    <row r="123" spans="2:2" x14ac:dyDescent="0.35">
      <c r="B123" s="2"/>
    </row>
    <row r="124" spans="2:2" x14ac:dyDescent="0.35">
      <c r="B124" s="2"/>
    </row>
    <row r="125" spans="2:2" x14ac:dyDescent="0.35">
      <c r="B125" s="2"/>
    </row>
    <row r="126" spans="2:2" x14ac:dyDescent="0.35">
      <c r="B126" s="2"/>
    </row>
    <row r="127" spans="2:2" x14ac:dyDescent="0.35">
      <c r="B127" s="2"/>
    </row>
    <row r="128" spans="2:2" x14ac:dyDescent="0.35">
      <c r="B128" s="2"/>
    </row>
    <row r="129" spans="2:2" x14ac:dyDescent="0.35">
      <c r="B129" s="2"/>
    </row>
    <row r="130" spans="2:2" x14ac:dyDescent="0.35">
      <c r="B130" s="2"/>
    </row>
    <row r="131" spans="2:2" x14ac:dyDescent="0.35">
      <c r="B131" s="2"/>
    </row>
    <row r="132" spans="2:2" x14ac:dyDescent="0.35">
      <c r="B132" s="2"/>
    </row>
    <row r="133" spans="2:2" x14ac:dyDescent="0.35">
      <c r="B133" s="2"/>
    </row>
    <row r="134" spans="2:2" x14ac:dyDescent="0.35">
      <c r="B134" s="2"/>
    </row>
    <row r="135" spans="2:2" x14ac:dyDescent="0.35">
      <c r="B135" s="2"/>
    </row>
    <row r="136" spans="2:2" x14ac:dyDescent="0.35">
      <c r="B136" s="2"/>
    </row>
    <row r="137" spans="2:2" x14ac:dyDescent="0.35">
      <c r="B137" s="2"/>
    </row>
    <row r="138" spans="2:2" x14ac:dyDescent="0.35">
      <c r="B138" s="2"/>
    </row>
    <row r="139" spans="2:2" x14ac:dyDescent="0.35">
      <c r="B139" s="2"/>
    </row>
    <row r="140" spans="2:2" x14ac:dyDescent="0.35">
      <c r="B140" s="2"/>
    </row>
    <row r="141" spans="2:2" x14ac:dyDescent="0.35">
      <c r="B141" s="2"/>
    </row>
    <row r="142" spans="2:2" x14ac:dyDescent="0.35">
      <c r="B142" s="2"/>
    </row>
    <row r="143" spans="2:2" x14ac:dyDescent="0.35">
      <c r="B143" s="2"/>
    </row>
    <row r="144" spans="2:2" x14ac:dyDescent="0.35">
      <c r="B144" s="2"/>
    </row>
    <row r="145" spans="2:2" x14ac:dyDescent="0.35">
      <c r="B145" s="2"/>
    </row>
    <row r="146" spans="2:2" x14ac:dyDescent="0.35">
      <c r="B146" s="2"/>
    </row>
    <row r="147" spans="2:2" x14ac:dyDescent="0.35">
      <c r="B147" s="2"/>
    </row>
    <row r="148" spans="2:2" x14ac:dyDescent="0.35">
      <c r="B148" s="2"/>
    </row>
    <row r="149" spans="2:2" x14ac:dyDescent="0.35">
      <c r="B149" s="2"/>
    </row>
    <row r="150" spans="2:2" x14ac:dyDescent="0.35">
      <c r="B150" s="2"/>
    </row>
    <row r="151" spans="2:2" x14ac:dyDescent="0.35">
      <c r="B151" s="2"/>
    </row>
    <row r="152" spans="2:2" x14ac:dyDescent="0.35">
      <c r="B152" s="2"/>
    </row>
    <row r="153" spans="2:2" x14ac:dyDescent="0.35">
      <c r="B153" s="2"/>
    </row>
    <row r="154" spans="2:2" x14ac:dyDescent="0.35">
      <c r="B154" s="2"/>
    </row>
    <row r="155" spans="2:2" x14ac:dyDescent="0.35">
      <c r="B155" s="2"/>
    </row>
    <row r="156" spans="2:2" x14ac:dyDescent="0.35">
      <c r="B156" s="2"/>
    </row>
    <row r="157" spans="2:2" x14ac:dyDescent="0.35">
      <c r="B157" s="2"/>
    </row>
    <row r="158" spans="2:2" x14ac:dyDescent="0.35">
      <c r="B158" s="2"/>
    </row>
    <row r="159" spans="2:2" x14ac:dyDescent="0.35">
      <c r="B159" s="2"/>
    </row>
    <row r="160" spans="2:2" x14ac:dyDescent="0.35">
      <c r="B160" s="2"/>
    </row>
    <row r="161" spans="2:2" x14ac:dyDescent="0.35">
      <c r="B161" s="2"/>
    </row>
    <row r="162" spans="2:2" x14ac:dyDescent="0.35">
      <c r="B162" s="2"/>
    </row>
    <row r="163" spans="2:2" x14ac:dyDescent="0.35">
      <c r="B163" s="2"/>
    </row>
    <row r="164" spans="2:2" x14ac:dyDescent="0.35">
      <c r="B164" s="2"/>
    </row>
    <row r="165" spans="2:2" x14ac:dyDescent="0.35">
      <c r="B165" s="2"/>
    </row>
    <row r="166" spans="2:2" x14ac:dyDescent="0.35">
      <c r="B166" s="2"/>
    </row>
    <row r="167" spans="2:2" x14ac:dyDescent="0.35">
      <c r="B167" s="2"/>
    </row>
    <row r="168" spans="2:2" x14ac:dyDescent="0.35">
      <c r="B168" s="2"/>
    </row>
    <row r="169" spans="2:2" x14ac:dyDescent="0.35">
      <c r="B169" s="2"/>
    </row>
    <row r="170" spans="2:2" x14ac:dyDescent="0.35">
      <c r="B170" s="2"/>
    </row>
    <row r="171" spans="2:2" x14ac:dyDescent="0.35">
      <c r="B171" s="2"/>
    </row>
    <row r="172" spans="2:2" x14ac:dyDescent="0.35">
      <c r="B172" s="2"/>
    </row>
    <row r="173" spans="2:2" x14ac:dyDescent="0.35">
      <c r="B173" s="2"/>
    </row>
    <row r="174" spans="2:2" x14ac:dyDescent="0.35">
      <c r="B174" s="2"/>
    </row>
    <row r="175" spans="2:2" x14ac:dyDescent="0.35">
      <c r="B175" s="2"/>
    </row>
    <row r="176" spans="2:2" x14ac:dyDescent="0.35">
      <c r="B176" s="2"/>
    </row>
    <row r="177" spans="2:2" x14ac:dyDescent="0.35">
      <c r="B177" s="2"/>
    </row>
    <row r="178" spans="2:2" x14ac:dyDescent="0.35">
      <c r="B178" s="2"/>
    </row>
    <row r="179" spans="2:2" x14ac:dyDescent="0.35">
      <c r="B179" s="2"/>
    </row>
    <row r="180" spans="2:2" x14ac:dyDescent="0.35">
      <c r="B180" s="2"/>
    </row>
    <row r="181" spans="2:2" x14ac:dyDescent="0.35">
      <c r="B181" s="2"/>
    </row>
    <row r="182" spans="2:2" x14ac:dyDescent="0.35">
      <c r="B182" s="2"/>
    </row>
    <row r="183" spans="2:2" x14ac:dyDescent="0.35">
      <c r="B183" s="2"/>
    </row>
    <row r="184" spans="2:2" x14ac:dyDescent="0.35">
      <c r="B184" s="2"/>
    </row>
    <row r="185" spans="2:2" x14ac:dyDescent="0.35">
      <c r="B185" s="2"/>
    </row>
    <row r="186" spans="2:2" x14ac:dyDescent="0.35">
      <c r="B186" s="2"/>
    </row>
    <row r="187" spans="2:2" x14ac:dyDescent="0.35">
      <c r="B187" s="2"/>
    </row>
    <row r="188" spans="2:2" x14ac:dyDescent="0.35">
      <c r="B188" s="2"/>
    </row>
    <row r="189" spans="2:2" x14ac:dyDescent="0.35">
      <c r="B189" s="2"/>
    </row>
    <row r="190" spans="2:2" x14ac:dyDescent="0.35">
      <c r="B190" s="2"/>
    </row>
    <row r="191" spans="2:2" x14ac:dyDescent="0.35">
      <c r="B191" s="2"/>
    </row>
    <row r="192" spans="2:2" x14ac:dyDescent="0.35">
      <c r="B192" s="2"/>
    </row>
    <row r="193" spans="2:2" x14ac:dyDescent="0.35">
      <c r="B193" s="2"/>
    </row>
    <row r="194" spans="2:2" x14ac:dyDescent="0.35">
      <c r="B194" s="2"/>
    </row>
    <row r="195" spans="2:2" x14ac:dyDescent="0.35">
      <c r="B195" s="2"/>
    </row>
    <row r="196" spans="2:2" x14ac:dyDescent="0.35">
      <c r="B196" s="2"/>
    </row>
    <row r="197" spans="2:2" x14ac:dyDescent="0.35">
      <c r="B197" s="2"/>
    </row>
    <row r="198" spans="2:2" x14ac:dyDescent="0.35">
      <c r="B198" s="2"/>
    </row>
    <row r="199" spans="2:2" x14ac:dyDescent="0.35">
      <c r="B199" s="2"/>
    </row>
    <row r="200" spans="2:2" x14ac:dyDescent="0.35">
      <c r="B200" s="2"/>
    </row>
    <row r="201" spans="2:2" x14ac:dyDescent="0.35">
      <c r="B201" s="2"/>
    </row>
    <row r="202" spans="2:2" x14ac:dyDescent="0.35">
      <c r="B202" s="2"/>
    </row>
    <row r="203" spans="2:2" x14ac:dyDescent="0.35">
      <c r="B203" s="2"/>
    </row>
    <row r="204" spans="2:2" x14ac:dyDescent="0.35">
      <c r="B204" s="2"/>
    </row>
    <row r="205" spans="2:2" x14ac:dyDescent="0.35">
      <c r="B205" s="2"/>
    </row>
    <row r="206" spans="2:2" x14ac:dyDescent="0.35">
      <c r="B206" s="2"/>
    </row>
    <row r="207" spans="2:2" x14ac:dyDescent="0.35">
      <c r="B207" s="2"/>
    </row>
    <row r="208" spans="2:2" x14ac:dyDescent="0.35">
      <c r="B208" s="2"/>
    </row>
    <row r="209" spans="2:2" x14ac:dyDescent="0.35">
      <c r="B209" s="2"/>
    </row>
    <row r="210" spans="2:2" x14ac:dyDescent="0.35">
      <c r="B210" s="2"/>
    </row>
    <row r="211" spans="2:2" x14ac:dyDescent="0.35">
      <c r="B211" s="2"/>
    </row>
    <row r="212" spans="2:2" x14ac:dyDescent="0.35">
      <c r="B212" s="2"/>
    </row>
    <row r="213" spans="2:2" x14ac:dyDescent="0.35">
      <c r="B213" s="2"/>
    </row>
    <row r="214" spans="2:2" x14ac:dyDescent="0.35">
      <c r="B214" s="2"/>
    </row>
    <row r="215" spans="2:2" x14ac:dyDescent="0.35">
      <c r="B215" s="2"/>
    </row>
    <row r="216" spans="2:2" x14ac:dyDescent="0.35">
      <c r="B216" s="2"/>
    </row>
    <row r="217" spans="2:2" x14ac:dyDescent="0.35">
      <c r="B217" s="2"/>
    </row>
    <row r="218" spans="2:2" x14ac:dyDescent="0.35">
      <c r="B218" s="2"/>
    </row>
    <row r="219" spans="2:2" x14ac:dyDescent="0.35">
      <c r="B219" s="2"/>
    </row>
    <row r="220" spans="2:2" x14ac:dyDescent="0.35">
      <c r="B220" s="2"/>
    </row>
    <row r="221" spans="2:2" x14ac:dyDescent="0.35">
      <c r="B221" s="2"/>
    </row>
    <row r="222" spans="2:2" x14ac:dyDescent="0.35">
      <c r="B222" s="2"/>
    </row>
    <row r="223" spans="2:2" x14ac:dyDescent="0.35">
      <c r="B223" s="2"/>
    </row>
    <row r="224" spans="2:2" x14ac:dyDescent="0.35">
      <c r="B224" s="2"/>
    </row>
    <row r="225" spans="2:2" x14ac:dyDescent="0.35">
      <c r="B225" s="2"/>
    </row>
    <row r="226" spans="2:2" x14ac:dyDescent="0.35">
      <c r="B226" s="2"/>
    </row>
    <row r="227" spans="2:2" x14ac:dyDescent="0.35">
      <c r="B227" s="2"/>
    </row>
    <row r="228" spans="2:2" x14ac:dyDescent="0.35">
      <c r="B228" s="2"/>
    </row>
    <row r="229" spans="2:2" x14ac:dyDescent="0.35">
      <c r="B229" s="2"/>
    </row>
    <row r="230" spans="2:2" x14ac:dyDescent="0.35">
      <c r="B230" s="2"/>
    </row>
    <row r="231" spans="2:2" x14ac:dyDescent="0.35">
      <c r="B231" s="2"/>
    </row>
    <row r="232" spans="2:2" x14ac:dyDescent="0.35">
      <c r="B232" s="2"/>
    </row>
    <row r="233" spans="2:2" x14ac:dyDescent="0.35">
      <c r="B233" s="2"/>
    </row>
    <row r="234" spans="2:2" x14ac:dyDescent="0.35">
      <c r="B234" s="2"/>
    </row>
    <row r="235" spans="2:2" x14ac:dyDescent="0.35">
      <c r="B235" s="2"/>
    </row>
    <row r="236" spans="2:2" x14ac:dyDescent="0.35">
      <c r="B236" s="2"/>
    </row>
    <row r="237" spans="2:2" x14ac:dyDescent="0.35">
      <c r="B237" s="2"/>
    </row>
    <row r="238" spans="2:2" x14ac:dyDescent="0.35">
      <c r="B238" s="2"/>
    </row>
    <row r="239" spans="2:2" x14ac:dyDescent="0.35">
      <c r="B239" s="2"/>
    </row>
    <row r="240" spans="2:2" x14ac:dyDescent="0.35">
      <c r="B240" s="2"/>
    </row>
    <row r="241" spans="2:2" x14ac:dyDescent="0.35">
      <c r="B241" s="2"/>
    </row>
    <row r="242" spans="2:2" x14ac:dyDescent="0.35">
      <c r="B242" s="2"/>
    </row>
    <row r="243" spans="2:2" x14ac:dyDescent="0.35">
      <c r="B243" s="2"/>
    </row>
    <row r="244" spans="2:2" x14ac:dyDescent="0.35">
      <c r="B244" s="2"/>
    </row>
    <row r="245" spans="2:2" x14ac:dyDescent="0.35">
      <c r="B245" s="2"/>
    </row>
    <row r="246" spans="2:2" x14ac:dyDescent="0.35">
      <c r="B246" s="2"/>
    </row>
    <row r="247" spans="2:2" x14ac:dyDescent="0.35">
      <c r="B247" s="2"/>
    </row>
    <row r="248" spans="2:2" x14ac:dyDescent="0.35">
      <c r="B248" s="2"/>
    </row>
    <row r="249" spans="2:2" x14ac:dyDescent="0.35">
      <c r="B249" s="2"/>
    </row>
    <row r="250" spans="2:2" x14ac:dyDescent="0.35">
      <c r="B250" s="2"/>
    </row>
    <row r="251" spans="2:2" x14ac:dyDescent="0.35">
      <c r="B251" s="2"/>
    </row>
    <row r="252" spans="2:2" x14ac:dyDescent="0.35">
      <c r="B252" s="2"/>
    </row>
    <row r="253" spans="2:2" x14ac:dyDescent="0.35">
      <c r="B253" s="2"/>
    </row>
    <row r="254" spans="2:2" x14ac:dyDescent="0.35">
      <c r="B254" s="2"/>
    </row>
    <row r="255" spans="2:2" x14ac:dyDescent="0.35">
      <c r="B255" s="2"/>
    </row>
    <row r="256" spans="2:2" x14ac:dyDescent="0.35">
      <c r="B256" s="2"/>
    </row>
    <row r="257" spans="2:2" x14ac:dyDescent="0.35">
      <c r="B257" s="2"/>
    </row>
    <row r="258" spans="2:2" x14ac:dyDescent="0.35">
      <c r="B258" s="2"/>
    </row>
    <row r="259" spans="2:2" x14ac:dyDescent="0.35">
      <c r="B259" s="2"/>
    </row>
    <row r="260" spans="2:2" x14ac:dyDescent="0.35">
      <c r="B260" s="2"/>
    </row>
    <row r="261" spans="2:2" x14ac:dyDescent="0.35">
      <c r="B261" s="2"/>
    </row>
    <row r="262" spans="2:2" x14ac:dyDescent="0.35">
      <c r="B262" s="2"/>
    </row>
    <row r="263" spans="2:2" x14ac:dyDescent="0.35">
      <c r="B263" s="2"/>
    </row>
    <row r="264" spans="2:2" x14ac:dyDescent="0.35">
      <c r="B264" s="2"/>
    </row>
    <row r="265" spans="2:2" x14ac:dyDescent="0.35">
      <c r="B265" s="2"/>
    </row>
    <row r="266" spans="2:2" x14ac:dyDescent="0.35">
      <c r="B266" s="2"/>
    </row>
    <row r="267" spans="2:2" x14ac:dyDescent="0.35">
      <c r="B267" s="2"/>
    </row>
    <row r="268" spans="2:2" x14ac:dyDescent="0.35">
      <c r="B268" s="2"/>
    </row>
    <row r="269" spans="2:2" x14ac:dyDescent="0.35">
      <c r="B269" s="2"/>
    </row>
    <row r="270" spans="2:2" x14ac:dyDescent="0.35">
      <c r="B270" s="2"/>
    </row>
    <row r="271" spans="2:2" x14ac:dyDescent="0.35">
      <c r="B271" s="2"/>
    </row>
    <row r="272" spans="2:2" x14ac:dyDescent="0.35">
      <c r="B272" s="2"/>
    </row>
    <row r="273" spans="2:2" x14ac:dyDescent="0.35">
      <c r="B273" s="2"/>
    </row>
    <row r="274" spans="2:2" x14ac:dyDescent="0.35">
      <c r="B274" s="2"/>
    </row>
    <row r="275" spans="2:2" x14ac:dyDescent="0.35">
      <c r="B275" s="2"/>
    </row>
    <row r="276" spans="2:2" x14ac:dyDescent="0.35">
      <c r="B276" s="2"/>
    </row>
    <row r="277" spans="2:2" x14ac:dyDescent="0.35">
      <c r="B277" s="2"/>
    </row>
    <row r="278" spans="2:2" x14ac:dyDescent="0.35">
      <c r="B278" s="2"/>
    </row>
    <row r="279" spans="2:2" x14ac:dyDescent="0.35">
      <c r="B279" s="2"/>
    </row>
    <row r="280" spans="2:2" x14ac:dyDescent="0.35">
      <c r="B280" s="2"/>
    </row>
    <row r="281" spans="2:2" x14ac:dyDescent="0.35">
      <c r="B281" s="2"/>
    </row>
    <row r="282" spans="2:2" x14ac:dyDescent="0.35">
      <c r="B282" s="2"/>
    </row>
    <row r="283" spans="2:2" x14ac:dyDescent="0.35">
      <c r="B283" s="2"/>
    </row>
    <row r="284" spans="2:2" x14ac:dyDescent="0.35">
      <c r="B284" s="2"/>
    </row>
    <row r="285" spans="2:2" x14ac:dyDescent="0.35">
      <c r="B285" s="2"/>
    </row>
    <row r="286" spans="2:2" x14ac:dyDescent="0.35">
      <c r="B286" s="2"/>
    </row>
    <row r="287" spans="2:2" x14ac:dyDescent="0.35">
      <c r="B287" s="2"/>
    </row>
    <row r="288" spans="2:2" x14ac:dyDescent="0.35">
      <c r="B288" s="2"/>
    </row>
    <row r="289" spans="2:2" x14ac:dyDescent="0.35">
      <c r="B289" s="2"/>
    </row>
    <row r="290" spans="2:2" x14ac:dyDescent="0.35">
      <c r="B290" s="2"/>
    </row>
    <row r="291" spans="2:2" x14ac:dyDescent="0.35">
      <c r="B291" s="2"/>
    </row>
    <row r="292" spans="2:2" x14ac:dyDescent="0.35">
      <c r="B292" s="2"/>
    </row>
    <row r="293" spans="2:2" x14ac:dyDescent="0.35">
      <c r="B293" s="2"/>
    </row>
    <row r="294" spans="2:2" x14ac:dyDescent="0.35">
      <c r="B294" s="2"/>
    </row>
    <row r="295" spans="2:2" x14ac:dyDescent="0.35">
      <c r="B295" s="2"/>
    </row>
    <row r="296" spans="2:2" x14ac:dyDescent="0.35">
      <c r="B296" s="2"/>
    </row>
    <row r="297" spans="2:2" x14ac:dyDescent="0.35">
      <c r="B297" s="2"/>
    </row>
    <row r="298" spans="2:2" x14ac:dyDescent="0.35">
      <c r="B298" s="2"/>
    </row>
    <row r="299" spans="2:2" x14ac:dyDescent="0.35">
      <c r="B299" s="2"/>
    </row>
    <row r="300" spans="2:2" x14ac:dyDescent="0.35">
      <c r="B300" s="2"/>
    </row>
    <row r="301" spans="2:2" x14ac:dyDescent="0.35">
      <c r="B301" s="2"/>
    </row>
    <row r="302" spans="2:2" x14ac:dyDescent="0.35">
      <c r="B302" s="2"/>
    </row>
    <row r="303" spans="2:2" x14ac:dyDescent="0.35">
      <c r="B303" s="2"/>
    </row>
    <row r="304" spans="2:2" x14ac:dyDescent="0.35">
      <c r="B304" s="2"/>
    </row>
    <row r="305" spans="2:2" x14ac:dyDescent="0.35">
      <c r="B305" s="2"/>
    </row>
    <row r="306" spans="2:2" x14ac:dyDescent="0.35">
      <c r="B306" s="2"/>
    </row>
    <row r="307" spans="2:2" x14ac:dyDescent="0.35">
      <c r="B307" s="2"/>
    </row>
    <row r="308" spans="2:2" x14ac:dyDescent="0.35">
      <c r="B308" s="2"/>
    </row>
    <row r="309" spans="2:2" x14ac:dyDescent="0.35">
      <c r="B309" s="2"/>
    </row>
    <row r="310" spans="2:2" x14ac:dyDescent="0.35">
      <c r="B310" s="2"/>
    </row>
    <row r="311" spans="2:2" x14ac:dyDescent="0.35">
      <c r="B311" s="2"/>
    </row>
    <row r="312" spans="2:2" x14ac:dyDescent="0.35">
      <c r="B312" s="2"/>
    </row>
    <row r="313" spans="2:2" x14ac:dyDescent="0.35">
      <c r="B313" s="2"/>
    </row>
    <row r="314" spans="2:2" x14ac:dyDescent="0.35">
      <c r="B314" s="2"/>
    </row>
    <row r="315" spans="2:2" x14ac:dyDescent="0.35">
      <c r="B315" s="2"/>
    </row>
    <row r="316" spans="2:2" x14ac:dyDescent="0.35">
      <c r="B316" s="2"/>
    </row>
    <row r="317" spans="2:2" x14ac:dyDescent="0.35">
      <c r="B317" s="2"/>
    </row>
    <row r="318" spans="2:2" x14ac:dyDescent="0.35">
      <c r="B318" s="2"/>
    </row>
    <row r="319" spans="2:2" x14ac:dyDescent="0.35">
      <c r="B319" s="2"/>
    </row>
    <row r="320" spans="2:2" x14ac:dyDescent="0.35">
      <c r="B320" s="2"/>
    </row>
    <row r="321" spans="2:2" x14ac:dyDescent="0.35">
      <c r="B321" s="2"/>
    </row>
    <row r="322" spans="2:2" x14ac:dyDescent="0.35">
      <c r="B322" s="2"/>
    </row>
    <row r="323" spans="2:2" x14ac:dyDescent="0.35">
      <c r="B323" s="2"/>
    </row>
    <row r="324" spans="2:2" x14ac:dyDescent="0.35">
      <c r="B324" s="2"/>
    </row>
    <row r="325" spans="2:2" x14ac:dyDescent="0.35">
      <c r="B325" s="2"/>
    </row>
    <row r="326" spans="2:2" x14ac:dyDescent="0.35">
      <c r="B326" s="2"/>
    </row>
    <row r="327" spans="2:2" x14ac:dyDescent="0.35">
      <c r="B327" s="2"/>
    </row>
    <row r="328" spans="2:2" x14ac:dyDescent="0.35">
      <c r="B328" s="2"/>
    </row>
    <row r="329" spans="2:2" x14ac:dyDescent="0.35">
      <c r="B329" s="2"/>
    </row>
    <row r="330" spans="2:2" x14ac:dyDescent="0.35">
      <c r="B330" s="2"/>
    </row>
    <row r="331" spans="2:2" x14ac:dyDescent="0.35">
      <c r="B331" s="2"/>
    </row>
    <row r="332" spans="2:2" x14ac:dyDescent="0.35">
      <c r="B332" s="2"/>
    </row>
    <row r="333" spans="2:2" x14ac:dyDescent="0.35">
      <c r="B333" s="2"/>
    </row>
    <row r="334" spans="2:2" x14ac:dyDescent="0.35">
      <c r="B334" s="2"/>
    </row>
    <row r="335" spans="2:2" x14ac:dyDescent="0.35">
      <c r="B335" s="2"/>
    </row>
    <row r="336" spans="2:2" x14ac:dyDescent="0.35">
      <c r="B336" s="2"/>
    </row>
    <row r="337" spans="2:2" x14ac:dyDescent="0.35">
      <c r="B337" s="2"/>
    </row>
    <row r="338" spans="2:2" x14ac:dyDescent="0.35">
      <c r="B338" s="2"/>
    </row>
    <row r="339" spans="2:2" x14ac:dyDescent="0.35">
      <c r="B339" s="2"/>
    </row>
    <row r="340" spans="2:2" x14ac:dyDescent="0.35">
      <c r="B340" s="2"/>
    </row>
    <row r="341" spans="2:2" x14ac:dyDescent="0.35">
      <c r="B341" s="2"/>
    </row>
    <row r="342" spans="2:2" x14ac:dyDescent="0.35">
      <c r="B342" s="2"/>
    </row>
    <row r="343" spans="2:2" x14ac:dyDescent="0.35">
      <c r="B343" s="2"/>
    </row>
    <row r="344" spans="2:2" x14ac:dyDescent="0.35">
      <c r="B344" s="2"/>
    </row>
    <row r="345" spans="2:2" x14ac:dyDescent="0.35">
      <c r="B345" s="2"/>
    </row>
    <row r="346" spans="2:2" x14ac:dyDescent="0.35">
      <c r="B346" s="2"/>
    </row>
    <row r="347" spans="2:2" x14ac:dyDescent="0.35">
      <c r="B347" s="2"/>
    </row>
    <row r="348" spans="2:2" x14ac:dyDescent="0.35">
      <c r="B348" s="2"/>
    </row>
    <row r="349" spans="2:2" x14ac:dyDescent="0.35">
      <c r="B349" s="2"/>
    </row>
    <row r="350" spans="2:2" x14ac:dyDescent="0.35">
      <c r="B350" s="2"/>
    </row>
    <row r="351" spans="2:2" x14ac:dyDescent="0.35">
      <c r="B351" s="2"/>
    </row>
    <row r="352" spans="2:2" x14ac:dyDescent="0.35">
      <c r="B352" s="2"/>
    </row>
    <row r="353" spans="2:2" x14ac:dyDescent="0.35">
      <c r="B353" s="2"/>
    </row>
    <row r="354" spans="2:2" x14ac:dyDescent="0.35">
      <c r="B354" s="2"/>
    </row>
    <row r="355" spans="2:2" x14ac:dyDescent="0.35">
      <c r="B355" s="2"/>
    </row>
    <row r="356" spans="2:2" x14ac:dyDescent="0.35">
      <c r="B356" s="2"/>
    </row>
    <row r="357" spans="2:2" x14ac:dyDescent="0.35">
      <c r="B357" s="2"/>
    </row>
    <row r="358" spans="2:2" x14ac:dyDescent="0.35">
      <c r="B358" s="2"/>
    </row>
    <row r="359" spans="2:2" x14ac:dyDescent="0.35">
      <c r="B359" s="2"/>
    </row>
    <row r="360" spans="2:2" x14ac:dyDescent="0.35">
      <c r="B360" s="2"/>
    </row>
    <row r="361" spans="2:2" x14ac:dyDescent="0.35">
      <c r="B361" s="2"/>
    </row>
    <row r="362" spans="2:2" x14ac:dyDescent="0.35">
      <c r="B362" s="2"/>
    </row>
    <row r="363" spans="2:2" x14ac:dyDescent="0.35">
      <c r="B363" s="2"/>
    </row>
    <row r="364" spans="2:2" x14ac:dyDescent="0.35">
      <c r="B364" s="2"/>
    </row>
    <row r="365" spans="2:2" x14ac:dyDescent="0.35">
      <c r="B365" s="2"/>
    </row>
    <row r="366" spans="2:2" x14ac:dyDescent="0.35">
      <c r="B366" s="2"/>
    </row>
    <row r="367" spans="2:2" x14ac:dyDescent="0.35">
      <c r="B367" s="2"/>
    </row>
    <row r="368" spans="2:2" x14ac:dyDescent="0.35">
      <c r="B368" s="2"/>
    </row>
    <row r="369" spans="2:2" x14ac:dyDescent="0.35">
      <c r="B369" s="2"/>
    </row>
    <row r="370" spans="2:2" x14ac:dyDescent="0.35">
      <c r="B370" s="2"/>
    </row>
    <row r="371" spans="2:2" x14ac:dyDescent="0.35">
      <c r="B371" s="2"/>
    </row>
    <row r="372" spans="2:2" x14ac:dyDescent="0.35">
      <c r="B372" s="2"/>
    </row>
    <row r="373" spans="2:2" x14ac:dyDescent="0.35">
      <c r="B373" s="2"/>
    </row>
    <row r="374" spans="2:2" x14ac:dyDescent="0.35">
      <c r="B374" s="2"/>
    </row>
    <row r="375" spans="2:2" x14ac:dyDescent="0.35">
      <c r="B375" s="2"/>
    </row>
    <row r="376" spans="2:2" x14ac:dyDescent="0.35">
      <c r="B376" s="2"/>
    </row>
    <row r="377" spans="2:2" x14ac:dyDescent="0.35">
      <c r="B377" s="2"/>
    </row>
    <row r="378" spans="2:2" x14ac:dyDescent="0.35">
      <c r="B378" s="2"/>
    </row>
    <row r="379" spans="2:2" x14ac:dyDescent="0.35">
      <c r="B379" s="2"/>
    </row>
    <row r="380" spans="2:2" x14ac:dyDescent="0.35">
      <c r="B380" s="2"/>
    </row>
    <row r="381" spans="2:2" x14ac:dyDescent="0.35">
      <c r="B381" s="2"/>
    </row>
    <row r="382" spans="2:2" x14ac:dyDescent="0.35">
      <c r="B382" s="2"/>
    </row>
    <row r="383" spans="2:2" x14ac:dyDescent="0.35">
      <c r="B383" s="2"/>
    </row>
    <row r="384" spans="2:2" x14ac:dyDescent="0.35">
      <c r="B384" s="2"/>
    </row>
    <row r="385" spans="2:2" x14ac:dyDescent="0.35">
      <c r="B385" s="2"/>
    </row>
    <row r="386" spans="2:2" x14ac:dyDescent="0.35">
      <c r="B386" s="2"/>
    </row>
    <row r="387" spans="2:2" x14ac:dyDescent="0.35">
      <c r="B387" s="2"/>
    </row>
    <row r="388" spans="2:2" x14ac:dyDescent="0.35">
      <c r="B388" s="2"/>
    </row>
    <row r="389" spans="2:2" x14ac:dyDescent="0.35">
      <c r="B389" s="2"/>
    </row>
    <row r="390" spans="2:2" x14ac:dyDescent="0.35">
      <c r="B390" s="2"/>
    </row>
    <row r="391" spans="2:2" x14ac:dyDescent="0.35">
      <c r="B391" s="2"/>
    </row>
    <row r="392" spans="2:2" x14ac:dyDescent="0.35">
      <c r="B392" s="2"/>
    </row>
    <row r="393" spans="2:2" x14ac:dyDescent="0.35">
      <c r="B393" s="2"/>
    </row>
    <row r="394" spans="2:2" x14ac:dyDescent="0.35">
      <c r="B394" s="2"/>
    </row>
    <row r="395" spans="2:2" x14ac:dyDescent="0.35">
      <c r="B395" s="2"/>
    </row>
    <row r="396" spans="2:2" x14ac:dyDescent="0.35">
      <c r="B396" s="2"/>
    </row>
    <row r="397" spans="2:2" x14ac:dyDescent="0.35">
      <c r="B397" s="2"/>
    </row>
    <row r="398" spans="2:2" x14ac:dyDescent="0.35">
      <c r="B398" s="2"/>
    </row>
    <row r="399" spans="2:2" x14ac:dyDescent="0.35">
      <c r="B399" s="2"/>
    </row>
    <row r="400" spans="2:2" x14ac:dyDescent="0.35">
      <c r="B400" s="2"/>
    </row>
    <row r="401" spans="2:2" x14ac:dyDescent="0.35">
      <c r="B401" s="2"/>
    </row>
    <row r="402" spans="2:2" x14ac:dyDescent="0.35">
      <c r="B402" s="2"/>
    </row>
    <row r="403" spans="2:2" x14ac:dyDescent="0.35">
      <c r="B403" s="2"/>
    </row>
    <row r="404" spans="2:2" x14ac:dyDescent="0.35">
      <c r="B404" s="2"/>
    </row>
    <row r="405" spans="2:2" x14ac:dyDescent="0.35">
      <c r="B405" s="2"/>
    </row>
    <row r="406" spans="2:2" x14ac:dyDescent="0.35">
      <c r="B406" s="2"/>
    </row>
    <row r="407" spans="2:2" x14ac:dyDescent="0.35">
      <c r="B407" s="2"/>
    </row>
    <row r="408" spans="2:2" x14ac:dyDescent="0.35">
      <c r="B408" s="2"/>
    </row>
    <row r="409" spans="2:2" x14ac:dyDescent="0.35">
      <c r="B409" s="2"/>
    </row>
    <row r="410" spans="2:2" x14ac:dyDescent="0.35">
      <c r="B410" s="2"/>
    </row>
    <row r="411" spans="2:2" x14ac:dyDescent="0.35">
      <c r="B411" s="2"/>
    </row>
    <row r="412" spans="2:2" x14ac:dyDescent="0.35">
      <c r="B412" s="2"/>
    </row>
    <row r="413" spans="2:2" x14ac:dyDescent="0.35">
      <c r="B413" s="2"/>
    </row>
    <row r="414" spans="2:2" x14ac:dyDescent="0.35">
      <c r="B414" s="2"/>
    </row>
    <row r="415" spans="2:2" x14ac:dyDescent="0.35">
      <c r="B415" s="2"/>
    </row>
    <row r="416" spans="2:2" x14ac:dyDescent="0.35">
      <c r="B416" s="2"/>
    </row>
    <row r="417" spans="2:2" x14ac:dyDescent="0.35">
      <c r="B417" s="2"/>
    </row>
    <row r="418" spans="2:2" x14ac:dyDescent="0.35">
      <c r="B418" s="2"/>
    </row>
    <row r="419" spans="2:2" x14ac:dyDescent="0.35">
      <c r="B419" s="2"/>
    </row>
    <row r="420" spans="2:2" x14ac:dyDescent="0.35">
      <c r="B420" s="2"/>
    </row>
    <row r="421" spans="2:2" x14ac:dyDescent="0.35">
      <c r="B421" s="2"/>
    </row>
    <row r="422" spans="2:2" x14ac:dyDescent="0.35">
      <c r="B422" s="2"/>
    </row>
    <row r="423" spans="2:2" x14ac:dyDescent="0.35">
      <c r="B423" s="2"/>
    </row>
    <row r="424" spans="2:2" x14ac:dyDescent="0.35">
      <c r="B424" s="2"/>
    </row>
    <row r="425" spans="2:2" x14ac:dyDescent="0.35">
      <c r="B425" s="2"/>
    </row>
    <row r="426" spans="2:2" x14ac:dyDescent="0.35">
      <c r="B426" s="2"/>
    </row>
    <row r="427" spans="2:2" x14ac:dyDescent="0.35">
      <c r="B427" s="2"/>
    </row>
    <row r="428" spans="2:2" x14ac:dyDescent="0.35">
      <c r="B428" s="2"/>
    </row>
    <row r="429" spans="2:2" x14ac:dyDescent="0.35">
      <c r="B429" s="2"/>
    </row>
    <row r="430" spans="2:2" x14ac:dyDescent="0.35">
      <c r="B430" s="2"/>
    </row>
    <row r="431" spans="2:2" x14ac:dyDescent="0.35">
      <c r="B431" s="2"/>
    </row>
    <row r="432" spans="2:2" x14ac:dyDescent="0.35">
      <c r="B432" s="2"/>
    </row>
    <row r="433" spans="2:2" x14ac:dyDescent="0.35">
      <c r="B433" s="2"/>
    </row>
    <row r="434" spans="2:2" x14ac:dyDescent="0.35">
      <c r="B434" s="2"/>
    </row>
    <row r="435" spans="2:2" x14ac:dyDescent="0.35">
      <c r="B435" s="2"/>
    </row>
    <row r="436" spans="2:2" x14ac:dyDescent="0.35">
      <c r="B436" s="2"/>
    </row>
    <row r="437" spans="2:2" x14ac:dyDescent="0.35">
      <c r="B437" s="2"/>
    </row>
    <row r="438" spans="2:2" x14ac:dyDescent="0.35">
      <c r="B438" s="2"/>
    </row>
    <row r="439" spans="2:2" x14ac:dyDescent="0.35">
      <c r="B439" s="2"/>
    </row>
    <row r="440" spans="2:2" x14ac:dyDescent="0.35">
      <c r="B440" s="2"/>
    </row>
    <row r="441" spans="2:2" x14ac:dyDescent="0.35">
      <c r="B441" s="2"/>
    </row>
    <row r="442" spans="2:2" x14ac:dyDescent="0.35">
      <c r="B442" s="2"/>
    </row>
    <row r="443" spans="2:2" x14ac:dyDescent="0.35">
      <c r="B443" s="2"/>
    </row>
    <row r="444" spans="2:2" x14ac:dyDescent="0.35">
      <c r="B444" s="2"/>
    </row>
    <row r="445" spans="2:2" x14ac:dyDescent="0.35">
      <c r="B445" s="2"/>
    </row>
    <row r="446" spans="2:2" x14ac:dyDescent="0.35">
      <c r="B446" s="2"/>
    </row>
    <row r="447" spans="2:2" x14ac:dyDescent="0.35">
      <c r="B447" s="2"/>
    </row>
    <row r="448" spans="2:2" x14ac:dyDescent="0.35">
      <c r="B448" s="2"/>
    </row>
    <row r="449" spans="2:2" x14ac:dyDescent="0.35">
      <c r="B449" s="2"/>
    </row>
    <row r="450" spans="2:2" x14ac:dyDescent="0.35">
      <c r="B450" s="2"/>
    </row>
    <row r="451" spans="2:2" x14ac:dyDescent="0.35">
      <c r="B451" s="2"/>
    </row>
    <row r="452" spans="2:2" x14ac:dyDescent="0.35">
      <c r="B452" s="2"/>
    </row>
    <row r="453" spans="2:2" x14ac:dyDescent="0.35">
      <c r="B453" s="2"/>
    </row>
    <row r="454" spans="2:2" x14ac:dyDescent="0.35">
      <c r="B454" s="2"/>
    </row>
    <row r="455" spans="2:2" x14ac:dyDescent="0.35">
      <c r="B455" s="2"/>
    </row>
    <row r="456" spans="2:2" x14ac:dyDescent="0.35">
      <c r="B456" s="2"/>
    </row>
    <row r="457" spans="2:2" x14ac:dyDescent="0.35">
      <c r="B457" s="2"/>
    </row>
    <row r="458" spans="2:2" x14ac:dyDescent="0.35">
      <c r="B458" s="2"/>
    </row>
    <row r="459" spans="2:2" x14ac:dyDescent="0.35">
      <c r="B459" s="2"/>
    </row>
    <row r="460" spans="2:2" x14ac:dyDescent="0.35">
      <c r="B460" s="2"/>
    </row>
    <row r="461" spans="2:2" x14ac:dyDescent="0.35">
      <c r="B461" s="2"/>
    </row>
    <row r="462" spans="2:2" x14ac:dyDescent="0.35">
      <c r="B462" s="2"/>
    </row>
    <row r="463" spans="2:2" x14ac:dyDescent="0.35">
      <c r="B463" s="2"/>
    </row>
    <row r="464" spans="2:2" x14ac:dyDescent="0.35">
      <c r="B464" s="2"/>
    </row>
    <row r="465" spans="2:2" x14ac:dyDescent="0.35">
      <c r="B465" s="2"/>
    </row>
    <row r="466" spans="2:2" x14ac:dyDescent="0.35">
      <c r="B466" s="2"/>
    </row>
    <row r="467" spans="2:2" x14ac:dyDescent="0.35">
      <c r="B467" s="2"/>
    </row>
    <row r="468" spans="2:2" x14ac:dyDescent="0.35">
      <c r="B468" s="2"/>
    </row>
    <row r="469" spans="2:2" x14ac:dyDescent="0.35">
      <c r="B469" s="2"/>
    </row>
    <row r="470" spans="2:2" x14ac:dyDescent="0.35">
      <c r="B470" s="2"/>
    </row>
    <row r="471" spans="2:2" x14ac:dyDescent="0.35">
      <c r="B471" s="2"/>
    </row>
    <row r="472" spans="2:2" x14ac:dyDescent="0.35">
      <c r="B472" s="2"/>
    </row>
    <row r="473" spans="2:2" x14ac:dyDescent="0.35">
      <c r="B473" s="2"/>
    </row>
    <row r="474" spans="2:2" x14ac:dyDescent="0.35">
      <c r="B474" s="2"/>
    </row>
    <row r="475" spans="2:2" x14ac:dyDescent="0.35">
      <c r="B475" s="2"/>
    </row>
    <row r="476" spans="2:2" x14ac:dyDescent="0.35">
      <c r="B476" s="2"/>
    </row>
    <row r="477" spans="2:2" x14ac:dyDescent="0.35">
      <c r="B477" s="2"/>
    </row>
    <row r="478" spans="2:2" x14ac:dyDescent="0.35">
      <c r="B478" s="2"/>
    </row>
    <row r="479" spans="2:2" x14ac:dyDescent="0.35">
      <c r="B479" s="2"/>
    </row>
    <row r="480" spans="2:2" x14ac:dyDescent="0.35">
      <c r="B480" s="2"/>
    </row>
    <row r="481" spans="2:2" x14ac:dyDescent="0.35">
      <c r="B481" s="2"/>
    </row>
    <row r="482" spans="2:2" x14ac:dyDescent="0.35">
      <c r="B482" s="2"/>
    </row>
    <row r="483" spans="2:2" x14ac:dyDescent="0.35">
      <c r="B483" s="2"/>
    </row>
    <row r="484" spans="2:2" x14ac:dyDescent="0.35">
      <c r="B484" s="2"/>
    </row>
    <row r="485" spans="2:2" x14ac:dyDescent="0.35">
      <c r="B485" s="2"/>
    </row>
    <row r="486" spans="2:2" x14ac:dyDescent="0.35">
      <c r="B486" s="2"/>
    </row>
    <row r="487" spans="2:2" x14ac:dyDescent="0.35">
      <c r="B487" s="2"/>
    </row>
    <row r="488" spans="2:2" x14ac:dyDescent="0.35">
      <c r="B488" s="2"/>
    </row>
    <row r="489" spans="2:2" x14ac:dyDescent="0.35">
      <c r="B489" s="2"/>
    </row>
    <row r="490" spans="2:2" x14ac:dyDescent="0.35">
      <c r="B490" s="2"/>
    </row>
    <row r="491" spans="2:2" x14ac:dyDescent="0.35">
      <c r="B491" s="2"/>
    </row>
    <row r="492" spans="2:2" x14ac:dyDescent="0.35">
      <c r="B492" s="2"/>
    </row>
    <row r="493" spans="2:2" x14ac:dyDescent="0.35">
      <c r="B493" s="2"/>
    </row>
    <row r="494" spans="2:2" x14ac:dyDescent="0.35">
      <c r="B494" s="2"/>
    </row>
    <row r="495" spans="2:2" x14ac:dyDescent="0.35">
      <c r="B495" s="2"/>
    </row>
    <row r="496" spans="2:2" x14ac:dyDescent="0.35">
      <c r="B496" s="2"/>
    </row>
    <row r="497" spans="2:2" x14ac:dyDescent="0.35">
      <c r="B497" s="2"/>
    </row>
    <row r="498" spans="2:2" x14ac:dyDescent="0.35">
      <c r="B498" s="2"/>
    </row>
    <row r="499" spans="2:2" x14ac:dyDescent="0.35">
      <c r="B499" s="2"/>
    </row>
    <row r="500" spans="2:2" x14ac:dyDescent="0.35">
      <c r="B500" s="2"/>
    </row>
    <row r="501" spans="2:2" x14ac:dyDescent="0.35">
      <c r="B501" s="2"/>
    </row>
    <row r="502" spans="2:2" x14ac:dyDescent="0.35">
      <c r="B502" s="2"/>
    </row>
    <row r="503" spans="2:2" x14ac:dyDescent="0.35">
      <c r="B503" s="2"/>
    </row>
    <row r="504" spans="2:2" x14ac:dyDescent="0.35">
      <c r="B504" s="2"/>
    </row>
    <row r="505" spans="2:2" x14ac:dyDescent="0.35">
      <c r="B505" s="2"/>
    </row>
    <row r="506" spans="2:2" x14ac:dyDescent="0.35">
      <c r="B506" s="2"/>
    </row>
    <row r="507" spans="2:2" x14ac:dyDescent="0.35">
      <c r="B507" s="2"/>
    </row>
    <row r="508" spans="2:2" x14ac:dyDescent="0.35">
      <c r="B508" s="2"/>
    </row>
    <row r="509" spans="2:2" x14ac:dyDescent="0.35">
      <c r="B509" s="2"/>
    </row>
    <row r="510" spans="2:2" x14ac:dyDescent="0.35">
      <c r="B510" s="2"/>
    </row>
    <row r="511" spans="2:2" x14ac:dyDescent="0.35">
      <c r="B511" s="2"/>
    </row>
    <row r="512" spans="2:2" x14ac:dyDescent="0.35">
      <c r="B512" s="2"/>
    </row>
    <row r="513" spans="2:2" x14ac:dyDescent="0.35">
      <c r="B513" s="2"/>
    </row>
    <row r="514" spans="2:2" x14ac:dyDescent="0.35">
      <c r="B514" s="2"/>
    </row>
    <row r="515" spans="2:2" x14ac:dyDescent="0.35">
      <c r="B515" s="2"/>
    </row>
    <row r="516" spans="2:2" x14ac:dyDescent="0.35">
      <c r="B516" s="2"/>
    </row>
    <row r="517" spans="2:2" x14ac:dyDescent="0.35">
      <c r="B517" s="2"/>
    </row>
    <row r="518" spans="2:2" x14ac:dyDescent="0.35">
      <c r="B518" s="2"/>
    </row>
    <row r="519" spans="2:2" x14ac:dyDescent="0.35">
      <c r="B519" s="2"/>
    </row>
    <row r="520" spans="2:2" x14ac:dyDescent="0.35">
      <c r="B520" s="2"/>
    </row>
    <row r="521" spans="2:2" x14ac:dyDescent="0.35">
      <c r="B521" s="2"/>
    </row>
    <row r="522" spans="2:2" x14ac:dyDescent="0.35">
      <c r="B522" s="2"/>
    </row>
    <row r="523" spans="2:2" x14ac:dyDescent="0.35">
      <c r="B523" s="2"/>
    </row>
    <row r="524" spans="2:2" x14ac:dyDescent="0.35">
      <c r="B524" s="2"/>
    </row>
    <row r="525" spans="2:2" x14ac:dyDescent="0.35">
      <c r="B525" s="2"/>
    </row>
    <row r="526" spans="2:2" x14ac:dyDescent="0.35">
      <c r="B526" s="2"/>
    </row>
    <row r="527" spans="2:2" x14ac:dyDescent="0.35">
      <c r="B527" s="2"/>
    </row>
    <row r="528" spans="2:2" x14ac:dyDescent="0.35">
      <c r="B528" s="2"/>
    </row>
    <row r="529" spans="2:2" x14ac:dyDescent="0.35">
      <c r="B529" s="2"/>
    </row>
    <row r="530" spans="2:2" x14ac:dyDescent="0.35">
      <c r="B530" s="2"/>
    </row>
    <row r="531" spans="2:2" x14ac:dyDescent="0.35">
      <c r="B531" s="2"/>
    </row>
    <row r="532" spans="2:2" x14ac:dyDescent="0.35">
      <c r="B532" s="2"/>
    </row>
    <row r="533" spans="2:2" x14ac:dyDescent="0.35">
      <c r="B533" s="2"/>
    </row>
    <row r="534" spans="2:2" x14ac:dyDescent="0.35">
      <c r="B534" s="2"/>
    </row>
    <row r="535" spans="2:2" x14ac:dyDescent="0.35">
      <c r="B535" s="2"/>
    </row>
    <row r="536" spans="2:2" x14ac:dyDescent="0.35">
      <c r="B536" s="2"/>
    </row>
    <row r="537" spans="2:2" x14ac:dyDescent="0.35">
      <c r="B537" s="2"/>
    </row>
    <row r="538" spans="2:2" x14ac:dyDescent="0.35">
      <c r="B538" s="2"/>
    </row>
    <row r="539" spans="2:2" x14ac:dyDescent="0.35">
      <c r="B539" s="2"/>
    </row>
    <row r="540" spans="2:2" x14ac:dyDescent="0.35">
      <c r="B540" s="2"/>
    </row>
    <row r="541" spans="2:2" x14ac:dyDescent="0.35">
      <c r="B541" s="2"/>
    </row>
    <row r="542" spans="2:2" x14ac:dyDescent="0.35">
      <c r="B542" s="2"/>
    </row>
    <row r="543" spans="2:2" x14ac:dyDescent="0.35">
      <c r="B543" s="2"/>
    </row>
    <row r="544" spans="2:2" x14ac:dyDescent="0.35">
      <c r="B544" s="2"/>
    </row>
    <row r="545" spans="2:2" x14ac:dyDescent="0.35">
      <c r="B545" s="2"/>
    </row>
    <row r="546" spans="2:2" x14ac:dyDescent="0.35">
      <c r="B546" s="2"/>
    </row>
    <row r="547" spans="2:2" x14ac:dyDescent="0.35">
      <c r="B547" s="2"/>
    </row>
    <row r="548" spans="2:2" x14ac:dyDescent="0.35">
      <c r="B548" s="2"/>
    </row>
    <row r="549" spans="2:2" x14ac:dyDescent="0.35">
      <c r="B549" s="2"/>
    </row>
    <row r="550" spans="2:2" x14ac:dyDescent="0.35">
      <c r="B550" s="2"/>
    </row>
    <row r="551" spans="2:2" x14ac:dyDescent="0.35">
      <c r="B551" s="2"/>
    </row>
    <row r="552" spans="2:2" x14ac:dyDescent="0.35">
      <c r="B552" s="2"/>
    </row>
    <row r="553" spans="2:2" x14ac:dyDescent="0.35">
      <c r="B553" s="2"/>
    </row>
    <row r="554" spans="2:2" x14ac:dyDescent="0.35">
      <c r="B554" s="2"/>
    </row>
    <row r="555" spans="2:2" x14ac:dyDescent="0.35">
      <c r="B555" s="2"/>
    </row>
    <row r="556" spans="2:2" x14ac:dyDescent="0.35">
      <c r="B556" s="2"/>
    </row>
    <row r="557" spans="2:2" x14ac:dyDescent="0.35">
      <c r="B557" s="2"/>
    </row>
    <row r="558" spans="2:2" x14ac:dyDescent="0.35">
      <c r="B558" s="2"/>
    </row>
    <row r="559" spans="2:2" x14ac:dyDescent="0.35">
      <c r="B559" s="2"/>
    </row>
    <row r="560" spans="2:2" x14ac:dyDescent="0.35">
      <c r="B560" s="2"/>
    </row>
    <row r="561" spans="2:2" x14ac:dyDescent="0.35">
      <c r="B561" s="2"/>
    </row>
    <row r="562" spans="2:2" x14ac:dyDescent="0.35">
      <c r="B562" s="2"/>
    </row>
    <row r="563" spans="2:2" x14ac:dyDescent="0.35">
      <c r="B563" s="2"/>
    </row>
    <row r="564" spans="2:2" x14ac:dyDescent="0.35">
      <c r="B564" s="2"/>
    </row>
    <row r="565" spans="2:2" x14ac:dyDescent="0.35">
      <c r="B565" s="2"/>
    </row>
    <row r="566" spans="2:2" x14ac:dyDescent="0.35">
      <c r="B566" s="2"/>
    </row>
    <row r="567" spans="2:2" x14ac:dyDescent="0.35">
      <c r="B567" s="2"/>
    </row>
    <row r="568" spans="2:2" x14ac:dyDescent="0.35">
      <c r="B568" s="2"/>
    </row>
    <row r="569" spans="2:2" x14ac:dyDescent="0.35">
      <c r="B569" s="2"/>
    </row>
    <row r="570" spans="2:2" x14ac:dyDescent="0.35">
      <c r="B570" s="2"/>
    </row>
    <row r="571" spans="2:2" x14ac:dyDescent="0.35">
      <c r="B571" s="2"/>
    </row>
    <row r="572" spans="2:2" x14ac:dyDescent="0.35">
      <c r="B572" s="2"/>
    </row>
    <row r="573" spans="2:2" x14ac:dyDescent="0.35">
      <c r="B573" s="2"/>
    </row>
    <row r="574" spans="2:2" x14ac:dyDescent="0.35">
      <c r="B574" s="2"/>
    </row>
    <row r="575" spans="2:2" x14ac:dyDescent="0.35">
      <c r="B575" s="2"/>
    </row>
    <row r="576" spans="2:2" x14ac:dyDescent="0.35">
      <c r="B576" s="2"/>
    </row>
    <row r="577" spans="2:2" x14ac:dyDescent="0.35">
      <c r="B577" s="2"/>
    </row>
    <row r="578" spans="2:2" x14ac:dyDescent="0.35">
      <c r="B578" s="2"/>
    </row>
    <row r="579" spans="2:2" x14ac:dyDescent="0.35">
      <c r="B579" s="2"/>
    </row>
    <row r="580" spans="2:2" x14ac:dyDescent="0.35">
      <c r="B580" s="2"/>
    </row>
    <row r="581" spans="2:2" x14ac:dyDescent="0.35">
      <c r="B581" s="2"/>
    </row>
    <row r="582" spans="2:2" x14ac:dyDescent="0.35">
      <c r="B582" s="2"/>
    </row>
    <row r="583" spans="2:2" x14ac:dyDescent="0.35">
      <c r="B583" s="2"/>
    </row>
    <row r="584" spans="2:2" x14ac:dyDescent="0.35">
      <c r="B584" s="2"/>
    </row>
    <row r="585" spans="2:2" x14ac:dyDescent="0.35">
      <c r="B585" s="2"/>
    </row>
    <row r="586" spans="2:2" x14ac:dyDescent="0.35">
      <c r="B586" s="2"/>
    </row>
    <row r="587" spans="2:2" x14ac:dyDescent="0.35">
      <c r="B587" s="2"/>
    </row>
    <row r="588" spans="2:2" x14ac:dyDescent="0.35">
      <c r="B588" s="2"/>
    </row>
    <row r="589" spans="2:2" x14ac:dyDescent="0.35">
      <c r="B589" s="2"/>
    </row>
    <row r="590" spans="2:2" x14ac:dyDescent="0.35">
      <c r="B590" s="2"/>
    </row>
    <row r="591" spans="2:2" x14ac:dyDescent="0.35">
      <c r="B591" s="2"/>
    </row>
    <row r="592" spans="2:2" x14ac:dyDescent="0.35">
      <c r="B592" s="2"/>
    </row>
    <row r="593" spans="2:2" x14ac:dyDescent="0.35">
      <c r="B593" s="2"/>
    </row>
    <row r="594" spans="2:2" x14ac:dyDescent="0.35">
      <c r="B594" s="2"/>
    </row>
    <row r="595" spans="2:2" x14ac:dyDescent="0.35">
      <c r="B595" s="2"/>
    </row>
    <row r="596" spans="2:2" x14ac:dyDescent="0.35">
      <c r="B596" s="2"/>
    </row>
    <row r="597" spans="2:2" x14ac:dyDescent="0.35">
      <c r="B597" s="2"/>
    </row>
    <row r="598" spans="2:2" x14ac:dyDescent="0.35">
      <c r="B598" s="2"/>
    </row>
    <row r="599" spans="2:2" x14ac:dyDescent="0.35">
      <c r="B599" s="2"/>
    </row>
    <row r="600" spans="2:2" x14ac:dyDescent="0.35">
      <c r="B600" s="2"/>
    </row>
    <row r="601" spans="2:2" x14ac:dyDescent="0.35">
      <c r="B601" s="2"/>
    </row>
    <row r="602" spans="2:2" x14ac:dyDescent="0.35">
      <c r="B602" s="2"/>
    </row>
    <row r="603" spans="2:2" x14ac:dyDescent="0.35">
      <c r="B603" s="2"/>
    </row>
    <row r="604" spans="2:2" x14ac:dyDescent="0.35">
      <c r="B604" s="2"/>
    </row>
    <row r="605" spans="2:2" x14ac:dyDescent="0.35">
      <c r="B605" s="2"/>
    </row>
    <row r="606" spans="2:2" x14ac:dyDescent="0.35">
      <c r="B606" s="2"/>
    </row>
    <row r="607" spans="2:2" x14ac:dyDescent="0.35">
      <c r="B607" s="2"/>
    </row>
    <row r="608" spans="2:2" x14ac:dyDescent="0.35">
      <c r="B608" s="2"/>
    </row>
    <row r="609" spans="2:2" x14ac:dyDescent="0.35">
      <c r="B609" s="2"/>
    </row>
    <row r="610" spans="2:2" x14ac:dyDescent="0.35">
      <c r="B610" s="2"/>
    </row>
    <row r="611" spans="2:2" x14ac:dyDescent="0.35">
      <c r="B611" s="2"/>
    </row>
    <row r="612" spans="2:2" x14ac:dyDescent="0.35">
      <c r="B612" s="2"/>
    </row>
    <row r="613" spans="2:2" x14ac:dyDescent="0.35">
      <c r="B613" s="2"/>
    </row>
    <row r="614" spans="2:2" x14ac:dyDescent="0.35">
      <c r="B614" s="2"/>
    </row>
    <row r="615" spans="2:2" x14ac:dyDescent="0.35">
      <c r="B615" s="2"/>
    </row>
    <row r="616" spans="2:2" x14ac:dyDescent="0.35">
      <c r="B616" s="2"/>
    </row>
    <row r="617" spans="2:2" x14ac:dyDescent="0.35">
      <c r="B617" s="2"/>
    </row>
    <row r="618" spans="2:2" x14ac:dyDescent="0.35">
      <c r="B618" s="2"/>
    </row>
    <row r="619" spans="2:2" x14ac:dyDescent="0.35">
      <c r="B619" s="2"/>
    </row>
    <row r="620" spans="2:2" x14ac:dyDescent="0.35">
      <c r="B620" s="2"/>
    </row>
    <row r="621" spans="2:2" x14ac:dyDescent="0.35">
      <c r="B621" s="2"/>
    </row>
    <row r="622" spans="2:2" x14ac:dyDescent="0.35">
      <c r="B622" s="2"/>
    </row>
    <row r="623" spans="2:2" x14ac:dyDescent="0.35">
      <c r="B623" s="2"/>
    </row>
    <row r="624" spans="2:2" x14ac:dyDescent="0.35">
      <c r="B624" s="2"/>
    </row>
    <row r="625" spans="2:2" x14ac:dyDescent="0.35">
      <c r="B625" s="2"/>
    </row>
    <row r="626" spans="2:2" x14ac:dyDescent="0.35">
      <c r="B626" s="2"/>
    </row>
    <row r="627" spans="2:2" x14ac:dyDescent="0.35">
      <c r="B627" s="2"/>
    </row>
    <row r="628" spans="2:2" x14ac:dyDescent="0.35">
      <c r="B628" s="2"/>
    </row>
    <row r="629" spans="2:2" x14ac:dyDescent="0.35">
      <c r="B629" s="2"/>
    </row>
    <row r="630" spans="2:2" x14ac:dyDescent="0.35">
      <c r="B630" s="2"/>
    </row>
    <row r="631" spans="2:2" x14ac:dyDescent="0.35">
      <c r="B631" s="2"/>
    </row>
    <row r="632" spans="2:2" x14ac:dyDescent="0.35">
      <c r="B632" s="2"/>
    </row>
    <row r="633" spans="2:2" x14ac:dyDescent="0.35">
      <c r="B633" s="2"/>
    </row>
    <row r="634" spans="2:2" x14ac:dyDescent="0.35">
      <c r="B634" s="2"/>
    </row>
    <row r="635" spans="2:2" x14ac:dyDescent="0.35">
      <c r="B635" s="2"/>
    </row>
    <row r="636" spans="2:2" x14ac:dyDescent="0.35">
      <c r="B636" s="2"/>
    </row>
    <row r="637" spans="2:2" x14ac:dyDescent="0.35">
      <c r="B637" s="2"/>
    </row>
    <row r="638" spans="2:2" x14ac:dyDescent="0.35">
      <c r="B638" s="2"/>
    </row>
    <row r="639" spans="2:2" x14ac:dyDescent="0.35">
      <c r="B639" s="2"/>
    </row>
    <row r="640" spans="2:2" x14ac:dyDescent="0.35">
      <c r="B640" s="2"/>
    </row>
    <row r="641" spans="2:2" x14ac:dyDescent="0.35">
      <c r="B641" s="2"/>
    </row>
    <row r="642" spans="2:2" x14ac:dyDescent="0.35">
      <c r="B642" s="2"/>
    </row>
    <row r="643" spans="2:2" x14ac:dyDescent="0.35">
      <c r="B643" s="2"/>
    </row>
    <row r="644" spans="2:2" x14ac:dyDescent="0.35">
      <c r="B644" s="2"/>
    </row>
    <row r="645" spans="2:2" x14ac:dyDescent="0.35">
      <c r="B645" s="2"/>
    </row>
    <row r="646" spans="2:2" x14ac:dyDescent="0.35">
      <c r="B646" s="2"/>
    </row>
    <row r="647" spans="2:2" x14ac:dyDescent="0.35">
      <c r="B647" s="2"/>
    </row>
    <row r="648" spans="2:2" x14ac:dyDescent="0.35">
      <c r="B648" s="2"/>
    </row>
    <row r="649" spans="2:2" x14ac:dyDescent="0.35">
      <c r="B649" s="2"/>
    </row>
    <row r="650" spans="2:2" x14ac:dyDescent="0.35">
      <c r="B650" s="2"/>
    </row>
    <row r="651" spans="2:2" x14ac:dyDescent="0.35">
      <c r="B651" s="2"/>
    </row>
    <row r="652" spans="2:2" x14ac:dyDescent="0.35">
      <c r="B652" s="2"/>
    </row>
    <row r="653" spans="2:2" x14ac:dyDescent="0.35">
      <c r="B653" s="2"/>
    </row>
    <row r="654" spans="2:2" x14ac:dyDescent="0.35">
      <c r="B654" s="2"/>
    </row>
    <row r="655" spans="2:2" x14ac:dyDescent="0.35">
      <c r="B655" s="2"/>
    </row>
    <row r="656" spans="2:2" x14ac:dyDescent="0.35">
      <c r="B656" s="2"/>
    </row>
    <row r="657" spans="2:2" x14ac:dyDescent="0.35">
      <c r="B657" s="2"/>
    </row>
    <row r="658" spans="2:2" x14ac:dyDescent="0.35">
      <c r="B658" s="2"/>
    </row>
    <row r="659" spans="2:2" x14ac:dyDescent="0.35">
      <c r="B659" s="2"/>
    </row>
    <row r="660" spans="2:2" x14ac:dyDescent="0.35">
      <c r="B660" s="2"/>
    </row>
    <row r="661" spans="2:2" x14ac:dyDescent="0.35">
      <c r="B661" s="2"/>
    </row>
    <row r="662" spans="2:2" x14ac:dyDescent="0.35">
      <c r="B662" s="2"/>
    </row>
    <row r="663" spans="2:2" x14ac:dyDescent="0.35">
      <c r="B663" s="2"/>
    </row>
    <row r="664" spans="2:2" x14ac:dyDescent="0.35">
      <c r="B664" s="2"/>
    </row>
    <row r="665" spans="2:2" x14ac:dyDescent="0.35">
      <c r="B665" s="2"/>
    </row>
    <row r="666" spans="2:2" x14ac:dyDescent="0.35">
      <c r="B666" s="2"/>
    </row>
    <row r="667" spans="2:2" x14ac:dyDescent="0.35">
      <c r="B667" s="2"/>
    </row>
    <row r="668" spans="2:2" x14ac:dyDescent="0.35">
      <c r="B668" s="2"/>
    </row>
    <row r="669" spans="2:2" x14ac:dyDescent="0.35">
      <c r="B669" s="2"/>
    </row>
    <row r="670" spans="2:2" x14ac:dyDescent="0.35">
      <c r="B670" s="2"/>
    </row>
    <row r="671" spans="2:2" x14ac:dyDescent="0.35">
      <c r="B671" s="2"/>
    </row>
    <row r="672" spans="2:2" x14ac:dyDescent="0.35">
      <c r="B672" s="2"/>
    </row>
    <row r="673" spans="2:2" x14ac:dyDescent="0.35">
      <c r="B673" s="2"/>
    </row>
    <row r="674" spans="2:2" x14ac:dyDescent="0.35">
      <c r="B674" s="2"/>
    </row>
    <row r="675" spans="2:2" x14ac:dyDescent="0.35">
      <c r="B675" s="2"/>
    </row>
    <row r="676" spans="2:2" x14ac:dyDescent="0.35">
      <c r="B676" s="2"/>
    </row>
    <row r="677" spans="2:2" x14ac:dyDescent="0.35">
      <c r="B677" s="2"/>
    </row>
    <row r="678" spans="2:2" x14ac:dyDescent="0.35">
      <c r="B678" s="2"/>
    </row>
    <row r="679" spans="2:2" x14ac:dyDescent="0.35">
      <c r="B679" s="2"/>
    </row>
    <row r="680" spans="2:2" x14ac:dyDescent="0.35">
      <c r="B680" s="2"/>
    </row>
    <row r="681" spans="2:2" x14ac:dyDescent="0.35">
      <c r="B681" s="2"/>
    </row>
    <row r="682" spans="2:2" x14ac:dyDescent="0.35">
      <c r="B682" s="2"/>
    </row>
    <row r="683" spans="2:2" x14ac:dyDescent="0.35">
      <c r="B683" s="2"/>
    </row>
    <row r="684" spans="2:2" x14ac:dyDescent="0.35">
      <c r="B684" s="2"/>
    </row>
    <row r="685" spans="2:2" x14ac:dyDescent="0.35">
      <c r="B685" s="2"/>
    </row>
    <row r="686" spans="2:2" x14ac:dyDescent="0.35">
      <c r="B686" s="2"/>
    </row>
    <row r="687" spans="2:2" x14ac:dyDescent="0.35">
      <c r="B687" s="2"/>
    </row>
    <row r="688" spans="2:2" x14ac:dyDescent="0.35">
      <c r="B688" s="2"/>
    </row>
    <row r="689" spans="2:2" x14ac:dyDescent="0.35">
      <c r="B689" s="2"/>
    </row>
    <row r="690" spans="2:2" x14ac:dyDescent="0.35">
      <c r="B690" s="2"/>
    </row>
    <row r="691" spans="2:2" x14ac:dyDescent="0.35">
      <c r="B691" s="2"/>
    </row>
    <row r="692" spans="2:2" x14ac:dyDescent="0.35">
      <c r="B692" s="2"/>
    </row>
    <row r="693" spans="2:2" x14ac:dyDescent="0.35">
      <c r="B693" s="2"/>
    </row>
    <row r="694" spans="2:2" x14ac:dyDescent="0.35">
      <c r="B694" s="2"/>
    </row>
    <row r="695" spans="2:2" x14ac:dyDescent="0.35">
      <c r="B695" s="2"/>
    </row>
    <row r="696" spans="2:2" x14ac:dyDescent="0.35">
      <c r="B696" s="2"/>
    </row>
    <row r="697" spans="2:2" x14ac:dyDescent="0.35">
      <c r="B697" s="2"/>
    </row>
    <row r="698" spans="2:2" x14ac:dyDescent="0.35">
      <c r="B698" s="2"/>
    </row>
    <row r="699" spans="2:2" x14ac:dyDescent="0.35">
      <c r="B699" s="2"/>
    </row>
    <row r="700" spans="2:2" x14ac:dyDescent="0.35">
      <c r="B700" s="2"/>
    </row>
    <row r="701" spans="2:2" x14ac:dyDescent="0.35">
      <c r="B701" s="2"/>
    </row>
    <row r="702" spans="2:2" x14ac:dyDescent="0.35">
      <c r="B702" s="2"/>
    </row>
    <row r="703" spans="2:2" x14ac:dyDescent="0.35">
      <c r="B703" s="2"/>
    </row>
    <row r="704" spans="2:2" x14ac:dyDescent="0.35">
      <c r="B704" s="2"/>
    </row>
    <row r="705" spans="2:2" x14ac:dyDescent="0.35">
      <c r="B705" s="2"/>
    </row>
    <row r="706" spans="2:2" x14ac:dyDescent="0.35">
      <c r="B706" s="2"/>
    </row>
    <row r="707" spans="2:2" x14ac:dyDescent="0.35">
      <c r="B707" s="2"/>
    </row>
    <row r="708" spans="2:2" x14ac:dyDescent="0.35">
      <c r="B708" s="2"/>
    </row>
    <row r="709" spans="2:2" x14ac:dyDescent="0.35">
      <c r="B709" s="2"/>
    </row>
    <row r="710" spans="2:2" x14ac:dyDescent="0.35">
      <c r="B710" s="2"/>
    </row>
    <row r="711" spans="2:2" x14ac:dyDescent="0.35">
      <c r="B711" s="2"/>
    </row>
    <row r="712" spans="2:2" x14ac:dyDescent="0.35">
      <c r="B712" s="2"/>
    </row>
    <row r="713" spans="2:2" x14ac:dyDescent="0.35">
      <c r="B713" s="2"/>
    </row>
    <row r="714" spans="2:2" x14ac:dyDescent="0.35">
      <c r="B714" s="2"/>
    </row>
    <row r="715" spans="2:2" x14ac:dyDescent="0.35">
      <c r="B715" s="2"/>
    </row>
    <row r="716" spans="2:2" x14ac:dyDescent="0.35">
      <c r="B716" s="2"/>
    </row>
    <row r="717" spans="2:2" x14ac:dyDescent="0.35">
      <c r="B717" s="2"/>
    </row>
    <row r="718" spans="2:2" x14ac:dyDescent="0.35">
      <c r="B718" s="2"/>
    </row>
    <row r="719" spans="2:2" x14ac:dyDescent="0.35">
      <c r="B719" s="2"/>
    </row>
    <row r="720" spans="2:2" x14ac:dyDescent="0.35">
      <c r="B720" s="2"/>
    </row>
    <row r="721" spans="2:2" x14ac:dyDescent="0.35">
      <c r="B721" s="2"/>
    </row>
    <row r="722" spans="2:2" x14ac:dyDescent="0.35">
      <c r="B722" s="2"/>
    </row>
    <row r="723" spans="2:2" x14ac:dyDescent="0.35">
      <c r="B723" s="2"/>
    </row>
    <row r="724" spans="2:2" x14ac:dyDescent="0.35">
      <c r="B724" s="2"/>
    </row>
    <row r="725" spans="2:2" x14ac:dyDescent="0.35">
      <c r="B725" s="2"/>
    </row>
    <row r="726" spans="2:2" x14ac:dyDescent="0.35">
      <c r="B726" s="2"/>
    </row>
    <row r="727" spans="2:2" x14ac:dyDescent="0.35">
      <c r="B727" s="2"/>
    </row>
    <row r="728" spans="2:2" x14ac:dyDescent="0.35">
      <c r="B728" s="2"/>
    </row>
    <row r="729" spans="2:2" x14ac:dyDescent="0.35">
      <c r="B729" s="2"/>
    </row>
    <row r="730" spans="2:2" x14ac:dyDescent="0.35">
      <c r="B730" s="2"/>
    </row>
    <row r="731" spans="2:2" x14ac:dyDescent="0.35">
      <c r="B731" s="2"/>
    </row>
    <row r="732" spans="2:2" x14ac:dyDescent="0.35">
      <c r="B732" s="2"/>
    </row>
    <row r="733" spans="2:2" x14ac:dyDescent="0.35">
      <c r="B733" s="2"/>
    </row>
    <row r="734" spans="2:2" x14ac:dyDescent="0.35">
      <c r="B734" s="2"/>
    </row>
    <row r="735" spans="2:2" x14ac:dyDescent="0.35">
      <c r="B735" s="2"/>
    </row>
    <row r="736" spans="2:2" x14ac:dyDescent="0.35">
      <c r="B736" s="2"/>
    </row>
    <row r="737" spans="2:2" x14ac:dyDescent="0.35">
      <c r="B737" s="2"/>
    </row>
    <row r="738" spans="2:2" x14ac:dyDescent="0.35">
      <c r="B738" s="2"/>
    </row>
    <row r="739" spans="2:2" x14ac:dyDescent="0.35">
      <c r="B739" s="2"/>
    </row>
    <row r="740" spans="2:2" x14ac:dyDescent="0.35">
      <c r="B740" s="2"/>
    </row>
    <row r="741" spans="2:2" x14ac:dyDescent="0.35">
      <c r="B741" s="2"/>
    </row>
    <row r="742" spans="2:2" x14ac:dyDescent="0.35">
      <c r="B742" s="2"/>
    </row>
    <row r="743" spans="2:2" x14ac:dyDescent="0.35">
      <c r="B743" s="2"/>
    </row>
    <row r="744" spans="2:2" x14ac:dyDescent="0.35">
      <c r="B744" s="2"/>
    </row>
    <row r="745" spans="2:2" x14ac:dyDescent="0.35">
      <c r="B745" s="2"/>
    </row>
    <row r="746" spans="2:2" x14ac:dyDescent="0.35">
      <c r="B746" s="2"/>
    </row>
    <row r="747" spans="2:2" x14ac:dyDescent="0.35">
      <c r="B747" s="2"/>
    </row>
    <row r="748" spans="2:2" x14ac:dyDescent="0.35">
      <c r="B748" s="2"/>
    </row>
    <row r="749" spans="2:2" x14ac:dyDescent="0.35">
      <c r="B749" s="2"/>
    </row>
    <row r="750" spans="2:2" x14ac:dyDescent="0.35">
      <c r="B750" s="2"/>
    </row>
    <row r="751" spans="2:2" x14ac:dyDescent="0.35">
      <c r="B751" s="2"/>
    </row>
    <row r="752" spans="2:2" x14ac:dyDescent="0.35">
      <c r="B752" s="2"/>
    </row>
    <row r="753" spans="2:2" x14ac:dyDescent="0.35">
      <c r="B753" s="2"/>
    </row>
    <row r="754" spans="2:2" x14ac:dyDescent="0.35">
      <c r="B754" s="2"/>
    </row>
    <row r="755" spans="2:2" x14ac:dyDescent="0.35">
      <c r="B755" s="2"/>
    </row>
    <row r="756" spans="2:2" x14ac:dyDescent="0.35">
      <c r="B756" s="2"/>
    </row>
    <row r="757" spans="2:2" x14ac:dyDescent="0.35">
      <c r="B757" s="2"/>
    </row>
    <row r="758" spans="2:2" x14ac:dyDescent="0.35">
      <c r="B758" s="2"/>
    </row>
    <row r="759" spans="2:2" x14ac:dyDescent="0.35">
      <c r="B759" s="2"/>
    </row>
    <row r="760" spans="2:2" x14ac:dyDescent="0.35">
      <c r="B760" s="2"/>
    </row>
    <row r="761" spans="2:2" x14ac:dyDescent="0.35">
      <c r="B761" s="2"/>
    </row>
    <row r="762" spans="2:2" x14ac:dyDescent="0.35">
      <c r="B762" s="2"/>
    </row>
    <row r="763" spans="2:2" x14ac:dyDescent="0.35">
      <c r="B763" s="2"/>
    </row>
    <row r="764" spans="2:2" x14ac:dyDescent="0.35">
      <c r="B764" s="2"/>
    </row>
    <row r="765" spans="2:2" x14ac:dyDescent="0.35">
      <c r="B765" s="2"/>
    </row>
    <row r="766" spans="2:2" x14ac:dyDescent="0.35">
      <c r="B766" s="2"/>
    </row>
    <row r="767" spans="2:2" x14ac:dyDescent="0.35">
      <c r="B767" s="2"/>
    </row>
    <row r="768" spans="2:2" x14ac:dyDescent="0.35">
      <c r="B768" s="2"/>
    </row>
    <row r="769" spans="2:2" x14ac:dyDescent="0.35">
      <c r="B769" s="2"/>
    </row>
    <row r="770" spans="2:2" x14ac:dyDescent="0.35">
      <c r="B770" s="2"/>
    </row>
    <row r="771" spans="2:2" x14ac:dyDescent="0.35">
      <c r="B771" s="2"/>
    </row>
    <row r="772" spans="2:2" x14ac:dyDescent="0.35">
      <c r="B772" s="2"/>
    </row>
    <row r="773" spans="2:2" x14ac:dyDescent="0.35">
      <c r="B773" s="2"/>
    </row>
    <row r="774" spans="2:2" x14ac:dyDescent="0.35">
      <c r="B774" s="2"/>
    </row>
    <row r="775" spans="2:2" x14ac:dyDescent="0.35">
      <c r="B775" s="2"/>
    </row>
    <row r="776" spans="2:2" x14ac:dyDescent="0.35">
      <c r="B776" s="2"/>
    </row>
    <row r="777" spans="2:2" x14ac:dyDescent="0.35">
      <c r="B777" s="2"/>
    </row>
    <row r="778" spans="2:2" x14ac:dyDescent="0.35">
      <c r="B778" s="2"/>
    </row>
    <row r="779" spans="2:2" x14ac:dyDescent="0.35">
      <c r="B779" s="2"/>
    </row>
    <row r="780" spans="2:2" x14ac:dyDescent="0.35">
      <c r="B780" s="2"/>
    </row>
    <row r="781" spans="2:2" x14ac:dyDescent="0.35">
      <c r="B781" s="2"/>
    </row>
    <row r="782" spans="2:2" x14ac:dyDescent="0.35">
      <c r="B782" s="2"/>
    </row>
    <row r="783" spans="2:2" x14ac:dyDescent="0.35">
      <c r="B783" s="2"/>
    </row>
    <row r="784" spans="2:2" x14ac:dyDescent="0.35">
      <c r="B784" s="2"/>
    </row>
    <row r="785" spans="2:2" x14ac:dyDescent="0.35">
      <c r="B785" s="2"/>
    </row>
    <row r="786" spans="2:2" x14ac:dyDescent="0.35">
      <c r="B786" s="2"/>
    </row>
    <row r="787" spans="2:2" x14ac:dyDescent="0.35">
      <c r="B787" s="2"/>
    </row>
    <row r="788" spans="2:2" x14ac:dyDescent="0.35">
      <c r="B788" s="2"/>
    </row>
    <row r="789" spans="2:2" x14ac:dyDescent="0.35">
      <c r="B789" s="2"/>
    </row>
    <row r="790" spans="2:2" x14ac:dyDescent="0.35">
      <c r="B790" s="2"/>
    </row>
    <row r="791" spans="2:2" x14ac:dyDescent="0.35">
      <c r="B791" s="2"/>
    </row>
    <row r="792" spans="2:2" x14ac:dyDescent="0.35">
      <c r="B792" s="2"/>
    </row>
    <row r="793" spans="2:2" x14ac:dyDescent="0.35">
      <c r="B793" s="2"/>
    </row>
    <row r="794" spans="2:2" x14ac:dyDescent="0.35">
      <c r="B794" s="2"/>
    </row>
    <row r="795" spans="2:2" x14ac:dyDescent="0.35">
      <c r="B795" s="2"/>
    </row>
    <row r="796" spans="2:2" x14ac:dyDescent="0.35">
      <c r="B796" s="2"/>
    </row>
    <row r="797" spans="2:2" x14ac:dyDescent="0.35">
      <c r="B797" s="2"/>
    </row>
    <row r="798" spans="2:2" x14ac:dyDescent="0.35">
      <c r="B798" s="2"/>
    </row>
    <row r="799" spans="2:2" x14ac:dyDescent="0.35">
      <c r="B799" s="2"/>
    </row>
    <row r="800" spans="2:2" x14ac:dyDescent="0.35">
      <c r="B800" s="2"/>
    </row>
    <row r="801" spans="2:2" x14ac:dyDescent="0.35">
      <c r="B801" s="2"/>
    </row>
    <row r="802" spans="2:2" x14ac:dyDescent="0.35">
      <c r="B802" s="2"/>
    </row>
    <row r="803" spans="2:2" x14ac:dyDescent="0.35">
      <c r="B803" s="2"/>
    </row>
    <row r="804" spans="2:2" x14ac:dyDescent="0.35">
      <c r="B804" s="2"/>
    </row>
    <row r="805" spans="2:2" x14ac:dyDescent="0.35">
      <c r="B805" s="2"/>
    </row>
    <row r="806" spans="2:2" x14ac:dyDescent="0.35">
      <c r="B806" s="2"/>
    </row>
    <row r="807" spans="2:2" x14ac:dyDescent="0.35">
      <c r="B807" s="2"/>
    </row>
    <row r="808" spans="2:2" x14ac:dyDescent="0.35">
      <c r="B808" s="2"/>
    </row>
    <row r="809" spans="2:2" x14ac:dyDescent="0.35">
      <c r="B809" s="2"/>
    </row>
    <row r="810" spans="2:2" x14ac:dyDescent="0.35">
      <c r="B810" s="2"/>
    </row>
    <row r="811" spans="2:2" x14ac:dyDescent="0.35">
      <c r="B811" s="2"/>
    </row>
    <row r="812" spans="2:2" x14ac:dyDescent="0.35">
      <c r="B812" s="2"/>
    </row>
    <row r="813" spans="2:2" x14ac:dyDescent="0.35">
      <c r="B813" s="2"/>
    </row>
    <row r="814" spans="2:2" x14ac:dyDescent="0.35">
      <c r="B814" s="2"/>
    </row>
    <row r="815" spans="2:2" x14ac:dyDescent="0.35">
      <c r="B815" s="2"/>
    </row>
    <row r="816" spans="2:2" x14ac:dyDescent="0.35">
      <c r="B816" s="2"/>
    </row>
    <row r="817" spans="2:2" x14ac:dyDescent="0.35">
      <c r="B817" s="2"/>
    </row>
    <row r="818" spans="2:2" x14ac:dyDescent="0.35">
      <c r="B818" s="2"/>
    </row>
    <row r="819" spans="2:2" x14ac:dyDescent="0.35">
      <c r="B819" s="2"/>
    </row>
    <row r="820" spans="2:2" x14ac:dyDescent="0.35">
      <c r="B820" s="2"/>
    </row>
    <row r="821" spans="2:2" x14ac:dyDescent="0.35">
      <c r="B821" s="2"/>
    </row>
    <row r="822" spans="2:2" x14ac:dyDescent="0.35">
      <c r="B822" s="2"/>
    </row>
    <row r="823" spans="2:2" x14ac:dyDescent="0.35">
      <c r="B823" s="2"/>
    </row>
    <row r="824" spans="2:2" x14ac:dyDescent="0.35">
      <c r="B824" s="2"/>
    </row>
    <row r="825" spans="2:2" x14ac:dyDescent="0.35">
      <c r="B825" s="2"/>
    </row>
    <row r="826" spans="2:2" x14ac:dyDescent="0.35">
      <c r="B826" s="2"/>
    </row>
    <row r="827" spans="2:2" x14ac:dyDescent="0.35">
      <c r="B827" s="2"/>
    </row>
    <row r="828" spans="2:2" x14ac:dyDescent="0.35">
      <c r="B828" s="2"/>
    </row>
    <row r="829" spans="2:2" x14ac:dyDescent="0.35">
      <c r="B829" s="2"/>
    </row>
    <row r="830" spans="2:2" x14ac:dyDescent="0.35">
      <c r="B830" s="2"/>
    </row>
    <row r="831" spans="2:2" x14ac:dyDescent="0.35">
      <c r="B831" s="2"/>
    </row>
    <row r="832" spans="2:2" x14ac:dyDescent="0.35">
      <c r="B832" s="2"/>
    </row>
    <row r="833" spans="2:2" x14ac:dyDescent="0.35">
      <c r="B833" s="2"/>
    </row>
    <row r="834" spans="2:2" x14ac:dyDescent="0.35">
      <c r="B834" s="2"/>
    </row>
    <row r="835" spans="2:2" x14ac:dyDescent="0.35">
      <c r="B835" s="2"/>
    </row>
    <row r="836" spans="2:2" x14ac:dyDescent="0.35">
      <c r="B836" s="2"/>
    </row>
    <row r="837" spans="2:2" x14ac:dyDescent="0.35">
      <c r="B837" s="2"/>
    </row>
    <row r="838" spans="2:2" x14ac:dyDescent="0.35">
      <c r="B838" s="2"/>
    </row>
    <row r="839" spans="2:2" x14ac:dyDescent="0.35">
      <c r="B839" s="2"/>
    </row>
    <row r="840" spans="2:2" x14ac:dyDescent="0.35">
      <c r="B840" s="2"/>
    </row>
    <row r="841" spans="2:2" x14ac:dyDescent="0.35">
      <c r="B841" s="2"/>
    </row>
    <row r="842" spans="2:2" x14ac:dyDescent="0.35">
      <c r="B842" s="2"/>
    </row>
    <row r="843" spans="2:2" x14ac:dyDescent="0.35">
      <c r="B843" s="2"/>
    </row>
    <row r="844" spans="2:2" x14ac:dyDescent="0.35">
      <c r="B844" s="2"/>
    </row>
    <row r="845" spans="2:2" x14ac:dyDescent="0.35">
      <c r="B845" s="2"/>
    </row>
    <row r="846" spans="2:2" x14ac:dyDescent="0.35">
      <c r="B846" s="2"/>
    </row>
    <row r="847" spans="2:2" x14ac:dyDescent="0.35">
      <c r="B847" s="2"/>
    </row>
    <row r="848" spans="2:2" x14ac:dyDescent="0.35">
      <c r="B848" s="2"/>
    </row>
    <row r="849" spans="2:2" x14ac:dyDescent="0.35">
      <c r="B849" s="2"/>
    </row>
    <row r="850" spans="2:2" x14ac:dyDescent="0.35">
      <c r="B850" s="2"/>
    </row>
    <row r="851" spans="2:2" x14ac:dyDescent="0.35">
      <c r="B851" s="2"/>
    </row>
    <row r="852" spans="2:2" x14ac:dyDescent="0.35">
      <c r="B852" s="2"/>
    </row>
    <row r="853" spans="2:2" x14ac:dyDescent="0.35">
      <c r="B853" s="2"/>
    </row>
    <row r="854" spans="2:2" x14ac:dyDescent="0.35">
      <c r="B854" s="2"/>
    </row>
    <row r="855" spans="2:2" x14ac:dyDescent="0.35">
      <c r="B855" s="2"/>
    </row>
    <row r="856" spans="2:2" x14ac:dyDescent="0.35">
      <c r="B856" s="2"/>
    </row>
    <row r="857" spans="2:2" x14ac:dyDescent="0.35">
      <c r="B857" s="2"/>
    </row>
    <row r="858" spans="2:2" x14ac:dyDescent="0.35">
      <c r="B858" s="2"/>
    </row>
    <row r="859" spans="2:2" x14ac:dyDescent="0.35">
      <c r="B859" s="2"/>
    </row>
    <row r="860" spans="2:2" x14ac:dyDescent="0.35">
      <c r="B860" s="2"/>
    </row>
    <row r="861" spans="2:2" x14ac:dyDescent="0.35">
      <c r="B861" s="2"/>
    </row>
    <row r="862" spans="2:2" x14ac:dyDescent="0.35">
      <c r="B862" s="2"/>
    </row>
    <row r="863" spans="2:2" x14ac:dyDescent="0.35">
      <c r="B863" s="2"/>
    </row>
    <row r="864" spans="2:2" x14ac:dyDescent="0.35">
      <c r="B864" s="2"/>
    </row>
    <row r="865" spans="2:2" x14ac:dyDescent="0.35">
      <c r="B865" s="2"/>
    </row>
    <row r="866" spans="2:2" x14ac:dyDescent="0.35">
      <c r="B866" s="2"/>
    </row>
    <row r="867" spans="2:2" x14ac:dyDescent="0.35">
      <c r="B867" s="2"/>
    </row>
    <row r="868" spans="2:2" x14ac:dyDescent="0.35">
      <c r="B868" s="2"/>
    </row>
    <row r="869" spans="2:2" x14ac:dyDescent="0.35">
      <c r="B869" s="2"/>
    </row>
    <row r="870" spans="2:2" x14ac:dyDescent="0.35">
      <c r="B870" s="2"/>
    </row>
    <row r="871" spans="2:2" x14ac:dyDescent="0.35">
      <c r="B871" s="2"/>
    </row>
    <row r="872" spans="2:2" x14ac:dyDescent="0.35">
      <c r="B872" s="2"/>
    </row>
    <row r="873" spans="2:2" x14ac:dyDescent="0.35">
      <c r="B873" s="2"/>
    </row>
    <row r="874" spans="2:2" x14ac:dyDescent="0.35">
      <c r="B874" s="2"/>
    </row>
    <row r="875" spans="2:2" x14ac:dyDescent="0.35">
      <c r="B875" s="2"/>
    </row>
    <row r="876" spans="2:2" x14ac:dyDescent="0.35">
      <c r="B876" s="2"/>
    </row>
    <row r="877" spans="2:2" x14ac:dyDescent="0.35">
      <c r="B877" s="2"/>
    </row>
    <row r="878" spans="2:2" x14ac:dyDescent="0.35">
      <c r="B878" s="2"/>
    </row>
    <row r="879" spans="2:2" x14ac:dyDescent="0.35">
      <c r="B879" s="2"/>
    </row>
    <row r="880" spans="2:2" x14ac:dyDescent="0.35">
      <c r="B880" s="2"/>
    </row>
    <row r="881" spans="2:2" x14ac:dyDescent="0.35">
      <c r="B881" s="2"/>
    </row>
    <row r="882" spans="2:2" x14ac:dyDescent="0.35">
      <c r="B882" s="2"/>
    </row>
    <row r="883" spans="2:2" x14ac:dyDescent="0.35">
      <c r="B883" s="2"/>
    </row>
    <row r="884" spans="2:2" x14ac:dyDescent="0.35">
      <c r="B884" s="2"/>
    </row>
    <row r="885" spans="2:2" x14ac:dyDescent="0.35">
      <c r="B885" s="2"/>
    </row>
    <row r="886" spans="2:2" x14ac:dyDescent="0.35">
      <c r="B886" s="2"/>
    </row>
    <row r="887" spans="2:2" x14ac:dyDescent="0.35">
      <c r="B887" s="2"/>
    </row>
    <row r="888" spans="2:2" x14ac:dyDescent="0.35">
      <c r="B888" s="2"/>
    </row>
    <row r="889" spans="2:2" x14ac:dyDescent="0.35">
      <c r="B889" s="2"/>
    </row>
    <row r="890" spans="2:2" x14ac:dyDescent="0.35">
      <c r="B890" s="2"/>
    </row>
    <row r="891" spans="2:2" x14ac:dyDescent="0.35">
      <c r="B891" s="2"/>
    </row>
    <row r="892" spans="2:2" x14ac:dyDescent="0.35">
      <c r="B892" s="2"/>
    </row>
    <row r="893" spans="2:2" x14ac:dyDescent="0.35">
      <c r="B893" s="2"/>
    </row>
    <row r="894" spans="2:2" x14ac:dyDescent="0.35">
      <c r="B894" s="2"/>
    </row>
    <row r="895" spans="2:2" x14ac:dyDescent="0.35">
      <c r="B895" s="2"/>
    </row>
    <row r="896" spans="2:2" x14ac:dyDescent="0.35">
      <c r="B896" s="2"/>
    </row>
    <row r="897" spans="2:2" x14ac:dyDescent="0.35">
      <c r="B897" s="2"/>
    </row>
    <row r="898" spans="2:2" x14ac:dyDescent="0.35">
      <c r="B898" s="2"/>
    </row>
    <row r="899" spans="2:2" x14ac:dyDescent="0.35">
      <c r="B899" s="2"/>
    </row>
    <row r="900" spans="2:2" x14ac:dyDescent="0.35">
      <c r="B900" s="2"/>
    </row>
    <row r="901" spans="2:2" x14ac:dyDescent="0.35">
      <c r="B901" s="2"/>
    </row>
    <row r="902" spans="2:2" x14ac:dyDescent="0.35">
      <c r="B902" s="2"/>
    </row>
    <row r="903" spans="2:2" x14ac:dyDescent="0.35">
      <c r="B903" s="2"/>
    </row>
    <row r="904" spans="2:2" x14ac:dyDescent="0.35">
      <c r="B904" s="2"/>
    </row>
    <row r="905" spans="2:2" x14ac:dyDescent="0.35">
      <c r="B905" s="2"/>
    </row>
    <row r="906" spans="2:2" x14ac:dyDescent="0.35">
      <c r="B906" s="2"/>
    </row>
    <row r="907" spans="2:2" x14ac:dyDescent="0.35">
      <c r="B907" s="2"/>
    </row>
    <row r="908" spans="2:2" x14ac:dyDescent="0.35">
      <c r="B908" s="2"/>
    </row>
    <row r="909" spans="2:2" x14ac:dyDescent="0.35">
      <c r="B909" s="2"/>
    </row>
    <row r="910" spans="2:2" x14ac:dyDescent="0.35">
      <c r="B910" s="2"/>
    </row>
    <row r="911" spans="2:2" x14ac:dyDescent="0.35">
      <c r="B911" s="2"/>
    </row>
    <row r="912" spans="2:2" x14ac:dyDescent="0.35">
      <c r="B912" s="2"/>
    </row>
    <row r="913" spans="2:2" x14ac:dyDescent="0.35">
      <c r="B913" s="2"/>
    </row>
    <row r="914" spans="2:2" x14ac:dyDescent="0.35">
      <c r="B914" s="2"/>
    </row>
    <row r="915" spans="2:2" x14ac:dyDescent="0.35">
      <c r="B915" s="2"/>
    </row>
    <row r="916" spans="2:2" x14ac:dyDescent="0.35">
      <c r="B916" s="2"/>
    </row>
    <row r="917" spans="2:2" x14ac:dyDescent="0.35">
      <c r="B917" s="2"/>
    </row>
    <row r="918" spans="2:2" x14ac:dyDescent="0.35">
      <c r="B918" s="2"/>
    </row>
    <row r="919" spans="2:2" x14ac:dyDescent="0.35">
      <c r="B919" s="2"/>
    </row>
    <row r="920" spans="2:2" x14ac:dyDescent="0.35">
      <c r="B920" s="2"/>
    </row>
    <row r="921" spans="2:2" x14ac:dyDescent="0.35">
      <c r="B921" s="2"/>
    </row>
    <row r="922" spans="2:2" x14ac:dyDescent="0.35">
      <c r="B922" s="2"/>
    </row>
    <row r="923" spans="2:2" x14ac:dyDescent="0.35">
      <c r="B923" s="2"/>
    </row>
    <row r="924" spans="2:2" x14ac:dyDescent="0.35">
      <c r="B924" s="2"/>
    </row>
    <row r="925" spans="2:2" x14ac:dyDescent="0.35">
      <c r="B925" s="2"/>
    </row>
    <row r="926" spans="2:2" x14ac:dyDescent="0.35">
      <c r="B926" s="2"/>
    </row>
    <row r="927" spans="2:2" x14ac:dyDescent="0.35">
      <c r="B927" s="2"/>
    </row>
    <row r="928" spans="2:2" x14ac:dyDescent="0.35">
      <c r="B928" s="2"/>
    </row>
    <row r="929" spans="2:2" x14ac:dyDescent="0.35">
      <c r="B929" s="2"/>
    </row>
    <row r="930" spans="2:2" x14ac:dyDescent="0.35">
      <c r="B930" s="2"/>
    </row>
    <row r="931" spans="2:2" x14ac:dyDescent="0.35">
      <c r="B931" s="2"/>
    </row>
    <row r="932" spans="2:2" x14ac:dyDescent="0.35">
      <c r="B932" s="2"/>
    </row>
    <row r="933" spans="2:2" x14ac:dyDescent="0.35">
      <c r="B933" s="2"/>
    </row>
    <row r="934" spans="2:2" x14ac:dyDescent="0.35">
      <c r="B934" s="2"/>
    </row>
    <row r="935" spans="2:2" x14ac:dyDescent="0.35">
      <c r="B935" s="2"/>
    </row>
    <row r="936" spans="2:2" x14ac:dyDescent="0.35">
      <c r="B936" s="2"/>
    </row>
    <row r="937" spans="2:2" x14ac:dyDescent="0.35">
      <c r="B937" s="2"/>
    </row>
    <row r="938" spans="2:2" x14ac:dyDescent="0.35">
      <c r="B938" s="2"/>
    </row>
    <row r="939" spans="2:2" x14ac:dyDescent="0.35">
      <c r="B939" s="2"/>
    </row>
    <row r="940" spans="2:2" x14ac:dyDescent="0.35">
      <c r="B940" s="2"/>
    </row>
    <row r="941" spans="2:2" x14ac:dyDescent="0.35">
      <c r="B941" s="2"/>
    </row>
    <row r="942" spans="2:2" x14ac:dyDescent="0.35">
      <c r="B942" s="2"/>
    </row>
    <row r="943" spans="2:2" x14ac:dyDescent="0.35">
      <c r="B943" s="2"/>
    </row>
    <row r="944" spans="2:2" x14ac:dyDescent="0.35">
      <c r="B944" s="2"/>
    </row>
    <row r="945" spans="2:2" x14ac:dyDescent="0.35">
      <c r="B945" s="2"/>
    </row>
    <row r="946" spans="2:2" x14ac:dyDescent="0.35">
      <c r="B946" s="2"/>
    </row>
    <row r="947" spans="2:2" x14ac:dyDescent="0.35">
      <c r="B947" s="2"/>
    </row>
    <row r="948" spans="2:2" x14ac:dyDescent="0.35">
      <c r="B948" s="2"/>
    </row>
    <row r="949" spans="2:2" x14ac:dyDescent="0.35">
      <c r="B949" s="2"/>
    </row>
    <row r="950" spans="2:2" x14ac:dyDescent="0.35">
      <c r="B950" s="2"/>
    </row>
    <row r="951" spans="2:2" x14ac:dyDescent="0.35">
      <c r="B951" s="2"/>
    </row>
    <row r="952" spans="2:2" x14ac:dyDescent="0.35">
      <c r="B952" s="2"/>
    </row>
    <row r="953" spans="2:2" x14ac:dyDescent="0.35">
      <c r="B953" s="2"/>
    </row>
    <row r="954" spans="2:2" x14ac:dyDescent="0.35">
      <c r="B954" s="2"/>
    </row>
    <row r="955" spans="2:2" x14ac:dyDescent="0.35">
      <c r="B955" s="2"/>
    </row>
    <row r="956" spans="2:2" x14ac:dyDescent="0.35">
      <c r="B956" s="2"/>
    </row>
    <row r="957" spans="2:2" x14ac:dyDescent="0.35">
      <c r="B957" s="2"/>
    </row>
    <row r="958" spans="2:2" x14ac:dyDescent="0.35">
      <c r="B958" s="2"/>
    </row>
    <row r="959" spans="2:2" x14ac:dyDescent="0.35">
      <c r="B959" s="2"/>
    </row>
    <row r="960" spans="2:2" x14ac:dyDescent="0.35">
      <c r="B960" s="2"/>
    </row>
    <row r="961" spans="2:2" x14ac:dyDescent="0.35">
      <c r="B961" s="2"/>
    </row>
    <row r="962" spans="2:2" x14ac:dyDescent="0.35">
      <c r="B962" s="2"/>
    </row>
    <row r="963" spans="2:2" x14ac:dyDescent="0.35">
      <c r="B963" s="2"/>
    </row>
    <row r="964" spans="2:2" x14ac:dyDescent="0.35">
      <c r="B964" s="2"/>
    </row>
    <row r="965" spans="2:2" x14ac:dyDescent="0.35">
      <c r="B965" s="2"/>
    </row>
    <row r="966" spans="2:2" x14ac:dyDescent="0.35">
      <c r="B966" s="2"/>
    </row>
    <row r="967" spans="2:2" x14ac:dyDescent="0.35">
      <c r="B967" s="2"/>
    </row>
    <row r="968" spans="2:2" x14ac:dyDescent="0.35">
      <c r="B968" s="2"/>
    </row>
    <row r="969" spans="2:2" x14ac:dyDescent="0.35">
      <c r="B969" s="2"/>
    </row>
    <row r="970" spans="2:2" x14ac:dyDescent="0.35">
      <c r="B970" s="2"/>
    </row>
    <row r="971" spans="2:2" x14ac:dyDescent="0.35">
      <c r="B971" s="2"/>
    </row>
    <row r="972" spans="2:2" x14ac:dyDescent="0.35">
      <c r="B972" s="2"/>
    </row>
    <row r="973" spans="2:2" x14ac:dyDescent="0.35">
      <c r="B973" s="2"/>
    </row>
    <row r="974" spans="2:2" x14ac:dyDescent="0.35">
      <c r="B974" s="2"/>
    </row>
    <row r="975" spans="2:2" x14ac:dyDescent="0.35">
      <c r="B975" s="2"/>
    </row>
    <row r="976" spans="2:2" x14ac:dyDescent="0.35">
      <c r="B976" s="2"/>
    </row>
    <row r="977" spans="2:2" x14ac:dyDescent="0.35">
      <c r="B977" s="2"/>
    </row>
    <row r="978" spans="2:2" x14ac:dyDescent="0.35">
      <c r="B978" s="2"/>
    </row>
    <row r="979" spans="2:2" x14ac:dyDescent="0.35">
      <c r="B979" s="2"/>
    </row>
    <row r="980" spans="2:2" x14ac:dyDescent="0.35">
      <c r="B980" s="2"/>
    </row>
    <row r="981" spans="2:2" x14ac:dyDescent="0.35">
      <c r="B981" s="2"/>
    </row>
    <row r="982" spans="2:2" x14ac:dyDescent="0.35">
      <c r="B982" s="2"/>
    </row>
    <row r="983" spans="2:2" x14ac:dyDescent="0.35">
      <c r="B983" s="2"/>
    </row>
    <row r="984" spans="2:2" x14ac:dyDescent="0.35">
      <c r="B984" s="2"/>
    </row>
    <row r="985" spans="2:2" x14ac:dyDescent="0.35">
      <c r="B985" s="2"/>
    </row>
    <row r="986" spans="2:2" x14ac:dyDescent="0.35">
      <c r="B986" s="2"/>
    </row>
    <row r="987" spans="2:2" x14ac:dyDescent="0.35">
      <c r="B987" s="2"/>
    </row>
    <row r="988" spans="2:2" x14ac:dyDescent="0.35">
      <c r="B988" s="2"/>
    </row>
    <row r="989" spans="2:2" x14ac:dyDescent="0.35">
      <c r="B989" s="2"/>
    </row>
    <row r="990" spans="2:2" x14ac:dyDescent="0.35">
      <c r="B990" s="2"/>
    </row>
    <row r="991" spans="2:2" x14ac:dyDescent="0.35">
      <c r="B991" s="2"/>
    </row>
    <row r="992" spans="2:2" x14ac:dyDescent="0.35">
      <c r="B992" s="2"/>
    </row>
    <row r="993" spans="2:2" x14ac:dyDescent="0.35">
      <c r="B993" s="2"/>
    </row>
    <row r="994" spans="2:2" x14ac:dyDescent="0.35">
      <c r="B994" s="2"/>
    </row>
    <row r="995" spans="2:2" x14ac:dyDescent="0.35">
      <c r="B995" s="2"/>
    </row>
    <row r="996" spans="2:2" x14ac:dyDescent="0.35">
      <c r="B996" s="2"/>
    </row>
    <row r="997" spans="2:2" x14ac:dyDescent="0.35">
      <c r="B997" s="2"/>
    </row>
    <row r="998" spans="2:2" x14ac:dyDescent="0.35">
      <c r="B998" s="2"/>
    </row>
    <row r="999" spans="2:2" x14ac:dyDescent="0.35">
      <c r="B999" s="2"/>
    </row>
    <row r="1000" spans="2:2" x14ac:dyDescent="0.35">
      <c r="B1000" s="2"/>
    </row>
    <row r="1001" spans="2:2" x14ac:dyDescent="0.35">
      <c r="B1001" s="2"/>
    </row>
    <row r="1002" spans="2:2" x14ac:dyDescent="0.35">
      <c r="B1002" s="2"/>
    </row>
    <row r="1003" spans="2:2" x14ac:dyDescent="0.35">
      <c r="B1003" s="2"/>
    </row>
    <row r="1004" spans="2:2" x14ac:dyDescent="0.35">
      <c r="B1004" s="2"/>
    </row>
    <row r="1005" spans="2:2" x14ac:dyDescent="0.35">
      <c r="B1005" s="2"/>
    </row>
    <row r="1006" spans="2:2" x14ac:dyDescent="0.35">
      <c r="B1006" s="2"/>
    </row>
    <row r="1007" spans="2:2" x14ac:dyDescent="0.35">
      <c r="B1007" s="2"/>
    </row>
    <row r="1008" spans="2:2" x14ac:dyDescent="0.35">
      <c r="B1008" s="2"/>
    </row>
    <row r="1009" spans="2:2" x14ac:dyDescent="0.35">
      <c r="B1009" s="2"/>
    </row>
    <row r="1010" spans="2:2" x14ac:dyDescent="0.35">
      <c r="B1010" s="2"/>
    </row>
    <row r="1011" spans="2:2" x14ac:dyDescent="0.35">
      <c r="B1011" s="2"/>
    </row>
    <row r="1012" spans="2:2" x14ac:dyDescent="0.35">
      <c r="B1012" s="2"/>
    </row>
    <row r="1013" spans="2:2" x14ac:dyDescent="0.35">
      <c r="B1013" s="2"/>
    </row>
    <row r="1014" spans="2:2" x14ac:dyDescent="0.35">
      <c r="B1014" s="2"/>
    </row>
    <row r="1015" spans="2:2" x14ac:dyDescent="0.35">
      <c r="B1015" s="2"/>
    </row>
    <row r="1016" spans="2:2" x14ac:dyDescent="0.35">
      <c r="B1016" s="2"/>
    </row>
    <row r="1017" spans="2:2" x14ac:dyDescent="0.35">
      <c r="B1017" s="2"/>
    </row>
    <row r="1018" spans="2:2" x14ac:dyDescent="0.35">
      <c r="B1018" s="2"/>
    </row>
    <row r="1019" spans="2:2" x14ac:dyDescent="0.35">
      <c r="B1019" s="2"/>
    </row>
    <row r="1020" spans="2:2" x14ac:dyDescent="0.35">
      <c r="B1020" s="2"/>
    </row>
    <row r="1021" spans="2:2" x14ac:dyDescent="0.35">
      <c r="B1021" s="2"/>
    </row>
    <row r="1022" spans="2:2" x14ac:dyDescent="0.35">
      <c r="B1022" s="2"/>
    </row>
    <row r="1023" spans="2:2" x14ac:dyDescent="0.35">
      <c r="B1023" s="2"/>
    </row>
    <row r="1024" spans="2:2" x14ac:dyDescent="0.35">
      <c r="B1024" s="2"/>
    </row>
    <row r="1025" spans="2:2" x14ac:dyDescent="0.35">
      <c r="B1025" s="2"/>
    </row>
    <row r="1026" spans="2:2" x14ac:dyDescent="0.35">
      <c r="B1026" s="2"/>
    </row>
    <row r="1027" spans="2:2" x14ac:dyDescent="0.35">
      <c r="B1027" s="2"/>
    </row>
    <row r="1028" spans="2:2" x14ac:dyDescent="0.35">
      <c r="B1028" s="2"/>
    </row>
    <row r="1029" spans="2:2" x14ac:dyDescent="0.35">
      <c r="B1029" s="2"/>
    </row>
    <row r="1030" spans="2:2" x14ac:dyDescent="0.35">
      <c r="B1030" s="2"/>
    </row>
    <row r="1031" spans="2:2" x14ac:dyDescent="0.35">
      <c r="B1031" s="2"/>
    </row>
    <row r="1032" spans="2:2" x14ac:dyDescent="0.35">
      <c r="B1032" s="2"/>
    </row>
    <row r="1033" spans="2:2" x14ac:dyDescent="0.35">
      <c r="B1033" s="2"/>
    </row>
    <row r="1034" spans="2:2" x14ac:dyDescent="0.35">
      <c r="B1034" s="2"/>
    </row>
    <row r="1035" spans="2:2" x14ac:dyDescent="0.35">
      <c r="B1035" s="2"/>
    </row>
    <row r="1036" spans="2:2" x14ac:dyDescent="0.35">
      <c r="B1036" s="2"/>
    </row>
    <row r="1037" spans="2:2" x14ac:dyDescent="0.35">
      <c r="B1037" s="2"/>
    </row>
    <row r="1038" spans="2:2" x14ac:dyDescent="0.35">
      <c r="B1038" s="2"/>
    </row>
    <row r="1039" spans="2:2" x14ac:dyDescent="0.35">
      <c r="B1039" s="2"/>
    </row>
    <row r="1040" spans="2:2" x14ac:dyDescent="0.35">
      <c r="B1040" s="2"/>
    </row>
    <row r="1041" spans="2:2" x14ac:dyDescent="0.35">
      <c r="B1041" s="2"/>
    </row>
    <row r="1042" spans="2:2" x14ac:dyDescent="0.35">
      <c r="B1042" s="2"/>
    </row>
    <row r="1043" spans="2:2" x14ac:dyDescent="0.35">
      <c r="B1043" s="2"/>
    </row>
    <row r="1044" spans="2:2" x14ac:dyDescent="0.35">
      <c r="B1044" s="2"/>
    </row>
    <row r="1045" spans="2:2" x14ac:dyDescent="0.35">
      <c r="B1045" s="2"/>
    </row>
    <row r="1046" spans="2:2" x14ac:dyDescent="0.35">
      <c r="B1046" s="2"/>
    </row>
    <row r="1047" spans="2:2" x14ac:dyDescent="0.35">
      <c r="B1047" s="2"/>
    </row>
    <row r="1048" spans="2:2" x14ac:dyDescent="0.35">
      <c r="B1048" s="2"/>
    </row>
    <row r="1049" spans="2:2" x14ac:dyDescent="0.35">
      <c r="B1049" s="2"/>
    </row>
    <row r="1050" spans="2:2" x14ac:dyDescent="0.35">
      <c r="B1050" s="2"/>
    </row>
    <row r="1051" spans="2:2" x14ac:dyDescent="0.35">
      <c r="B1051" s="2"/>
    </row>
    <row r="1052" spans="2:2" x14ac:dyDescent="0.35">
      <c r="B1052" s="2"/>
    </row>
    <row r="1053" spans="2:2" x14ac:dyDescent="0.35">
      <c r="B1053" s="2"/>
    </row>
    <row r="1054" spans="2:2" x14ac:dyDescent="0.35">
      <c r="B1054" s="2"/>
    </row>
    <row r="1055" spans="2:2" x14ac:dyDescent="0.35">
      <c r="B1055" s="2"/>
    </row>
    <row r="1056" spans="2:2" x14ac:dyDescent="0.35">
      <c r="B1056" s="2"/>
    </row>
    <row r="1057" spans="2:2" x14ac:dyDescent="0.35">
      <c r="B1057" s="2"/>
    </row>
    <row r="1058" spans="2:2" x14ac:dyDescent="0.35">
      <c r="B1058" s="2"/>
    </row>
    <row r="1059" spans="2:2" x14ac:dyDescent="0.35">
      <c r="B1059" s="2"/>
    </row>
    <row r="1060" spans="2:2" x14ac:dyDescent="0.35">
      <c r="B1060" s="2"/>
    </row>
    <row r="1061" spans="2:2" x14ac:dyDescent="0.35">
      <c r="B1061" s="2"/>
    </row>
    <row r="1062" spans="2:2" x14ac:dyDescent="0.35">
      <c r="B1062" s="2"/>
    </row>
    <row r="1063" spans="2:2" x14ac:dyDescent="0.35">
      <c r="B1063" s="2"/>
    </row>
    <row r="1064" spans="2:2" x14ac:dyDescent="0.35">
      <c r="B1064" s="2"/>
    </row>
    <row r="1065" spans="2:2" x14ac:dyDescent="0.35">
      <c r="B1065" s="2"/>
    </row>
    <row r="1066" spans="2:2" x14ac:dyDescent="0.35">
      <c r="B1066" s="2"/>
    </row>
    <row r="1067" spans="2:2" x14ac:dyDescent="0.35">
      <c r="B1067" s="2"/>
    </row>
    <row r="1068" spans="2:2" x14ac:dyDescent="0.35">
      <c r="B1068" s="2"/>
    </row>
    <row r="1069" spans="2:2" x14ac:dyDescent="0.35">
      <c r="B1069" s="2"/>
    </row>
    <row r="1070" spans="2:2" x14ac:dyDescent="0.35">
      <c r="B1070" s="2"/>
    </row>
    <row r="1071" spans="2:2" x14ac:dyDescent="0.35">
      <c r="B1071" s="2"/>
    </row>
    <row r="1072" spans="2:2" x14ac:dyDescent="0.35">
      <c r="B1072" s="2"/>
    </row>
    <row r="1073" spans="2:2" x14ac:dyDescent="0.35">
      <c r="B1073" s="2"/>
    </row>
    <row r="1074" spans="2:2" x14ac:dyDescent="0.35">
      <c r="B1074" s="2"/>
    </row>
    <row r="1075" spans="2:2" x14ac:dyDescent="0.35">
      <c r="B1075" s="2"/>
    </row>
    <row r="1076" spans="2:2" x14ac:dyDescent="0.35">
      <c r="B1076" s="2"/>
    </row>
    <row r="1077" spans="2:2" x14ac:dyDescent="0.35">
      <c r="B1077" s="2"/>
    </row>
    <row r="1078" spans="2:2" x14ac:dyDescent="0.35">
      <c r="B1078" s="2"/>
    </row>
    <row r="1079" spans="2:2" x14ac:dyDescent="0.35">
      <c r="B1079" s="2"/>
    </row>
    <row r="1080" spans="2:2" x14ac:dyDescent="0.35">
      <c r="B1080" s="2"/>
    </row>
    <row r="1081" spans="2:2" x14ac:dyDescent="0.35">
      <c r="B1081" s="2"/>
    </row>
    <row r="1082" spans="2:2" x14ac:dyDescent="0.35">
      <c r="B1082" s="2"/>
    </row>
    <row r="1083" spans="2:2" x14ac:dyDescent="0.35">
      <c r="B1083" s="2"/>
    </row>
    <row r="1084" spans="2:2" x14ac:dyDescent="0.35">
      <c r="B1084" s="2"/>
    </row>
    <row r="1085" spans="2:2" x14ac:dyDescent="0.35">
      <c r="B1085" s="2"/>
    </row>
    <row r="1086" spans="2:2" x14ac:dyDescent="0.35">
      <c r="B1086" s="2"/>
    </row>
    <row r="1087" spans="2:2" x14ac:dyDescent="0.35">
      <c r="B1087" s="2"/>
    </row>
    <row r="1088" spans="2:2" x14ac:dyDescent="0.35">
      <c r="B1088" s="2"/>
    </row>
    <row r="1089" spans="2:2" x14ac:dyDescent="0.35">
      <c r="B1089" s="2"/>
    </row>
    <row r="1090" spans="2:2" x14ac:dyDescent="0.35">
      <c r="B1090" s="2"/>
    </row>
    <row r="1091" spans="2:2" x14ac:dyDescent="0.35">
      <c r="B1091" s="2"/>
    </row>
    <row r="1092" spans="2:2" x14ac:dyDescent="0.35">
      <c r="B1092" s="2"/>
    </row>
    <row r="1093" spans="2:2" x14ac:dyDescent="0.35">
      <c r="B1093" s="2"/>
    </row>
    <row r="1094" spans="2:2" x14ac:dyDescent="0.35">
      <c r="B1094" s="2"/>
    </row>
    <row r="1095" spans="2:2" x14ac:dyDescent="0.35">
      <c r="B1095" s="2"/>
    </row>
    <row r="1096" spans="2:2" x14ac:dyDescent="0.35">
      <c r="B1096" s="2"/>
    </row>
    <row r="1097" spans="2:2" x14ac:dyDescent="0.35">
      <c r="B1097" s="2"/>
    </row>
    <row r="1098" spans="2:2" x14ac:dyDescent="0.35">
      <c r="B1098" s="2"/>
    </row>
    <row r="1099" spans="2:2" x14ac:dyDescent="0.35">
      <c r="B1099" s="2"/>
    </row>
    <row r="1100" spans="2:2" x14ac:dyDescent="0.35">
      <c r="B1100" s="2"/>
    </row>
    <row r="1101" spans="2:2" x14ac:dyDescent="0.35">
      <c r="B1101" s="2"/>
    </row>
    <row r="1102" spans="2:2" x14ac:dyDescent="0.35">
      <c r="B1102" s="2"/>
    </row>
    <row r="1103" spans="2:2" x14ac:dyDescent="0.35">
      <c r="B1103" s="2"/>
    </row>
    <row r="1104" spans="2:2" x14ac:dyDescent="0.35">
      <c r="B1104" s="2"/>
    </row>
    <row r="1105" spans="2:2" x14ac:dyDescent="0.35">
      <c r="B1105" s="2"/>
    </row>
    <row r="1106" spans="2:2" x14ac:dyDescent="0.35">
      <c r="B1106" s="2"/>
    </row>
    <row r="1107" spans="2:2" x14ac:dyDescent="0.35">
      <c r="B1107" s="2"/>
    </row>
    <row r="1108" spans="2:2" x14ac:dyDescent="0.35">
      <c r="B1108" s="2"/>
    </row>
    <row r="1109" spans="2:2" x14ac:dyDescent="0.35">
      <c r="B1109" s="2"/>
    </row>
    <row r="1110" spans="2:2" x14ac:dyDescent="0.35">
      <c r="B1110" s="2"/>
    </row>
    <row r="1111" spans="2:2" x14ac:dyDescent="0.35">
      <c r="B1111" s="2"/>
    </row>
    <row r="1112" spans="2:2" x14ac:dyDescent="0.35">
      <c r="B1112" s="2"/>
    </row>
    <row r="1113" spans="2:2" x14ac:dyDescent="0.35">
      <c r="B1113" s="2"/>
    </row>
    <row r="1114" spans="2:2" x14ac:dyDescent="0.35">
      <c r="B1114" s="2"/>
    </row>
    <row r="1115" spans="2:2" x14ac:dyDescent="0.35">
      <c r="B1115" s="2"/>
    </row>
    <row r="1116" spans="2:2" x14ac:dyDescent="0.35">
      <c r="B1116" s="2"/>
    </row>
    <row r="1117" spans="2:2" x14ac:dyDescent="0.35">
      <c r="B1117" s="2"/>
    </row>
    <row r="1118" spans="2:2" x14ac:dyDescent="0.35">
      <c r="B1118" s="2"/>
    </row>
    <row r="1119" spans="2:2" x14ac:dyDescent="0.35">
      <c r="B1119" s="2"/>
    </row>
    <row r="1120" spans="2:2" x14ac:dyDescent="0.35">
      <c r="B1120" s="2"/>
    </row>
    <row r="1121" spans="2:2" x14ac:dyDescent="0.35">
      <c r="B1121" s="2"/>
    </row>
    <row r="1122" spans="2:2" x14ac:dyDescent="0.35">
      <c r="B1122" s="2"/>
    </row>
    <row r="1123" spans="2:2" x14ac:dyDescent="0.35">
      <c r="B1123" s="2"/>
    </row>
    <row r="1124" spans="2:2" x14ac:dyDescent="0.35">
      <c r="B1124" s="2"/>
    </row>
    <row r="1125" spans="2:2" x14ac:dyDescent="0.35">
      <c r="B1125" s="2"/>
    </row>
    <row r="1126" spans="2:2" x14ac:dyDescent="0.35">
      <c r="B1126" s="2"/>
    </row>
    <row r="1127" spans="2:2" x14ac:dyDescent="0.35">
      <c r="B1127" s="2"/>
    </row>
    <row r="1128" spans="2:2" x14ac:dyDescent="0.35">
      <c r="B1128" s="2"/>
    </row>
    <row r="1129" spans="2:2" x14ac:dyDescent="0.35">
      <c r="B1129" s="2"/>
    </row>
    <row r="1130" spans="2:2" x14ac:dyDescent="0.35">
      <c r="B1130" s="2"/>
    </row>
    <row r="1131" spans="2:2" x14ac:dyDescent="0.35">
      <c r="B1131" s="2"/>
    </row>
    <row r="1132" spans="2:2" x14ac:dyDescent="0.35">
      <c r="B1132" s="2"/>
    </row>
    <row r="1133" spans="2:2" x14ac:dyDescent="0.35">
      <c r="B1133" s="2"/>
    </row>
    <row r="1134" spans="2:2" x14ac:dyDescent="0.35">
      <c r="B1134" s="2"/>
    </row>
    <row r="1135" spans="2:2" x14ac:dyDescent="0.35">
      <c r="B1135" s="2"/>
    </row>
    <row r="1136" spans="2:2" x14ac:dyDescent="0.35">
      <c r="B1136" s="2"/>
    </row>
    <row r="1137" spans="2:2" x14ac:dyDescent="0.35">
      <c r="B1137" s="2"/>
    </row>
    <row r="1138" spans="2:2" x14ac:dyDescent="0.35">
      <c r="B1138" s="2"/>
    </row>
    <row r="1139" spans="2:2" x14ac:dyDescent="0.35">
      <c r="B1139" s="2"/>
    </row>
    <row r="1140" spans="2:2" x14ac:dyDescent="0.35">
      <c r="B1140" s="2"/>
    </row>
    <row r="1141" spans="2:2" x14ac:dyDescent="0.35">
      <c r="B1141" s="2"/>
    </row>
    <row r="1142" spans="2:2" x14ac:dyDescent="0.35">
      <c r="B1142" s="2"/>
    </row>
    <row r="1143" spans="2:2" x14ac:dyDescent="0.35">
      <c r="B1143" s="2"/>
    </row>
    <row r="1144" spans="2:2" x14ac:dyDescent="0.35">
      <c r="B1144" s="2"/>
    </row>
    <row r="1145" spans="2:2" x14ac:dyDescent="0.35">
      <c r="B1145" s="2"/>
    </row>
    <row r="1146" spans="2:2" x14ac:dyDescent="0.35">
      <c r="B1146" s="2"/>
    </row>
    <row r="1147" spans="2:2" x14ac:dyDescent="0.35">
      <c r="B1147" s="2"/>
    </row>
    <row r="1148" spans="2:2" x14ac:dyDescent="0.35">
      <c r="B1148" s="2"/>
    </row>
    <row r="1149" spans="2:2" x14ac:dyDescent="0.35">
      <c r="B1149" s="2"/>
    </row>
    <row r="1150" spans="2:2" x14ac:dyDescent="0.35">
      <c r="B1150" s="2"/>
    </row>
    <row r="1151" spans="2:2" x14ac:dyDescent="0.35">
      <c r="B1151" s="2"/>
    </row>
    <row r="1152" spans="2:2" x14ac:dyDescent="0.35">
      <c r="B1152" s="2"/>
    </row>
    <row r="1153" spans="2:2" x14ac:dyDescent="0.35">
      <c r="B1153" s="2"/>
    </row>
    <row r="1154" spans="2:2" x14ac:dyDescent="0.35">
      <c r="B1154" s="2"/>
    </row>
    <row r="1155" spans="2:2" x14ac:dyDescent="0.35">
      <c r="B1155" s="2"/>
    </row>
    <row r="1156" spans="2:2" x14ac:dyDescent="0.35">
      <c r="B1156" s="2"/>
    </row>
    <row r="1157" spans="2:2" x14ac:dyDescent="0.35">
      <c r="B1157" s="2"/>
    </row>
    <row r="1158" spans="2:2" x14ac:dyDescent="0.35">
      <c r="B1158" s="2"/>
    </row>
    <row r="1159" spans="2:2" x14ac:dyDescent="0.35">
      <c r="B1159" s="2"/>
    </row>
    <row r="1160" spans="2:2" x14ac:dyDescent="0.35">
      <c r="B1160" s="2"/>
    </row>
    <row r="1161" spans="2:2" x14ac:dyDescent="0.35">
      <c r="B1161" s="2"/>
    </row>
    <row r="1162" spans="2:2" x14ac:dyDescent="0.35">
      <c r="B1162" s="2"/>
    </row>
    <row r="1163" spans="2:2" x14ac:dyDescent="0.35">
      <c r="B1163" s="2"/>
    </row>
    <row r="1164" spans="2:2" x14ac:dyDescent="0.35">
      <c r="B1164" s="2"/>
    </row>
    <row r="1165" spans="2:2" x14ac:dyDescent="0.35">
      <c r="B1165" s="2"/>
    </row>
    <row r="1166" spans="2:2" x14ac:dyDescent="0.35">
      <c r="B1166" s="2"/>
    </row>
    <row r="1167" spans="2:2" x14ac:dyDescent="0.35">
      <c r="B1167" s="2"/>
    </row>
    <row r="1168" spans="2:2" x14ac:dyDescent="0.35">
      <c r="B1168" s="2"/>
    </row>
    <row r="1169" spans="2:2" x14ac:dyDescent="0.35">
      <c r="B1169" s="2"/>
    </row>
    <row r="1170" spans="2:2" x14ac:dyDescent="0.35">
      <c r="B1170" s="2"/>
    </row>
    <row r="1171" spans="2:2" x14ac:dyDescent="0.35">
      <c r="B1171" s="2"/>
    </row>
    <row r="1172" spans="2:2" x14ac:dyDescent="0.35">
      <c r="B1172" s="2"/>
    </row>
    <row r="1173" spans="2:2" x14ac:dyDescent="0.35">
      <c r="B1173" s="2"/>
    </row>
    <row r="1174" spans="2:2" x14ac:dyDescent="0.35">
      <c r="B1174" s="2"/>
    </row>
    <row r="1175" spans="2:2" x14ac:dyDescent="0.35">
      <c r="B1175" s="2"/>
    </row>
    <row r="1176" spans="2:2" x14ac:dyDescent="0.35">
      <c r="B1176" s="2"/>
    </row>
    <row r="1177" spans="2:2" x14ac:dyDescent="0.35">
      <c r="B1177" s="2"/>
    </row>
    <row r="1178" spans="2:2" x14ac:dyDescent="0.35">
      <c r="B1178" s="2"/>
    </row>
    <row r="1179" spans="2:2" x14ac:dyDescent="0.35">
      <c r="B1179" s="2"/>
    </row>
    <row r="1180" spans="2:2" x14ac:dyDescent="0.35">
      <c r="B1180" s="2"/>
    </row>
    <row r="1181" spans="2:2" x14ac:dyDescent="0.35">
      <c r="B1181" s="2"/>
    </row>
    <row r="1182" spans="2:2" x14ac:dyDescent="0.35">
      <c r="B1182" s="2"/>
    </row>
    <row r="1183" spans="2:2" x14ac:dyDescent="0.35">
      <c r="B1183" s="2"/>
    </row>
    <row r="1184" spans="2:2" x14ac:dyDescent="0.35">
      <c r="B1184" s="2"/>
    </row>
    <row r="1185" spans="2:2" x14ac:dyDescent="0.35">
      <c r="B1185" s="2"/>
    </row>
    <row r="1186" spans="2:2" x14ac:dyDescent="0.35">
      <c r="B1186" s="2"/>
    </row>
    <row r="1187" spans="2:2" x14ac:dyDescent="0.35">
      <c r="B1187" s="2"/>
    </row>
    <row r="1188" spans="2:2" x14ac:dyDescent="0.35">
      <c r="B1188" s="2"/>
    </row>
    <row r="1189" spans="2:2" x14ac:dyDescent="0.35">
      <c r="B1189" s="2"/>
    </row>
    <row r="1190" spans="2:2" x14ac:dyDescent="0.35">
      <c r="B1190" s="2"/>
    </row>
    <row r="1191" spans="2:2" x14ac:dyDescent="0.35">
      <c r="B1191" s="2"/>
    </row>
    <row r="1192" spans="2:2" x14ac:dyDescent="0.35">
      <c r="B1192" s="2"/>
    </row>
    <row r="1193" spans="2:2" x14ac:dyDescent="0.35">
      <c r="B1193" s="2"/>
    </row>
    <row r="1194" spans="2:2" x14ac:dyDescent="0.35">
      <c r="B1194" s="2"/>
    </row>
    <row r="1195" spans="2:2" x14ac:dyDescent="0.35">
      <c r="B1195" s="2"/>
    </row>
    <row r="1196" spans="2:2" x14ac:dyDescent="0.35">
      <c r="B1196" s="2"/>
    </row>
    <row r="1197" spans="2:2" x14ac:dyDescent="0.35">
      <c r="B1197" s="2"/>
    </row>
    <row r="1198" spans="2:2" x14ac:dyDescent="0.35">
      <c r="B1198" s="2"/>
    </row>
    <row r="1199" spans="2:2" x14ac:dyDescent="0.35">
      <c r="B1199" s="2"/>
    </row>
    <row r="1200" spans="2:2" x14ac:dyDescent="0.35">
      <c r="B1200" s="2"/>
    </row>
    <row r="1201" spans="2:2" x14ac:dyDescent="0.35">
      <c r="B1201" s="2"/>
    </row>
    <row r="1202" spans="2:2" x14ac:dyDescent="0.35">
      <c r="B1202" s="2"/>
    </row>
    <row r="1203" spans="2:2" x14ac:dyDescent="0.35">
      <c r="B1203" s="2"/>
    </row>
    <row r="1204" spans="2:2" x14ac:dyDescent="0.35">
      <c r="B1204" s="2"/>
    </row>
    <row r="1205" spans="2:2" x14ac:dyDescent="0.35">
      <c r="B1205" s="2"/>
    </row>
    <row r="1206" spans="2:2" x14ac:dyDescent="0.35">
      <c r="B1206" s="2"/>
    </row>
    <row r="1207" spans="2:2" x14ac:dyDescent="0.35">
      <c r="B1207" s="2"/>
    </row>
    <row r="1208" spans="2:2" x14ac:dyDescent="0.35">
      <c r="B1208" s="2"/>
    </row>
    <row r="1209" spans="2:2" x14ac:dyDescent="0.35">
      <c r="B1209" s="2"/>
    </row>
    <row r="1210" spans="2:2" x14ac:dyDescent="0.35">
      <c r="B1210" s="2"/>
    </row>
    <row r="1211" spans="2:2" x14ac:dyDescent="0.35">
      <c r="B1211" s="2"/>
    </row>
    <row r="1212" spans="2:2" x14ac:dyDescent="0.35">
      <c r="B1212" s="2"/>
    </row>
    <row r="1213" spans="2:2" x14ac:dyDescent="0.35">
      <c r="B1213" s="2"/>
    </row>
    <row r="1214" spans="2:2" x14ac:dyDescent="0.35">
      <c r="B1214" s="2"/>
    </row>
    <row r="1215" spans="2:2" x14ac:dyDescent="0.35">
      <c r="B1215" s="2"/>
    </row>
    <row r="1216" spans="2:2" x14ac:dyDescent="0.35">
      <c r="B1216" s="2"/>
    </row>
    <row r="1217" spans="2:2" x14ac:dyDescent="0.35">
      <c r="B1217" s="2"/>
    </row>
    <row r="1218" spans="2:2" x14ac:dyDescent="0.35">
      <c r="B1218" s="2"/>
    </row>
    <row r="1219" spans="2:2" x14ac:dyDescent="0.35">
      <c r="B1219" s="2"/>
    </row>
    <row r="1220" spans="2:2" x14ac:dyDescent="0.35">
      <c r="B1220" s="2"/>
    </row>
    <row r="1221" spans="2:2" x14ac:dyDescent="0.35">
      <c r="B1221" s="2"/>
    </row>
    <row r="1222" spans="2:2" x14ac:dyDescent="0.35">
      <c r="B1222" s="2"/>
    </row>
    <row r="1223" spans="2:2" x14ac:dyDescent="0.35">
      <c r="B1223" s="2"/>
    </row>
    <row r="1224" spans="2:2" x14ac:dyDescent="0.35">
      <c r="B1224" s="2"/>
    </row>
    <row r="1225" spans="2:2" x14ac:dyDescent="0.35">
      <c r="B1225" s="2"/>
    </row>
    <row r="1226" spans="2:2" x14ac:dyDescent="0.35">
      <c r="B1226" s="2"/>
    </row>
    <row r="1227" spans="2:2" x14ac:dyDescent="0.35">
      <c r="B1227" s="2"/>
    </row>
    <row r="1228" spans="2:2" x14ac:dyDescent="0.35">
      <c r="B1228" s="2"/>
    </row>
    <row r="1229" spans="2:2" x14ac:dyDescent="0.35">
      <c r="B1229" s="2"/>
    </row>
    <row r="1230" spans="2:2" x14ac:dyDescent="0.35">
      <c r="B1230" s="2"/>
    </row>
    <row r="1231" spans="2:2" x14ac:dyDescent="0.35">
      <c r="B1231" s="2"/>
    </row>
    <row r="1232" spans="2:2" x14ac:dyDescent="0.35">
      <c r="B1232" s="2"/>
    </row>
    <row r="1233" spans="2:2" x14ac:dyDescent="0.35">
      <c r="B1233" s="2"/>
    </row>
    <row r="1234" spans="2:2" x14ac:dyDescent="0.35">
      <c r="B1234" s="2"/>
    </row>
    <row r="1235" spans="2:2" x14ac:dyDescent="0.35">
      <c r="B1235" s="2"/>
    </row>
    <row r="1236" spans="2:2" x14ac:dyDescent="0.35">
      <c r="B1236" s="2"/>
    </row>
    <row r="1237" spans="2:2" x14ac:dyDescent="0.35">
      <c r="B1237" s="2"/>
    </row>
    <row r="1238" spans="2:2" x14ac:dyDescent="0.35">
      <c r="B1238" s="2"/>
    </row>
    <row r="1239" spans="2:2" x14ac:dyDescent="0.35">
      <c r="B1239" s="2"/>
    </row>
    <row r="1240" spans="2:2" x14ac:dyDescent="0.35">
      <c r="B1240" s="2"/>
    </row>
    <row r="1241" spans="2:2" x14ac:dyDescent="0.35">
      <c r="B1241" s="2"/>
    </row>
    <row r="1242" spans="2:2" x14ac:dyDescent="0.35">
      <c r="B1242" s="2"/>
    </row>
    <row r="1243" spans="2:2" x14ac:dyDescent="0.35">
      <c r="B1243" s="2"/>
    </row>
    <row r="1244" spans="2:2" x14ac:dyDescent="0.35">
      <c r="B1244" s="2"/>
    </row>
    <row r="1245" spans="2:2" x14ac:dyDescent="0.35">
      <c r="B1245" s="2"/>
    </row>
    <row r="1246" spans="2:2" x14ac:dyDescent="0.35">
      <c r="B1246" s="2"/>
    </row>
    <row r="1247" spans="2:2" x14ac:dyDescent="0.35">
      <c r="B1247" s="2"/>
    </row>
    <row r="1248" spans="2:2" x14ac:dyDescent="0.35">
      <c r="B1248" s="2"/>
    </row>
    <row r="1249" spans="2:2" x14ac:dyDescent="0.35">
      <c r="B1249" s="2"/>
    </row>
    <row r="1250" spans="2:2" x14ac:dyDescent="0.35">
      <c r="B1250" s="2"/>
    </row>
    <row r="1251" spans="2:2" x14ac:dyDescent="0.35">
      <c r="B1251" s="2"/>
    </row>
    <row r="1252" spans="2:2" x14ac:dyDescent="0.35">
      <c r="B1252" s="2"/>
    </row>
    <row r="1253" spans="2:2" x14ac:dyDescent="0.35">
      <c r="B1253" s="2"/>
    </row>
    <row r="1254" spans="2:2" x14ac:dyDescent="0.35">
      <c r="B1254" s="2"/>
    </row>
    <row r="1255" spans="2:2" x14ac:dyDescent="0.35">
      <c r="B1255" s="2"/>
    </row>
    <row r="1256" spans="2:2" x14ac:dyDescent="0.35">
      <c r="B1256" s="2"/>
    </row>
    <row r="1257" spans="2:2" x14ac:dyDescent="0.35">
      <c r="B1257" s="2"/>
    </row>
    <row r="1258" spans="2:2" x14ac:dyDescent="0.35">
      <c r="B1258" s="2"/>
    </row>
    <row r="1259" spans="2:2" x14ac:dyDescent="0.35">
      <c r="B1259" s="2"/>
    </row>
    <row r="1260" spans="2:2" x14ac:dyDescent="0.35">
      <c r="B1260" s="2"/>
    </row>
    <row r="1261" spans="2:2" x14ac:dyDescent="0.35">
      <c r="B1261" s="2"/>
    </row>
    <row r="1262" spans="2:2" x14ac:dyDescent="0.35">
      <c r="B1262" s="2"/>
    </row>
    <row r="1263" spans="2:2" x14ac:dyDescent="0.35">
      <c r="B1263" s="2"/>
    </row>
    <row r="1264" spans="2:2" x14ac:dyDescent="0.35">
      <c r="B1264" s="2"/>
    </row>
    <row r="1265" spans="2:2" x14ac:dyDescent="0.35">
      <c r="B1265" s="2"/>
    </row>
    <row r="1266" spans="2:2" x14ac:dyDescent="0.35">
      <c r="B1266" s="2"/>
    </row>
    <row r="1267" spans="2:2" x14ac:dyDescent="0.35">
      <c r="B1267" s="2"/>
    </row>
    <row r="1268" spans="2:2" x14ac:dyDescent="0.35">
      <c r="B1268" s="2"/>
    </row>
    <row r="1269" spans="2:2" x14ac:dyDescent="0.35">
      <c r="B1269" s="2"/>
    </row>
    <row r="1270" spans="2:2" x14ac:dyDescent="0.35">
      <c r="B1270" s="2"/>
    </row>
    <row r="1271" spans="2:2" x14ac:dyDescent="0.35">
      <c r="B1271" s="2"/>
    </row>
    <row r="1272" spans="2:2" x14ac:dyDescent="0.35">
      <c r="B1272" s="2"/>
    </row>
    <row r="1273" spans="2:2" x14ac:dyDescent="0.35">
      <c r="B1273" s="2"/>
    </row>
    <row r="1274" spans="2:2" x14ac:dyDescent="0.35">
      <c r="B1274" s="2"/>
    </row>
    <row r="1275" spans="2:2" x14ac:dyDescent="0.35">
      <c r="B1275" s="2"/>
    </row>
    <row r="1276" spans="2:2" x14ac:dyDescent="0.35">
      <c r="B1276" s="2"/>
    </row>
    <row r="1277" spans="2:2" x14ac:dyDescent="0.35">
      <c r="B1277" s="2"/>
    </row>
    <row r="1278" spans="2:2" x14ac:dyDescent="0.35">
      <c r="B1278" s="2"/>
    </row>
    <row r="1279" spans="2:2" x14ac:dyDescent="0.35">
      <c r="B1279" s="2"/>
    </row>
    <row r="1280" spans="2:2" x14ac:dyDescent="0.35">
      <c r="B1280" s="2"/>
    </row>
    <row r="1281" spans="2:2" x14ac:dyDescent="0.35">
      <c r="B1281" s="2"/>
    </row>
    <row r="1282" spans="2:2" x14ac:dyDescent="0.35">
      <c r="B1282" s="2"/>
    </row>
    <row r="1283" spans="2:2" x14ac:dyDescent="0.35">
      <c r="B1283" s="2"/>
    </row>
    <row r="1284" spans="2:2" x14ac:dyDescent="0.35">
      <c r="B1284" s="2"/>
    </row>
    <row r="1285" spans="2:2" x14ac:dyDescent="0.35">
      <c r="B1285" s="2"/>
    </row>
    <row r="1286" spans="2:2" x14ac:dyDescent="0.35">
      <c r="B1286" s="2"/>
    </row>
    <row r="1287" spans="2:2" x14ac:dyDescent="0.35">
      <c r="B1287" s="2"/>
    </row>
    <row r="1288" spans="2:2" x14ac:dyDescent="0.35">
      <c r="B1288" s="2"/>
    </row>
    <row r="1289" spans="2:2" x14ac:dyDescent="0.35">
      <c r="B1289" s="2"/>
    </row>
    <row r="1290" spans="2:2" x14ac:dyDescent="0.35">
      <c r="B1290" s="2"/>
    </row>
    <row r="1291" spans="2:2" x14ac:dyDescent="0.35">
      <c r="B1291" s="2"/>
    </row>
    <row r="1292" spans="2:2" x14ac:dyDescent="0.35">
      <c r="B1292" s="2"/>
    </row>
    <row r="1293" spans="2:2" x14ac:dyDescent="0.35">
      <c r="B1293" s="2"/>
    </row>
    <row r="1294" spans="2:2" x14ac:dyDescent="0.35">
      <c r="B1294" s="2"/>
    </row>
    <row r="1295" spans="2:2" x14ac:dyDescent="0.35">
      <c r="B1295" s="2"/>
    </row>
    <row r="1296" spans="2:2" x14ac:dyDescent="0.35">
      <c r="B1296" s="2"/>
    </row>
    <row r="1297" spans="2:2" x14ac:dyDescent="0.35">
      <c r="B1297" s="2"/>
    </row>
    <row r="1298" spans="2:2" x14ac:dyDescent="0.35">
      <c r="B1298" s="2"/>
    </row>
    <row r="1299" spans="2:2" x14ac:dyDescent="0.35">
      <c r="B1299" s="2"/>
    </row>
    <row r="1300" spans="2:2" x14ac:dyDescent="0.35">
      <c r="B1300" s="2"/>
    </row>
    <row r="1301" spans="2:2" x14ac:dyDescent="0.35">
      <c r="B1301" s="2"/>
    </row>
    <row r="1302" spans="2:2" x14ac:dyDescent="0.35">
      <c r="B1302" s="2"/>
    </row>
    <row r="1303" spans="2:2" x14ac:dyDescent="0.35">
      <c r="B1303" s="2"/>
    </row>
    <row r="1304" spans="2:2" x14ac:dyDescent="0.35">
      <c r="B1304" s="2"/>
    </row>
    <row r="1305" spans="2:2" x14ac:dyDescent="0.35">
      <c r="B1305" s="2"/>
    </row>
    <row r="1306" spans="2:2" x14ac:dyDescent="0.35">
      <c r="B1306" s="2"/>
    </row>
    <row r="1307" spans="2:2" x14ac:dyDescent="0.35">
      <c r="B1307" s="2"/>
    </row>
    <row r="1308" spans="2:2" x14ac:dyDescent="0.35">
      <c r="B1308" s="2"/>
    </row>
    <row r="1309" spans="2:2" x14ac:dyDescent="0.35">
      <c r="B1309" s="2"/>
    </row>
    <row r="1310" spans="2:2" x14ac:dyDescent="0.35">
      <c r="B1310" s="2"/>
    </row>
    <row r="1311" spans="2:2" x14ac:dyDescent="0.35">
      <c r="B1311" s="2"/>
    </row>
    <row r="1312" spans="2:2" x14ac:dyDescent="0.35">
      <c r="B1312" s="2"/>
    </row>
    <row r="1313" spans="2:2" x14ac:dyDescent="0.35">
      <c r="B1313" s="2"/>
    </row>
    <row r="1314" spans="2:2" x14ac:dyDescent="0.35">
      <c r="B1314" s="2"/>
    </row>
    <row r="1315" spans="2:2" x14ac:dyDescent="0.35">
      <c r="B1315" s="2"/>
    </row>
    <row r="1316" spans="2:2" x14ac:dyDescent="0.35">
      <c r="B1316" s="2"/>
    </row>
    <row r="1317" spans="2:2" x14ac:dyDescent="0.35">
      <c r="B1317" s="2"/>
    </row>
    <row r="1318" spans="2:2" x14ac:dyDescent="0.35">
      <c r="B1318" s="2"/>
    </row>
    <row r="1319" spans="2:2" x14ac:dyDescent="0.35">
      <c r="B1319" s="2"/>
    </row>
    <row r="1320" spans="2:2" x14ac:dyDescent="0.35">
      <c r="B1320" s="2"/>
    </row>
    <row r="1321" spans="2:2" x14ac:dyDescent="0.35">
      <c r="B1321" s="2"/>
    </row>
    <row r="1322" spans="2:2" x14ac:dyDescent="0.35">
      <c r="B1322" s="2"/>
    </row>
    <row r="1323" spans="2:2" x14ac:dyDescent="0.35">
      <c r="B1323" s="2"/>
    </row>
    <row r="1324" spans="2:2" x14ac:dyDescent="0.35">
      <c r="B1324" s="2"/>
    </row>
    <row r="1325" spans="2:2" x14ac:dyDescent="0.35">
      <c r="B1325" s="2"/>
    </row>
    <row r="1326" spans="2:2" x14ac:dyDescent="0.35">
      <c r="B1326" s="2"/>
    </row>
    <row r="1327" spans="2:2" x14ac:dyDescent="0.35">
      <c r="B1327" s="2"/>
    </row>
    <row r="1328" spans="2:2" x14ac:dyDescent="0.35">
      <c r="B1328" s="2"/>
    </row>
    <row r="1329" spans="2:2" x14ac:dyDescent="0.35">
      <c r="B1329" s="2"/>
    </row>
    <row r="1330" spans="2:2" x14ac:dyDescent="0.35">
      <c r="B1330" s="2"/>
    </row>
    <row r="1331" spans="2:2" x14ac:dyDescent="0.35">
      <c r="B1331" s="2"/>
    </row>
    <row r="1332" spans="2:2" x14ac:dyDescent="0.35">
      <c r="B1332" s="2"/>
    </row>
    <row r="1333" spans="2:2" x14ac:dyDescent="0.35">
      <c r="B1333" s="2"/>
    </row>
    <row r="1334" spans="2:2" x14ac:dyDescent="0.35">
      <c r="B1334" s="2"/>
    </row>
    <row r="1335" spans="2:2" x14ac:dyDescent="0.35">
      <c r="B1335" s="2"/>
    </row>
    <row r="1336" spans="2:2" x14ac:dyDescent="0.35">
      <c r="B1336" s="2"/>
    </row>
    <row r="1337" spans="2:2" x14ac:dyDescent="0.35">
      <c r="B1337" s="2"/>
    </row>
    <row r="1338" spans="2:2" x14ac:dyDescent="0.35">
      <c r="B1338" s="2"/>
    </row>
    <row r="1339" spans="2:2" x14ac:dyDescent="0.35">
      <c r="B1339" s="2"/>
    </row>
    <row r="1340" spans="2:2" x14ac:dyDescent="0.35">
      <c r="B1340" s="2"/>
    </row>
    <row r="1341" spans="2:2" x14ac:dyDescent="0.35">
      <c r="B1341" s="2"/>
    </row>
    <row r="1342" spans="2:2" x14ac:dyDescent="0.35">
      <c r="B1342" s="2"/>
    </row>
    <row r="1343" spans="2:2" x14ac:dyDescent="0.35">
      <c r="B1343" s="2"/>
    </row>
    <row r="1344" spans="2:2" x14ac:dyDescent="0.35">
      <c r="B1344" s="2"/>
    </row>
    <row r="1345" spans="2:2" x14ac:dyDescent="0.35">
      <c r="B1345" s="2"/>
    </row>
    <row r="1346" spans="2:2" x14ac:dyDescent="0.35">
      <c r="B1346" s="2"/>
    </row>
    <row r="1347" spans="2:2" x14ac:dyDescent="0.35">
      <c r="B1347" s="2"/>
    </row>
    <row r="1348" spans="2:2" x14ac:dyDescent="0.35">
      <c r="B1348" s="2"/>
    </row>
    <row r="1349" spans="2:2" x14ac:dyDescent="0.35">
      <c r="B1349" s="2"/>
    </row>
    <row r="1350" spans="2:2" x14ac:dyDescent="0.35">
      <c r="B1350" s="2"/>
    </row>
    <row r="1351" spans="2:2" x14ac:dyDescent="0.35">
      <c r="B1351" s="2"/>
    </row>
    <row r="1352" spans="2:2" x14ac:dyDescent="0.35">
      <c r="B1352" s="2"/>
    </row>
    <row r="1353" spans="2:2" x14ac:dyDescent="0.35">
      <c r="B1353" s="2"/>
    </row>
    <row r="1354" spans="2:2" x14ac:dyDescent="0.35">
      <c r="B1354" s="2"/>
    </row>
    <row r="1355" spans="2:2" x14ac:dyDescent="0.35">
      <c r="B1355" s="2"/>
    </row>
    <row r="1356" spans="2:2" x14ac:dyDescent="0.35">
      <c r="B1356" s="2"/>
    </row>
    <row r="1357" spans="2:2" x14ac:dyDescent="0.35">
      <c r="B1357" s="2"/>
    </row>
    <row r="1358" spans="2:2" x14ac:dyDescent="0.35">
      <c r="B1358" s="2"/>
    </row>
    <row r="1359" spans="2:2" x14ac:dyDescent="0.35">
      <c r="B1359" s="2"/>
    </row>
    <row r="1360" spans="2:2" x14ac:dyDescent="0.35">
      <c r="B1360" s="2"/>
    </row>
    <row r="1361" spans="2:2" x14ac:dyDescent="0.35">
      <c r="B1361" s="2"/>
    </row>
    <row r="1362" spans="2:2" x14ac:dyDescent="0.35">
      <c r="B1362" s="2"/>
    </row>
    <row r="1363" spans="2:2" x14ac:dyDescent="0.35">
      <c r="B1363" s="2"/>
    </row>
    <row r="1364" spans="2:2" x14ac:dyDescent="0.35">
      <c r="B1364" s="2"/>
    </row>
    <row r="1365" spans="2:2" x14ac:dyDescent="0.35">
      <c r="B1365" s="2"/>
    </row>
    <row r="1366" spans="2:2" x14ac:dyDescent="0.35">
      <c r="B1366" s="2"/>
    </row>
    <row r="1367" spans="2:2" x14ac:dyDescent="0.35">
      <c r="B1367" s="2"/>
    </row>
    <row r="1368" spans="2:2" x14ac:dyDescent="0.35">
      <c r="B1368" s="2"/>
    </row>
    <row r="1369" spans="2:2" x14ac:dyDescent="0.35">
      <c r="B1369" s="2"/>
    </row>
    <row r="1370" spans="2:2" x14ac:dyDescent="0.35">
      <c r="B1370" s="2"/>
    </row>
    <row r="1371" spans="2:2" x14ac:dyDescent="0.35">
      <c r="B1371" s="2"/>
    </row>
    <row r="1372" spans="2:2" x14ac:dyDescent="0.35">
      <c r="B1372" s="2"/>
    </row>
    <row r="1373" spans="2:2" x14ac:dyDescent="0.35">
      <c r="B1373" s="2"/>
    </row>
    <row r="1374" spans="2:2" x14ac:dyDescent="0.35">
      <c r="B1374" s="2"/>
    </row>
    <row r="1375" spans="2:2" x14ac:dyDescent="0.35">
      <c r="B1375" s="2"/>
    </row>
    <row r="1376" spans="2:2" x14ac:dyDescent="0.35">
      <c r="B1376" s="2"/>
    </row>
    <row r="1377" spans="2:2" x14ac:dyDescent="0.35">
      <c r="B1377" s="2"/>
    </row>
    <row r="1378" spans="2:2" x14ac:dyDescent="0.35">
      <c r="B1378" s="2"/>
    </row>
    <row r="1379" spans="2:2" x14ac:dyDescent="0.35">
      <c r="B1379" s="2"/>
    </row>
    <row r="1380" spans="2:2" x14ac:dyDescent="0.35">
      <c r="B1380" s="2"/>
    </row>
    <row r="1381" spans="2:2" x14ac:dyDescent="0.35">
      <c r="B1381" s="2"/>
    </row>
    <row r="1382" spans="2:2" x14ac:dyDescent="0.35">
      <c r="B1382" s="2"/>
    </row>
    <row r="1383" spans="2:2" x14ac:dyDescent="0.35">
      <c r="B1383" s="2"/>
    </row>
    <row r="1384" spans="2:2" x14ac:dyDescent="0.35">
      <c r="B1384" s="2"/>
    </row>
    <row r="1385" spans="2:2" x14ac:dyDescent="0.35">
      <c r="B1385" s="2"/>
    </row>
    <row r="1386" spans="2:2" x14ac:dyDescent="0.35">
      <c r="B1386" s="2"/>
    </row>
    <row r="1387" spans="2:2" x14ac:dyDescent="0.35">
      <c r="B1387" s="2"/>
    </row>
    <row r="1388" spans="2:2" x14ac:dyDescent="0.35">
      <c r="B1388" s="2"/>
    </row>
    <row r="1389" spans="2:2" x14ac:dyDescent="0.35">
      <c r="B1389" s="2"/>
    </row>
    <row r="1390" spans="2:2" x14ac:dyDescent="0.35">
      <c r="B1390" s="2"/>
    </row>
    <row r="1391" spans="2:2" x14ac:dyDescent="0.35">
      <c r="B1391" s="2"/>
    </row>
    <row r="1392" spans="2:2" x14ac:dyDescent="0.35">
      <c r="B1392" s="2"/>
    </row>
    <row r="1393" spans="2:2" x14ac:dyDescent="0.35">
      <c r="B1393" s="2"/>
    </row>
    <row r="1394" spans="2:2" x14ac:dyDescent="0.35">
      <c r="B1394" s="2"/>
    </row>
    <row r="1395" spans="2:2" x14ac:dyDescent="0.35">
      <c r="B1395" s="2"/>
    </row>
    <row r="1396" spans="2:2" x14ac:dyDescent="0.35">
      <c r="B1396" s="2"/>
    </row>
    <row r="1397" spans="2:2" x14ac:dyDescent="0.35">
      <c r="B1397" s="2"/>
    </row>
    <row r="1398" spans="2:2" x14ac:dyDescent="0.35">
      <c r="B1398" s="2"/>
    </row>
    <row r="1399" spans="2:2" x14ac:dyDescent="0.35">
      <c r="B1399" s="2"/>
    </row>
    <row r="1400" spans="2:2" x14ac:dyDescent="0.35">
      <c r="B1400" s="2"/>
    </row>
    <row r="1401" spans="2:2" x14ac:dyDescent="0.35">
      <c r="B1401" s="2"/>
    </row>
    <row r="1402" spans="2:2" x14ac:dyDescent="0.35">
      <c r="B1402" s="2"/>
    </row>
    <row r="1403" spans="2:2" x14ac:dyDescent="0.35">
      <c r="B1403" s="2"/>
    </row>
    <row r="1404" spans="2:2" x14ac:dyDescent="0.35">
      <c r="B1404" s="2"/>
    </row>
    <row r="1405" spans="2:2" x14ac:dyDescent="0.35">
      <c r="B1405" s="2"/>
    </row>
    <row r="1406" spans="2:2" x14ac:dyDescent="0.35">
      <c r="B1406" s="2"/>
    </row>
    <row r="1407" spans="2:2" x14ac:dyDescent="0.35">
      <c r="B1407" s="2"/>
    </row>
    <row r="1408" spans="2:2" x14ac:dyDescent="0.35">
      <c r="B1408" s="2"/>
    </row>
    <row r="1409" spans="2:2" x14ac:dyDescent="0.35">
      <c r="B1409" s="2"/>
    </row>
    <row r="1410" spans="2:2" x14ac:dyDescent="0.35">
      <c r="B1410" s="2"/>
    </row>
    <row r="1411" spans="2:2" x14ac:dyDescent="0.35">
      <c r="B1411" s="2"/>
    </row>
    <row r="1412" spans="2:2" x14ac:dyDescent="0.35">
      <c r="B1412" s="2"/>
    </row>
    <row r="1413" spans="2:2" x14ac:dyDescent="0.35">
      <c r="B1413" s="2"/>
    </row>
    <row r="1414" spans="2:2" x14ac:dyDescent="0.35">
      <c r="B1414" s="2"/>
    </row>
    <row r="1415" spans="2:2" x14ac:dyDescent="0.35">
      <c r="B1415" s="2"/>
    </row>
    <row r="1416" spans="2:2" x14ac:dyDescent="0.35">
      <c r="B1416" s="2"/>
    </row>
    <row r="1417" spans="2:2" x14ac:dyDescent="0.35">
      <c r="B1417" s="2"/>
    </row>
    <row r="1418" spans="2:2" x14ac:dyDescent="0.35">
      <c r="B1418" s="2"/>
    </row>
    <row r="1419" spans="2:2" x14ac:dyDescent="0.35">
      <c r="B1419" s="2"/>
    </row>
    <row r="1420" spans="2:2" x14ac:dyDescent="0.35">
      <c r="B1420" s="2"/>
    </row>
    <row r="1421" spans="2:2" x14ac:dyDescent="0.35">
      <c r="B1421" s="2"/>
    </row>
    <row r="1422" spans="2:2" x14ac:dyDescent="0.35">
      <c r="B1422" s="2"/>
    </row>
    <row r="1423" spans="2:2" x14ac:dyDescent="0.35">
      <c r="B1423" s="2"/>
    </row>
    <row r="1424" spans="2:2" x14ac:dyDescent="0.35">
      <c r="B1424" s="2"/>
    </row>
    <row r="1425" spans="2:2" x14ac:dyDescent="0.35">
      <c r="B1425" s="2"/>
    </row>
    <row r="1426" spans="2:2" x14ac:dyDescent="0.35">
      <c r="B1426" s="2"/>
    </row>
    <row r="1427" spans="2:2" x14ac:dyDescent="0.35">
      <c r="B1427" s="2"/>
    </row>
    <row r="1428" spans="2:2" x14ac:dyDescent="0.35">
      <c r="B1428" s="2"/>
    </row>
    <row r="1429" spans="2:2" x14ac:dyDescent="0.35">
      <c r="B1429" s="2"/>
    </row>
    <row r="1430" spans="2:2" x14ac:dyDescent="0.35">
      <c r="B1430" s="2"/>
    </row>
    <row r="1431" spans="2:2" x14ac:dyDescent="0.35">
      <c r="B1431" s="2"/>
    </row>
    <row r="1432" spans="2:2" x14ac:dyDescent="0.35">
      <c r="B1432" s="2"/>
    </row>
    <row r="1433" spans="2:2" x14ac:dyDescent="0.35">
      <c r="B1433" s="2"/>
    </row>
    <row r="1434" spans="2:2" x14ac:dyDescent="0.35">
      <c r="B1434" s="2"/>
    </row>
    <row r="1435" spans="2:2" x14ac:dyDescent="0.35">
      <c r="B1435" s="2"/>
    </row>
    <row r="1436" spans="2:2" x14ac:dyDescent="0.35">
      <c r="B1436" s="2"/>
    </row>
    <row r="1437" spans="2:2" x14ac:dyDescent="0.35">
      <c r="B1437" s="2"/>
    </row>
    <row r="1438" spans="2:2" x14ac:dyDescent="0.35">
      <c r="B1438" s="2"/>
    </row>
    <row r="1439" spans="2:2" x14ac:dyDescent="0.35">
      <c r="B1439" s="2"/>
    </row>
    <row r="1440" spans="2:2" x14ac:dyDescent="0.35">
      <c r="B1440" s="2"/>
    </row>
    <row r="1441" spans="2:2" x14ac:dyDescent="0.35">
      <c r="B1441" s="2"/>
    </row>
    <row r="1442" spans="2:2" x14ac:dyDescent="0.35">
      <c r="B1442" s="2"/>
    </row>
    <row r="1443" spans="2:2" x14ac:dyDescent="0.35">
      <c r="B1443" s="2"/>
    </row>
    <row r="1444" spans="2:2" x14ac:dyDescent="0.35">
      <c r="B1444" s="2"/>
    </row>
    <row r="1445" spans="2:2" x14ac:dyDescent="0.35">
      <c r="B1445" s="2"/>
    </row>
    <row r="1446" spans="2:2" x14ac:dyDescent="0.35">
      <c r="B1446" s="2"/>
    </row>
    <row r="1447" spans="2:2" x14ac:dyDescent="0.35">
      <c r="B1447" s="2"/>
    </row>
    <row r="1448" spans="2:2" x14ac:dyDescent="0.35">
      <c r="B1448" s="2"/>
    </row>
    <row r="1449" spans="2:2" x14ac:dyDescent="0.35">
      <c r="B1449" s="2"/>
    </row>
    <row r="1450" spans="2:2" x14ac:dyDescent="0.35">
      <c r="B1450" s="2"/>
    </row>
    <row r="1451" spans="2:2" x14ac:dyDescent="0.35">
      <c r="B1451" s="2"/>
    </row>
    <row r="1452" spans="2:2" x14ac:dyDescent="0.35">
      <c r="B1452" s="2"/>
    </row>
    <row r="1453" spans="2:2" x14ac:dyDescent="0.35">
      <c r="B1453" s="2"/>
    </row>
    <row r="1454" spans="2:2" x14ac:dyDescent="0.35">
      <c r="B1454" s="2"/>
    </row>
    <row r="1455" spans="2:2" x14ac:dyDescent="0.35">
      <c r="B1455" s="2"/>
    </row>
    <row r="1456" spans="2:2" x14ac:dyDescent="0.35">
      <c r="B1456" s="2"/>
    </row>
    <row r="1457" spans="2:2" x14ac:dyDescent="0.35">
      <c r="B1457" s="2"/>
    </row>
    <row r="1458" spans="2:2" x14ac:dyDescent="0.35">
      <c r="B1458" s="2"/>
    </row>
    <row r="1459" spans="2:2" x14ac:dyDescent="0.35">
      <c r="B1459" s="2"/>
    </row>
    <row r="1460" spans="2:2" x14ac:dyDescent="0.35">
      <c r="B1460" s="2"/>
    </row>
    <row r="1461" spans="2:2" x14ac:dyDescent="0.35">
      <c r="B1461" s="2"/>
    </row>
    <row r="1462" spans="2:2" x14ac:dyDescent="0.35">
      <c r="B1462" s="2"/>
    </row>
    <row r="1463" spans="2:2" x14ac:dyDescent="0.35">
      <c r="B1463" s="2"/>
    </row>
    <row r="1464" spans="2:2" x14ac:dyDescent="0.35">
      <c r="B1464" s="2"/>
    </row>
    <row r="1465" spans="2:2" x14ac:dyDescent="0.35">
      <c r="B1465" s="2"/>
    </row>
    <row r="1466" spans="2:2" x14ac:dyDescent="0.35">
      <c r="B1466" s="2"/>
    </row>
    <row r="1467" spans="2:2" x14ac:dyDescent="0.35">
      <c r="B1467" s="2"/>
    </row>
    <row r="1468" spans="2:2" x14ac:dyDescent="0.35">
      <c r="B1468" s="2"/>
    </row>
    <row r="1469" spans="2:2" x14ac:dyDescent="0.35">
      <c r="B1469" s="2"/>
    </row>
    <row r="1470" spans="2:2" x14ac:dyDescent="0.35">
      <c r="B1470" s="2"/>
    </row>
    <row r="1471" spans="2:2" x14ac:dyDescent="0.35">
      <c r="B1471" s="2"/>
    </row>
    <row r="1472" spans="2:2" x14ac:dyDescent="0.35">
      <c r="B1472" s="2"/>
    </row>
    <row r="1473" spans="2:2" x14ac:dyDescent="0.35">
      <c r="B1473" s="2"/>
    </row>
    <row r="1474" spans="2:2" x14ac:dyDescent="0.35">
      <c r="B1474" s="2"/>
    </row>
    <row r="1475" spans="2:2" x14ac:dyDescent="0.35">
      <c r="B1475" s="2"/>
    </row>
    <row r="1476" spans="2:2" x14ac:dyDescent="0.35">
      <c r="B1476" s="2"/>
    </row>
    <row r="1477" spans="2:2" x14ac:dyDescent="0.35">
      <c r="B1477" s="2"/>
    </row>
    <row r="1478" spans="2:2" x14ac:dyDescent="0.35">
      <c r="B1478" s="2"/>
    </row>
    <row r="1479" spans="2:2" x14ac:dyDescent="0.35">
      <c r="B1479" s="2"/>
    </row>
    <row r="1480" spans="2:2" x14ac:dyDescent="0.35">
      <c r="B1480" s="2"/>
    </row>
    <row r="1481" spans="2:2" x14ac:dyDescent="0.35">
      <c r="B1481" s="2"/>
    </row>
    <row r="1482" spans="2:2" x14ac:dyDescent="0.35">
      <c r="B1482" s="2"/>
    </row>
    <row r="1483" spans="2:2" x14ac:dyDescent="0.35">
      <c r="B1483" s="2"/>
    </row>
    <row r="1484" spans="2:2" x14ac:dyDescent="0.35">
      <c r="B1484" s="2"/>
    </row>
    <row r="1485" spans="2:2" x14ac:dyDescent="0.35">
      <c r="B1485" s="2"/>
    </row>
    <row r="1486" spans="2:2" x14ac:dyDescent="0.35">
      <c r="B1486" s="2"/>
    </row>
    <row r="1487" spans="2:2" x14ac:dyDescent="0.35">
      <c r="B1487" s="2"/>
    </row>
    <row r="1488" spans="2:2" x14ac:dyDescent="0.35">
      <c r="B1488" s="2"/>
    </row>
    <row r="1489" spans="2:2" x14ac:dyDescent="0.35">
      <c r="B1489" s="2"/>
    </row>
    <row r="1490" spans="2:2" x14ac:dyDescent="0.35">
      <c r="B1490" s="2"/>
    </row>
    <row r="1491" spans="2:2" x14ac:dyDescent="0.35">
      <c r="B1491" s="2"/>
    </row>
    <row r="1492" spans="2:2" x14ac:dyDescent="0.35">
      <c r="B1492" s="2"/>
    </row>
    <row r="1493" spans="2:2" x14ac:dyDescent="0.35">
      <c r="B1493" s="2"/>
    </row>
    <row r="1494" spans="2:2" x14ac:dyDescent="0.35">
      <c r="B1494" s="2"/>
    </row>
    <row r="1495" spans="2:2" x14ac:dyDescent="0.35">
      <c r="B1495" s="2"/>
    </row>
    <row r="1496" spans="2:2" x14ac:dyDescent="0.35">
      <c r="B1496" s="2"/>
    </row>
    <row r="1497" spans="2:2" x14ac:dyDescent="0.35">
      <c r="B1497" s="2"/>
    </row>
    <row r="1498" spans="2:2" x14ac:dyDescent="0.35">
      <c r="B1498" s="2"/>
    </row>
    <row r="1499" spans="2:2" x14ac:dyDescent="0.35">
      <c r="B1499" s="2"/>
    </row>
    <row r="1500" spans="2:2" x14ac:dyDescent="0.35">
      <c r="B1500" s="2"/>
    </row>
    <row r="1501" spans="2:2" x14ac:dyDescent="0.35">
      <c r="B1501" s="2"/>
    </row>
    <row r="1502" spans="2:2" x14ac:dyDescent="0.35">
      <c r="B1502" s="2"/>
    </row>
    <row r="1503" spans="2:2" x14ac:dyDescent="0.35">
      <c r="B1503" s="2"/>
    </row>
    <row r="1504" spans="2:2" x14ac:dyDescent="0.35">
      <c r="B1504" s="2"/>
    </row>
    <row r="1505" spans="2:2" x14ac:dyDescent="0.35">
      <c r="B1505" s="2"/>
    </row>
    <row r="1506" spans="2:2" x14ac:dyDescent="0.35">
      <c r="B1506" s="2"/>
    </row>
    <row r="1507" spans="2:2" x14ac:dyDescent="0.35">
      <c r="B1507" s="2"/>
    </row>
    <row r="1508" spans="2:2" x14ac:dyDescent="0.35">
      <c r="B1508" s="2"/>
    </row>
    <row r="1509" spans="2:2" x14ac:dyDescent="0.35">
      <c r="B1509" s="2"/>
    </row>
    <row r="1510" spans="2:2" x14ac:dyDescent="0.35">
      <c r="B1510" s="2"/>
    </row>
    <row r="1511" spans="2:2" x14ac:dyDescent="0.35">
      <c r="B1511" s="2"/>
    </row>
    <row r="1512" spans="2:2" x14ac:dyDescent="0.35">
      <c r="B1512" s="2"/>
    </row>
    <row r="1513" spans="2:2" x14ac:dyDescent="0.35">
      <c r="B1513" s="2"/>
    </row>
    <row r="1514" spans="2:2" x14ac:dyDescent="0.35">
      <c r="B1514" s="2"/>
    </row>
    <row r="1515" spans="2:2" x14ac:dyDescent="0.35">
      <c r="B1515" s="2"/>
    </row>
    <row r="1516" spans="2:2" x14ac:dyDescent="0.35">
      <c r="B1516" s="2"/>
    </row>
    <row r="1517" spans="2:2" x14ac:dyDescent="0.35">
      <c r="B1517" s="2"/>
    </row>
    <row r="1518" spans="2:2" x14ac:dyDescent="0.35">
      <c r="B1518" s="2"/>
    </row>
    <row r="1519" spans="2:2" x14ac:dyDescent="0.35">
      <c r="B1519" s="2"/>
    </row>
    <row r="1520" spans="2:2" x14ac:dyDescent="0.35">
      <c r="B1520" s="2"/>
    </row>
    <row r="1521" spans="2:2" x14ac:dyDescent="0.35">
      <c r="B1521" s="2"/>
    </row>
    <row r="1522" spans="2:2" x14ac:dyDescent="0.35">
      <c r="B1522" s="2"/>
    </row>
    <row r="1523" spans="2:2" x14ac:dyDescent="0.35">
      <c r="B1523" s="2"/>
    </row>
    <row r="1524" spans="2:2" x14ac:dyDescent="0.35">
      <c r="B1524" s="2"/>
    </row>
    <row r="1525" spans="2:2" x14ac:dyDescent="0.35">
      <c r="B1525" s="2"/>
    </row>
    <row r="1526" spans="2:2" x14ac:dyDescent="0.35">
      <c r="B1526" s="2"/>
    </row>
    <row r="1527" spans="2:2" x14ac:dyDescent="0.35">
      <c r="B1527" s="2"/>
    </row>
    <row r="1528" spans="2:2" x14ac:dyDescent="0.35">
      <c r="B1528" s="2"/>
    </row>
    <row r="1529" spans="2:2" x14ac:dyDescent="0.35">
      <c r="B1529" s="2"/>
    </row>
    <row r="1530" spans="2:2" x14ac:dyDescent="0.35">
      <c r="B1530" s="2"/>
    </row>
    <row r="1531" spans="2:2" x14ac:dyDescent="0.35">
      <c r="B1531" s="2"/>
    </row>
    <row r="1532" spans="2:2" x14ac:dyDescent="0.35">
      <c r="B1532" s="2"/>
    </row>
    <row r="1533" spans="2:2" x14ac:dyDescent="0.35">
      <c r="B1533" s="2"/>
    </row>
    <row r="1534" spans="2:2" x14ac:dyDescent="0.35">
      <c r="B1534" s="2"/>
    </row>
    <row r="1535" spans="2:2" x14ac:dyDescent="0.35">
      <c r="B1535" s="2"/>
    </row>
    <row r="1536" spans="2:2" x14ac:dyDescent="0.35">
      <c r="B1536" s="2"/>
    </row>
    <row r="1537" spans="2:2" x14ac:dyDescent="0.35">
      <c r="B1537" s="2"/>
    </row>
    <row r="1538" spans="2:2" x14ac:dyDescent="0.35">
      <c r="B1538" s="2"/>
    </row>
    <row r="1539" spans="2:2" x14ac:dyDescent="0.35">
      <c r="B1539" s="2"/>
    </row>
    <row r="1540" spans="2:2" x14ac:dyDescent="0.35">
      <c r="B1540" s="2"/>
    </row>
    <row r="1541" spans="2:2" x14ac:dyDescent="0.35">
      <c r="B1541" s="2"/>
    </row>
    <row r="1542" spans="2:2" x14ac:dyDescent="0.35">
      <c r="B1542" s="2"/>
    </row>
    <row r="1543" spans="2:2" x14ac:dyDescent="0.35">
      <c r="B1543" s="2"/>
    </row>
    <row r="1544" spans="2:2" x14ac:dyDescent="0.35">
      <c r="B1544" s="2"/>
    </row>
    <row r="1545" spans="2:2" x14ac:dyDescent="0.35">
      <c r="B1545" s="2"/>
    </row>
    <row r="1546" spans="2:2" x14ac:dyDescent="0.35">
      <c r="B1546" s="2"/>
    </row>
    <row r="1547" spans="2:2" x14ac:dyDescent="0.35">
      <c r="B1547" s="2"/>
    </row>
    <row r="1548" spans="2:2" x14ac:dyDescent="0.35">
      <c r="B1548" s="2"/>
    </row>
    <row r="1549" spans="2:2" x14ac:dyDescent="0.35">
      <c r="B1549" s="2"/>
    </row>
    <row r="1550" spans="2:2" x14ac:dyDescent="0.35">
      <c r="B1550" s="2"/>
    </row>
    <row r="1551" spans="2:2" x14ac:dyDescent="0.35">
      <c r="B1551" s="2"/>
    </row>
    <row r="1552" spans="2:2" x14ac:dyDescent="0.35">
      <c r="B1552" s="2"/>
    </row>
    <row r="1553" spans="2:2" x14ac:dyDescent="0.35">
      <c r="B1553" s="2"/>
    </row>
    <row r="1554" spans="2:2" x14ac:dyDescent="0.35">
      <c r="B1554" s="2"/>
    </row>
    <row r="1555" spans="2:2" x14ac:dyDescent="0.35">
      <c r="B1555" s="2"/>
    </row>
    <row r="1556" spans="2:2" x14ac:dyDescent="0.35">
      <c r="B1556" s="2"/>
    </row>
    <row r="1557" spans="2:2" x14ac:dyDescent="0.35">
      <c r="B1557" s="2"/>
    </row>
    <row r="1558" spans="2:2" x14ac:dyDescent="0.35">
      <c r="B1558" s="2"/>
    </row>
    <row r="1559" spans="2:2" x14ac:dyDescent="0.35">
      <c r="B1559" s="2"/>
    </row>
    <row r="1560" spans="2:2" x14ac:dyDescent="0.35">
      <c r="B1560" s="2"/>
    </row>
    <row r="1561" spans="2:2" x14ac:dyDescent="0.35">
      <c r="B1561" s="2"/>
    </row>
    <row r="1562" spans="2:2" x14ac:dyDescent="0.35">
      <c r="B1562" s="2"/>
    </row>
    <row r="1563" spans="2:2" x14ac:dyDescent="0.35">
      <c r="B1563" s="2"/>
    </row>
    <row r="1564" spans="2:2" x14ac:dyDescent="0.35">
      <c r="B1564" s="2"/>
    </row>
    <row r="1565" spans="2:2" x14ac:dyDescent="0.35">
      <c r="B1565" s="2"/>
    </row>
    <row r="1566" spans="2:2" x14ac:dyDescent="0.35">
      <c r="B1566" s="2"/>
    </row>
    <row r="1567" spans="2:2" x14ac:dyDescent="0.35">
      <c r="B1567" s="2"/>
    </row>
    <row r="1568" spans="2:2" x14ac:dyDescent="0.35">
      <c r="B1568" s="2"/>
    </row>
    <row r="1569" spans="2:2" x14ac:dyDescent="0.35">
      <c r="B1569" s="2"/>
    </row>
    <row r="1570" spans="2:2" x14ac:dyDescent="0.35">
      <c r="B1570" s="2"/>
    </row>
    <row r="1571" spans="2:2" x14ac:dyDescent="0.35">
      <c r="B1571" s="2"/>
    </row>
    <row r="1572" spans="2:2" x14ac:dyDescent="0.35">
      <c r="B1572" s="2"/>
    </row>
    <row r="1573" spans="2:2" x14ac:dyDescent="0.35">
      <c r="B1573" s="2"/>
    </row>
    <row r="1574" spans="2:2" x14ac:dyDescent="0.35">
      <c r="B1574" s="2"/>
    </row>
    <row r="1575" spans="2:2" x14ac:dyDescent="0.35">
      <c r="B1575" s="2"/>
    </row>
    <row r="1576" spans="2:2" x14ac:dyDescent="0.35">
      <c r="B1576" s="2"/>
    </row>
    <row r="1577" spans="2:2" x14ac:dyDescent="0.35">
      <c r="B1577" s="2"/>
    </row>
    <row r="1578" spans="2:2" x14ac:dyDescent="0.35">
      <c r="B1578" s="2"/>
    </row>
    <row r="1579" spans="2:2" x14ac:dyDescent="0.35">
      <c r="B1579" s="2"/>
    </row>
    <row r="1580" spans="2:2" x14ac:dyDescent="0.35">
      <c r="B1580" s="2"/>
    </row>
    <row r="1581" spans="2:2" x14ac:dyDescent="0.35">
      <c r="B1581" s="2"/>
    </row>
    <row r="1582" spans="2:2" x14ac:dyDescent="0.35">
      <c r="B1582" s="2"/>
    </row>
    <row r="1583" spans="2:2" x14ac:dyDescent="0.35">
      <c r="B1583" s="2"/>
    </row>
    <row r="1584" spans="2:2" x14ac:dyDescent="0.35">
      <c r="B1584" s="2"/>
    </row>
    <row r="1585" spans="2:2" x14ac:dyDescent="0.35">
      <c r="B1585" s="2"/>
    </row>
    <row r="1586" spans="2:2" x14ac:dyDescent="0.35">
      <c r="B1586" s="2"/>
    </row>
    <row r="1587" spans="2:2" x14ac:dyDescent="0.35">
      <c r="B1587" s="2"/>
    </row>
    <row r="1588" spans="2:2" x14ac:dyDescent="0.35">
      <c r="B1588" s="2"/>
    </row>
    <row r="1589" spans="2:2" x14ac:dyDescent="0.35">
      <c r="B1589" s="2"/>
    </row>
    <row r="1590" spans="2:2" x14ac:dyDescent="0.35">
      <c r="B1590" s="2"/>
    </row>
    <row r="1591" spans="2:2" x14ac:dyDescent="0.35">
      <c r="B1591" s="2"/>
    </row>
    <row r="1592" spans="2:2" x14ac:dyDescent="0.35">
      <c r="B1592" s="2"/>
    </row>
    <row r="1593" spans="2:2" x14ac:dyDescent="0.35">
      <c r="B1593" s="2"/>
    </row>
    <row r="1594" spans="2:2" x14ac:dyDescent="0.35">
      <c r="B1594" s="2"/>
    </row>
    <row r="1595" spans="2:2" x14ac:dyDescent="0.35">
      <c r="B1595" s="2"/>
    </row>
    <row r="1596" spans="2:2" x14ac:dyDescent="0.35">
      <c r="B1596" s="2"/>
    </row>
    <row r="1597" spans="2:2" x14ac:dyDescent="0.35">
      <c r="B1597" s="2"/>
    </row>
    <row r="1598" spans="2:2" x14ac:dyDescent="0.35">
      <c r="B1598" s="2"/>
    </row>
    <row r="1599" spans="2:2" x14ac:dyDescent="0.35">
      <c r="B1599" s="2"/>
    </row>
    <row r="1600" spans="2:2" x14ac:dyDescent="0.35">
      <c r="B1600" s="2"/>
    </row>
    <row r="1601" spans="2:2" x14ac:dyDescent="0.35">
      <c r="B1601" s="2"/>
    </row>
    <row r="1602" spans="2:2" x14ac:dyDescent="0.35">
      <c r="B1602" s="2"/>
    </row>
    <row r="1603" spans="2:2" x14ac:dyDescent="0.35">
      <c r="B1603" s="2"/>
    </row>
    <row r="1604" spans="2:2" x14ac:dyDescent="0.35">
      <c r="B1604" s="2"/>
    </row>
    <row r="1605" spans="2:2" x14ac:dyDescent="0.35">
      <c r="B1605" s="2"/>
    </row>
    <row r="1606" spans="2:2" x14ac:dyDescent="0.35">
      <c r="B1606" s="2"/>
    </row>
    <row r="1607" spans="2:2" x14ac:dyDescent="0.35">
      <c r="B1607" s="2"/>
    </row>
    <row r="1608" spans="2:2" x14ac:dyDescent="0.35">
      <c r="B1608" s="2"/>
    </row>
    <row r="1609" spans="2:2" x14ac:dyDescent="0.35">
      <c r="B1609" s="2"/>
    </row>
    <row r="1610" spans="2:2" x14ac:dyDescent="0.35">
      <c r="B1610" s="2"/>
    </row>
    <row r="1611" spans="2:2" x14ac:dyDescent="0.35">
      <c r="B1611" s="2"/>
    </row>
    <row r="1612" spans="2:2" x14ac:dyDescent="0.35">
      <c r="B1612" s="2"/>
    </row>
    <row r="1613" spans="2:2" x14ac:dyDescent="0.35">
      <c r="B1613" s="2"/>
    </row>
    <row r="1614" spans="2:2" x14ac:dyDescent="0.35">
      <c r="B1614" s="2"/>
    </row>
    <row r="1615" spans="2:2" x14ac:dyDescent="0.35">
      <c r="B1615" s="2"/>
    </row>
    <row r="1616" spans="2:2" x14ac:dyDescent="0.35">
      <c r="B1616" s="2"/>
    </row>
    <row r="1617" spans="2:2" x14ac:dyDescent="0.35">
      <c r="B1617" s="2"/>
    </row>
    <row r="1618" spans="2:2" x14ac:dyDescent="0.35">
      <c r="B1618" s="2"/>
    </row>
    <row r="1619" spans="2:2" x14ac:dyDescent="0.35">
      <c r="B1619" s="2"/>
    </row>
    <row r="1620" spans="2:2" x14ac:dyDescent="0.35">
      <c r="B1620" s="2"/>
    </row>
    <row r="1621" spans="2:2" x14ac:dyDescent="0.35">
      <c r="B1621" s="2"/>
    </row>
    <row r="1622" spans="2:2" x14ac:dyDescent="0.35">
      <c r="B1622" s="2"/>
    </row>
    <row r="1623" spans="2:2" x14ac:dyDescent="0.35">
      <c r="B1623" s="2"/>
    </row>
    <row r="1624" spans="2:2" x14ac:dyDescent="0.35">
      <c r="B1624" s="2"/>
    </row>
    <row r="1625" spans="2:2" x14ac:dyDescent="0.35">
      <c r="B1625" s="2"/>
    </row>
    <row r="1626" spans="2:2" x14ac:dyDescent="0.35">
      <c r="B1626" s="2"/>
    </row>
    <row r="1627" spans="2:2" x14ac:dyDescent="0.35">
      <c r="B1627" s="2"/>
    </row>
    <row r="1628" spans="2:2" x14ac:dyDescent="0.35">
      <c r="B1628" s="2"/>
    </row>
    <row r="1629" spans="2:2" x14ac:dyDescent="0.35">
      <c r="B1629" s="2"/>
    </row>
    <row r="1630" spans="2:2" x14ac:dyDescent="0.35">
      <c r="B1630" s="2"/>
    </row>
    <row r="1631" spans="2:2" x14ac:dyDescent="0.35">
      <c r="B1631" s="2"/>
    </row>
    <row r="1632" spans="2:2" x14ac:dyDescent="0.35">
      <c r="B1632" s="2"/>
    </row>
    <row r="1633" spans="2:2" x14ac:dyDescent="0.35">
      <c r="B1633" s="2"/>
    </row>
    <row r="1634" spans="2:2" x14ac:dyDescent="0.35">
      <c r="B1634" s="2"/>
    </row>
    <row r="1635" spans="2:2" x14ac:dyDescent="0.35">
      <c r="B1635" s="2"/>
    </row>
    <row r="1636" spans="2:2" x14ac:dyDescent="0.35">
      <c r="B1636" s="2"/>
    </row>
    <row r="1637" spans="2:2" x14ac:dyDescent="0.35">
      <c r="B1637" s="2"/>
    </row>
    <row r="1638" spans="2:2" x14ac:dyDescent="0.35">
      <c r="B1638" s="2"/>
    </row>
    <row r="1639" spans="2:2" x14ac:dyDescent="0.35">
      <c r="B1639" s="2"/>
    </row>
    <row r="1640" spans="2:2" x14ac:dyDescent="0.35">
      <c r="B1640" s="2"/>
    </row>
    <row r="1641" spans="2:2" x14ac:dyDescent="0.35">
      <c r="B1641" s="2"/>
    </row>
    <row r="1642" spans="2:2" x14ac:dyDescent="0.35">
      <c r="B1642" s="2"/>
    </row>
    <row r="1643" spans="2:2" x14ac:dyDescent="0.35">
      <c r="B1643" s="2"/>
    </row>
    <row r="1644" spans="2:2" x14ac:dyDescent="0.35">
      <c r="B1644" s="2"/>
    </row>
    <row r="1645" spans="2:2" x14ac:dyDescent="0.35">
      <c r="B1645" s="2"/>
    </row>
    <row r="1646" spans="2:2" x14ac:dyDescent="0.35">
      <c r="B1646" s="2"/>
    </row>
    <row r="1647" spans="2:2" x14ac:dyDescent="0.35">
      <c r="B1647" s="2"/>
    </row>
    <row r="1648" spans="2:2" x14ac:dyDescent="0.35">
      <c r="B1648" s="2"/>
    </row>
    <row r="1649" spans="2:2" x14ac:dyDescent="0.35">
      <c r="B1649" s="2"/>
    </row>
    <row r="1650" spans="2:2" x14ac:dyDescent="0.35">
      <c r="B1650" s="2"/>
    </row>
    <row r="1651" spans="2:2" x14ac:dyDescent="0.35">
      <c r="B1651" s="2"/>
    </row>
    <row r="1652" spans="2:2" x14ac:dyDescent="0.35">
      <c r="B1652" s="2"/>
    </row>
    <row r="1653" spans="2:2" x14ac:dyDescent="0.35">
      <c r="B1653" s="2"/>
    </row>
    <row r="1654" spans="2:2" x14ac:dyDescent="0.35">
      <c r="B1654" s="2"/>
    </row>
    <row r="1655" spans="2:2" x14ac:dyDescent="0.35">
      <c r="B1655" s="2"/>
    </row>
    <row r="1656" spans="2:2" x14ac:dyDescent="0.35">
      <c r="B1656" s="2"/>
    </row>
    <row r="1657" spans="2:2" x14ac:dyDescent="0.35">
      <c r="B1657" s="2"/>
    </row>
    <row r="1658" spans="2:2" x14ac:dyDescent="0.35">
      <c r="B1658" s="2"/>
    </row>
    <row r="1659" spans="2:2" x14ac:dyDescent="0.35">
      <c r="B1659" s="2"/>
    </row>
    <row r="1660" spans="2:2" x14ac:dyDescent="0.35">
      <c r="B1660" s="2"/>
    </row>
    <row r="1661" spans="2:2" x14ac:dyDescent="0.35">
      <c r="B1661" s="2"/>
    </row>
    <row r="1662" spans="2:2" x14ac:dyDescent="0.35">
      <c r="B1662" s="2"/>
    </row>
    <row r="1663" spans="2:2" x14ac:dyDescent="0.35">
      <c r="B1663" s="2"/>
    </row>
    <row r="1664" spans="2:2" x14ac:dyDescent="0.35">
      <c r="B1664" s="2"/>
    </row>
    <row r="1665" spans="2:2" x14ac:dyDescent="0.35">
      <c r="B1665" s="2"/>
    </row>
    <row r="1666" spans="2:2" x14ac:dyDescent="0.35">
      <c r="B1666" s="2"/>
    </row>
    <row r="1667" spans="2:2" x14ac:dyDescent="0.35">
      <c r="B1667" s="2"/>
    </row>
    <row r="1668" spans="2:2" x14ac:dyDescent="0.35">
      <c r="B1668" s="2"/>
    </row>
    <row r="1669" spans="2:2" x14ac:dyDescent="0.35">
      <c r="B1669" s="2"/>
    </row>
    <row r="1670" spans="2:2" x14ac:dyDescent="0.35">
      <c r="B1670" s="2"/>
    </row>
    <row r="1671" spans="2:2" x14ac:dyDescent="0.35">
      <c r="B1671" s="2"/>
    </row>
    <row r="1672" spans="2:2" x14ac:dyDescent="0.35">
      <c r="B1672" s="2"/>
    </row>
    <row r="1673" spans="2:2" x14ac:dyDescent="0.35">
      <c r="B1673" s="2"/>
    </row>
    <row r="1674" spans="2:2" x14ac:dyDescent="0.35">
      <c r="B1674" s="2"/>
    </row>
    <row r="1675" spans="2:2" x14ac:dyDescent="0.35">
      <c r="B1675" s="2"/>
    </row>
    <row r="1676" spans="2:2" x14ac:dyDescent="0.35">
      <c r="B1676" s="2"/>
    </row>
    <row r="1677" spans="2:2" x14ac:dyDescent="0.35">
      <c r="B1677" s="2"/>
    </row>
    <row r="1678" spans="2:2" x14ac:dyDescent="0.35">
      <c r="B1678" s="2"/>
    </row>
    <row r="1679" spans="2:2" x14ac:dyDescent="0.35">
      <c r="B1679" s="2"/>
    </row>
    <row r="1680" spans="2:2" x14ac:dyDescent="0.35">
      <c r="B1680" s="2"/>
    </row>
    <row r="1681" spans="2:2" x14ac:dyDescent="0.35">
      <c r="B1681" s="2"/>
    </row>
    <row r="1682" spans="2:2" x14ac:dyDescent="0.35">
      <c r="B1682" s="2"/>
    </row>
    <row r="1683" spans="2:2" x14ac:dyDescent="0.35">
      <c r="B1683" s="2"/>
    </row>
    <row r="1684" spans="2:2" x14ac:dyDescent="0.35">
      <c r="B1684" s="2"/>
    </row>
    <row r="1685" spans="2:2" x14ac:dyDescent="0.35">
      <c r="B1685" s="2"/>
    </row>
    <row r="1686" spans="2:2" x14ac:dyDescent="0.35">
      <c r="B1686" s="2"/>
    </row>
    <row r="1687" spans="2:2" x14ac:dyDescent="0.35">
      <c r="B1687" s="2"/>
    </row>
    <row r="1688" spans="2:2" x14ac:dyDescent="0.35">
      <c r="B1688" s="2"/>
    </row>
    <row r="1689" spans="2:2" x14ac:dyDescent="0.35">
      <c r="B1689" s="2"/>
    </row>
    <row r="1690" spans="2:2" x14ac:dyDescent="0.35">
      <c r="B1690" s="2"/>
    </row>
    <row r="1691" spans="2:2" x14ac:dyDescent="0.35">
      <c r="B1691" s="2"/>
    </row>
    <row r="1692" spans="2:2" x14ac:dyDescent="0.35">
      <c r="B1692" s="2"/>
    </row>
    <row r="1693" spans="2:2" x14ac:dyDescent="0.35">
      <c r="B1693" s="2"/>
    </row>
    <row r="1694" spans="2:2" x14ac:dyDescent="0.35">
      <c r="B1694" s="2"/>
    </row>
    <row r="1695" spans="2:2" x14ac:dyDescent="0.35">
      <c r="B1695" s="2"/>
    </row>
    <row r="1696" spans="2:2" x14ac:dyDescent="0.35">
      <c r="B1696" s="2"/>
    </row>
    <row r="1697" spans="2:2" x14ac:dyDescent="0.35">
      <c r="B1697" s="2"/>
    </row>
    <row r="1698" spans="2:2" x14ac:dyDescent="0.35">
      <c r="B1698" s="2"/>
    </row>
    <row r="1699" spans="2:2" x14ac:dyDescent="0.35">
      <c r="B1699" s="2"/>
    </row>
    <row r="1700" spans="2:2" x14ac:dyDescent="0.35">
      <c r="B1700" s="2"/>
    </row>
    <row r="1701" spans="2:2" x14ac:dyDescent="0.35">
      <c r="B1701" s="2"/>
    </row>
    <row r="1702" spans="2:2" x14ac:dyDescent="0.35">
      <c r="B1702" s="2"/>
    </row>
    <row r="1703" spans="2:2" x14ac:dyDescent="0.35">
      <c r="B1703" s="2"/>
    </row>
    <row r="1704" spans="2:2" x14ac:dyDescent="0.35">
      <c r="B1704" s="2"/>
    </row>
    <row r="1705" spans="2:2" x14ac:dyDescent="0.35">
      <c r="B1705" s="2"/>
    </row>
    <row r="1706" spans="2:2" x14ac:dyDescent="0.35">
      <c r="B1706" s="2"/>
    </row>
    <row r="1707" spans="2:2" x14ac:dyDescent="0.35">
      <c r="B1707" s="2"/>
    </row>
    <row r="1708" spans="2:2" x14ac:dyDescent="0.35">
      <c r="B1708" s="2"/>
    </row>
    <row r="1709" spans="2:2" x14ac:dyDescent="0.35">
      <c r="B1709" s="2"/>
    </row>
    <row r="1710" spans="2:2" x14ac:dyDescent="0.35">
      <c r="B1710" s="2"/>
    </row>
    <row r="1711" spans="2:2" x14ac:dyDescent="0.35">
      <c r="B1711" s="2"/>
    </row>
    <row r="1712" spans="2:2" x14ac:dyDescent="0.35">
      <c r="B1712" s="2"/>
    </row>
    <row r="1713" spans="2:2" x14ac:dyDescent="0.35">
      <c r="B1713" s="2"/>
    </row>
    <row r="1714" spans="2:2" x14ac:dyDescent="0.35">
      <c r="B1714" s="2"/>
    </row>
    <row r="1715" spans="2:2" x14ac:dyDescent="0.35">
      <c r="B1715" s="2"/>
    </row>
    <row r="1716" spans="2:2" x14ac:dyDescent="0.35">
      <c r="B1716" s="2"/>
    </row>
    <row r="1717" spans="2:2" x14ac:dyDescent="0.35">
      <c r="B1717" s="2"/>
    </row>
    <row r="1718" spans="2:2" x14ac:dyDescent="0.35">
      <c r="B1718" s="2"/>
    </row>
    <row r="1719" spans="2:2" x14ac:dyDescent="0.35">
      <c r="B1719" s="2"/>
    </row>
    <row r="1720" spans="2:2" x14ac:dyDescent="0.35">
      <c r="B1720" s="2"/>
    </row>
    <row r="1721" spans="2:2" x14ac:dyDescent="0.35">
      <c r="B1721" s="2"/>
    </row>
    <row r="1722" spans="2:2" x14ac:dyDescent="0.35">
      <c r="B1722" s="2"/>
    </row>
    <row r="1723" spans="2:2" x14ac:dyDescent="0.35">
      <c r="B1723" s="2"/>
    </row>
    <row r="1724" spans="2:2" x14ac:dyDescent="0.35">
      <c r="B1724" s="2"/>
    </row>
    <row r="1725" spans="2:2" x14ac:dyDescent="0.35">
      <c r="B1725" s="2"/>
    </row>
    <row r="1726" spans="2:2" x14ac:dyDescent="0.35">
      <c r="B1726" s="2"/>
    </row>
    <row r="1727" spans="2:2" x14ac:dyDescent="0.35">
      <c r="B1727" s="2"/>
    </row>
    <row r="1728" spans="2:2" x14ac:dyDescent="0.35">
      <c r="B1728" s="2"/>
    </row>
    <row r="1729" spans="2:2" x14ac:dyDescent="0.35">
      <c r="B1729" s="2"/>
    </row>
    <row r="1730" spans="2:2" x14ac:dyDescent="0.35">
      <c r="B1730" s="2"/>
    </row>
    <row r="1731" spans="2:2" x14ac:dyDescent="0.35">
      <c r="B1731" s="2"/>
    </row>
    <row r="1732" spans="2:2" x14ac:dyDescent="0.35">
      <c r="B1732" s="2"/>
    </row>
    <row r="1733" spans="2:2" x14ac:dyDescent="0.35">
      <c r="B1733" s="2"/>
    </row>
    <row r="1734" spans="2:2" x14ac:dyDescent="0.35">
      <c r="B1734" s="2"/>
    </row>
    <row r="1735" spans="2:2" x14ac:dyDescent="0.35">
      <c r="B1735" s="2"/>
    </row>
    <row r="1736" spans="2:2" x14ac:dyDescent="0.35">
      <c r="B1736" s="2"/>
    </row>
    <row r="1737" spans="2:2" x14ac:dyDescent="0.35">
      <c r="B1737" s="2"/>
    </row>
    <row r="1738" spans="2:2" x14ac:dyDescent="0.35">
      <c r="B1738" s="2"/>
    </row>
    <row r="1739" spans="2:2" x14ac:dyDescent="0.35">
      <c r="B1739" s="2"/>
    </row>
    <row r="1740" spans="2:2" x14ac:dyDescent="0.35">
      <c r="B1740" s="2"/>
    </row>
    <row r="1741" spans="2:2" x14ac:dyDescent="0.35">
      <c r="B1741" s="2"/>
    </row>
    <row r="1742" spans="2:2" x14ac:dyDescent="0.35">
      <c r="B1742" s="2"/>
    </row>
    <row r="1743" spans="2:2" x14ac:dyDescent="0.35">
      <c r="B1743" s="2"/>
    </row>
    <row r="1744" spans="2:2" x14ac:dyDescent="0.35">
      <c r="B1744" s="2"/>
    </row>
    <row r="1745" spans="2:2" x14ac:dyDescent="0.35">
      <c r="B1745" s="2"/>
    </row>
    <row r="1746" spans="2:2" x14ac:dyDescent="0.35">
      <c r="B1746" s="2"/>
    </row>
    <row r="1747" spans="2:2" x14ac:dyDescent="0.35">
      <c r="B1747" s="2"/>
    </row>
    <row r="1748" spans="2:2" x14ac:dyDescent="0.35">
      <c r="B1748" s="2"/>
    </row>
    <row r="1749" spans="2:2" x14ac:dyDescent="0.35">
      <c r="B1749" s="2"/>
    </row>
    <row r="1750" spans="2:2" x14ac:dyDescent="0.35">
      <c r="B1750" s="2"/>
    </row>
    <row r="1751" spans="2:2" x14ac:dyDescent="0.35">
      <c r="B1751" s="2"/>
    </row>
    <row r="1752" spans="2:2" x14ac:dyDescent="0.35">
      <c r="B1752" s="2"/>
    </row>
    <row r="1753" spans="2:2" x14ac:dyDescent="0.35">
      <c r="B1753" s="2"/>
    </row>
    <row r="1754" spans="2:2" x14ac:dyDescent="0.35">
      <c r="B1754" s="2"/>
    </row>
    <row r="1755" spans="2:2" x14ac:dyDescent="0.35">
      <c r="B1755" s="2"/>
    </row>
    <row r="1756" spans="2:2" x14ac:dyDescent="0.35">
      <c r="B1756" s="2"/>
    </row>
    <row r="1757" spans="2:2" x14ac:dyDescent="0.35">
      <c r="B1757" s="2"/>
    </row>
    <row r="1758" spans="2:2" x14ac:dyDescent="0.35">
      <c r="B1758" s="2"/>
    </row>
    <row r="1759" spans="2:2" x14ac:dyDescent="0.35">
      <c r="B1759" s="2"/>
    </row>
    <row r="1760" spans="2:2" x14ac:dyDescent="0.35">
      <c r="B1760" s="2"/>
    </row>
    <row r="1761" spans="2:2" x14ac:dyDescent="0.35">
      <c r="B1761" s="2"/>
    </row>
    <row r="1762" spans="2:2" x14ac:dyDescent="0.35">
      <c r="B1762" s="2"/>
    </row>
    <row r="1763" spans="2:2" x14ac:dyDescent="0.35">
      <c r="B1763" s="2"/>
    </row>
    <row r="1764" spans="2:2" x14ac:dyDescent="0.35">
      <c r="B1764" s="2"/>
    </row>
    <row r="1765" spans="2:2" x14ac:dyDescent="0.35">
      <c r="B1765" s="2"/>
    </row>
    <row r="1766" spans="2:2" x14ac:dyDescent="0.35">
      <c r="B1766" s="2"/>
    </row>
    <row r="1767" spans="2:2" x14ac:dyDescent="0.35">
      <c r="B1767" s="2"/>
    </row>
    <row r="1768" spans="2:2" x14ac:dyDescent="0.35">
      <c r="B1768" s="2"/>
    </row>
    <row r="1769" spans="2:2" x14ac:dyDescent="0.35">
      <c r="B1769" s="2"/>
    </row>
    <row r="1770" spans="2:2" x14ac:dyDescent="0.35">
      <c r="B1770" s="2"/>
    </row>
    <row r="1771" spans="2:2" x14ac:dyDescent="0.35">
      <c r="B1771" s="2"/>
    </row>
    <row r="1772" spans="2:2" x14ac:dyDescent="0.35">
      <c r="B1772" s="2"/>
    </row>
    <row r="1773" spans="2:2" x14ac:dyDescent="0.35">
      <c r="B1773" s="2"/>
    </row>
    <row r="1774" spans="2:2" x14ac:dyDescent="0.35">
      <c r="B1774" s="2"/>
    </row>
    <row r="1775" spans="2:2" x14ac:dyDescent="0.35">
      <c r="B1775" s="2"/>
    </row>
    <row r="1776" spans="2:2" x14ac:dyDescent="0.35">
      <c r="B1776" s="2"/>
    </row>
    <row r="1777" spans="2:2" x14ac:dyDescent="0.35">
      <c r="B1777" s="2"/>
    </row>
    <row r="1778" spans="2:2" x14ac:dyDescent="0.35">
      <c r="B1778" s="2"/>
    </row>
    <row r="1779" spans="2:2" x14ac:dyDescent="0.35">
      <c r="B1779" s="2"/>
    </row>
    <row r="1780" spans="2:2" x14ac:dyDescent="0.35">
      <c r="B1780" s="2"/>
    </row>
    <row r="1781" spans="2:2" x14ac:dyDescent="0.35">
      <c r="B1781" s="2"/>
    </row>
    <row r="1782" spans="2:2" x14ac:dyDescent="0.35">
      <c r="B1782" s="2"/>
    </row>
    <row r="1783" spans="2:2" x14ac:dyDescent="0.35">
      <c r="B1783" s="2"/>
    </row>
    <row r="1784" spans="2:2" x14ac:dyDescent="0.35">
      <c r="B1784" s="2"/>
    </row>
    <row r="1785" spans="2:2" x14ac:dyDescent="0.35">
      <c r="B1785" s="2"/>
    </row>
    <row r="1786" spans="2:2" x14ac:dyDescent="0.35">
      <c r="B1786" s="2"/>
    </row>
    <row r="1787" spans="2:2" x14ac:dyDescent="0.35">
      <c r="B1787" s="2"/>
    </row>
    <row r="1788" spans="2:2" x14ac:dyDescent="0.35">
      <c r="B1788" s="2"/>
    </row>
    <row r="1789" spans="2:2" x14ac:dyDescent="0.35">
      <c r="B1789" s="2"/>
    </row>
    <row r="1790" spans="2:2" x14ac:dyDescent="0.35">
      <c r="B1790" s="2"/>
    </row>
    <row r="1791" spans="2:2" x14ac:dyDescent="0.35">
      <c r="B1791" s="2"/>
    </row>
    <row r="1792" spans="2:2" x14ac:dyDescent="0.35">
      <c r="B1792" s="2"/>
    </row>
    <row r="1793" spans="2:2" x14ac:dyDescent="0.35">
      <c r="B1793" s="2"/>
    </row>
    <row r="1794" spans="2:2" x14ac:dyDescent="0.35">
      <c r="B1794" s="2"/>
    </row>
    <row r="1795" spans="2:2" x14ac:dyDescent="0.35">
      <c r="B1795" s="2"/>
    </row>
    <row r="1796" spans="2:2" x14ac:dyDescent="0.35">
      <c r="B1796" s="2"/>
    </row>
    <row r="1797" spans="2:2" x14ac:dyDescent="0.35">
      <c r="B1797" s="2"/>
    </row>
    <row r="1798" spans="2:2" x14ac:dyDescent="0.35">
      <c r="B1798" s="2"/>
    </row>
    <row r="1799" spans="2:2" x14ac:dyDescent="0.35">
      <c r="B1799" s="2"/>
    </row>
    <row r="1800" spans="2:2" x14ac:dyDescent="0.35">
      <c r="B1800" s="2"/>
    </row>
    <row r="1801" spans="2:2" x14ac:dyDescent="0.35">
      <c r="B1801" s="2"/>
    </row>
    <row r="1802" spans="2:2" x14ac:dyDescent="0.35">
      <c r="B1802" s="2"/>
    </row>
    <row r="1803" spans="2:2" x14ac:dyDescent="0.35">
      <c r="B1803" s="2"/>
    </row>
    <row r="1804" spans="2:2" x14ac:dyDescent="0.35">
      <c r="B1804" s="2"/>
    </row>
    <row r="1805" spans="2:2" x14ac:dyDescent="0.35">
      <c r="B1805" s="2"/>
    </row>
    <row r="1806" spans="2:2" x14ac:dyDescent="0.35">
      <c r="B1806" s="2"/>
    </row>
    <row r="1807" spans="2:2" x14ac:dyDescent="0.35">
      <c r="B1807" s="2"/>
    </row>
    <row r="1808" spans="2:2" x14ac:dyDescent="0.35">
      <c r="B1808" s="2"/>
    </row>
    <row r="1809" spans="2:2" x14ac:dyDescent="0.35">
      <c r="B1809" s="2"/>
    </row>
    <row r="1810" spans="2:2" x14ac:dyDescent="0.35">
      <c r="B1810" s="2"/>
    </row>
    <row r="1811" spans="2:2" x14ac:dyDescent="0.35">
      <c r="B1811" s="2"/>
    </row>
    <row r="1812" spans="2:2" x14ac:dyDescent="0.35">
      <c r="B1812" s="2"/>
    </row>
    <row r="1813" spans="2:2" x14ac:dyDescent="0.35">
      <c r="B1813" s="2"/>
    </row>
    <row r="1814" spans="2:2" x14ac:dyDescent="0.35">
      <c r="B1814" s="2"/>
    </row>
    <row r="1815" spans="2:2" x14ac:dyDescent="0.35">
      <c r="B1815" s="2"/>
    </row>
    <row r="1816" spans="2:2" x14ac:dyDescent="0.35">
      <c r="B1816" s="2"/>
    </row>
    <row r="1817" spans="2:2" x14ac:dyDescent="0.35">
      <c r="B1817" s="2"/>
    </row>
    <row r="1818" spans="2:2" x14ac:dyDescent="0.35">
      <c r="B1818" s="2"/>
    </row>
    <row r="1819" spans="2:2" x14ac:dyDescent="0.35">
      <c r="B1819" s="2"/>
    </row>
    <row r="1820" spans="2:2" x14ac:dyDescent="0.35">
      <c r="B1820" s="2"/>
    </row>
    <row r="1821" spans="2:2" x14ac:dyDescent="0.35">
      <c r="B1821" s="2"/>
    </row>
    <row r="1822" spans="2:2" x14ac:dyDescent="0.35">
      <c r="B1822" s="2"/>
    </row>
    <row r="1823" spans="2:2" x14ac:dyDescent="0.35">
      <c r="B1823" s="2"/>
    </row>
    <row r="1824" spans="2:2" x14ac:dyDescent="0.35">
      <c r="B1824" s="2"/>
    </row>
    <row r="1825" spans="2:2" x14ac:dyDescent="0.35">
      <c r="B1825" s="2"/>
    </row>
    <row r="1826" spans="2:2" x14ac:dyDescent="0.35">
      <c r="B1826" s="2"/>
    </row>
    <row r="1827" spans="2:2" x14ac:dyDescent="0.35">
      <c r="B1827" s="2"/>
    </row>
    <row r="1828" spans="2:2" x14ac:dyDescent="0.35">
      <c r="B1828" s="2"/>
    </row>
    <row r="1829" spans="2:2" x14ac:dyDescent="0.35">
      <c r="B1829" s="2"/>
    </row>
    <row r="1830" spans="2:2" x14ac:dyDescent="0.35">
      <c r="B1830" s="2"/>
    </row>
    <row r="1831" spans="2:2" x14ac:dyDescent="0.35">
      <c r="B1831" s="2"/>
    </row>
    <row r="1832" spans="2:2" x14ac:dyDescent="0.35">
      <c r="B1832" s="2"/>
    </row>
    <row r="1833" spans="2:2" x14ac:dyDescent="0.35">
      <c r="B1833" s="2"/>
    </row>
    <row r="1834" spans="2:2" x14ac:dyDescent="0.35">
      <c r="B1834" s="2"/>
    </row>
    <row r="1835" spans="2:2" x14ac:dyDescent="0.35">
      <c r="B1835" s="2"/>
    </row>
    <row r="1836" spans="2:2" x14ac:dyDescent="0.35">
      <c r="B1836" s="2"/>
    </row>
    <row r="1837" spans="2:2" x14ac:dyDescent="0.35">
      <c r="B1837" s="2"/>
    </row>
    <row r="1838" spans="2:2" x14ac:dyDescent="0.35">
      <c r="B1838" s="2"/>
    </row>
    <row r="1839" spans="2:2" x14ac:dyDescent="0.35">
      <c r="B1839" s="2"/>
    </row>
    <row r="1840" spans="2:2" x14ac:dyDescent="0.35">
      <c r="B1840" s="2"/>
    </row>
    <row r="1841" spans="2:2" x14ac:dyDescent="0.35">
      <c r="B1841" s="2"/>
    </row>
    <row r="1842" spans="2:2" x14ac:dyDescent="0.35">
      <c r="B1842" s="2"/>
    </row>
    <row r="1843" spans="2:2" x14ac:dyDescent="0.35">
      <c r="B1843" s="2"/>
    </row>
    <row r="1844" spans="2:2" x14ac:dyDescent="0.35">
      <c r="B1844" s="2"/>
    </row>
    <row r="1845" spans="2:2" x14ac:dyDescent="0.35">
      <c r="B1845" s="2"/>
    </row>
    <row r="1846" spans="2:2" x14ac:dyDescent="0.35">
      <c r="B1846" s="2"/>
    </row>
    <row r="1847" spans="2:2" x14ac:dyDescent="0.35">
      <c r="B1847" s="2"/>
    </row>
    <row r="1848" spans="2:2" x14ac:dyDescent="0.35">
      <c r="B1848" s="2"/>
    </row>
    <row r="1849" spans="2:2" x14ac:dyDescent="0.35">
      <c r="B1849" s="2"/>
    </row>
    <row r="1850" spans="2:2" x14ac:dyDescent="0.35">
      <c r="B1850" s="2"/>
    </row>
    <row r="1851" spans="2:2" x14ac:dyDescent="0.35">
      <c r="B1851" s="2"/>
    </row>
    <row r="1852" spans="2:2" x14ac:dyDescent="0.35">
      <c r="B1852" s="2"/>
    </row>
    <row r="1853" spans="2:2" x14ac:dyDescent="0.35">
      <c r="B1853" s="2"/>
    </row>
    <row r="1854" spans="2:2" x14ac:dyDescent="0.35">
      <c r="B1854" s="2"/>
    </row>
    <row r="1855" spans="2:2" x14ac:dyDescent="0.35">
      <c r="B1855" s="2"/>
    </row>
    <row r="1856" spans="2:2" x14ac:dyDescent="0.35">
      <c r="B1856" s="2"/>
    </row>
    <row r="1857" spans="2:2" x14ac:dyDescent="0.35">
      <c r="B1857" s="2"/>
    </row>
    <row r="1858" spans="2:2" x14ac:dyDescent="0.35">
      <c r="B1858" s="2"/>
    </row>
    <row r="1859" spans="2:2" x14ac:dyDescent="0.35">
      <c r="B1859" s="2"/>
    </row>
    <row r="1860" spans="2:2" x14ac:dyDescent="0.35">
      <c r="B1860" s="2"/>
    </row>
    <row r="1861" spans="2:2" x14ac:dyDescent="0.35">
      <c r="B1861" s="2"/>
    </row>
    <row r="1862" spans="2:2" x14ac:dyDescent="0.35">
      <c r="B1862" s="2"/>
    </row>
    <row r="1863" spans="2:2" x14ac:dyDescent="0.35">
      <c r="B1863" s="2"/>
    </row>
    <row r="1864" spans="2:2" x14ac:dyDescent="0.35">
      <c r="B1864" s="2"/>
    </row>
    <row r="1865" spans="2:2" x14ac:dyDescent="0.35">
      <c r="B1865" s="2"/>
    </row>
    <row r="1866" spans="2:2" x14ac:dyDescent="0.35">
      <c r="B1866" s="2"/>
    </row>
    <row r="1867" spans="2:2" x14ac:dyDescent="0.35">
      <c r="B1867" s="2"/>
    </row>
    <row r="1868" spans="2:2" x14ac:dyDescent="0.35">
      <c r="B1868" s="2"/>
    </row>
    <row r="1869" spans="2:2" x14ac:dyDescent="0.35">
      <c r="B1869" s="2"/>
    </row>
    <row r="1870" spans="2:2" x14ac:dyDescent="0.35">
      <c r="B1870" s="2"/>
    </row>
    <row r="1871" spans="2:2" x14ac:dyDescent="0.35">
      <c r="B1871" s="2"/>
    </row>
    <row r="1872" spans="2:2" x14ac:dyDescent="0.35">
      <c r="B1872" s="2"/>
    </row>
    <row r="1873" spans="2:2" x14ac:dyDescent="0.35">
      <c r="B1873" s="2"/>
    </row>
    <row r="1874" spans="2:2" x14ac:dyDescent="0.35">
      <c r="B1874" s="2"/>
    </row>
    <row r="1875" spans="2:2" x14ac:dyDescent="0.35">
      <c r="B1875" s="2"/>
    </row>
    <row r="1876" spans="2:2" x14ac:dyDescent="0.35">
      <c r="B1876" s="2"/>
    </row>
    <row r="1877" spans="2:2" x14ac:dyDescent="0.35">
      <c r="B1877" s="2"/>
    </row>
    <row r="1878" spans="2:2" x14ac:dyDescent="0.35">
      <c r="B1878" s="2"/>
    </row>
    <row r="1879" spans="2:2" x14ac:dyDescent="0.35">
      <c r="B1879" s="2"/>
    </row>
    <row r="1880" spans="2:2" x14ac:dyDescent="0.35">
      <c r="B1880" s="2"/>
    </row>
    <row r="1881" spans="2:2" x14ac:dyDescent="0.35">
      <c r="B1881" s="2"/>
    </row>
    <row r="1882" spans="2:2" x14ac:dyDescent="0.35">
      <c r="B1882" s="2"/>
    </row>
    <row r="1883" spans="2:2" x14ac:dyDescent="0.35">
      <c r="B1883" s="2"/>
    </row>
    <row r="1884" spans="2:2" x14ac:dyDescent="0.35">
      <c r="B1884" s="2"/>
    </row>
    <row r="1885" spans="2:2" x14ac:dyDescent="0.35">
      <c r="B1885" s="2"/>
    </row>
    <row r="1886" spans="2:2" x14ac:dyDescent="0.35">
      <c r="B1886" s="2"/>
    </row>
    <row r="1887" spans="2:2" x14ac:dyDescent="0.35">
      <c r="B1887" s="2"/>
    </row>
    <row r="1888" spans="2:2" x14ac:dyDescent="0.35">
      <c r="B1888" s="2"/>
    </row>
    <row r="1889" spans="2:2" x14ac:dyDescent="0.35">
      <c r="B1889" s="2"/>
    </row>
    <row r="1890" spans="2:2" x14ac:dyDescent="0.35">
      <c r="B1890" s="2"/>
    </row>
    <row r="1891" spans="2:2" x14ac:dyDescent="0.35">
      <c r="B1891" s="2"/>
    </row>
    <row r="1892" spans="2:2" x14ac:dyDescent="0.35">
      <c r="B1892" s="2"/>
    </row>
    <row r="1893" spans="2:2" x14ac:dyDescent="0.35">
      <c r="B1893" s="2"/>
    </row>
    <row r="1894" spans="2:2" x14ac:dyDescent="0.35">
      <c r="B1894" s="2"/>
    </row>
    <row r="1895" spans="2:2" x14ac:dyDescent="0.35">
      <c r="B1895" s="2"/>
    </row>
    <row r="1896" spans="2:2" x14ac:dyDescent="0.35">
      <c r="B1896" s="2"/>
    </row>
    <row r="1897" spans="2:2" x14ac:dyDescent="0.35">
      <c r="B1897" s="2"/>
    </row>
    <row r="1898" spans="2:2" x14ac:dyDescent="0.35">
      <c r="B1898" s="2"/>
    </row>
    <row r="1899" spans="2:2" x14ac:dyDescent="0.35">
      <c r="B1899" s="2"/>
    </row>
    <row r="1900" spans="2:2" x14ac:dyDescent="0.35">
      <c r="B1900" s="2"/>
    </row>
    <row r="1901" spans="2:2" x14ac:dyDescent="0.35">
      <c r="B1901" s="2"/>
    </row>
    <row r="1902" spans="2:2" x14ac:dyDescent="0.35">
      <c r="B1902" s="2"/>
    </row>
    <row r="1903" spans="2:2" x14ac:dyDescent="0.35">
      <c r="B1903" s="2"/>
    </row>
    <row r="1904" spans="2:2" x14ac:dyDescent="0.35">
      <c r="B1904" s="2"/>
    </row>
    <row r="1905" spans="2:2" x14ac:dyDescent="0.35">
      <c r="B1905" s="2"/>
    </row>
    <row r="1906" spans="2:2" x14ac:dyDescent="0.35">
      <c r="B1906" s="2"/>
    </row>
    <row r="1907" spans="2:2" x14ac:dyDescent="0.35">
      <c r="B1907" s="2"/>
    </row>
    <row r="1908" spans="2:2" x14ac:dyDescent="0.35">
      <c r="B1908" s="2"/>
    </row>
    <row r="1909" spans="2:2" x14ac:dyDescent="0.35">
      <c r="B1909" s="2"/>
    </row>
    <row r="1910" spans="2:2" x14ac:dyDescent="0.35">
      <c r="B1910" s="2"/>
    </row>
    <row r="1911" spans="2:2" x14ac:dyDescent="0.35">
      <c r="B1911" s="2"/>
    </row>
    <row r="1912" spans="2:2" x14ac:dyDescent="0.35">
      <c r="B1912" s="2"/>
    </row>
    <row r="1913" spans="2:2" x14ac:dyDescent="0.35">
      <c r="B1913" s="2"/>
    </row>
    <row r="1914" spans="2:2" x14ac:dyDescent="0.35">
      <c r="B1914" s="2"/>
    </row>
    <row r="1915" spans="2:2" x14ac:dyDescent="0.35">
      <c r="B1915" s="2"/>
    </row>
    <row r="1916" spans="2:2" x14ac:dyDescent="0.35">
      <c r="B1916" s="2"/>
    </row>
    <row r="1917" spans="2:2" x14ac:dyDescent="0.35">
      <c r="B1917" s="2"/>
    </row>
    <row r="1918" spans="2:2" x14ac:dyDescent="0.35">
      <c r="B1918" s="2"/>
    </row>
    <row r="1919" spans="2:2" x14ac:dyDescent="0.35">
      <c r="B1919" s="2"/>
    </row>
    <row r="1920" spans="2:2" x14ac:dyDescent="0.35">
      <c r="B1920" s="2"/>
    </row>
    <row r="1921" spans="2:2" x14ac:dyDescent="0.35">
      <c r="B1921" s="2"/>
    </row>
    <row r="1922" spans="2:2" x14ac:dyDescent="0.35">
      <c r="B1922" s="2"/>
    </row>
    <row r="1923" spans="2:2" x14ac:dyDescent="0.35">
      <c r="B1923" s="2"/>
    </row>
    <row r="1924" spans="2:2" x14ac:dyDescent="0.35">
      <c r="B1924" s="2"/>
    </row>
    <row r="1925" spans="2:2" x14ac:dyDescent="0.35">
      <c r="B1925" s="2"/>
    </row>
    <row r="1926" spans="2:2" x14ac:dyDescent="0.35">
      <c r="B1926" s="2"/>
    </row>
    <row r="1927" spans="2:2" x14ac:dyDescent="0.35">
      <c r="B1927" s="2"/>
    </row>
    <row r="1928" spans="2:2" x14ac:dyDescent="0.35">
      <c r="B1928" s="2"/>
    </row>
    <row r="1929" spans="2:2" x14ac:dyDescent="0.35">
      <c r="B1929" s="2"/>
    </row>
    <row r="1930" spans="2:2" x14ac:dyDescent="0.35">
      <c r="B1930" s="2"/>
    </row>
    <row r="1931" spans="2:2" x14ac:dyDescent="0.35">
      <c r="B1931" s="2"/>
    </row>
    <row r="1932" spans="2:2" x14ac:dyDescent="0.35">
      <c r="B1932" s="2"/>
    </row>
    <row r="1933" spans="2:2" x14ac:dyDescent="0.35">
      <c r="B1933" s="2"/>
    </row>
    <row r="1934" spans="2:2" x14ac:dyDescent="0.35">
      <c r="B1934" s="2"/>
    </row>
    <row r="1935" spans="2:2" x14ac:dyDescent="0.35">
      <c r="B1935" s="2"/>
    </row>
    <row r="1936" spans="2:2" x14ac:dyDescent="0.35">
      <c r="B1936" s="2"/>
    </row>
    <row r="1937" spans="2:2" x14ac:dyDescent="0.35">
      <c r="B1937" s="2"/>
    </row>
    <row r="1938" spans="2:2" x14ac:dyDescent="0.35">
      <c r="B1938" s="2"/>
    </row>
    <row r="1939" spans="2:2" x14ac:dyDescent="0.35">
      <c r="B1939" s="2"/>
    </row>
    <row r="1940" spans="2:2" x14ac:dyDescent="0.35">
      <c r="B1940" s="2"/>
    </row>
    <row r="1941" spans="2:2" x14ac:dyDescent="0.35">
      <c r="B1941" s="2"/>
    </row>
    <row r="1942" spans="2:2" x14ac:dyDescent="0.35">
      <c r="B1942" s="2"/>
    </row>
    <row r="1943" spans="2:2" x14ac:dyDescent="0.35">
      <c r="B1943" s="2"/>
    </row>
    <row r="1944" spans="2:2" x14ac:dyDescent="0.35">
      <c r="B1944" s="2"/>
    </row>
    <row r="1945" spans="2:2" x14ac:dyDescent="0.35">
      <c r="B1945" s="2"/>
    </row>
    <row r="1946" spans="2:2" x14ac:dyDescent="0.35">
      <c r="B1946" s="2"/>
    </row>
    <row r="1947" spans="2:2" x14ac:dyDescent="0.35">
      <c r="B1947" s="2"/>
    </row>
    <row r="1948" spans="2:2" x14ac:dyDescent="0.35">
      <c r="B1948" s="2"/>
    </row>
    <row r="1949" spans="2:2" x14ac:dyDescent="0.35">
      <c r="B1949" s="2"/>
    </row>
    <row r="1950" spans="2:2" x14ac:dyDescent="0.35">
      <c r="B1950" s="2"/>
    </row>
    <row r="1951" spans="2:2" x14ac:dyDescent="0.35">
      <c r="B1951" s="2"/>
    </row>
    <row r="1952" spans="2:2" x14ac:dyDescent="0.35">
      <c r="B1952" s="2"/>
    </row>
    <row r="1953" spans="2:2" x14ac:dyDescent="0.35">
      <c r="B1953" s="2"/>
    </row>
    <row r="1954" spans="2:2" x14ac:dyDescent="0.35">
      <c r="B1954" s="2"/>
    </row>
    <row r="1955" spans="2:2" x14ac:dyDescent="0.35">
      <c r="B1955" s="2"/>
    </row>
    <row r="1956" spans="2:2" x14ac:dyDescent="0.35">
      <c r="B1956" s="2"/>
    </row>
    <row r="1957" spans="2:2" x14ac:dyDescent="0.35">
      <c r="B1957" s="2"/>
    </row>
    <row r="1958" spans="2:2" x14ac:dyDescent="0.35">
      <c r="B1958" s="2"/>
    </row>
    <row r="1959" spans="2:2" x14ac:dyDescent="0.35">
      <c r="B1959" s="2"/>
    </row>
    <row r="1960" spans="2:2" x14ac:dyDescent="0.35">
      <c r="B1960" s="2"/>
    </row>
    <row r="1961" spans="2:2" x14ac:dyDescent="0.35">
      <c r="B1961" s="2"/>
    </row>
    <row r="1962" spans="2:2" x14ac:dyDescent="0.35">
      <c r="B1962" s="2"/>
    </row>
    <row r="1963" spans="2:2" x14ac:dyDescent="0.35">
      <c r="B1963" s="2"/>
    </row>
    <row r="1964" spans="2:2" x14ac:dyDescent="0.35">
      <c r="B1964" s="2"/>
    </row>
    <row r="1965" spans="2:2" x14ac:dyDescent="0.35">
      <c r="B1965" s="2"/>
    </row>
    <row r="1966" spans="2:2" x14ac:dyDescent="0.35">
      <c r="B1966" s="2"/>
    </row>
    <row r="1967" spans="2:2" x14ac:dyDescent="0.35">
      <c r="B1967" s="2"/>
    </row>
    <row r="1968" spans="2:2" x14ac:dyDescent="0.35">
      <c r="B1968" s="2"/>
    </row>
    <row r="1969" spans="2:2" x14ac:dyDescent="0.35">
      <c r="B1969" s="2"/>
    </row>
    <row r="1970" spans="2:2" x14ac:dyDescent="0.35">
      <c r="B1970" s="2"/>
    </row>
    <row r="1971" spans="2:2" x14ac:dyDescent="0.35">
      <c r="B1971" s="2"/>
    </row>
    <row r="1972" spans="2:2" x14ac:dyDescent="0.35">
      <c r="B1972" s="2"/>
    </row>
    <row r="1973" spans="2:2" x14ac:dyDescent="0.35">
      <c r="B1973" s="2"/>
    </row>
    <row r="1974" spans="2:2" x14ac:dyDescent="0.35">
      <c r="B1974" s="2"/>
    </row>
    <row r="1975" spans="2:2" x14ac:dyDescent="0.35">
      <c r="B1975" s="2"/>
    </row>
    <row r="1976" spans="2:2" x14ac:dyDescent="0.35">
      <c r="B1976" s="2"/>
    </row>
    <row r="1977" spans="2:2" x14ac:dyDescent="0.35">
      <c r="B1977" s="2"/>
    </row>
    <row r="1978" spans="2:2" x14ac:dyDescent="0.35">
      <c r="B1978" s="2"/>
    </row>
    <row r="1979" spans="2:2" x14ac:dyDescent="0.35">
      <c r="B1979" s="2"/>
    </row>
    <row r="1980" spans="2:2" x14ac:dyDescent="0.35">
      <c r="B1980" s="2"/>
    </row>
    <row r="1981" spans="2:2" x14ac:dyDescent="0.35">
      <c r="B1981" s="2"/>
    </row>
    <row r="1982" spans="2:2" x14ac:dyDescent="0.35">
      <c r="B1982" s="2"/>
    </row>
    <row r="1983" spans="2:2" x14ac:dyDescent="0.35">
      <c r="B1983" s="2"/>
    </row>
    <row r="1984" spans="2:2" x14ac:dyDescent="0.35">
      <c r="B1984" s="2"/>
    </row>
    <row r="1985" spans="2:2" x14ac:dyDescent="0.35">
      <c r="B1985" s="2"/>
    </row>
    <row r="1986" spans="2:2" x14ac:dyDescent="0.35">
      <c r="B1986" s="2"/>
    </row>
    <row r="1987" spans="2:2" x14ac:dyDescent="0.35">
      <c r="B1987" s="2"/>
    </row>
    <row r="1988" spans="2:2" x14ac:dyDescent="0.35">
      <c r="B1988" s="2"/>
    </row>
    <row r="1989" spans="2:2" x14ac:dyDescent="0.35">
      <c r="B1989" s="2"/>
    </row>
    <row r="1990" spans="2:2" x14ac:dyDescent="0.35">
      <c r="B1990" s="2"/>
    </row>
    <row r="1991" spans="2:2" x14ac:dyDescent="0.35">
      <c r="B1991" s="2"/>
    </row>
    <row r="1992" spans="2:2" x14ac:dyDescent="0.35">
      <c r="B1992" s="2"/>
    </row>
    <row r="1993" spans="2:2" x14ac:dyDescent="0.35">
      <c r="B1993" s="2"/>
    </row>
    <row r="1994" spans="2:2" x14ac:dyDescent="0.35">
      <c r="B1994" s="2"/>
    </row>
    <row r="1995" spans="2:2" x14ac:dyDescent="0.35">
      <c r="B1995" s="2"/>
    </row>
    <row r="1996" spans="2:2" x14ac:dyDescent="0.35">
      <c r="B1996" s="2"/>
    </row>
    <row r="1997" spans="2:2" x14ac:dyDescent="0.35">
      <c r="B1997" s="2"/>
    </row>
    <row r="1998" spans="2:2" x14ac:dyDescent="0.35">
      <c r="B1998" s="2"/>
    </row>
    <row r="1999" spans="2:2" x14ac:dyDescent="0.35">
      <c r="B1999" s="2"/>
    </row>
    <row r="2000" spans="2:2" x14ac:dyDescent="0.35">
      <c r="B2000" s="2"/>
    </row>
    <row r="2001" spans="2:2" x14ac:dyDescent="0.35">
      <c r="B2001" s="2"/>
    </row>
    <row r="2002" spans="2:2" x14ac:dyDescent="0.35">
      <c r="B2002" s="2"/>
    </row>
    <row r="2003" spans="2:2" x14ac:dyDescent="0.35">
      <c r="B2003" s="2"/>
    </row>
    <row r="2004" spans="2:2" x14ac:dyDescent="0.35">
      <c r="B2004" s="2"/>
    </row>
    <row r="2005" spans="2:2" x14ac:dyDescent="0.35">
      <c r="B2005" s="2"/>
    </row>
    <row r="2006" spans="2:2" x14ac:dyDescent="0.35">
      <c r="B2006" s="2"/>
    </row>
    <row r="2007" spans="2:2" x14ac:dyDescent="0.35">
      <c r="B2007" s="2"/>
    </row>
    <row r="2008" spans="2:2" x14ac:dyDescent="0.35">
      <c r="B2008" s="2"/>
    </row>
    <row r="2009" spans="2:2" x14ac:dyDescent="0.35">
      <c r="B2009" s="2"/>
    </row>
    <row r="2010" spans="2:2" x14ac:dyDescent="0.35">
      <c r="B2010" s="2"/>
    </row>
    <row r="2011" spans="2:2" x14ac:dyDescent="0.35">
      <c r="B2011" s="2"/>
    </row>
    <row r="2012" spans="2:2" x14ac:dyDescent="0.35">
      <c r="B2012" s="2"/>
    </row>
    <row r="2013" spans="2:2" x14ac:dyDescent="0.35">
      <c r="B2013" s="2"/>
    </row>
    <row r="2014" spans="2:2" x14ac:dyDescent="0.35">
      <c r="B2014" s="2"/>
    </row>
    <row r="2015" spans="2:2" x14ac:dyDescent="0.35">
      <c r="B2015" s="2"/>
    </row>
    <row r="2016" spans="2:2" x14ac:dyDescent="0.35">
      <c r="B2016" s="2"/>
    </row>
    <row r="2017" spans="2:2" x14ac:dyDescent="0.35">
      <c r="B2017" s="2"/>
    </row>
    <row r="2018" spans="2:2" x14ac:dyDescent="0.35">
      <c r="B2018" s="2"/>
    </row>
    <row r="2019" spans="2:2" x14ac:dyDescent="0.35">
      <c r="B2019" s="2"/>
    </row>
    <row r="2020" spans="2:2" x14ac:dyDescent="0.35">
      <c r="B2020" s="2"/>
    </row>
    <row r="2021" spans="2:2" x14ac:dyDescent="0.35">
      <c r="B2021" s="2"/>
    </row>
    <row r="2022" spans="2:2" x14ac:dyDescent="0.35">
      <c r="B2022" s="2"/>
    </row>
    <row r="2023" spans="2:2" x14ac:dyDescent="0.35">
      <c r="B2023" s="2"/>
    </row>
    <row r="2024" spans="2:2" x14ac:dyDescent="0.35">
      <c r="B2024" s="2"/>
    </row>
    <row r="2025" spans="2:2" x14ac:dyDescent="0.35">
      <c r="B2025" s="2"/>
    </row>
    <row r="2026" spans="2:2" x14ac:dyDescent="0.35">
      <c r="B2026" s="2"/>
    </row>
    <row r="2027" spans="2:2" x14ac:dyDescent="0.35">
      <c r="B2027" s="2"/>
    </row>
    <row r="2028" spans="2:2" x14ac:dyDescent="0.35">
      <c r="B2028" s="2"/>
    </row>
    <row r="2029" spans="2:2" x14ac:dyDescent="0.35">
      <c r="B2029" s="2"/>
    </row>
    <row r="2030" spans="2:2" x14ac:dyDescent="0.35">
      <c r="B2030" s="2"/>
    </row>
    <row r="2031" spans="2:2" x14ac:dyDescent="0.35">
      <c r="B2031" s="2"/>
    </row>
    <row r="2032" spans="2:2" x14ac:dyDescent="0.35">
      <c r="B2032" s="2"/>
    </row>
    <row r="2033" spans="2:2" x14ac:dyDescent="0.35">
      <c r="B2033" s="2"/>
    </row>
    <row r="2034" spans="2:2" x14ac:dyDescent="0.35">
      <c r="B2034" s="2"/>
    </row>
    <row r="2035" spans="2:2" x14ac:dyDescent="0.35">
      <c r="B2035" s="2"/>
    </row>
    <row r="2036" spans="2:2" x14ac:dyDescent="0.35">
      <c r="B2036" s="2"/>
    </row>
    <row r="2037" spans="2:2" x14ac:dyDescent="0.35">
      <c r="B2037" s="2"/>
    </row>
    <row r="2038" spans="2:2" x14ac:dyDescent="0.35">
      <c r="B2038" s="2"/>
    </row>
    <row r="2039" spans="2:2" x14ac:dyDescent="0.35">
      <c r="B2039" s="2"/>
    </row>
    <row r="2040" spans="2:2" x14ac:dyDescent="0.35">
      <c r="B2040" s="2"/>
    </row>
    <row r="2041" spans="2:2" x14ac:dyDescent="0.35">
      <c r="B2041" s="2"/>
    </row>
    <row r="2042" spans="2:2" x14ac:dyDescent="0.35">
      <c r="B2042" s="2"/>
    </row>
    <row r="2043" spans="2:2" x14ac:dyDescent="0.35">
      <c r="B2043" s="2"/>
    </row>
    <row r="2044" spans="2:2" x14ac:dyDescent="0.35">
      <c r="B2044" s="2"/>
    </row>
    <row r="2045" spans="2:2" x14ac:dyDescent="0.35">
      <c r="B2045" s="2"/>
    </row>
    <row r="2046" spans="2:2" x14ac:dyDescent="0.35">
      <c r="B2046" s="2"/>
    </row>
    <row r="2047" spans="2:2" x14ac:dyDescent="0.35">
      <c r="B2047" s="2"/>
    </row>
    <row r="2048" spans="2:2" x14ac:dyDescent="0.35">
      <c r="B2048" s="2"/>
    </row>
    <row r="2049" spans="2:2" x14ac:dyDescent="0.35">
      <c r="B2049" s="2"/>
    </row>
    <row r="2050" spans="2:2" x14ac:dyDescent="0.35">
      <c r="B2050" s="2"/>
    </row>
    <row r="2051" spans="2:2" x14ac:dyDescent="0.35">
      <c r="B2051" s="2"/>
    </row>
    <row r="2052" spans="2:2" x14ac:dyDescent="0.35">
      <c r="B2052" s="2"/>
    </row>
    <row r="2053" spans="2:2" x14ac:dyDescent="0.35">
      <c r="B2053" s="2"/>
    </row>
    <row r="2054" spans="2:2" x14ac:dyDescent="0.35">
      <c r="B2054" s="2"/>
    </row>
    <row r="2055" spans="2:2" x14ac:dyDescent="0.35">
      <c r="B2055" s="2"/>
    </row>
    <row r="2056" spans="2:2" x14ac:dyDescent="0.35">
      <c r="B2056" s="2"/>
    </row>
    <row r="2057" spans="2:2" x14ac:dyDescent="0.35">
      <c r="B2057" s="2"/>
    </row>
    <row r="2058" spans="2:2" x14ac:dyDescent="0.35">
      <c r="B2058" s="2"/>
    </row>
    <row r="2059" spans="2:2" x14ac:dyDescent="0.35">
      <c r="B2059" s="2"/>
    </row>
    <row r="2060" spans="2:2" x14ac:dyDescent="0.35">
      <c r="B2060" s="2"/>
    </row>
    <row r="2061" spans="2:2" x14ac:dyDescent="0.35">
      <c r="B2061" s="2"/>
    </row>
    <row r="2062" spans="2:2" x14ac:dyDescent="0.35">
      <c r="B2062" s="2"/>
    </row>
    <row r="2063" spans="2:2" x14ac:dyDescent="0.35">
      <c r="B2063" s="2"/>
    </row>
    <row r="2064" spans="2:2" x14ac:dyDescent="0.35">
      <c r="B2064" s="2"/>
    </row>
    <row r="2065" spans="2:2" x14ac:dyDescent="0.35">
      <c r="B2065" s="2"/>
    </row>
    <row r="2066" spans="2:2" x14ac:dyDescent="0.35">
      <c r="B2066" s="2"/>
    </row>
    <row r="2067" spans="2:2" x14ac:dyDescent="0.35">
      <c r="B2067" s="2"/>
    </row>
    <row r="2068" spans="2:2" x14ac:dyDescent="0.35">
      <c r="B2068" s="2"/>
    </row>
    <row r="2069" spans="2:2" x14ac:dyDescent="0.35">
      <c r="B2069" s="2"/>
    </row>
    <row r="2070" spans="2:2" x14ac:dyDescent="0.35">
      <c r="B2070" s="2"/>
    </row>
    <row r="2071" spans="2:2" x14ac:dyDescent="0.35">
      <c r="B2071" s="2"/>
    </row>
    <row r="2072" spans="2:2" x14ac:dyDescent="0.35">
      <c r="B2072" s="2"/>
    </row>
    <row r="2073" spans="2:2" x14ac:dyDescent="0.35">
      <c r="B2073" s="2"/>
    </row>
    <row r="2074" spans="2:2" x14ac:dyDescent="0.35">
      <c r="B2074" s="2"/>
    </row>
    <row r="2075" spans="2:2" x14ac:dyDescent="0.35">
      <c r="B2075" s="2"/>
    </row>
    <row r="2076" spans="2:2" x14ac:dyDescent="0.35">
      <c r="B2076" s="2"/>
    </row>
    <row r="2077" spans="2:2" x14ac:dyDescent="0.35">
      <c r="B2077" s="2"/>
    </row>
    <row r="2078" spans="2:2" x14ac:dyDescent="0.35">
      <c r="B2078" s="2"/>
    </row>
    <row r="2079" spans="2:2" x14ac:dyDescent="0.35">
      <c r="B2079" s="2"/>
    </row>
    <row r="2080" spans="2:2" x14ac:dyDescent="0.35">
      <c r="B2080" s="2"/>
    </row>
    <row r="2081" spans="2:2" x14ac:dyDescent="0.35">
      <c r="B2081" s="2"/>
    </row>
    <row r="2082" spans="2:2" x14ac:dyDescent="0.35">
      <c r="B2082" s="2"/>
    </row>
    <row r="2083" spans="2:2" x14ac:dyDescent="0.35">
      <c r="B2083" s="2"/>
    </row>
    <row r="2084" spans="2:2" x14ac:dyDescent="0.35">
      <c r="B2084" s="2"/>
    </row>
    <row r="2085" spans="2:2" x14ac:dyDescent="0.35">
      <c r="B2085" s="2"/>
    </row>
    <row r="2086" spans="2:2" x14ac:dyDescent="0.35">
      <c r="B2086" s="2"/>
    </row>
    <row r="2087" spans="2:2" x14ac:dyDescent="0.35">
      <c r="B2087" s="2"/>
    </row>
    <row r="2088" spans="2:2" x14ac:dyDescent="0.35">
      <c r="B2088" s="2"/>
    </row>
    <row r="2089" spans="2:2" x14ac:dyDescent="0.35">
      <c r="B2089" s="2"/>
    </row>
    <row r="2090" spans="2:2" x14ac:dyDescent="0.35">
      <c r="B2090" s="2"/>
    </row>
    <row r="2091" spans="2:2" x14ac:dyDescent="0.35">
      <c r="B2091" s="2"/>
    </row>
    <row r="2092" spans="2:2" x14ac:dyDescent="0.35">
      <c r="B2092" s="2"/>
    </row>
    <row r="2093" spans="2:2" x14ac:dyDescent="0.35">
      <c r="B2093" s="2"/>
    </row>
    <row r="2094" spans="2:2" x14ac:dyDescent="0.35">
      <c r="B2094" s="2"/>
    </row>
    <row r="2095" spans="2:2" x14ac:dyDescent="0.35">
      <c r="B2095" s="2"/>
    </row>
    <row r="2096" spans="2:2" x14ac:dyDescent="0.35">
      <c r="B2096" s="2"/>
    </row>
    <row r="2097" spans="2:2" x14ac:dyDescent="0.35">
      <c r="B2097" s="2"/>
    </row>
    <row r="2098" spans="2:2" x14ac:dyDescent="0.35">
      <c r="B2098" s="2"/>
    </row>
    <row r="2099" spans="2:2" x14ac:dyDescent="0.35">
      <c r="B2099" s="2"/>
    </row>
    <row r="2100" spans="2:2" x14ac:dyDescent="0.35">
      <c r="B2100" s="2"/>
    </row>
    <row r="2101" spans="2:2" x14ac:dyDescent="0.35">
      <c r="B2101" s="2"/>
    </row>
    <row r="2102" spans="2:2" x14ac:dyDescent="0.35">
      <c r="B2102" s="2"/>
    </row>
    <row r="2103" spans="2:2" x14ac:dyDescent="0.35">
      <c r="B2103" s="2"/>
    </row>
    <row r="2104" spans="2:2" x14ac:dyDescent="0.35">
      <c r="B2104" s="2"/>
    </row>
    <row r="2105" spans="2:2" x14ac:dyDescent="0.35">
      <c r="B2105" s="2"/>
    </row>
    <row r="2106" spans="2:2" x14ac:dyDescent="0.35">
      <c r="B2106" s="2"/>
    </row>
    <row r="2107" spans="2:2" x14ac:dyDescent="0.35">
      <c r="B2107" s="2"/>
    </row>
    <row r="2108" spans="2:2" x14ac:dyDescent="0.35">
      <c r="B2108" s="2"/>
    </row>
    <row r="2109" spans="2:2" x14ac:dyDescent="0.35">
      <c r="B2109" s="2"/>
    </row>
    <row r="2110" spans="2:2" x14ac:dyDescent="0.35">
      <c r="B2110" s="2"/>
    </row>
    <row r="2111" spans="2:2" x14ac:dyDescent="0.35">
      <c r="B2111" s="2"/>
    </row>
    <row r="2112" spans="2:2" x14ac:dyDescent="0.35">
      <c r="B2112" s="2"/>
    </row>
    <row r="2113" spans="2:2" x14ac:dyDescent="0.35">
      <c r="B2113" s="2"/>
    </row>
    <row r="2114" spans="2:2" x14ac:dyDescent="0.35">
      <c r="B2114" s="2"/>
    </row>
    <row r="2115" spans="2:2" x14ac:dyDescent="0.35">
      <c r="B2115" s="2"/>
    </row>
    <row r="2116" spans="2:2" x14ac:dyDescent="0.35">
      <c r="B2116" s="2"/>
    </row>
    <row r="2117" spans="2:2" x14ac:dyDescent="0.35">
      <c r="B2117" s="2"/>
    </row>
    <row r="2118" spans="2:2" x14ac:dyDescent="0.35">
      <c r="B2118" s="2"/>
    </row>
    <row r="2119" spans="2:2" x14ac:dyDescent="0.35">
      <c r="B2119" s="2"/>
    </row>
    <row r="2120" spans="2:2" x14ac:dyDescent="0.35">
      <c r="B2120" s="2"/>
    </row>
    <row r="2121" spans="2:2" x14ac:dyDescent="0.35">
      <c r="B2121" s="2"/>
    </row>
    <row r="2122" spans="2:2" x14ac:dyDescent="0.35">
      <c r="B2122" s="2"/>
    </row>
    <row r="2123" spans="2:2" x14ac:dyDescent="0.35">
      <c r="B2123" s="2"/>
    </row>
    <row r="2124" spans="2:2" x14ac:dyDescent="0.35">
      <c r="B2124" s="2"/>
    </row>
    <row r="2125" spans="2:2" x14ac:dyDescent="0.35">
      <c r="B2125" s="2"/>
    </row>
    <row r="2126" spans="2:2" x14ac:dyDescent="0.35">
      <c r="B2126" s="2"/>
    </row>
    <row r="2127" spans="2:2" x14ac:dyDescent="0.35">
      <c r="B2127" s="2"/>
    </row>
    <row r="2128" spans="2:2" x14ac:dyDescent="0.35">
      <c r="B2128" s="2"/>
    </row>
    <row r="2129" spans="2:2" x14ac:dyDescent="0.35">
      <c r="B2129" s="2"/>
    </row>
    <row r="2130" spans="2:2" x14ac:dyDescent="0.35">
      <c r="B2130" s="2"/>
    </row>
    <row r="2131" spans="2:2" x14ac:dyDescent="0.35">
      <c r="B2131" s="2"/>
    </row>
    <row r="2132" spans="2:2" x14ac:dyDescent="0.35">
      <c r="B2132" s="2"/>
    </row>
    <row r="2133" spans="2:2" x14ac:dyDescent="0.35">
      <c r="B2133" s="2"/>
    </row>
    <row r="2134" spans="2:2" x14ac:dyDescent="0.35">
      <c r="B2134" s="2"/>
    </row>
    <row r="2135" spans="2:2" x14ac:dyDescent="0.35">
      <c r="B2135" s="2"/>
    </row>
    <row r="2136" spans="2:2" x14ac:dyDescent="0.35">
      <c r="B2136" s="2"/>
    </row>
    <row r="2137" spans="2:2" x14ac:dyDescent="0.35">
      <c r="B2137" s="2"/>
    </row>
    <row r="2138" spans="2:2" x14ac:dyDescent="0.35">
      <c r="B2138" s="2"/>
    </row>
    <row r="2139" spans="2:2" x14ac:dyDescent="0.35">
      <c r="B2139" s="2"/>
    </row>
    <row r="2140" spans="2:2" x14ac:dyDescent="0.35">
      <c r="B2140" s="2"/>
    </row>
    <row r="2141" spans="2:2" x14ac:dyDescent="0.35">
      <c r="B2141" s="2"/>
    </row>
    <row r="2142" spans="2:2" x14ac:dyDescent="0.35">
      <c r="B2142" s="2"/>
    </row>
    <row r="2143" spans="2:2" x14ac:dyDescent="0.35">
      <c r="B2143" s="2"/>
    </row>
    <row r="2144" spans="2:2" x14ac:dyDescent="0.35">
      <c r="B2144" s="2"/>
    </row>
    <row r="2145" spans="2:2" x14ac:dyDescent="0.35">
      <c r="B2145" s="2"/>
    </row>
    <row r="2146" spans="2:2" x14ac:dyDescent="0.35">
      <c r="B2146" s="2"/>
    </row>
    <row r="2147" spans="2:2" x14ac:dyDescent="0.35">
      <c r="B2147" s="2"/>
    </row>
    <row r="2148" spans="2:2" x14ac:dyDescent="0.35">
      <c r="B2148" s="2"/>
    </row>
    <row r="2149" spans="2:2" x14ac:dyDescent="0.35">
      <c r="B2149" s="2"/>
    </row>
    <row r="2150" spans="2:2" x14ac:dyDescent="0.35">
      <c r="B2150" s="2"/>
    </row>
    <row r="2151" spans="2:2" x14ac:dyDescent="0.35">
      <c r="B2151" s="2"/>
    </row>
    <row r="2152" spans="2:2" x14ac:dyDescent="0.35">
      <c r="B2152" s="2"/>
    </row>
    <row r="2153" spans="2:2" x14ac:dyDescent="0.35">
      <c r="B2153" s="2"/>
    </row>
    <row r="2154" spans="2:2" x14ac:dyDescent="0.35">
      <c r="B2154" s="2"/>
    </row>
    <row r="2155" spans="2:2" x14ac:dyDescent="0.35">
      <c r="B2155" s="2"/>
    </row>
    <row r="2156" spans="2:2" x14ac:dyDescent="0.35">
      <c r="B2156" s="2"/>
    </row>
    <row r="2157" spans="2:2" x14ac:dyDescent="0.35">
      <c r="B2157" s="2"/>
    </row>
    <row r="2158" spans="2:2" x14ac:dyDescent="0.35">
      <c r="B2158" s="2"/>
    </row>
    <row r="2159" spans="2:2" x14ac:dyDescent="0.35">
      <c r="B2159" s="2"/>
    </row>
    <row r="2160" spans="2:2" x14ac:dyDescent="0.35">
      <c r="B2160" s="2"/>
    </row>
    <row r="2161" spans="2:2" x14ac:dyDescent="0.35">
      <c r="B2161" s="2"/>
    </row>
    <row r="2162" spans="2:2" x14ac:dyDescent="0.35">
      <c r="B2162" s="2"/>
    </row>
    <row r="2163" spans="2:2" x14ac:dyDescent="0.35">
      <c r="B2163" s="2"/>
    </row>
    <row r="2164" spans="2:2" x14ac:dyDescent="0.35">
      <c r="B2164" s="2"/>
    </row>
    <row r="2165" spans="2:2" x14ac:dyDescent="0.35">
      <c r="B2165" s="2"/>
    </row>
    <row r="2166" spans="2:2" x14ac:dyDescent="0.35">
      <c r="B2166" s="2"/>
    </row>
    <row r="2167" spans="2:2" x14ac:dyDescent="0.35">
      <c r="B2167" s="2"/>
    </row>
    <row r="2168" spans="2:2" x14ac:dyDescent="0.35">
      <c r="B2168" s="2"/>
    </row>
    <row r="2169" spans="2:2" x14ac:dyDescent="0.35">
      <c r="B2169" s="2"/>
    </row>
    <row r="2170" spans="2:2" x14ac:dyDescent="0.35">
      <c r="B2170" s="2"/>
    </row>
    <row r="2171" spans="2:2" x14ac:dyDescent="0.35">
      <c r="B2171" s="2"/>
    </row>
    <row r="2172" spans="2:2" x14ac:dyDescent="0.35">
      <c r="B2172" s="2"/>
    </row>
    <row r="2173" spans="2:2" x14ac:dyDescent="0.35">
      <c r="B2173" s="2"/>
    </row>
    <row r="2174" spans="2:2" x14ac:dyDescent="0.35">
      <c r="B2174" s="2"/>
    </row>
    <row r="2175" spans="2:2" x14ac:dyDescent="0.35">
      <c r="B2175" s="2"/>
    </row>
    <row r="2176" spans="2:2" x14ac:dyDescent="0.35">
      <c r="B2176" s="2"/>
    </row>
    <row r="2177" spans="2:2" x14ac:dyDescent="0.35">
      <c r="B2177" s="2"/>
    </row>
    <row r="2178" spans="2:2" x14ac:dyDescent="0.35">
      <c r="B2178" s="2"/>
    </row>
    <row r="2179" spans="2:2" x14ac:dyDescent="0.35">
      <c r="B2179" s="2"/>
    </row>
    <row r="2180" spans="2:2" x14ac:dyDescent="0.35">
      <c r="B2180" s="2"/>
    </row>
    <row r="2181" spans="2:2" x14ac:dyDescent="0.35">
      <c r="B2181" s="2"/>
    </row>
    <row r="2182" spans="2:2" x14ac:dyDescent="0.35">
      <c r="B2182" s="2"/>
    </row>
    <row r="2183" spans="2:2" x14ac:dyDescent="0.35">
      <c r="B2183" s="2"/>
    </row>
    <row r="2184" spans="2:2" x14ac:dyDescent="0.35">
      <c r="B2184" s="2"/>
    </row>
    <row r="2185" spans="2:2" x14ac:dyDescent="0.35">
      <c r="B2185" s="2"/>
    </row>
    <row r="2186" spans="2:2" x14ac:dyDescent="0.35">
      <c r="B2186" s="2"/>
    </row>
    <row r="2187" spans="2:2" x14ac:dyDescent="0.35">
      <c r="B2187" s="2"/>
    </row>
    <row r="2188" spans="2:2" x14ac:dyDescent="0.35">
      <c r="B2188" s="2"/>
    </row>
    <row r="2189" spans="2:2" x14ac:dyDescent="0.35">
      <c r="B2189" s="2"/>
    </row>
    <row r="2190" spans="2:2" x14ac:dyDescent="0.35">
      <c r="B2190" s="2"/>
    </row>
    <row r="2191" spans="2:2" x14ac:dyDescent="0.35">
      <c r="B2191" s="2"/>
    </row>
    <row r="2192" spans="2:2" x14ac:dyDescent="0.35">
      <c r="B2192" s="2"/>
    </row>
    <row r="2193" spans="2:2" x14ac:dyDescent="0.35">
      <c r="B2193" s="2"/>
    </row>
    <row r="2194" spans="2:2" x14ac:dyDescent="0.35">
      <c r="B2194" s="2"/>
    </row>
    <row r="2195" spans="2:2" x14ac:dyDescent="0.35">
      <c r="B2195" s="2"/>
    </row>
    <row r="2196" spans="2:2" x14ac:dyDescent="0.35">
      <c r="B2196" s="2"/>
    </row>
    <row r="2197" spans="2:2" x14ac:dyDescent="0.35">
      <c r="B2197" s="2"/>
    </row>
    <row r="2198" spans="2:2" x14ac:dyDescent="0.35">
      <c r="B2198" s="2"/>
    </row>
    <row r="2199" spans="2:2" x14ac:dyDescent="0.35">
      <c r="B2199" s="2"/>
    </row>
    <row r="2200" spans="2:2" x14ac:dyDescent="0.35">
      <c r="B2200" s="2"/>
    </row>
    <row r="2201" spans="2:2" x14ac:dyDescent="0.35">
      <c r="B2201" s="2"/>
    </row>
    <row r="2202" spans="2:2" x14ac:dyDescent="0.35">
      <c r="B2202" s="2"/>
    </row>
    <row r="2203" spans="2:2" x14ac:dyDescent="0.35">
      <c r="B2203" s="2"/>
    </row>
    <row r="2204" spans="2:2" x14ac:dyDescent="0.35">
      <c r="B2204" s="2"/>
    </row>
    <row r="2205" spans="2:2" x14ac:dyDescent="0.35">
      <c r="B2205" s="2"/>
    </row>
    <row r="2206" spans="2:2" x14ac:dyDescent="0.35">
      <c r="B2206" s="2"/>
    </row>
    <row r="2207" spans="2:2" x14ac:dyDescent="0.35">
      <c r="B2207" s="2"/>
    </row>
    <row r="2208" spans="2:2" x14ac:dyDescent="0.35">
      <c r="B2208" s="2"/>
    </row>
    <row r="2209" spans="2:2" x14ac:dyDescent="0.35">
      <c r="B2209" s="2"/>
    </row>
    <row r="2210" spans="2:2" x14ac:dyDescent="0.35">
      <c r="B2210" s="2"/>
    </row>
    <row r="2211" spans="2:2" x14ac:dyDescent="0.35">
      <c r="B2211" s="2"/>
    </row>
    <row r="2212" spans="2:2" x14ac:dyDescent="0.35">
      <c r="B2212" s="2"/>
    </row>
    <row r="2213" spans="2:2" x14ac:dyDescent="0.35">
      <c r="B2213" s="2"/>
    </row>
    <row r="2214" spans="2:2" x14ac:dyDescent="0.35">
      <c r="B2214" s="2"/>
    </row>
    <row r="2215" spans="2:2" x14ac:dyDescent="0.35">
      <c r="B2215" s="2"/>
    </row>
    <row r="2216" spans="2:2" x14ac:dyDescent="0.35">
      <c r="B2216" s="2"/>
    </row>
    <row r="2217" spans="2:2" x14ac:dyDescent="0.35">
      <c r="B2217" s="2"/>
    </row>
    <row r="2218" spans="2:2" x14ac:dyDescent="0.35">
      <c r="B2218" s="2"/>
    </row>
    <row r="2219" spans="2:2" x14ac:dyDescent="0.35">
      <c r="B2219" s="2"/>
    </row>
    <row r="2220" spans="2:2" x14ac:dyDescent="0.35">
      <c r="B2220" s="2"/>
    </row>
    <row r="2221" spans="2:2" x14ac:dyDescent="0.35">
      <c r="B2221" s="2"/>
    </row>
    <row r="2222" spans="2:2" x14ac:dyDescent="0.35">
      <c r="B2222" s="2"/>
    </row>
    <row r="2223" spans="2:2" x14ac:dyDescent="0.35">
      <c r="B2223" s="2"/>
    </row>
    <row r="2224" spans="2:2" x14ac:dyDescent="0.35">
      <c r="B2224" s="2"/>
    </row>
    <row r="2225" spans="2:2" x14ac:dyDescent="0.35">
      <c r="B2225" s="2"/>
    </row>
    <row r="2226" spans="2:2" x14ac:dyDescent="0.35">
      <c r="B2226" s="2"/>
    </row>
    <row r="2227" spans="2:2" x14ac:dyDescent="0.35">
      <c r="B2227" s="2"/>
    </row>
    <row r="2228" spans="2:2" x14ac:dyDescent="0.35">
      <c r="B2228" s="2"/>
    </row>
    <row r="2229" spans="2:2" x14ac:dyDescent="0.35">
      <c r="B2229" s="2"/>
    </row>
    <row r="2230" spans="2:2" x14ac:dyDescent="0.35">
      <c r="B2230" s="2"/>
    </row>
    <row r="2231" spans="2:2" x14ac:dyDescent="0.35">
      <c r="B2231" s="2"/>
    </row>
    <row r="2232" spans="2:2" x14ac:dyDescent="0.35">
      <c r="B2232" s="2"/>
    </row>
    <row r="2233" spans="2:2" x14ac:dyDescent="0.35">
      <c r="B2233" s="2"/>
    </row>
    <row r="2234" spans="2:2" x14ac:dyDescent="0.35">
      <c r="B2234" s="2"/>
    </row>
    <row r="2235" spans="2:2" x14ac:dyDescent="0.35">
      <c r="B2235" s="2"/>
    </row>
    <row r="2236" spans="2:2" x14ac:dyDescent="0.35">
      <c r="B2236" s="2"/>
    </row>
    <row r="2237" spans="2:2" x14ac:dyDescent="0.35">
      <c r="B2237" s="2"/>
    </row>
    <row r="2238" spans="2:2" x14ac:dyDescent="0.35">
      <c r="B2238" s="2"/>
    </row>
    <row r="2239" spans="2:2" x14ac:dyDescent="0.35">
      <c r="B2239" s="2"/>
    </row>
    <row r="2240" spans="2:2" x14ac:dyDescent="0.35">
      <c r="B2240" s="2"/>
    </row>
    <row r="2241" spans="2:2" x14ac:dyDescent="0.35">
      <c r="B2241" s="2"/>
    </row>
    <row r="2242" spans="2:2" x14ac:dyDescent="0.35">
      <c r="B2242" s="2"/>
    </row>
    <row r="2243" spans="2:2" x14ac:dyDescent="0.35">
      <c r="B2243" s="2"/>
    </row>
    <row r="2244" spans="2:2" x14ac:dyDescent="0.35">
      <c r="B2244" s="2"/>
    </row>
    <row r="2245" spans="2:2" x14ac:dyDescent="0.35">
      <c r="B2245" s="2"/>
    </row>
    <row r="2246" spans="2:2" x14ac:dyDescent="0.35">
      <c r="B2246" s="2"/>
    </row>
    <row r="2247" spans="2:2" x14ac:dyDescent="0.35">
      <c r="B2247" s="2"/>
    </row>
    <row r="2248" spans="2:2" x14ac:dyDescent="0.35">
      <c r="B2248" s="2"/>
    </row>
    <row r="2249" spans="2:2" x14ac:dyDescent="0.35">
      <c r="B2249" s="2"/>
    </row>
    <row r="2250" spans="2:2" x14ac:dyDescent="0.35">
      <c r="B2250" s="2"/>
    </row>
    <row r="2251" spans="2:2" x14ac:dyDescent="0.35">
      <c r="B2251" s="2"/>
    </row>
    <row r="2252" spans="2:2" x14ac:dyDescent="0.35">
      <c r="B2252" s="2"/>
    </row>
    <row r="2253" spans="2:2" x14ac:dyDescent="0.35">
      <c r="B2253" s="2"/>
    </row>
    <row r="2254" spans="2:2" x14ac:dyDescent="0.35">
      <c r="B2254" s="2"/>
    </row>
    <row r="2255" spans="2:2" x14ac:dyDescent="0.35">
      <c r="B2255" s="2"/>
    </row>
    <row r="2256" spans="2:2" x14ac:dyDescent="0.35">
      <c r="B2256" s="2"/>
    </row>
    <row r="2257" spans="2:2" x14ac:dyDescent="0.35">
      <c r="B2257" s="2"/>
    </row>
    <row r="2258" spans="2:2" x14ac:dyDescent="0.35">
      <c r="B2258" s="2"/>
    </row>
    <row r="2259" spans="2:2" x14ac:dyDescent="0.35">
      <c r="B2259" s="2"/>
    </row>
    <row r="2260" spans="2:2" x14ac:dyDescent="0.35">
      <c r="B2260" s="2"/>
    </row>
    <row r="2261" spans="2:2" x14ac:dyDescent="0.35">
      <c r="B2261" s="2"/>
    </row>
    <row r="2262" spans="2:2" x14ac:dyDescent="0.35">
      <c r="B2262" s="2"/>
    </row>
    <row r="2263" spans="2:2" x14ac:dyDescent="0.35">
      <c r="B2263" s="2"/>
    </row>
    <row r="2264" spans="2:2" x14ac:dyDescent="0.35">
      <c r="B2264" s="2"/>
    </row>
    <row r="2265" spans="2:2" x14ac:dyDescent="0.35">
      <c r="B2265" s="2"/>
    </row>
    <row r="2266" spans="2:2" x14ac:dyDescent="0.35">
      <c r="B2266" s="2"/>
    </row>
    <row r="2267" spans="2:2" x14ac:dyDescent="0.35">
      <c r="B2267" s="2"/>
    </row>
    <row r="2268" spans="2:2" x14ac:dyDescent="0.35">
      <c r="B2268" s="2"/>
    </row>
    <row r="2269" spans="2:2" x14ac:dyDescent="0.35">
      <c r="B2269" s="2"/>
    </row>
    <row r="2270" spans="2:2" x14ac:dyDescent="0.35">
      <c r="B2270" s="2"/>
    </row>
    <row r="2271" spans="2:2" x14ac:dyDescent="0.35">
      <c r="B2271" s="2"/>
    </row>
    <row r="2272" spans="2:2" x14ac:dyDescent="0.35">
      <c r="B2272" s="2"/>
    </row>
    <row r="2273" spans="2:2" x14ac:dyDescent="0.35">
      <c r="B2273" s="2"/>
    </row>
    <row r="2274" spans="2:2" x14ac:dyDescent="0.35">
      <c r="B2274" s="2"/>
    </row>
    <row r="2275" spans="2:2" x14ac:dyDescent="0.35">
      <c r="B2275" s="2"/>
    </row>
    <row r="2276" spans="2:2" x14ac:dyDescent="0.35">
      <c r="B2276" s="2"/>
    </row>
    <row r="2277" spans="2:2" x14ac:dyDescent="0.35">
      <c r="B2277" s="2"/>
    </row>
    <row r="2278" spans="2:2" x14ac:dyDescent="0.35">
      <c r="B2278" s="2"/>
    </row>
    <row r="2279" spans="2:2" x14ac:dyDescent="0.35">
      <c r="B2279" s="2"/>
    </row>
    <row r="2280" spans="2:2" x14ac:dyDescent="0.35">
      <c r="B2280" s="2"/>
    </row>
    <row r="2281" spans="2:2" x14ac:dyDescent="0.35">
      <c r="B2281" s="2"/>
    </row>
    <row r="2282" spans="2:2" x14ac:dyDescent="0.35">
      <c r="B2282" s="2"/>
    </row>
    <row r="2283" spans="2:2" x14ac:dyDescent="0.35">
      <c r="B2283" s="2"/>
    </row>
    <row r="2284" spans="2:2" x14ac:dyDescent="0.35">
      <c r="B2284" s="2"/>
    </row>
    <row r="2285" spans="2:2" x14ac:dyDescent="0.35">
      <c r="B2285" s="2"/>
    </row>
    <row r="2286" spans="2:2" x14ac:dyDescent="0.35">
      <c r="B2286" s="2"/>
    </row>
    <row r="2287" spans="2:2" x14ac:dyDescent="0.35">
      <c r="B2287" s="2"/>
    </row>
    <row r="2288" spans="2:2" x14ac:dyDescent="0.35">
      <c r="B2288" s="2"/>
    </row>
    <row r="2289" spans="2:2" x14ac:dyDescent="0.35">
      <c r="B2289" s="2"/>
    </row>
    <row r="2290" spans="2:2" x14ac:dyDescent="0.35">
      <c r="B2290" s="2"/>
    </row>
    <row r="2291" spans="2:2" x14ac:dyDescent="0.35">
      <c r="B2291" s="2"/>
    </row>
    <row r="2292" spans="2:2" x14ac:dyDescent="0.35">
      <c r="B2292" s="2"/>
    </row>
    <row r="2293" spans="2:2" x14ac:dyDescent="0.35">
      <c r="B2293" s="2"/>
    </row>
    <row r="2294" spans="2:2" x14ac:dyDescent="0.35">
      <c r="B2294" s="2"/>
    </row>
    <row r="2295" spans="2:2" x14ac:dyDescent="0.35">
      <c r="B2295" s="2"/>
    </row>
    <row r="2296" spans="2:2" x14ac:dyDescent="0.35">
      <c r="B2296" s="2"/>
    </row>
    <row r="2297" spans="2:2" x14ac:dyDescent="0.35">
      <c r="B2297" s="2"/>
    </row>
    <row r="2298" spans="2:2" x14ac:dyDescent="0.35">
      <c r="B2298" s="2"/>
    </row>
    <row r="2299" spans="2:2" x14ac:dyDescent="0.35">
      <c r="B2299" s="2"/>
    </row>
    <row r="2300" spans="2:2" x14ac:dyDescent="0.35">
      <c r="B2300" s="2"/>
    </row>
    <row r="2301" spans="2:2" x14ac:dyDescent="0.35">
      <c r="B2301" s="2"/>
    </row>
    <row r="2302" spans="2:2" x14ac:dyDescent="0.35">
      <c r="B2302" s="2"/>
    </row>
    <row r="2303" spans="2:2" x14ac:dyDescent="0.35">
      <c r="B2303" s="2"/>
    </row>
    <row r="2304" spans="2:2" x14ac:dyDescent="0.35">
      <c r="B2304" s="2"/>
    </row>
    <row r="2305" spans="2:2" x14ac:dyDescent="0.35">
      <c r="B2305" s="2"/>
    </row>
    <row r="2306" spans="2:2" x14ac:dyDescent="0.35">
      <c r="B2306" s="2"/>
    </row>
    <row r="2307" spans="2:2" x14ac:dyDescent="0.35">
      <c r="B2307" s="2"/>
    </row>
    <row r="2308" spans="2:2" x14ac:dyDescent="0.35">
      <c r="B2308" s="2"/>
    </row>
    <row r="2309" spans="2:2" x14ac:dyDescent="0.35">
      <c r="B2309" s="2"/>
    </row>
    <row r="2310" spans="2:2" x14ac:dyDescent="0.35">
      <c r="B2310" s="2"/>
    </row>
    <row r="2311" spans="2:2" x14ac:dyDescent="0.35">
      <c r="B2311" s="2"/>
    </row>
    <row r="2312" spans="2:2" x14ac:dyDescent="0.35">
      <c r="B2312" s="2"/>
    </row>
    <row r="2313" spans="2:2" x14ac:dyDescent="0.35">
      <c r="B2313" s="2"/>
    </row>
    <row r="2314" spans="2:2" x14ac:dyDescent="0.35">
      <c r="B2314" s="2"/>
    </row>
    <row r="2315" spans="2:2" x14ac:dyDescent="0.35">
      <c r="B2315" s="2"/>
    </row>
    <row r="2316" spans="2:2" x14ac:dyDescent="0.35">
      <c r="B2316" s="2"/>
    </row>
    <row r="2317" spans="2:2" x14ac:dyDescent="0.35">
      <c r="B2317" s="2"/>
    </row>
    <row r="2318" spans="2:2" x14ac:dyDescent="0.35">
      <c r="B2318" s="2"/>
    </row>
    <row r="2319" spans="2:2" x14ac:dyDescent="0.35">
      <c r="B2319" s="2"/>
    </row>
    <row r="2320" spans="2:2" x14ac:dyDescent="0.35">
      <c r="B2320" s="2"/>
    </row>
    <row r="2321" spans="2:2" x14ac:dyDescent="0.35">
      <c r="B2321" s="2"/>
    </row>
    <row r="2322" spans="2:2" x14ac:dyDescent="0.35">
      <c r="B2322" s="2"/>
    </row>
    <row r="2323" spans="2:2" x14ac:dyDescent="0.35">
      <c r="B2323" s="2"/>
    </row>
    <row r="2324" spans="2:2" x14ac:dyDescent="0.35">
      <c r="B2324" s="2"/>
    </row>
    <row r="2325" spans="2:2" x14ac:dyDescent="0.35">
      <c r="B2325" s="2"/>
    </row>
    <row r="2326" spans="2:2" x14ac:dyDescent="0.35">
      <c r="B2326" s="2"/>
    </row>
    <row r="2327" spans="2:2" x14ac:dyDescent="0.35">
      <c r="B2327" s="2"/>
    </row>
    <row r="2328" spans="2:2" x14ac:dyDescent="0.35">
      <c r="B2328" s="2"/>
    </row>
    <row r="2329" spans="2:2" x14ac:dyDescent="0.35">
      <c r="B2329" s="2"/>
    </row>
    <row r="2330" spans="2:2" x14ac:dyDescent="0.35">
      <c r="B2330" s="2"/>
    </row>
    <row r="2331" spans="2:2" x14ac:dyDescent="0.35">
      <c r="B2331" s="2"/>
    </row>
    <row r="2332" spans="2:2" x14ac:dyDescent="0.35">
      <c r="B2332" s="2"/>
    </row>
    <row r="2333" spans="2:2" x14ac:dyDescent="0.35">
      <c r="B2333" s="2"/>
    </row>
    <row r="2334" spans="2:2" x14ac:dyDescent="0.35">
      <c r="B2334" s="2"/>
    </row>
    <row r="2335" spans="2:2" x14ac:dyDescent="0.35">
      <c r="B2335" s="2"/>
    </row>
    <row r="2336" spans="2:2" x14ac:dyDescent="0.35">
      <c r="B2336" s="2"/>
    </row>
    <row r="2337" spans="2:2" x14ac:dyDescent="0.35">
      <c r="B2337" s="2"/>
    </row>
    <row r="2338" spans="2:2" x14ac:dyDescent="0.35">
      <c r="B2338" s="2"/>
    </row>
    <row r="2339" spans="2:2" x14ac:dyDescent="0.35">
      <c r="B2339" s="2"/>
    </row>
    <row r="2340" spans="2:2" x14ac:dyDescent="0.35">
      <c r="B2340" s="2"/>
    </row>
    <row r="2341" spans="2:2" x14ac:dyDescent="0.35">
      <c r="B2341" s="2"/>
    </row>
    <row r="2342" spans="2:2" x14ac:dyDescent="0.35">
      <c r="B2342" s="2"/>
    </row>
    <row r="2343" spans="2:2" x14ac:dyDescent="0.35">
      <c r="B2343" s="2"/>
    </row>
    <row r="2344" spans="2:2" x14ac:dyDescent="0.35">
      <c r="B2344" s="2"/>
    </row>
    <row r="2345" spans="2:2" x14ac:dyDescent="0.35">
      <c r="B2345" s="2"/>
    </row>
    <row r="2346" spans="2:2" x14ac:dyDescent="0.35">
      <c r="B2346" s="2"/>
    </row>
    <row r="2347" spans="2:2" x14ac:dyDescent="0.35">
      <c r="B2347" s="2"/>
    </row>
    <row r="2348" spans="2:2" x14ac:dyDescent="0.35">
      <c r="B2348" s="2"/>
    </row>
    <row r="2349" spans="2:2" x14ac:dyDescent="0.35">
      <c r="B2349" s="2"/>
    </row>
    <row r="2350" spans="2:2" x14ac:dyDescent="0.35">
      <c r="B2350" s="2"/>
    </row>
    <row r="2351" spans="2:2" x14ac:dyDescent="0.35">
      <c r="B2351" s="2"/>
    </row>
    <row r="2352" spans="2:2" x14ac:dyDescent="0.35">
      <c r="B2352" s="2"/>
    </row>
    <row r="2353" spans="2:2" x14ac:dyDescent="0.35">
      <c r="B2353" s="2"/>
    </row>
    <row r="2354" spans="2:2" x14ac:dyDescent="0.35">
      <c r="B2354" s="2"/>
    </row>
    <row r="2355" spans="2:2" x14ac:dyDescent="0.35">
      <c r="B2355" s="2"/>
    </row>
    <row r="2356" spans="2:2" x14ac:dyDescent="0.35">
      <c r="B2356" s="2"/>
    </row>
    <row r="2357" spans="2:2" x14ac:dyDescent="0.35">
      <c r="B2357" s="2"/>
    </row>
    <row r="2358" spans="2:2" x14ac:dyDescent="0.35">
      <c r="B2358" s="2"/>
    </row>
    <row r="2359" spans="2:2" x14ac:dyDescent="0.35">
      <c r="B2359" s="2"/>
    </row>
    <row r="2360" spans="2:2" x14ac:dyDescent="0.35">
      <c r="B2360" s="2"/>
    </row>
    <row r="2361" spans="2:2" x14ac:dyDescent="0.35">
      <c r="B2361" s="2"/>
    </row>
    <row r="2362" spans="2:2" x14ac:dyDescent="0.35">
      <c r="B2362" s="2"/>
    </row>
    <row r="2363" spans="2:2" x14ac:dyDescent="0.35">
      <c r="B2363" s="2"/>
    </row>
    <row r="2364" spans="2:2" x14ac:dyDescent="0.35">
      <c r="B2364" s="2"/>
    </row>
    <row r="2365" spans="2:2" x14ac:dyDescent="0.35">
      <c r="B2365" s="2"/>
    </row>
    <row r="2366" spans="2:2" x14ac:dyDescent="0.35">
      <c r="B2366" s="2"/>
    </row>
    <row r="2367" spans="2:2" x14ac:dyDescent="0.35">
      <c r="B2367" s="2"/>
    </row>
    <row r="2368" spans="2:2" x14ac:dyDescent="0.35">
      <c r="B2368" s="2"/>
    </row>
    <row r="2369" spans="2:2" x14ac:dyDescent="0.35">
      <c r="B2369" s="2"/>
    </row>
    <row r="2370" spans="2:2" x14ac:dyDescent="0.35">
      <c r="B2370" s="2"/>
    </row>
    <row r="2371" spans="2:2" x14ac:dyDescent="0.35">
      <c r="B2371" s="2"/>
    </row>
    <row r="2372" spans="2:2" x14ac:dyDescent="0.35">
      <c r="B2372" s="2"/>
    </row>
    <row r="2373" spans="2:2" x14ac:dyDescent="0.35">
      <c r="B2373" s="2"/>
    </row>
    <row r="2374" spans="2:2" x14ac:dyDescent="0.35">
      <c r="B2374" s="2"/>
    </row>
    <row r="2375" spans="2:2" x14ac:dyDescent="0.35">
      <c r="B2375" s="2"/>
    </row>
    <row r="2376" spans="2:2" x14ac:dyDescent="0.35">
      <c r="B2376" s="2"/>
    </row>
    <row r="2377" spans="2:2" x14ac:dyDescent="0.35">
      <c r="B2377" s="2"/>
    </row>
    <row r="2378" spans="2:2" x14ac:dyDescent="0.35">
      <c r="B2378" s="2"/>
    </row>
    <row r="2379" spans="2:2" x14ac:dyDescent="0.35">
      <c r="B2379" s="2"/>
    </row>
    <row r="2380" spans="2:2" x14ac:dyDescent="0.35">
      <c r="B2380" s="2"/>
    </row>
    <row r="2381" spans="2:2" x14ac:dyDescent="0.35">
      <c r="B2381" s="2"/>
    </row>
    <row r="2382" spans="2:2" x14ac:dyDescent="0.35">
      <c r="B2382" s="2"/>
    </row>
    <row r="2383" spans="2:2" x14ac:dyDescent="0.35">
      <c r="B2383" s="2"/>
    </row>
    <row r="2384" spans="2:2" x14ac:dyDescent="0.35">
      <c r="B2384" s="2"/>
    </row>
    <row r="2385" spans="2:2" x14ac:dyDescent="0.35">
      <c r="B2385" s="2"/>
    </row>
    <row r="2386" spans="2:2" x14ac:dyDescent="0.35">
      <c r="B2386" s="2"/>
    </row>
    <row r="2387" spans="2:2" x14ac:dyDescent="0.35">
      <c r="B2387" s="2"/>
    </row>
    <row r="2388" spans="2:2" x14ac:dyDescent="0.35">
      <c r="B2388" s="2"/>
    </row>
    <row r="2389" spans="2:2" x14ac:dyDescent="0.35">
      <c r="B2389" s="2"/>
    </row>
    <row r="2390" spans="2:2" x14ac:dyDescent="0.35">
      <c r="B2390" s="2"/>
    </row>
    <row r="2391" spans="2:2" x14ac:dyDescent="0.35">
      <c r="B2391" s="2"/>
    </row>
    <row r="2392" spans="2:2" x14ac:dyDescent="0.35">
      <c r="B2392" s="2"/>
    </row>
    <row r="2393" spans="2:2" x14ac:dyDescent="0.35">
      <c r="B2393" s="2"/>
    </row>
    <row r="2394" spans="2:2" x14ac:dyDescent="0.35">
      <c r="B2394" s="2"/>
    </row>
    <row r="2395" spans="2:2" x14ac:dyDescent="0.35">
      <c r="B2395" s="2"/>
    </row>
    <row r="2396" spans="2:2" x14ac:dyDescent="0.35">
      <c r="B2396" s="2"/>
    </row>
    <row r="2397" spans="2:2" x14ac:dyDescent="0.35">
      <c r="B2397" s="2"/>
    </row>
    <row r="2398" spans="2:2" x14ac:dyDescent="0.35">
      <c r="B2398" s="2"/>
    </row>
    <row r="2399" spans="2:2" x14ac:dyDescent="0.35">
      <c r="B2399" s="2"/>
    </row>
    <row r="2400" spans="2:2" x14ac:dyDescent="0.35">
      <c r="B2400" s="2"/>
    </row>
    <row r="2401" spans="2:2" x14ac:dyDescent="0.35">
      <c r="B2401" s="2"/>
    </row>
    <row r="2402" spans="2:2" x14ac:dyDescent="0.35">
      <c r="B2402" s="2"/>
    </row>
    <row r="2403" spans="2:2" x14ac:dyDescent="0.35">
      <c r="B2403" s="2"/>
    </row>
    <row r="2404" spans="2:2" x14ac:dyDescent="0.35">
      <c r="B2404" s="2"/>
    </row>
    <row r="2405" spans="2:2" x14ac:dyDescent="0.35">
      <c r="B2405" s="2"/>
    </row>
    <row r="2406" spans="2:2" x14ac:dyDescent="0.35">
      <c r="B2406" s="2"/>
    </row>
    <row r="2407" spans="2:2" x14ac:dyDescent="0.35">
      <c r="B2407" s="2"/>
    </row>
    <row r="2408" spans="2:2" x14ac:dyDescent="0.35">
      <c r="B2408" s="2"/>
    </row>
    <row r="2409" spans="2:2" x14ac:dyDescent="0.35">
      <c r="B2409" s="2"/>
    </row>
    <row r="2410" spans="2:2" x14ac:dyDescent="0.35">
      <c r="B2410" s="2"/>
    </row>
    <row r="2411" spans="2:2" x14ac:dyDescent="0.35">
      <c r="B2411" s="2"/>
    </row>
    <row r="2412" spans="2:2" x14ac:dyDescent="0.35">
      <c r="B2412" s="2"/>
    </row>
    <row r="2413" spans="2:2" x14ac:dyDescent="0.35">
      <c r="B2413" s="2"/>
    </row>
    <row r="2414" spans="2:2" x14ac:dyDescent="0.35">
      <c r="B2414" s="2"/>
    </row>
    <row r="2415" spans="2:2" x14ac:dyDescent="0.35">
      <c r="B2415" s="2"/>
    </row>
    <row r="2416" spans="2:2" x14ac:dyDescent="0.35">
      <c r="B2416" s="2"/>
    </row>
    <row r="2417" spans="2:2" x14ac:dyDescent="0.35">
      <c r="B2417" s="2"/>
    </row>
    <row r="2418" spans="2:2" x14ac:dyDescent="0.35">
      <c r="B2418" s="2"/>
    </row>
    <row r="2419" spans="2:2" x14ac:dyDescent="0.35">
      <c r="B2419" s="2"/>
    </row>
    <row r="2420" spans="2:2" x14ac:dyDescent="0.35">
      <c r="B2420" s="2"/>
    </row>
    <row r="2421" spans="2:2" x14ac:dyDescent="0.35">
      <c r="B2421" s="2"/>
    </row>
    <row r="2422" spans="2:2" x14ac:dyDescent="0.35">
      <c r="B2422" s="2"/>
    </row>
    <row r="2423" spans="2:2" x14ac:dyDescent="0.35">
      <c r="B2423" s="2"/>
    </row>
    <row r="2424" spans="2:2" x14ac:dyDescent="0.35">
      <c r="B2424" s="2"/>
    </row>
    <row r="2425" spans="2:2" x14ac:dyDescent="0.35">
      <c r="B2425" s="2"/>
    </row>
    <row r="2426" spans="2:2" x14ac:dyDescent="0.35">
      <c r="B2426" s="2"/>
    </row>
    <row r="2427" spans="2:2" x14ac:dyDescent="0.35">
      <c r="B2427" s="2"/>
    </row>
    <row r="2428" spans="2:2" x14ac:dyDescent="0.35">
      <c r="B2428" s="2"/>
    </row>
    <row r="2429" spans="2:2" x14ac:dyDescent="0.35">
      <c r="B2429" s="2"/>
    </row>
    <row r="2430" spans="2:2" x14ac:dyDescent="0.35">
      <c r="B2430" s="2"/>
    </row>
    <row r="2431" spans="2:2" x14ac:dyDescent="0.35">
      <c r="B2431" s="2"/>
    </row>
    <row r="2432" spans="2:2" x14ac:dyDescent="0.35">
      <c r="B2432" s="2"/>
    </row>
    <row r="2433" spans="2:2" x14ac:dyDescent="0.35">
      <c r="B2433" s="2"/>
    </row>
    <row r="2434" spans="2:2" x14ac:dyDescent="0.35">
      <c r="B2434" s="2"/>
    </row>
    <row r="2435" spans="2:2" x14ac:dyDescent="0.35">
      <c r="B2435" s="2"/>
    </row>
    <row r="2436" spans="2:2" x14ac:dyDescent="0.35">
      <c r="B2436" s="2"/>
    </row>
    <row r="2437" spans="2:2" x14ac:dyDescent="0.35">
      <c r="B2437" s="2"/>
    </row>
    <row r="2438" spans="2:2" x14ac:dyDescent="0.35">
      <c r="B2438" s="2"/>
    </row>
    <row r="2439" spans="2:2" x14ac:dyDescent="0.35">
      <c r="B2439" s="2"/>
    </row>
    <row r="2440" spans="2:2" x14ac:dyDescent="0.35">
      <c r="B2440" s="2"/>
    </row>
    <row r="2441" spans="2:2" x14ac:dyDescent="0.35">
      <c r="B2441" s="2"/>
    </row>
    <row r="2442" spans="2:2" x14ac:dyDescent="0.35">
      <c r="B2442" s="2"/>
    </row>
    <row r="2443" spans="2:2" x14ac:dyDescent="0.35">
      <c r="B2443" s="2"/>
    </row>
    <row r="2444" spans="2:2" x14ac:dyDescent="0.35">
      <c r="B2444" s="2"/>
    </row>
    <row r="2445" spans="2:2" x14ac:dyDescent="0.35">
      <c r="B2445" s="2"/>
    </row>
    <row r="2446" spans="2:2" x14ac:dyDescent="0.35">
      <c r="B2446" s="2"/>
    </row>
    <row r="2447" spans="2:2" x14ac:dyDescent="0.35">
      <c r="B2447" s="2"/>
    </row>
    <row r="2448" spans="2:2" x14ac:dyDescent="0.35">
      <c r="B2448" s="2"/>
    </row>
    <row r="2449" spans="2:2" x14ac:dyDescent="0.35">
      <c r="B2449" s="2"/>
    </row>
    <row r="2450" spans="2:2" x14ac:dyDescent="0.35">
      <c r="B2450" s="2"/>
    </row>
    <row r="2451" spans="2:2" x14ac:dyDescent="0.35">
      <c r="B2451" s="2"/>
    </row>
    <row r="2452" spans="2:2" x14ac:dyDescent="0.35">
      <c r="B2452" s="2"/>
    </row>
    <row r="2453" spans="2:2" x14ac:dyDescent="0.35">
      <c r="B2453" s="2"/>
    </row>
    <row r="2454" spans="2:2" x14ac:dyDescent="0.35">
      <c r="B2454" s="2"/>
    </row>
    <row r="2455" spans="2:2" x14ac:dyDescent="0.35">
      <c r="B2455" s="2"/>
    </row>
    <row r="2456" spans="2:2" x14ac:dyDescent="0.35">
      <c r="B2456" s="2"/>
    </row>
    <row r="2457" spans="2:2" x14ac:dyDescent="0.35">
      <c r="B2457" s="2"/>
    </row>
    <row r="2458" spans="2:2" x14ac:dyDescent="0.35">
      <c r="B2458" s="2"/>
    </row>
    <row r="2459" spans="2:2" x14ac:dyDescent="0.35">
      <c r="B2459" s="2"/>
    </row>
    <row r="2460" spans="2:2" x14ac:dyDescent="0.35">
      <c r="B2460" s="2"/>
    </row>
    <row r="2461" spans="2:2" x14ac:dyDescent="0.35">
      <c r="B2461" s="2"/>
    </row>
    <row r="2462" spans="2:2" x14ac:dyDescent="0.35">
      <c r="B2462" s="2"/>
    </row>
    <row r="2463" spans="2:2" x14ac:dyDescent="0.35">
      <c r="B2463" s="2"/>
    </row>
    <row r="2464" spans="2:2" x14ac:dyDescent="0.35">
      <c r="B2464" s="2"/>
    </row>
    <row r="2465" spans="2:2" x14ac:dyDescent="0.35">
      <c r="B2465" s="2"/>
    </row>
    <row r="2466" spans="2:2" x14ac:dyDescent="0.35">
      <c r="B2466" s="2"/>
    </row>
    <row r="2467" spans="2:2" x14ac:dyDescent="0.35">
      <c r="B2467" s="2"/>
    </row>
    <row r="2468" spans="2:2" x14ac:dyDescent="0.35">
      <c r="B2468" s="2"/>
    </row>
    <row r="2469" spans="2:2" x14ac:dyDescent="0.35">
      <c r="B2469" s="2"/>
    </row>
    <row r="2470" spans="2:2" x14ac:dyDescent="0.35">
      <c r="B2470" s="2"/>
    </row>
    <row r="2471" spans="2:2" x14ac:dyDescent="0.35">
      <c r="B2471" s="2"/>
    </row>
    <row r="2472" spans="2:2" x14ac:dyDescent="0.35">
      <c r="B2472" s="2"/>
    </row>
    <row r="2473" spans="2:2" x14ac:dyDescent="0.35">
      <c r="B2473" s="2"/>
    </row>
    <row r="2474" spans="2:2" x14ac:dyDescent="0.35">
      <c r="B2474" s="2"/>
    </row>
    <row r="2475" spans="2:2" x14ac:dyDescent="0.35">
      <c r="B2475" s="2"/>
    </row>
    <row r="2476" spans="2:2" x14ac:dyDescent="0.35">
      <c r="B2476" s="2"/>
    </row>
    <row r="2477" spans="2:2" x14ac:dyDescent="0.35">
      <c r="B2477" s="2"/>
    </row>
    <row r="2478" spans="2:2" x14ac:dyDescent="0.35">
      <c r="B2478" s="2"/>
    </row>
    <row r="2479" spans="2:2" x14ac:dyDescent="0.35">
      <c r="B2479" s="2"/>
    </row>
    <row r="2480" spans="2:2" x14ac:dyDescent="0.35">
      <c r="B2480" s="2"/>
    </row>
    <row r="2481" spans="2:2" x14ac:dyDescent="0.35">
      <c r="B2481" s="2"/>
    </row>
    <row r="2482" spans="2:2" x14ac:dyDescent="0.35">
      <c r="B2482" s="2"/>
    </row>
    <row r="2483" spans="2:2" x14ac:dyDescent="0.35">
      <c r="B2483" s="2"/>
    </row>
    <row r="2484" spans="2:2" x14ac:dyDescent="0.35">
      <c r="B2484" s="2"/>
    </row>
    <row r="2485" spans="2:2" x14ac:dyDescent="0.35">
      <c r="B2485" s="2"/>
    </row>
    <row r="2486" spans="2:2" x14ac:dyDescent="0.35">
      <c r="B2486" s="2"/>
    </row>
    <row r="2487" spans="2:2" x14ac:dyDescent="0.35">
      <c r="B2487" s="2"/>
    </row>
    <row r="2488" spans="2:2" x14ac:dyDescent="0.35">
      <c r="B2488" s="2"/>
    </row>
    <row r="2489" spans="2:2" x14ac:dyDescent="0.35">
      <c r="B2489" s="2"/>
    </row>
    <row r="2490" spans="2:2" x14ac:dyDescent="0.35">
      <c r="B2490" s="2"/>
    </row>
    <row r="2491" spans="2:2" x14ac:dyDescent="0.35">
      <c r="B2491" s="2"/>
    </row>
    <row r="2492" spans="2:2" x14ac:dyDescent="0.35">
      <c r="B2492" s="2"/>
    </row>
    <row r="2493" spans="2:2" x14ac:dyDescent="0.35">
      <c r="B2493" s="2"/>
    </row>
    <row r="2494" spans="2:2" x14ac:dyDescent="0.35">
      <c r="B2494" s="2"/>
    </row>
    <row r="2495" spans="2:2" x14ac:dyDescent="0.35">
      <c r="B2495" s="2"/>
    </row>
  </sheetData>
  <sheetProtection algorithmName="SHA-512" hashValue="lioxGXpiQE+tnp5CamFrGjbwBX+oxnSAWpAFaVxKq826ta/X5v9MfK0ZWX/WWPHthVrcAFNsQ4UwfsYSybIyjA==" saltValue="E7ccL+4JZ3N49nMsLgjFwA==" spinCount="100000" sheet="1" objects="1" scenarios="1"/>
  <hyperlinks>
    <hyperlink ref="A64" r:id="rId1" tooltip="EMFAC2017 Database" xr:uid="{00000000-0004-0000-0A00-000000000000}"/>
    <hyperlink ref="A79" r:id="rId2" tooltip="EMFAC2017 Database" xr:uid="{00000000-0004-0000-0A00-000001000000}"/>
  </hyperlinks>
  <pageMargins left="0.7" right="0.7" top="0.75" bottom="0.75" header="0.3" footer="0.3"/>
  <pageSetup scale="59"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1"/>
  </sheetPr>
  <dimension ref="A2:J2502"/>
  <sheetViews>
    <sheetView showGridLines="0" showWhiteSpace="0" zoomScaleNormal="100" workbookViewId="0">
      <selection activeCell="A52" sqref="A52"/>
    </sheetView>
  </sheetViews>
  <sheetFormatPr defaultColWidth="9.1796875" defaultRowHeight="14" x14ac:dyDescent="0.3"/>
  <cols>
    <col min="1" max="1" width="28.7265625" style="21" customWidth="1"/>
    <col min="2" max="2" width="16.7265625" style="78" customWidth="1"/>
    <col min="3" max="8" width="18.7265625" style="21" customWidth="1"/>
    <col min="9" max="9" width="9.1796875" style="21" customWidth="1"/>
    <col min="10" max="16384" width="9.1796875" style="21"/>
  </cols>
  <sheetData>
    <row r="2" spans="1:10" ht="18" x14ac:dyDescent="0.4">
      <c r="E2" s="23" t="s">
        <v>0</v>
      </c>
      <c r="I2" s="23"/>
    </row>
    <row r="3" spans="1:10" ht="18" x14ac:dyDescent="0.4">
      <c r="E3" s="24" t="s">
        <v>1</v>
      </c>
      <c r="I3" s="24"/>
    </row>
    <row r="4" spans="1:10" ht="18" x14ac:dyDescent="0.4">
      <c r="E4" s="25" t="s">
        <v>70</v>
      </c>
    </row>
    <row r="7" spans="1:10" ht="14.5" thickBot="1" x14ac:dyDescent="0.35"/>
    <row r="8" spans="1:10" ht="16" customHeight="1" thickBot="1" x14ac:dyDescent="0.4">
      <c r="A8" s="79" t="s">
        <v>112</v>
      </c>
      <c r="B8" s="80"/>
      <c r="C8" s="80"/>
      <c r="D8" s="80"/>
      <c r="E8" s="80"/>
      <c r="F8" s="80"/>
      <c r="G8" s="81"/>
      <c r="H8" s="2"/>
    </row>
    <row r="9" spans="1:10" ht="47" thickBot="1" x14ac:dyDescent="0.4">
      <c r="A9" s="82" t="s">
        <v>113</v>
      </c>
      <c r="B9" s="82" t="s">
        <v>114</v>
      </c>
      <c r="C9" s="83" t="s">
        <v>3591</v>
      </c>
      <c r="D9" s="84" t="s">
        <v>3588</v>
      </c>
      <c r="E9" s="84" t="s">
        <v>3592</v>
      </c>
      <c r="F9" s="85" t="s">
        <v>3593</v>
      </c>
      <c r="G9" s="86" t="s">
        <v>3594</v>
      </c>
      <c r="H9" s="2"/>
    </row>
    <row r="10" spans="1:10" ht="18.75" customHeight="1" x14ac:dyDescent="0.45">
      <c r="A10" s="87" t="s">
        <v>115</v>
      </c>
      <c r="B10" s="88" t="s">
        <v>116</v>
      </c>
      <c r="C10" s="89">
        <v>1101.1396771176803</v>
      </c>
      <c r="D10" s="90">
        <v>880.91174169414421</v>
      </c>
      <c r="E10" s="90">
        <v>590.64669021317866</v>
      </c>
      <c r="F10" s="90">
        <v>249.90076021378431</v>
      </c>
      <c r="G10" s="91">
        <v>494.36122028601892</v>
      </c>
      <c r="H10" s="2"/>
    </row>
    <row r="11" spans="1:10" ht="18.75" customHeight="1" x14ac:dyDescent="0.35">
      <c r="A11" s="92" t="s">
        <v>115</v>
      </c>
      <c r="B11" s="93" t="s">
        <v>117</v>
      </c>
      <c r="C11" s="94">
        <v>4.3221220421373399E-3</v>
      </c>
      <c r="D11" s="72">
        <v>3.4576976337098724E-3</v>
      </c>
      <c r="E11" s="72">
        <v>1.8671567222033308E-3</v>
      </c>
      <c r="F11" s="95">
        <v>0</v>
      </c>
      <c r="G11" s="96">
        <v>0</v>
      </c>
      <c r="H11" s="2"/>
    </row>
    <row r="12" spans="1:10" ht="18.75" customHeight="1" x14ac:dyDescent="0.45">
      <c r="A12" s="92" t="s">
        <v>115</v>
      </c>
      <c r="B12" s="93" t="s">
        <v>118</v>
      </c>
      <c r="C12" s="94">
        <v>2.5070145979148899E-2</v>
      </c>
      <c r="D12" s="72">
        <v>2.005611678331912E-2</v>
      </c>
      <c r="E12" s="72">
        <v>1.0830303062992326E-2</v>
      </c>
      <c r="F12" s="95">
        <v>0</v>
      </c>
      <c r="G12" s="96">
        <v>0</v>
      </c>
      <c r="H12" s="2"/>
    </row>
    <row r="13" spans="1:10" ht="18.75" customHeight="1" x14ac:dyDescent="0.45">
      <c r="A13" s="92" t="s">
        <v>115</v>
      </c>
      <c r="B13" s="93" t="s">
        <v>119</v>
      </c>
      <c r="C13" s="94">
        <v>3.6326462980453944E-2</v>
      </c>
      <c r="D13" s="72">
        <v>1.9633167682289489E-2</v>
      </c>
      <c r="E13" s="72">
        <v>1.9056712971589954E-2</v>
      </c>
      <c r="F13" s="72">
        <v>1.8380005267725281E-2</v>
      </c>
      <c r="G13" s="73">
        <v>1.8380005267725281E-2</v>
      </c>
      <c r="H13" s="2"/>
    </row>
    <row r="14" spans="1:10" ht="18.75" customHeight="1" thickBot="1" x14ac:dyDescent="0.4">
      <c r="A14" s="97" t="s">
        <v>115</v>
      </c>
      <c r="B14" s="98" t="s">
        <v>120</v>
      </c>
      <c r="C14" s="99">
        <v>0</v>
      </c>
      <c r="D14" s="100">
        <v>0</v>
      </c>
      <c r="E14" s="100">
        <v>0</v>
      </c>
      <c r="F14" s="100">
        <v>0</v>
      </c>
      <c r="G14" s="101">
        <v>0</v>
      </c>
      <c r="H14" s="2"/>
    </row>
    <row r="15" spans="1:10" ht="18.75" customHeight="1" x14ac:dyDescent="0.45">
      <c r="A15" s="87" t="s">
        <v>121</v>
      </c>
      <c r="B15" s="102" t="s">
        <v>116</v>
      </c>
      <c r="C15" s="103">
        <v>1256.1569249370355</v>
      </c>
      <c r="D15" s="104">
        <v>1004.9255399496283</v>
      </c>
      <c r="E15" s="104">
        <v>673.7972897721055</v>
      </c>
      <c r="F15" s="104">
        <v>285.08151782457867</v>
      </c>
      <c r="G15" s="105">
        <v>563.95685596227884</v>
      </c>
      <c r="H15" s="2"/>
    </row>
    <row r="16" spans="1:10" ht="18.75" customHeight="1" x14ac:dyDescent="0.35">
      <c r="A16" s="92" t="s">
        <v>121</v>
      </c>
      <c r="B16" s="93" t="s">
        <v>117</v>
      </c>
      <c r="C16" s="94">
        <v>4.2734322268169903E-3</v>
      </c>
      <c r="D16" s="72">
        <v>3.4187457814535919E-3</v>
      </c>
      <c r="E16" s="72">
        <v>1.8461227219849399E-3</v>
      </c>
      <c r="F16" s="95">
        <v>0</v>
      </c>
      <c r="G16" s="96">
        <v>0</v>
      </c>
      <c r="H16" s="2"/>
      <c r="J16" s="106"/>
    </row>
    <row r="17" spans="1:10" ht="18.75" customHeight="1" x14ac:dyDescent="0.45">
      <c r="A17" s="92" t="s">
        <v>121</v>
      </c>
      <c r="B17" s="93" t="s">
        <v>118</v>
      </c>
      <c r="C17" s="94">
        <v>2.9017571977147501E-2</v>
      </c>
      <c r="D17" s="72">
        <v>2.3214057581718E-2</v>
      </c>
      <c r="E17" s="72">
        <v>1.2535591094127722E-2</v>
      </c>
      <c r="F17" s="95">
        <v>0</v>
      </c>
      <c r="G17" s="96">
        <v>0</v>
      </c>
      <c r="H17" s="2"/>
      <c r="J17" s="2"/>
    </row>
    <row r="18" spans="1:10" ht="18.75" customHeight="1" x14ac:dyDescent="0.45">
      <c r="A18" s="92" t="s">
        <v>121</v>
      </c>
      <c r="B18" s="93" t="s">
        <v>119</v>
      </c>
      <c r="C18" s="94">
        <v>4.1767573635516642E-2</v>
      </c>
      <c r="D18" s="72">
        <v>2.2348055736887317E-2</v>
      </c>
      <c r="E18" s="72">
        <v>2.1778552880986232E-2</v>
      </c>
      <c r="F18" s="72">
        <v>2.1110006050145829E-2</v>
      </c>
      <c r="G18" s="73">
        <v>2.1110006050145829E-2</v>
      </c>
      <c r="H18" s="2"/>
      <c r="J18" s="2"/>
    </row>
    <row r="19" spans="1:10" ht="18.75" customHeight="1" thickBot="1" x14ac:dyDescent="0.4">
      <c r="A19" s="97" t="s">
        <v>121</v>
      </c>
      <c r="B19" s="98" t="s">
        <v>120</v>
      </c>
      <c r="C19" s="99">
        <v>0</v>
      </c>
      <c r="D19" s="100">
        <v>0</v>
      </c>
      <c r="E19" s="100">
        <v>0</v>
      </c>
      <c r="F19" s="100">
        <v>0</v>
      </c>
      <c r="G19" s="101">
        <v>0</v>
      </c>
      <c r="H19" s="2"/>
      <c r="J19" s="2"/>
    </row>
    <row r="20" spans="1:10" ht="15" customHeight="1" thickBot="1" x14ac:dyDescent="0.4">
      <c r="A20" s="2"/>
      <c r="B20" s="107"/>
      <c r="C20" s="2"/>
      <c r="D20" s="2"/>
      <c r="E20" s="2"/>
      <c r="F20" s="2"/>
      <c r="G20" s="2"/>
      <c r="H20" s="2"/>
      <c r="J20" s="6"/>
    </row>
    <row r="21" spans="1:10" ht="16" customHeight="1" thickBot="1" x14ac:dyDescent="0.4">
      <c r="A21" s="108" t="s">
        <v>122</v>
      </c>
      <c r="B21" s="109"/>
      <c r="C21" s="109"/>
      <c r="D21" s="109"/>
      <c r="E21" s="109"/>
      <c r="F21" s="109"/>
      <c r="G21" s="109"/>
      <c r="H21" s="110"/>
      <c r="J21" s="2"/>
    </row>
    <row r="22" spans="1:10" ht="47" thickBot="1" x14ac:dyDescent="0.4">
      <c r="A22" s="82" t="s">
        <v>113</v>
      </c>
      <c r="B22" s="111" t="s">
        <v>114</v>
      </c>
      <c r="C22" s="112" t="s">
        <v>3591</v>
      </c>
      <c r="D22" s="85" t="s">
        <v>3592</v>
      </c>
      <c r="E22" s="84" t="s">
        <v>3593</v>
      </c>
      <c r="F22" s="113" t="s">
        <v>3595</v>
      </c>
      <c r="G22" s="83" t="s">
        <v>3596</v>
      </c>
      <c r="H22" s="86" t="s">
        <v>3597</v>
      </c>
      <c r="J22" s="2"/>
    </row>
    <row r="23" spans="1:10" ht="18.75" customHeight="1" x14ac:dyDescent="0.45">
      <c r="A23" s="87" t="s">
        <v>123</v>
      </c>
      <c r="B23" s="114" t="s">
        <v>116</v>
      </c>
      <c r="C23" s="89">
        <v>301.92403180017118</v>
      </c>
      <c r="D23" s="90">
        <v>161.95078043630534</v>
      </c>
      <c r="E23" s="90">
        <v>68.520866736155227</v>
      </c>
      <c r="F23" s="115">
        <v>135.55004500891837</v>
      </c>
      <c r="G23" s="103">
        <v>301.56638488849251</v>
      </c>
      <c r="H23" s="105">
        <v>68.439699708053425</v>
      </c>
    </row>
    <row r="24" spans="1:10" ht="18.75" customHeight="1" x14ac:dyDescent="0.35">
      <c r="A24" s="92" t="s">
        <v>123</v>
      </c>
      <c r="B24" s="93" t="s">
        <v>117</v>
      </c>
      <c r="C24" s="94">
        <v>2.58135968451906E-3</v>
      </c>
      <c r="D24" s="72">
        <v>1.115147383712234E-3</v>
      </c>
      <c r="E24" s="95">
        <v>0</v>
      </c>
      <c r="F24" s="116">
        <v>0</v>
      </c>
      <c r="G24" s="94">
        <v>2.2443309519749599</v>
      </c>
      <c r="H24" s="117">
        <v>0</v>
      </c>
    </row>
    <row r="25" spans="1:10" ht="18.75" customHeight="1" x14ac:dyDescent="0.45">
      <c r="A25" s="92" t="s">
        <v>123</v>
      </c>
      <c r="B25" s="93" t="s">
        <v>118</v>
      </c>
      <c r="C25" s="94">
        <v>1.3532876946551E-2</v>
      </c>
      <c r="D25" s="72">
        <v>5.8462028409100326E-3</v>
      </c>
      <c r="E25" s="95">
        <v>0</v>
      </c>
      <c r="F25" s="116">
        <v>0</v>
      </c>
      <c r="G25" s="94">
        <v>1.1175665512366699</v>
      </c>
      <c r="H25" s="96">
        <v>0</v>
      </c>
    </row>
    <row r="26" spans="1:10" ht="18.75" customHeight="1" x14ac:dyDescent="0.45">
      <c r="A26" s="92" t="s">
        <v>123</v>
      </c>
      <c r="B26" s="93" t="s">
        <v>119</v>
      </c>
      <c r="C26" s="94">
        <v>1.864956394857618E-2</v>
      </c>
      <c r="D26" s="72">
        <v>1.0263612258313185E-2</v>
      </c>
      <c r="E26" s="72">
        <v>9.8750028301842797E-3</v>
      </c>
      <c r="F26" s="118">
        <v>9.8750028301842797E-3</v>
      </c>
      <c r="G26" s="94">
        <v>8.3531534044285899E-3</v>
      </c>
      <c r="H26" s="73">
        <v>3.5200010088353049E-3</v>
      </c>
    </row>
    <row r="27" spans="1:10" ht="18.75" customHeight="1" thickBot="1" x14ac:dyDescent="0.4">
      <c r="A27" s="97" t="s">
        <v>123</v>
      </c>
      <c r="B27" s="98" t="s">
        <v>120</v>
      </c>
      <c r="C27" s="99">
        <v>0</v>
      </c>
      <c r="D27" s="100">
        <v>0</v>
      </c>
      <c r="E27" s="100">
        <v>0</v>
      </c>
      <c r="F27" s="119">
        <v>0</v>
      </c>
      <c r="G27" s="99">
        <v>0</v>
      </c>
      <c r="H27" s="101">
        <v>0</v>
      </c>
    </row>
    <row r="28" spans="1:10" ht="14.5" thickBot="1" x14ac:dyDescent="0.35">
      <c r="B28" s="21"/>
    </row>
    <row r="29" spans="1:10" ht="15.5" x14ac:dyDescent="0.35">
      <c r="A29" s="120" t="s">
        <v>92</v>
      </c>
      <c r="B29" s="121"/>
      <c r="C29" s="121"/>
      <c r="D29" s="121"/>
      <c r="E29" s="121"/>
      <c r="F29" s="121"/>
      <c r="G29" s="121"/>
      <c r="H29" s="122"/>
      <c r="I29" s="106"/>
    </row>
    <row r="30" spans="1:10" ht="15.5" x14ac:dyDescent="0.35">
      <c r="A30" s="123" t="s">
        <v>124</v>
      </c>
      <c r="B30" s="107"/>
      <c r="C30" s="2"/>
      <c r="D30" s="2"/>
      <c r="E30" s="2"/>
      <c r="F30" s="2"/>
      <c r="G30" s="2"/>
      <c r="H30" s="16"/>
      <c r="I30" s="2"/>
    </row>
    <row r="31" spans="1:10" ht="15.5" x14ac:dyDescent="0.35">
      <c r="A31" s="26" t="s">
        <v>98</v>
      </c>
      <c r="B31" s="2"/>
      <c r="C31" s="2"/>
      <c r="D31" s="2"/>
      <c r="E31" s="2"/>
      <c r="F31" s="2"/>
      <c r="G31" s="6"/>
      <c r="H31" s="124"/>
    </row>
    <row r="32" spans="1:10" ht="15.5" x14ac:dyDescent="0.35">
      <c r="A32" s="26" t="s">
        <v>104</v>
      </c>
      <c r="B32" s="2"/>
      <c r="C32" s="2"/>
      <c r="D32" s="2"/>
      <c r="E32" s="2"/>
      <c r="F32" s="2"/>
      <c r="G32" s="2"/>
      <c r="H32" s="124"/>
    </row>
    <row r="33" spans="1:8" ht="15.5" x14ac:dyDescent="0.35">
      <c r="A33" s="26" t="s">
        <v>99</v>
      </c>
      <c r="B33" s="2"/>
      <c r="C33" s="2"/>
      <c r="D33" s="2"/>
      <c r="E33" s="2"/>
      <c r="F33" s="2"/>
      <c r="G33" s="2"/>
      <c r="H33" s="124"/>
    </row>
    <row r="34" spans="1:8" ht="15.5" x14ac:dyDescent="0.35">
      <c r="A34" s="26" t="s">
        <v>3598</v>
      </c>
      <c r="B34" s="2"/>
      <c r="C34" s="2"/>
      <c r="D34" s="2"/>
      <c r="E34" s="2"/>
      <c r="F34" s="2"/>
      <c r="G34" s="2"/>
      <c r="H34" s="124"/>
    </row>
    <row r="35" spans="1:8" ht="15.5" x14ac:dyDescent="0.35">
      <c r="A35" s="26" t="s">
        <v>100</v>
      </c>
      <c r="B35" s="2"/>
      <c r="C35" s="2"/>
      <c r="D35" s="2"/>
      <c r="E35" s="2"/>
      <c r="F35" s="2"/>
      <c r="G35" s="2"/>
      <c r="H35" s="124"/>
    </row>
    <row r="36" spans="1:8" ht="15.5" x14ac:dyDescent="0.35">
      <c r="A36" s="26" t="s">
        <v>126</v>
      </c>
      <c r="B36" s="2"/>
      <c r="C36" s="2"/>
      <c r="D36" s="2"/>
      <c r="E36" s="2"/>
      <c r="F36" s="2"/>
      <c r="G36" s="2"/>
      <c r="H36" s="124"/>
    </row>
    <row r="37" spans="1:8" ht="15.5" x14ac:dyDescent="0.35">
      <c r="A37" s="26" t="s">
        <v>3599</v>
      </c>
      <c r="B37" s="2"/>
      <c r="C37" s="2"/>
      <c r="D37" s="2"/>
      <c r="E37" s="2"/>
      <c r="F37" s="2"/>
      <c r="G37" s="2"/>
      <c r="H37" s="124"/>
    </row>
    <row r="38" spans="1:8" ht="15.5" x14ac:dyDescent="0.35">
      <c r="A38" s="26" t="s">
        <v>101</v>
      </c>
      <c r="B38" s="107"/>
      <c r="C38" s="2"/>
      <c r="D38" s="2"/>
      <c r="E38" s="2"/>
      <c r="F38" s="2"/>
      <c r="G38" s="2"/>
      <c r="H38" s="124"/>
    </row>
    <row r="39" spans="1:8" ht="15.5" x14ac:dyDescent="0.35">
      <c r="A39" s="26" t="s">
        <v>127</v>
      </c>
      <c r="B39" s="107"/>
      <c r="C39" s="2"/>
      <c r="D39" s="2"/>
      <c r="E39" s="2"/>
      <c r="F39" s="2"/>
      <c r="G39" s="2"/>
      <c r="H39" s="124"/>
    </row>
    <row r="40" spans="1:8" ht="15.5" x14ac:dyDescent="0.35">
      <c r="A40" s="26" t="s">
        <v>128</v>
      </c>
      <c r="B40" s="2"/>
      <c r="C40" s="2"/>
      <c r="D40" s="2"/>
      <c r="E40" s="2"/>
      <c r="F40" s="2"/>
      <c r="G40" s="2"/>
      <c r="H40" s="16"/>
    </row>
    <row r="41" spans="1:8" ht="15.5" x14ac:dyDescent="0.35">
      <c r="A41" s="26" t="s">
        <v>129</v>
      </c>
      <c r="B41" s="2"/>
      <c r="C41" s="2"/>
      <c r="D41" s="2"/>
      <c r="E41" s="2"/>
      <c r="F41" s="2"/>
      <c r="H41" s="124"/>
    </row>
    <row r="42" spans="1:8" ht="15" customHeight="1" x14ac:dyDescent="0.3">
      <c r="A42" s="50" t="s">
        <v>102</v>
      </c>
      <c r="B42" s="22"/>
      <c r="C42" s="22"/>
      <c r="D42" s="6"/>
      <c r="E42" s="6"/>
      <c r="F42" s="6"/>
      <c r="H42" s="124"/>
    </row>
    <row r="43" spans="1:8" ht="15.5" x14ac:dyDescent="0.35">
      <c r="A43" s="125" t="s">
        <v>103</v>
      </c>
      <c r="B43" s="2"/>
      <c r="C43" s="2"/>
      <c r="D43" s="2"/>
      <c r="E43" s="2"/>
      <c r="F43" s="2"/>
      <c r="H43" s="124"/>
    </row>
    <row r="44" spans="1:8" x14ac:dyDescent="0.3">
      <c r="A44" s="126"/>
      <c r="B44" s="21"/>
      <c r="H44" s="124"/>
    </row>
    <row r="45" spans="1:8" ht="15.5" x14ac:dyDescent="0.35">
      <c r="A45" s="123" t="s">
        <v>130</v>
      </c>
      <c r="B45" s="21"/>
      <c r="H45" s="124"/>
    </row>
    <row r="46" spans="1:8" ht="15.5" x14ac:dyDescent="0.35">
      <c r="A46" s="26" t="s">
        <v>98</v>
      </c>
      <c r="B46" s="21"/>
      <c r="H46" s="124"/>
    </row>
    <row r="47" spans="1:8" ht="15.5" x14ac:dyDescent="0.35">
      <c r="A47" s="26" t="s">
        <v>104</v>
      </c>
      <c r="B47" s="21"/>
      <c r="H47" s="124"/>
    </row>
    <row r="48" spans="1:8" ht="15.5" x14ac:dyDescent="0.35">
      <c r="A48" s="26" t="s">
        <v>99</v>
      </c>
      <c r="B48" s="21"/>
      <c r="H48" s="124"/>
    </row>
    <row r="49" spans="1:8" ht="15.5" x14ac:dyDescent="0.3">
      <c r="A49" s="127" t="s">
        <v>125</v>
      </c>
      <c r="B49" s="21"/>
      <c r="H49" s="124"/>
    </row>
    <row r="50" spans="1:8" ht="15.5" x14ac:dyDescent="0.35">
      <c r="A50" s="26" t="s">
        <v>100</v>
      </c>
      <c r="B50" s="21"/>
      <c r="H50" s="124"/>
    </row>
    <row r="51" spans="1:8" ht="15.5" x14ac:dyDescent="0.35">
      <c r="A51" s="26" t="s">
        <v>126</v>
      </c>
      <c r="B51" s="21"/>
      <c r="H51" s="124"/>
    </row>
    <row r="52" spans="1:8" ht="15.5" x14ac:dyDescent="0.35">
      <c r="A52" s="26" t="s">
        <v>3599</v>
      </c>
      <c r="B52" s="21"/>
      <c r="H52" s="124"/>
    </row>
    <row r="53" spans="1:8" ht="15.5" x14ac:dyDescent="0.35">
      <c r="A53" s="26" t="s">
        <v>101</v>
      </c>
      <c r="B53" s="21"/>
      <c r="H53" s="124"/>
    </row>
    <row r="54" spans="1:8" ht="15.5" x14ac:dyDescent="0.35">
      <c r="A54" s="26" t="s">
        <v>127</v>
      </c>
      <c r="B54" s="21"/>
      <c r="H54" s="124"/>
    </row>
    <row r="55" spans="1:8" ht="15.5" x14ac:dyDescent="0.35">
      <c r="A55" s="26" t="s">
        <v>131</v>
      </c>
      <c r="B55" s="2"/>
      <c r="C55" s="2"/>
      <c r="D55" s="2"/>
      <c r="E55" s="2"/>
      <c r="F55" s="2"/>
      <c r="G55" s="2"/>
      <c r="H55" s="16"/>
    </row>
    <row r="56" spans="1:8" ht="15.5" x14ac:dyDescent="0.35">
      <c r="A56" s="26" t="s">
        <v>129</v>
      </c>
      <c r="B56" s="21"/>
      <c r="H56" s="124"/>
    </row>
    <row r="57" spans="1:8" ht="15.5" x14ac:dyDescent="0.3">
      <c r="A57" s="128" t="s">
        <v>102</v>
      </c>
      <c r="B57" s="21"/>
      <c r="H57" s="124"/>
    </row>
    <row r="58" spans="1:8" ht="16" thickBot="1" x14ac:dyDescent="0.4">
      <c r="A58" s="63" t="s">
        <v>103</v>
      </c>
      <c r="B58" s="129"/>
      <c r="C58" s="129"/>
      <c r="D58" s="129"/>
      <c r="E58" s="129"/>
      <c r="F58" s="129"/>
      <c r="G58" s="129"/>
      <c r="H58" s="130"/>
    </row>
    <row r="59" spans="1:8" x14ac:dyDescent="0.3">
      <c r="B59" s="21"/>
    </row>
    <row r="60" spans="1:8" x14ac:dyDescent="0.3">
      <c r="B60" s="21"/>
    </row>
    <row r="61" spans="1:8" x14ac:dyDescent="0.3">
      <c r="B61" s="21"/>
    </row>
    <row r="62" spans="1:8" x14ac:dyDescent="0.3">
      <c r="B62" s="21"/>
    </row>
    <row r="63" spans="1:8" x14ac:dyDescent="0.3">
      <c r="B63" s="21"/>
    </row>
    <row r="64" spans="1:8" x14ac:dyDescent="0.3">
      <c r="B64" s="21"/>
    </row>
    <row r="65" spans="2:2" x14ac:dyDescent="0.3">
      <c r="B65" s="21"/>
    </row>
    <row r="66" spans="2:2" x14ac:dyDescent="0.3">
      <c r="B66" s="21"/>
    </row>
    <row r="67" spans="2:2" x14ac:dyDescent="0.3">
      <c r="B67" s="21"/>
    </row>
    <row r="68" spans="2:2" x14ac:dyDescent="0.3">
      <c r="B68" s="21"/>
    </row>
    <row r="69" spans="2:2" x14ac:dyDescent="0.3">
      <c r="B69" s="21"/>
    </row>
    <row r="70" spans="2:2" x14ac:dyDescent="0.3">
      <c r="B70" s="21"/>
    </row>
    <row r="71" spans="2:2" x14ac:dyDescent="0.3">
      <c r="B71" s="21"/>
    </row>
    <row r="72" spans="2:2" x14ac:dyDescent="0.3">
      <c r="B72" s="21"/>
    </row>
    <row r="73" spans="2:2" x14ac:dyDescent="0.3">
      <c r="B73" s="21"/>
    </row>
    <row r="74" spans="2:2" x14ac:dyDescent="0.3">
      <c r="B74" s="21"/>
    </row>
    <row r="75" spans="2:2" x14ac:dyDescent="0.3">
      <c r="B75" s="21"/>
    </row>
    <row r="76" spans="2:2" x14ac:dyDescent="0.3">
      <c r="B76" s="21"/>
    </row>
    <row r="77" spans="2:2" x14ac:dyDescent="0.3">
      <c r="B77" s="21"/>
    </row>
    <row r="78" spans="2:2" x14ac:dyDescent="0.3">
      <c r="B78" s="21"/>
    </row>
    <row r="79" spans="2:2" x14ac:dyDescent="0.3">
      <c r="B79" s="21"/>
    </row>
    <row r="80" spans="2:2" x14ac:dyDescent="0.3">
      <c r="B80" s="21"/>
    </row>
    <row r="81" spans="2:2" x14ac:dyDescent="0.3">
      <c r="B81" s="21"/>
    </row>
    <row r="82" spans="2:2" x14ac:dyDescent="0.3">
      <c r="B82" s="21"/>
    </row>
    <row r="83" spans="2:2" x14ac:dyDescent="0.3">
      <c r="B83" s="21"/>
    </row>
    <row r="84" spans="2:2" x14ac:dyDescent="0.3">
      <c r="B84" s="21"/>
    </row>
    <row r="85" spans="2:2" x14ac:dyDescent="0.3">
      <c r="B85" s="21"/>
    </row>
    <row r="86" spans="2:2" x14ac:dyDescent="0.3">
      <c r="B86" s="21"/>
    </row>
    <row r="87" spans="2:2" x14ac:dyDescent="0.3">
      <c r="B87" s="21"/>
    </row>
    <row r="88" spans="2:2" x14ac:dyDescent="0.3">
      <c r="B88" s="21"/>
    </row>
    <row r="89" spans="2:2" x14ac:dyDescent="0.3">
      <c r="B89" s="21"/>
    </row>
    <row r="90" spans="2:2" x14ac:dyDescent="0.3">
      <c r="B90" s="21"/>
    </row>
    <row r="91" spans="2:2" x14ac:dyDescent="0.3">
      <c r="B91" s="21"/>
    </row>
    <row r="92" spans="2:2" x14ac:dyDescent="0.3">
      <c r="B92" s="21"/>
    </row>
    <row r="93" spans="2:2" x14ac:dyDescent="0.3">
      <c r="B93" s="21"/>
    </row>
    <row r="94" spans="2:2" x14ac:dyDescent="0.3">
      <c r="B94" s="21"/>
    </row>
    <row r="95" spans="2:2" x14ac:dyDescent="0.3">
      <c r="B95" s="21"/>
    </row>
    <row r="96" spans="2:2" x14ac:dyDescent="0.3">
      <c r="B96" s="21"/>
    </row>
    <row r="97" spans="2:2" x14ac:dyDescent="0.3">
      <c r="B97" s="21"/>
    </row>
    <row r="98" spans="2:2" x14ac:dyDescent="0.3">
      <c r="B98" s="21"/>
    </row>
    <row r="99" spans="2:2" x14ac:dyDescent="0.3">
      <c r="B99" s="21"/>
    </row>
    <row r="100" spans="2:2" x14ac:dyDescent="0.3">
      <c r="B100" s="21"/>
    </row>
    <row r="101" spans="2:2" x14ac:dyDescent="0.3">
      <c r="B101" s="21"/>
    </row>
    <row r="102" spans="2:2" x14ac:dyDescent="0.3">
      <c r="B102" s="21"/>
    </row>
    <row r="103" spans="2:2" x14ac:dyDescent="0.3">
      <c r="B103" s="21"/>
    </row>
    <row r="104" spans="2:2" x14ac:dyDescent="0.3">
      <c r="B104" s="21"/>
    </row>
    <row r="105" spans="2:2" x14ac:dyDescent="0.3">
      <c r="B105" s="21"/>
    </row>
    <row r="106" spans="2:2" x14ac:dyDescent="0.3">
      <c r="B106" s="21"/>
    </row>
    <row r="107" spans="2:2" x14ac:dyDescent="0.3">
      <c r="B107" s="21"/>
    </row>
    <row r="108" spans="2:2" x14ac:dyDescent="0.3">
      <c r="B108" s="21"/>
    </row>
    <row r="109" spans="2:2" x14ac:dyDescent="0.3">
      <c r="B109" s="21"/>
    </row>
    <row r="110" spans="2:2" x14ac:dyDescent="0.3">
      <c r="B110" s="21"/>
    </row>
    <row r="111" spans="2:2" x14ac:dyDescent="0.3">
      <c r="B111" s="21"/>
    </row>
    <row r="112" spans="2:2" x14ac:dyDescent="0.3">
      <c r="B112" s="21"/>
    </row>
    <row r="113" spans="2:2" x14ac:dyDescent="0.3">
      <c r="B113" s="21"/>
    </row>
    <row r="114" spans="2:2" x14ac:dyDescent="0.3">
      <c r="B114" s="21"/>
    </row>
    <row r="115" spans="2:2" x14ac:dyDescent="0.3">
      <c r="B115" s="21"/>
    </row>
    <row r="116" spans="2:2" x14ac:dyDescent="0.3">
      <c r="B116" s="21"/>
    </row>
    <row r="117" spans="2:2" x14ac:dyDescent="0.3">
      <c r="B117" s="21"/>
    </row>
    <row r="118" spans="2:2" x14ac:dyDescent="0.3">
      <c r="B118" s="21"/>
    </row>
    <row r="119" spans="2:2" x14ac:dyDescent="0.3">
      <c r="B119" s="21"/>
    </row>
    <row r="120" spans="2:2" x14ac:dyDescent="0.3">
      <c r="B120" s="21"/>
    </row>
    <row r="121" spans="2:2" x14ac:dyDescent="0.3">
      <c r="B121" s="21"/>
    </row>
    <row r="122" spans="2:2" x14ac:dyDescent="0.3">
      <c r="B122" s="21"/>
    </row>
    <row r="123" spans="2:2" x14ac:dyDescent="0.3">
      <c r="B123" s="21"/>
    </row>
    <row r="124" spans="2:2" x14ac:dyDescent="0.3">
      <c r="B124" s="21"/>
    </row>
    <row r="125" spans="2:2" x14ac:dyDescent="0.3">
      <c r="B125" s="21"/>
    </row>
    <row r="126" spans="2:2" x14ac:dyDescent="0.3">
      <c r="B126" s="21"/>
    </row>
    <row r="127" spans="2:2" x14ac:dyDescent="0.3">
      <c r="B127" s="21"/>
    </row>
    <row r="128" spans="2:2" x14ac:dyDescent="0.3">
      <c r="B128" s="21"/>
    </row>
    <row r="129" spans="2:2" x14ac:dyDescent="0.3">
      <c r="B129" s="21"/>
    </row>
    <row r="130" spans="2:2" x14ac:dyDescent="0.3">
      <c r="B130" s="21"/>
    </row>
    <row r="131" spans="2:2" x14ac:dyDescent="0.3">
      <c r="B131" s="21"/>
    </row>
    <row r="132" spans="2:2" x14ac:dyDescent="0.3">
      <c r="B132" s="21"/>
    </row>
    <row r="133" spans="2:2" x14ac:dyDescent="0.3">
      <c r="B133" s="21"/>
    </row>
    <row r="134" spans="2:2" x14ac:dyDescent="0.3">
      <c r="B134" s="21"/>
    </row>
    <row r="135" spans="2:2" x14ac:dyDescent="0.3">
      <c r="B135" s="21"/>
    </row>
    <row r="136" spans="2:2" x14ac:dyDescent="0.3">
      <c r="B136" s="21"/>
    </row>
    <row r="137" spans="2:2" x14ac:dyDescent="0.3">
      <c r="B137" s="21"/>
    </row>
    <row r="138" spans="2:2" x14ac:dyDescent="0.3">
      <c r="B138" s="21"/>
    </row>
    <row r="139" spans="2:2" x14ac:dyDescent="0.3">
      <c r="B139" s="21"/>
    </row>
    <row r="140" spans="2:2" x14ac:dyDescent="0.3">
      <c r="B140" s="21"/>
    </row>
    <row r="141" spans="2:2" x14ac:dyDescent="0.3">
      <c r="B141" s="21"/>
    </row>
    <row r="142" spans="2:2" x14ac:dyDescent="0.3">
      <c r="B142" s="21"/>
    </row>
    <row r="143" spans="2:2" x14ac:dyDescent="0.3">
      <c r="B143" s="21"/>
    </row>
    <row r="144" spans="2:2" x14ac:dyDescent="0.3">
      <c r="B144" s="21"/>
    </row>
    <row r="145" spans="2:2" x14ac:dyDescent="0.3">
      <c r="B145" s="21"/>
    </row>
    <row r="146" spans="2:2" x14ac:dyDescent="0.3">
      <c r="B146" s="21"/>
    </row>
    <row r="147" spans="2:2" x14ac:dyDescent="0.3">
      <c r="B147" s="21"/>
    </row>
    <row r="148" spans="2:2" x14ac:dyDescent="0.3">
      <c r="B148" s="21"/>
    </row>
    <row r="149" spans="2:2" x14ac:dyDescent="0.3">
      <c r="B149" s="21"/>
    </row>
    <row r="150" spans="2:2" x14ac:dyDescent="0.3">
      <c r="B150" s="21"/>
    </row>
    <row r="151" spans="2:2" x14ac:dyDescent="0.3">
      <c r="B151" s="21"/>
    </row>
    <row r="152" spans="2:2" x14ac:dyDescent="0.3">
      <c r="B152" s="21"/>
    </row>
    <row r="153" spans="2:2" x14ac:dyDescent="0.3">
      <c r="B153" s="21"/>
    </row>
    <row r="154" spans="2:2" x14ac:dyDescent="0.3">
      <c r="B154" s="21"/>
    </row>
    <row r="155" spans="2:2" x14ac:dyDescent="0.3">
      <c r="B155" s="21"/>
    </row>
    <row r="156" spans="2:2" x14ac:dyDescent="0.3">
      <c r="B156" s="21"/>
    </row>
    <row r="157" spans="2:2" x14ac:dyDescent="0.3">
      <c r="B157" s="21"/>
    </row>
    <row r="158" spans="2:2" x14ac:dyDescent="0.3">
      <c r="B158" s="21"/>
    </row>
    <row r="159" spans="2:2" x14ac:dyDescent="0.3">
      <c r="B159" s="21"/>
    </row>
    <row r="160" spans="2:2" x14ac:dyDescent="0.3">
      <c r="B160" s="21"/>
    </row>
    <row r="161" spans="2:2" x14ac:dyDescent="0.3">
      <c r="B161" s="21"/>
    </row>
    <row r="162" spans="2:2" x14ac:dyDescent="0.3">
      <c r="B162" s="21"/>
    </row>
    <row r="163" spans="2:2" x14ac:dyDescent="0.3">
      <c r="B163" s="21"/>
    </row>
    <row r="164" spans="2:2" x14ac:dyDescent="0.3">
      <c r="B164" s="21"/>
    </row>
    <row r="165" spans="2:2" x14ac:dyDescent="0.3">
      <c r="B165" s="21"/>
    </row>
    <row r="166" spans="2:2" x14ac:dyDescent="0.3">
      <c r="B166" s="21"/>
    </row>
    <row r="167" spans="2:2" x14ac:dyDescent="0.3">
      <c r="B167" s="21"/>
    </row>
    <row r="168" spans="2:2" x14ac:dyDescent="0.3">
      <c r="B168" s="21"/>
    </row>
    <row r="169" spans="2:2" x14ac:dyDescent="0.3">
      <c r="B169" s="21"/>
    </row>
    <row r="170" spans="2:2" x14ac:dyDescent="0.3">
      <c r="B170" s="21"/>
    </row>
    <row r="171" spans="2:2" x14ac:dyDescent="0.3">
      <c r="B171" s="21"/>
    </row>
    <row r="172" spans="2:2" x14ac:dyDescent="0.3">
      <c r="B172" s="21"/>
    </row>
    <row r="173" spans="2:2" x14ac:dyDescent="0.3">
      <c r="B173" s="21"/>
    </row>
    <row r="174" spans="2:2" x14ac:dyDescent="0.3">
      <c r="B174" s="21"/>
    </row>
    <row r="175" spans="2:2" x14ac:dyDescent="0.3">
      <c r="B175" s="21"/>
    </row>
    <row r="176" spans="2:2" x14ac:dyDescent="0.3">
      <c r="B176" s="21"/>
    </row>
    <row r="177" spans="2:2" x14ac:dyDescent="0.3">
      <c r="B177" s="21"/>
    </row>
    <row r="178" spans="2:2" x14ac:dyDescent="0.3">
      <c r="B178" s="21"/>
    </row>
    <row r="179" spans="2:2" x14ac:dyDescent="0.3">
      <c r="B179" s="21"/>
    </row>
    <row r="180" spans="2:2" x14ac:dyDescent="0.3">
      <c r="B180" s="21"/>
    </row>
    <row r="181" spans="2:2" x14ac:dyDescent="0.3">
      <c r="B181" s="21"/>
    </row>
    <row r="182" spans="2:2" x14ac:dyDescent="0.3">
      <c r="B182" s="21"/>
    </row>
    <row r="183" spans="2:2" x14ac:dyDescent="0.3">
      <c r="B183" s="21"/>
    </row>
    <row r="184" spans="2:2" x14ac:dyDescent="0.3">
      <c r="B184" s="21"/>
    </row>
    <row r="185" spans="2:2" x14ac:dyDescent="0.3">
      <c r="B185" s="21"/>
    </row>
    <row r="186" spans="2:2" x14ac:dyDescent="0.3">
      <c r="B186" s="21"/>
    </row>
    <row r="187" spans="2:2" x14ac:dyDescent="0.3">
      <c r="B187" s="21"/>
    </row>
    <row r="188" spans="2:2" x14ac:dyDescent="0.3">
      <c r="B188" s="21"/>
    </row>
    <row r="189" spans="2:2" x14ac:dyDescent="0.3">
      <c r="B189" s="21"/>
    </row>
    <row r="190" spans="2:2" x14ac:dyDescent="0.3">
      <c r="B190" s="21"/>
    </row>
    <row r="191" spans="2:2" x14ac:dyDescent="0.3">
      <c r="B191" s="21"/>
    </row>
    <row r="192" spans="2:2" x14ac:dyDescent="0.3">
      <c r="B192" s="21"/>
    </row>
    <row r="193" spans="2:2" x14ac:dyDescent="0.3">
      <c r="B193" s="21"/>
    </row>
    <row r="194" spans="2:2" x14ac:dyDescent="0.3">
      <c r="B194" s="21"/>
    </row>
    <row r="195" spans="2:2" x14ac:dyDescent="0.3">
      <c r="B195" s="21"/>
    </row>
    <row r="196" spans="2:2" x14ac:dyDescent="0.3">
      <c r="B196" s="21"/>
    </row>
    <row r="197" spans="2:2" x14ac:dyDescent="0.3">
      <c r="B197" s="21"/>
    </row>
    <row r="198" spans="2:2" x14ac:dyDescent="0.3">
      <c r="B198" s="21"/>
    </row>
    <row r="199" spans="2:2" x14ac:dyDescent="0.3">
      <c r="B199" s="21"/>
    </row>
    <row r="200" spans="2:2" x14ac:dyDescent="0.3">
      <c r="B200" s="21"/>
    </row>
    <row r="201" spans="2:2" x14ac:dyDescent="0.3">
      <c r="B201" s="21"/>
    </row>
    <row r="202" spans="2:2" x14ac:dyDescent="0.3">
      <c r="B202" s="21"/>
    </row>
    <row r="203" spans="2:2" x14ac:dyDescent="0.3">
      <c r="B203" s="21"/>
    </row>
    <row r="204" spans="2:2" x14ac:dyDescent="0.3">
      <c r="B204" s="21"/>
    </row>
    <row r="205" spans="2:2" x14ac:dyDescent="0.3">
      <c r="B205" s="21"/>
    </row>
    <row r="206" spans="2:2" x14ac:dyDescent="0.3">
      <c r="B206" s="21"/>
    </row>
    <row r="207" spans="2:2" x14ac:dyDescent="0.3">
      <c r="B207" s="21"/>
    </row>
    <row r="208" spans="2:2" x14ac:dyDescent="0.3">
      <c r="B208" s="21"/>
    </row>
    <row r="209" spans="2:2" x14ac:dyDescent="0.3">
      <c r="B209" s="21"/>
    </row>
    <row r="210" spans="2:2" x14ac:dyDescent="0.3">
      <c r="B210" s="21"/>
    </row>
    <row r="211" spans="2:2" x14ac:dyDescent="0.3">
      <c r="B211" s="21"/>
    </row>
    <row r="212" spans="2:2" x14ac:dyDescent="0.3">
      <c r="B212" s="21"/>
    </row>
    <row r="213" spans="2:2" x14ac:dyDescent="0.3">
      <c r="B213" s="21"/>
    </row>
    <row r="214" spans="2:2" x14ac:dyDescent="0.3">
      <c r="B214" s="21"/>
    </row>
    <row r="215" spans="2:2" x14ac:dyDescent="0.3">
      <c r="B215" s="21"/>
    </row>
    <row r="216" spans="2:2" x14ac:dyDescent="0.3">
      <c r="B216" s="21"/>
    </row>
    <row r="217" spans="2:2" x14ac:dyDescent="0.3">
      <c r="B217" s="21"/>
    </row>
    <row r="218" spans="2:2" x14ac:dyDescent="0.3">
      <c r="B218" s="21"/>
    </row>
    <row r="219" spans="2:2" x14ac:dyDescent="0.3">
      <c r="B219" s="21"/>
    </row>
    <row r="220" spans="2:2" x14ac:dyDescent="0.3">
      <c r="B220" s="21"/>
    </row>
    <row r="221" spans="2:2" x14ac:dyDescent="0.3">
      <c r="B221" s="21"/>
    </row>
    <row r="222" spans="2:2" x14ac:dyDescent="0.3">
      <c r="B222" s="21"/>
    </row>
    <row r="223" spans="2:2" x14ac:dyDescent="0.3">
      <c r="B223" s="21"/>
    </row>
    <row r="224" spans="2:2" x14ac:dyDescent="0.3">
      <c r="B224" s="21"/>
    </row>
    <row r="225" spans="2:2" x14ac:dyDescent="0.3">
      <c r="B225" s="21"/>
    </row>
    <row r="226" spans="2:2" x14ac:dyDescent="0.3">
      <c r="B226" s="21"/>
    </row>
    <row r="227" spans="2:2" x14ac:dyDescent="0.3">
      <c r="B227" s="21"/>
    </row>
    <row r="228" spans="2:2" x14ac:dyDescent="0.3">
      <c r="B228" s="21"/>
    </row>
    <row r="229" spans="2:2" x14ac:dyDescent="0.3">
      <c r="B229" s="21"/>
    </row>
    <row r="230" spans="2:2" x14ac:dyDescent="0.3">
      <c r="B230" s="21"/>
    </row>
    <row r="231" spans="2:2" x14ac:dyDescent="0.3">
      <c r="B231" s="21"/>
    </row>
    <row r="232" spans="2:2" x14ac:dyDescent="0.3">
      <c r="B232" s="21"/>
    </row>
    <row r="233" spans="2:2" x14ac:dyDescent="0.3">
      <c r="B233" s="21"/>
    </row>
    <row r="234" spans="2:2" x14ac:dyDescent="0.3">
      <c r="B234" s="21"/>
    </row>
    <row r="235" spans="2:2" x14ac:dyDescent="0.3">
      <c r="B235" s="21"/>
    </row>
    <row r="236" spans="2:2" x14ac:dyDescent="0.3">
      <c r="B236" s="21"/>
    </row>
    <row r="237" spans="2:2" x14ac:dyDescent="0.3">
      <c r="B237" s="21"/>
    </row>
    <row r="238" spans="2:2" x14ac:dyDescent="0.3">
      <c r="B238" s="21"/>
    </row>
    <row r="239" spans="2:2" x14ac:dyDescent="0.3">
      <c r="B239" s="21"/>
    </row>
    <row r="240" spans="2:2" x14ac:dyDescent="0.3">
      <c r="B240" s="21"/>
    </row>
    <row r="241" spans="2:2" x14ac:dyDescent="0.3">
      <c r="B241" s="21"/>
    </row>
    <row r="242" spans="2:2" x14ac:dyDescent="0.3">
      <c r="B242" s="21"/>
    </row>
    <row r="243" spans="2:2" x14ac:dyDescent="0.3">
      <c r="B243" s="21"/>
    </row>
    <row r="244" spans="2:2" x14ac:dyDescent="0.3">
      <c r="B244" s="21"/>
    </row>
    <row r="245" spans="2:2" x14ac:dyDescent="0.3">
      <c r="B245" s="21"/>
    </row>
    <row r="246" spans="2:2" x14ac:dyDescent="0.3">
      <c r="B246" s="21"/>
    </row>
    <row r="247" spans="2:2" x14ac:dyDescent="0.3">
      <c r="B247" s="21"/>
    </row>
    <row r="248" spans="2:2" x14ac:dyDescent="0.3">
      <c r="B248" s="21"/>
    </row>
    <row r="249" spans="2:2" x14ac:dyDescent="0.3">
      <c r="B249" s="21"/>
    </row>
    <row r="250" spans="2:2" x14ac:dyDescent="0.3">
      <c r="B250" s="21"/>
    </row>
    <row r="251" spans="2:2" x14ac:dyDescent="0.3">
      <c r="B251" s="21"/>
    </row>
    <row r="252" spans="2:2" x14ac:dyDescent="0.3">
      <c r="B252" s="21"/>
    </row>
    <row r="253" spans="2:2" x14ac:dyDescent="0.3">
      <c r="B253" s="21"/>
    </row>
    <row r="254" spans="2:2" x14ac:dyDescent="0.3">
      <c r="B254" s="21"/>
    </row>
    <row r="255" spans="2:2" x14ac:dyDescent="0.3">
      <c r="B255" s="21"/>
    </row>
    <row r="256" spans="2:2" x14ac:dyDescent="0.3">
      <c r="B256" s="21"/>
    </row>
    <row r="257" spans="2:2" x14ac:dyDescent="0.3">
      <c r="B257" s="21"/>
    </row>
    <row r="258" spans="2:2" x14ac:dyDescent="0.3">
      <c r="B258" s="21"/>
    </row>
    <row r="259" spans="2:2" x14ac:dyDescent="0.3">
      <c r="B259" s="21"/>
    </row>
    <row r="260" spans="2:2" x14ac:dyDescent="0.3">
      <c r="B260" s="21"/>
    </row>
    <row r="261" spans="2:2" x14ac:dyDescent="0.3">
      <c r="B261" s="21"/>
    </row>
    <row r="262" spans="2:2" x14ac:dyDescent="0.3">
      <c r="B262" s="21"/>
    </row>
    <row r="263" spans="2:2" x14ac:dyDescent="0.3">
      <c r="B263" s="21"/>
    </row>
    <row r="264" spans="2:2" x14ac:dyDescent="0.3">
      <c r="B264" s="21"/>
    </row>
    <row r="265" spans="2:2" x14ac:dyDescent="0.3">
      <c r="B265" s="21"/>
    </row>
    <row r="266" spans="2:2" x14ac:dyDescent="0.3">
      <c r="B266" s="21"/>
    </row>
    <row r="267" spans="2:2" x14ac:dyDescent="0.3">
      <c r="B267" s="21"/>
    </row>
    <row r="268" spans="2:2" x14ac:dyDescent="0.3">
      <c r="B268" s="21"/>
    </row>
    <row r="269" spans="2:2" x14ac:dyDescent="0.3">
      <c r="B269" s="21"/>
    </row>
    <row r="270" spans="2:2" x14ac:dyDescent="0.3">
      <c r="B270" s="21"/>
    </row>
    <row r="271" spans="2:2" x14ac:dyDescent="0.3">
      <c r="B271" s="21"/>
    </row>
    <row r="272" spans="2:2" x14ac:dyDescent="0.3">
      <c r="B272" s="21"/>
    </row>
    <row r="273" spans="2:2" x14ac:dyDescent="0.3">
      <c r="B273" s="21"/>
    </row>
    <row r="274" spans="2:2" x14ac:dyDescent="0.3">
      <c r="B274" s="21"/>
    </row>
    <row r="275" spans="2:2" x14ac:dyDescent="0.3">
      <c r="B275" s="21"/>
    </row>
    <row r="276" spans="2:2" x14ac:dyDescent="0.3">
      <c r="B276" s="21"/>
    </row>
    <row r="277" spans="2:2" x14ac:dyDescent="0.3">
      <c r="B277" s="21"/>
    </row>
    <row r="278" spans="2:2" x14ac:dyDescent="0.3">
      <c r="B278" s="21"/>
    </row>
    <row r="279" spans="2:2" x14ac:dyDescent="0.3">
      <c r="B279" s="21"/>
    </row>
    <row r="280" spans="2:2" x14ac:dyDescent="0.3">
      <c r="B280" s="21"/>
    </row>
    <row r="281" spans="2:2" x14ac:dyDescent="0.3">
      <c r="B281" s="21"/>
    </row>
    <row r="282" spans="2:2" x14ac:dyDescent="0.3">
      <c r="B282" s="21"/>
    </row>
    <row r="283" spans="2:2" x14ac:dyDescent="0.3">
      <c r="B283" s="21"/>
    </row>
    <row r="284" spans="2:2" x14ac:dyDescent="0.3">
      <c r="B284" s="21"/>
    </row>
    <row r="285" spans="2:2" x14ac:dyDescent="0.3">
      <c r="B285" s="21"/>
    </row>
    <row r="286" spans="2:2" x14ac:dyDescent="0.3">
      <c r="B286" s="21"/>
    </row>
    <row r="287" spans="2:2" x14ac:dyDescent="0.3">
      <c r="B287" s="21"/>
    </row>
    <row r="288" spans="2:2" x14ac:dyDescent="0.3">
      <c r="B288" s="21"/>
    </row>
    <row r="289" spans="2:2" x14ac:dyDescent="0.3">
      <c r="B289" s="21"/>
    </row>
    <row r="290" spans="2:2" x14ac:dyDescent="0.3">
      <c r="B290" s="21"/>
    </row>
    <row r="291" spans="2:2" x14ac:dyDescent="0.3">
      <c r="B291" s="21"/>
    </row>
    <row r="292" spans="2:2" x14ac:dyDescent="0.3">
      <c r="B292" s="21"/>
    </row>
    <row r="293" spans="2:2" x14ac:dyDescent="0.3">
      <c r="B293" s="21"/>
    </row>
    <row r="294" spans="2:2" x14ac:dyDescent="0.3">
      <c r="B294" s="21"/>
    </row>
    <row r="295" spans="2:2" x14ac:dyDescent="0.3">
      <c r="B295" s="21"/>
    </row>
    <row r="296" spans="2:2" x14ac:dyDescent="0.3">
      <c r="B296" s="21"/>
    </row>
    <row r="297" spans="2:2" x14ac:dyDescent="0.3">
      <c r="B297" s="21"/>
    </row>
    <row r="298" spans="2:2" x14ac:dyDescent="0.3">
      <c r="B298" s="21"/>
    </row>
    <row r="299" spans="2:2" x14ac:dyDescent="0.3">
      <c r="B299" s="21"/>
    </row>
    <row r="300" spans="2:2" x14ac:dyDescent="0.3">
      <c r="B300" s="21"/>
    </row>
    <row r="301" spans="2:2" x14ac:dyDescent="0.3">
      <c r="B301" s="21"/>
    </row>
    <row r="302" spans="2:2" x14ac:dyDescent="0.3">
      <c r="B302" s="21"/>
    </row>
    <row r="303" spans="2:2" x14ac:dyDescent="0.3">
      <c r="B303" s="21"/>
    </row>
    <row r="304" spans="2:2" x14ac:dyDescent="0.3">
      <c r="B304" s="21"/>
    </row>
    <row r="305" spans="2:2" x14ac:dyDescent="0.3">
      <c r="B305" s="21"/>
    </row>
    <row r="306" spans="2:2" x14ac:dyDescent="0.3">
      <c r="B306" s="21"/>
    </row>
    <row r="307" spans="2:2" x14ac:dyDescent="0.3">
      <c r="B307" s="21"/>
    </row>
    <row r="308" spans="2:2" x14ac:dyDescent="0.3">
      <c r="B308" s="21"/>
    </row>
    <row r="309" spans="2:2" x14ac:dyDescent="0.3">
      <c r="B309" s="21"/>
    </row>
    <row r="310" spans="2:2" x14ac:dyDescent="0.3">
      <c r="B310" s="21"/>
    </row>
    <row r="311" spans="2:2" x14ac:dyDescent="0.3">
      <c r="B311" s="21"/>
    </row>
    <row r="312" spans="2:2" x14ac:dyDescent="0.3">
      <c r="B312" s="21"/>
    </row>
    <row r="313" spans="2:2" x14ac:dyDescent="0.3">
      <c r="B313" s="21"/>
    </row>
    <row r="314" spans="2:2" x14ac:dyDescent="0.3">
      <c r="B314" s="21"/>
    </row>
    <row r="315" spans="2:2" x14ac:dyDescent="0.3">
      <c r="B315" s="21"/>
    </row>
    <row r="316" spans="2:2" x14ac:dyDescent="0.3">
      <c r="B316" s="21"/>
    </row>
    <row r="317" spans="2:2" x14ac:dyDescent="0.3">
      <c r="B317" s="21"/>
    </row>
    <row r="318" spans="2:2" x14ac:dyDescent="0.3">
      <c r="B318" s="21"/>
    </row>
    <row r="319" spans="2:2" x14ac:dyDescent="0.3">
      <c r="B319" s="21"/>
    </row>
    <row r="320" spans="2:2" x14ac:dyDescent="0.3">
      <c r="B320" s="21"/>
    </row>
    <row r="321" spans="2:2" x14ac:dyDescent="0.3">
      <c r="B321" s="21"/>
    </row>
    <row r="322" spans="2:2" x14ac:dyDescent="0.3">
      <c r="B322" s="21"/>
    </row>
    <row r="323" spans="2:2" x14ac:dyDescent="0.3">
      <c r="B323" s="21"/>
    </row>
    <row r="324" spans="2:2" x14ac:dyDescent="0.3">
      <c r="B324" s="21"/>
    </row>
    <row r="325" spans="2:2" x14ac:dyDescent="0.3">
      <c r="B325" s="21"/>
    </row>
    <row r="326" spans="2:2" x14ac:dyDescent="0.3">
      <c r="B326" s="21"/>
    </row>
    <row r="327" spans="2:2" x14ac:dyDescent="0.3">
      <c r="B327" s="21"/>
    </row>
    <row r="328" spans="2:2" x14ac:dyDescent="0.3">
      <c r="B328" s="21"/>
    </row>
    <row r="329" spans="2:2" x14ac:dyDescent="0.3">
      <c r="B329" s="21"/>
    </row>
    <row r="330" spans="2:2" x14ac:dyDescent="0.3">
      <c r="B330" s="21"/>
    </row>
    <row r="331" spans="2:2" x14ac:dyDescent="0.3">
      <c r="B331" s="21"/>
    </row>
    <row r="332" spans="2:2" x14ac:dyDescent="0.3">
      <c r="B332" s="21"/>
    </row>
    <row r="333" spans="2:2" x14ac:dyDescent="0.3">
      <c r="B333" s="21"/>
    </row>
    <row r="334" spans="2:2" x14ac:dyDescent="0.3">
      <c r="B334" s="21"/>
    </row>
    <row r="335" spans="2:2" x14ac:dyDescent="0.3">
      <c r="B335" s="21"/>
    </row>
    <row r="336" spans="2:2" x14ac:dyDescent="0.3">
      <c r="B336" s="21"/>
    </row>
    <row r="337" spans="2:2" x14ac:dyDescent="0.3">
      <c r="B337" s="21"/>
    </row>
    <row r="338" spans="2:2" x14ac:dyDescent="0.3">
      <c r="B338" s="21"/>
    </row>
    <row r="339" spans="2:2" x14ac:dyDescent="0.3">
      <c r="B339" s="21"/>
    </row>
    <row r="340" spans="2:2" x14ac:dyDescent="0.3">
      <c r="B340" s="21"/>
    </row>
    <row r="341" spans="2:2" x14ac:dyDescent="0.3">
      <c r="B341" s="21"/>
    </row>
    <row r="342" spans="2:2" x14ac:dyDescent="0.3">
      <c r="B342" s="21"/>
    </row>
    <row r="343" spans="2:2" x14ac:dyDescent="0.3">
      <c r="B343" s="21"/>
    </row>
    <row r="344" spans="2:2" x14ac:dyDescent="0.3">
      <c r="B344" s="21"/>
    </row>
    <row r="345" spans="2:2" x14ac:dyDescent="0.3">
      <c r="B345" s="21"/>
    </row>
    <row r="346" spans="2:2" x14ac:dyDescent="0.3">
      <c r="B346" s="21"/>
    </row>
    <row r="347" spans="2:2" x14ac:dyDescent="0.3">
      <c r="B347" s="21"/>
    </row>
    <row r="348" spans="2:2" x14ac:dyDescent="0.3">
      <c r="B348" s="21"/>
    </row>
    <row r="349" spans="2:2" x14ac:dyDescent="0.3">
      <c r="B349" s="21"/>
    </row>
    <row r="350" spans="2:2" x14ac:dyDescent="0.3">
      <c r="B350" s="21"/>
    </row>
    <row r="351" spans="2:2" x14ac:dyDescent="0.3">
      <c r="B351" s="21"/>
    </row>
    <row r="352" spans="2:2" x14ac:dyDescent="0.3">
      <c r="B352" s="21"/>
    </row>
    <row r="353" spans="2:2" x14ac:dyDescent="0.3">
      <c r="B353" s="21"/>
    </row>
    <row r="354" spans="2:2" x14ac:dyDescent="0.3">
      <c r="B354" s="21"/>
    </row>
    <row r="355" spans="2:2" x14ac:dyDescent="0.3">
      <c r="B355" s="21"/>
    </row>
    <row r="356" spans="2:2" x14ac:dyDescent="0.3">
      <c r="B356" s="21"/>
    </row>
    <row r="357" spans="2:2" x14ac:dyDescent="0.3">
      <c r="B357" s="21"/>
    </row>
    <row r="358" spans="2:2" x14ac:dyDescent="0.3">
      <c r="B358" s="21"/>
    </row>
    <row r="359" spans="2:2" x14ac:dyDescent="0.3">
      <c r="B359" s="21"/>
    </row>
    <row r="360" spans="2:2" x14ac:dyDescent="0.3">
      <c r="B360" s="21"/>
    </row>
    <row r="361" spans="2:2" x14ac:dyDescent="0.3">
      <c r="B361" s="21"/>
    </row>
    <row r="362" spans="2:2" x14ac:dyDescent="0.3">
      <c r="B362" s="21"/>
    </row>
    <row r="363" spans="2:2" x14ac:dyDescent="0.3">
      <c r="B363" s="21"/>
    </row>
    <row r="364" spans="2:2" x14ac:dyDescent="0.3">
      <c r="B364" s="21"/>
    </row>
    <row r="365" spans="2:2" x14ac:dyDescent="0.3">
      <c r="B365" s="21"/>
    </row>
    <row r="366" spans="2:2" x14ac:dyDescent="0.3">
      <c r="B366" s="21"/>
    </row>
    <row r="367" spans="2:2" x14ac:dyDescent="0.3">
      <c r="B367" s="21"/>
    </row>
    <row r="368" spans="2:2" x14ac:dyDescent="0.3">
      <c r="B368" s="21"/>
    </row>
    <row r="369" spans="2:2" x14ac:dyDescent="0.3">
      <c r="B369" s="21"/>
    </row>
    <row r="370" spans="2:2" x14ac:dyDescent="0.3">
      <c r="B370" s="21"/>
    </row>
    <row r="371" spans="2:2" x14ac:dyDescent="0.3">
      <c r="B371" s="21"/>
    </row>
    <row r="372" spans="2:2" x14ac:dyDescent="0.3">
      <c r="B372" s="21"/>
    </row>
    <row r="373" spans="2:2" x14ac:dyDescent="0.3">
      <c r="B373" s="21"/>
    </row>
    <row r="374" spans="2:2" x14ac:dyDescent="0.3">
      <c r="B374" s="21"/>
    </row>
    <row r="375" spans="2:2" x14ac:dyDescent="0.3">
      <c r="B375" s="21"/>
    </row>
    <row r="376" spans="2:2" x14ac:dyDescent="0.3">
      <c r="B376" s="21"/>
    </row>
    <row r="377" spans="2:2" x14ac:dyDescent="0.3">
      <c r="B377" s="21"/>
    </row>
    <row r="378" spans="2:2" x14ac:dyDescent="0.3">
      <c r="B378" s="21"/>
    </row>
    <row r="379" spans="2:2" x14ac:dyDescent="0.3">
      <c r="B379" s="21"/>
    </row>
    <row r="380" spans="2:2" x14ac:dyDescent="0.3">
      <c r="B380" s="21"/>
    </row>
    <row r="381" spans="2:2" x14ac:dyDescent="0.3">
      <c r="B381" s="21"/>
    </row>
    <row r="382" spans="2:2" x14ac:dyDescent="0.3">
      <c r="B382" s="21"/>
    </row>
    <row r="383" spans="2:2" x14ac:dyDescent="0.3">
      <c r="B383" s="21"/>
    </row>
    <row r="384" spans="2:2" x14ac:dyDescent="0.3">
      <c r="B384" s="21"/>
    </row>
    <row r="385" spans="2:2" x14ac:dyDescent="0.3">
      <c r="B385" s="21"/>
    </row>
    <row r="386" spans="2:2" x14ac:dyDescent="0.3">
      <c r="B386" s="21"/>
    </row>
    <row r="387" spans="2:2" x14ac:dyDescent="0.3">
      <c r="B387" s="21"/>
    </row>
    <row r="388" spans="2:2" x14ac:dyDescent="0.3">
      <c r="B388" s="21"/>
    </row>
    <row r="389" spans="2:2" x14ac:dyDescent="0.3">
      <c r="B389" s="21"/>
    </row>
    <row r="390" spans="2:2" x14ac:dyDescent="0.3">
      <c r="B390" s="21"/>
    </row>
    <row r="391" spans="2:2" x14ac:dyDescent="0.3">
      <c r="B391" s="21"/>
    </row>
    <row r="392" spans="2:2" x14ac:dyDescent="0.3">
      <c r="B392" s="21"/>
    </row>
    <row r="393" spans="2:2" x14ac:dyDescent="0.3">
      <c r="B393" s="21"/>
    </row>
    <row r="394" spans="2:2" x14ac:dyDescent="0.3">
      <c r="B394" s="21"/>
    </row>
    <row r="395" spans="2:2" x14ac:dyDescent="0.3">
      <c r="B395" s="21"/>
    </row>
    <row r="396" spans="2:2" x14ac:dyDescent="0.3">
      <c r="B396" s="21"/>
    </row>
    <row r="397" spans="2:2" x14ac:dyDescent="0.3">
      <c r="B397" s="21"/>
    </row>
    <row r="398" spans="2:2" x14ac:dyDescent="0.3">
      <c r="B398" s="21"/>
    </row>
    <row r="399" spans="2:2" x14ac:dyDescent="0.3">
      <c r="B399" s="21"/>
    </row>
    <row r="400" spans="2:2" x14ac:dyDescent="0.3">
      <c r="B400" s="21"/>
    </row>
    <row r="401" spans="2:2" x14ac:dyDescent="0.3">
      <c r="B401" s="21"/>
    </row>
    <row r="402" spans="2:2" x14ac:dyDescent="0.3">
      <c r="B402" s="21"/>
    </row>
    <row r="403" spans="2:2" x14ac:dyDescent="0.3">
      <c r="B403" s="21"/>
    </row>
    <row r="404" spans="2:2" x14ac:dyDescent="0.3">
      <c r="B404" s="21"/>
    </row>
    <row r="405" spans="2:2" x14ac:dyDescent="0.3">
      <c r="B405" s="21"/>
    </row>
    <row r="406" spans="2:2" x14ac:dyDescent="0.3">
      <c r="B406" s="21"/>
    </row>
    <row r="407" spans="2:2" x14ac:dyDescent="0.3">
      <c r="B407" s="21"/>
    </row>
    <row r="408" spans="2:2" x14ac:dyDescent="0.3">
      <c r="B408" s="21"/>
    </row>
    <row r="409" spans="2:2" x14ac:dyDescent="0.3">
      <c r="B409" s="21"/>
    </row>
    <row r="410" spans="2:2" x14ac:dyDescent="0.3">
      <c r="B410" s="21"/>
    </row>
    <row r="411" spans="2:2" x14ac:dyDescent="0.3">
      <c r="B411" s="21"/>
    </row>
    <row r="412" spans="2:2" x14ac:dyDescent="0.3">
      <c r="B412" s="21"/>
    </row>
    <row r="413" spans="2:2" x14ac:dyDescent="0.3">
      <c r="B413" s="21"/>
    </row>
    <row r="414" spans="2:2" x14ac:dyDescent="0.3">
      <c r="B414" s="21"/>
    </row>
    <row r="415" spans="2:2" x14ac:dyDescent="0.3">
      <c r="B415" s="21"/>
    </row>
    <row r="416" spans="2:2" x14ac:dyDescent="0.3">
      <c r="B416" s="21"/>
    </row>
    <row r="417" spans="2:2" x14ac:dyDescent="0.3">
      <c r="B417" s="21"/>
    </row>
    <row r="418" spans="2:2" x14ac:dyDescent="0.3">
      <c r="B418" s="21"/>
    </row>
    <row r="419" spans="2:2" x14ac:dyDescent="0.3">
      <c r="B419" s="21"/>
    </row>
    <row r="420" spans="2:2" x14ac:dyDescent="0.3">
      <c r="B420" s="21"/>
    </row>
    <row r="421" spans="2:2" x14ac:dyDescent="0.3">
      <c r="B421" s="21"/>
    </row>
    <row r="422" spans="2:2" x14ac:dyDescent="0.3">
      <c r="B422" s="21"/>
    </row>
    <row r="423" spans="2:2" x14ac:dyDescent="0.3">
      <c r="B423" s="21"/>
    </row>
    <row r="424" spans="2:2" x14ac:dyDescent="0.3">
      <c r="B424" s="21"/>
    </row>
    <row r="425" spans="2:2" x14ac:dyDescent="0.3">
      <c r="B425" s="21"/>
    </row>
    <row r="426" spans="2:2" x14ac:dyDescent="0.3">
      <c r="B426" s="21"/>
    </row>
    <row r="427" spans="2:2" x14ac:dyDescent="0.3">
      <c r="B427" s="21"/>
    </row>
    <row r="428" spans="2:2" x14ac:dyDescent="0.3">
      <c r="B428" s="21"/>
    </row>
    <row r="429" spans="2:2" x14ac:dyDescent="0.3">
      <c r="B429" s="21"/>
    </row>
    <row r="430" spans="2:2" x14ac:dyDescent="0.3">
      <c r="B430" s="21"/>
    </row>
    <row r="431" spans="2:2" x14ac:dyDescent="0.3">
      <c r="B431" s="21"/>
    </row>
    <row r="432" spans="2:2" x14ac:dyDescent="0.3">
      <c r="B432" s="21"/>
    </row>
    <row r="433" spans="2:2" x14ac:dyDescent="0.3">
      <c r="B433" s="21"/>
    </row>
    <row r="434" spans="2:2" x14ac:dyDescent="0.3">
      <c r="B434" s="21"/>
    </row>
    <row r="435" spans="2:2" x14ac:dyDescent="0.3">
      <c r="B435" s="21"/>
    </row>
    <row r="436" spans="2:2" x14ac:dyDescent="0.3">
      <c r="B436" s="21"/>
    </row>
    <row r="437" spans="2:2" x14ac:dyDescent="0.3">
      <c r="B437" s="21"/>
    </row>
    <row r="438" spans="2:2" x14ac:dyDescent="0.3">
      <c r="B438" s="21"/>
    </row>
    <row r="439" spans="2:2" x14ac:dyDescent="0.3">
      <c r="B439" s="21"/>
    </row>
    <row r="440" spans="2:2" x14ac:dyDescent="0.3">
      <c r="B440" s="21"/>
    </row>
    <row r="441" spans="2:2" x14ac:dyDescent="0.3">
      <c r="B441" s="21"/>
    </row>
    <row r="442" spans="2:2" x14ac:dyDescent="0.3">
      <c r="B442" s="21"/>
    </row>
    <row r="443" spans="2:2" x14ac:dyDescent="0.3">
      <c r="B443" s="21"/>
    </row>
    <row r="444" spans="2:2" x14ac:dyDescent="0.3">
      <c r="B444" s="21"/>
    </row>
    <row r="445" spans="2:2" x14ac:dyDescent="0.3">
      <c r="B445" s="21"/>
    </row>
    <row r="446" spans="2:2" x14ac:dyDescent="0.3">
      <c r="B446" s="21"/>
    </row>
    <row r="447" spans="2:2" x14ac:dyDescent="0.3">
      <c r="B447" s="21"/>
    </row>
    <row r="448" spans="2:2" x14ac:dyDescent="0.3">
      <c r="B448" s="21"/>
    </row>
    <row r="449" spans="2:2" x14ac:dyDescent="0.3">
      <c r="B449" s="21"/>
    </row>
    <row r="450" spans="2:2" x14ac:dyDescent="0.3">
      <c r="B450" s="21"/>
    </row>
    <row r="451" spans="2:2" x14ac:dyDescent="0.3">
      <c r="B451" s="21"/>
    </row>
    <row r="452" spans="2:2" x14ac:dyDescent="0.3">
      <c r="B452" s="21"/>
    </row>
    <row r="453" spans="2:2" x14ac:dyDescent="0.3">
      <c r="B453" s="21"/>
    </row>
    <row r="454" spans="2:2" x14ac:dyDescent="0.3">
      <c r="B454" s="21"/>
    </row>
    <row r="455" spans="2:2" x14ac:dyDescent="0.3">
      <c r="B455" s="21"/>
    </row>
    <row r="456" spans="2:2" x14ac:dyDescent="0.3">
      <c r="B456" s="21"/>
    </row>
    <row r="457" spans="2:2" x14ac:dyDescent="0.3">
      <c r="B457" s="21"/>
    </row>
    <row r="458" spans="2:2" x14ac:dyDescent="0.3">
      <c r="B458" s="21"/>
    </row>
    <row r="459" spans="2:2" x14ac:dyDescent="0.3">
      <c r="B459" s="21"/>
    </row>
    <row r="460" spans="2:2" x14ac:dyDescent="0.3">
      <c r="B460" s="21"/>
    </row>
    <row r="461" spans="2:2" x14ac:dyDescent="0.3">
      <c r="B461" s="21"/>
    </row>
    <row r="462" spans="2:2" x14ac:dyDescent="0.3">
      <c r="B462" s="21"/>
    </row>
    <row r="463" spans="2:2" x14ac:dyDescent="0.3">
      <c r="B463" s="21"/>
    </row>
    <row r="464" spans="2:2" x14ac:dyDescent="0.3">
      <c r="B464" s="21"/>
    </row>
    <row r="465" spans="2:2" x14ac:dyDescent="0.3">
      <c r="B465" s="21"/>
    </row>
    <row r="466" spans="2:2" x14ac:dyDescent="0.3">
      <c r="B466" s="21"/>
    </row>
    <row r="467" spans="2:2" x14ac:dyDescent="0.3">
      <c r="B467" s="21"/>
    </row>
    <row r="468" spans="2:2" x14ac:dyDescent="0.3">
      <c r="B468" s="21"/>
    </row>
    <row r="469" spans="2:2" x14ac:dyDescent="0.3">
      <c r="B469" s="21"/>
    </row>
    <row r="470" spans="2:2" x14ac:dyDescent="0.3">
      <c r="B470" s="21"/>
    </row>
    <row r="471" spans="2:2" x14ac:dyDescent="0.3">
      <c r="B471" s="21"/>
    </row>
    <row r="472" spans="2:2" x14ac:dyDescent="0.3">
      <c r="B472" s="21"/>
    </row>
    <row r="473" spans="2:2" x14ac:dyDescent="0.3">
      <c r="B473" s="21"/>
    </row>
    <row r="474" spans="2:2" x14ac:dyDescent="0.3">
      <c r="B474" s="21"/>
    </row>
    <row r="475" spans="2:2" x14ac:dyDescent="0.3">
      <c r="B475" s="21"/>
    </row>
    <row r="476" spans="2:2" x14ac:dyDescent="0.3">
      <c r="B476" s="21"/>
    </row>
    <row r="477" spans="2:2" x14ac:dyDescent="0.3">
      <c r="B477" s="21"/>
    </row>
    <row r="478" spans="2:2" x14ac:dyDescent="0.3">
      <c r="B478" s="21"/>
    </row>
    <row r="479" spans="2:2" x14ac:dyDescent="0.3">
      <c r="B479" s="21"/>
    </row>
    <row r="480" spans="2:2" x14ac:dyDescent="0.3">
      <c r="B480" s="21"/>
    </row>
    <row r="481" spans="2:2" x14ac:dyDescent="0.3">
      <c r="B481" s="21"/>
    </row>
    <row r="482" spans="2:2" x14ac:dyDescent="0.3">
      <c r="B482" s="21"/>
    </row>
    <row r="483" spans="2:2" x14ac:dyDescent="0.3">
      <c r="B483" s="21"/>
    </row>
    <row r="484" spans="2:2" x14ac:dyDescent="0.3">
      <c r="B484" s="21"/>
    </row>
    <row r="485" spans="2:2" x14ac:dyDescent="0.3">
      <c r="B485" s="21"/>
    </row>
    <row r="486" spans="2:2" x14ac:dyDescent="0.3">
      <c r="B486" s="21"/>
    </row>
    <row r="487" spans="2:2" x14ac:dyDescent="0.3">
      <c r="B487" s="21"/>
    </row>
    <row r="488" spans="2:2" x14ac:dyDescent="0.3">
      <c r="B488" s="21"/>
    </row>
    <row r="489" spans="2:2" x14ac:dyDescent="0.3">
      <c r="B489" s="21"/>
    </row>
    <row r="490" spans="2:2" x14ac:dyDescent="0.3">
      <c r="B490" s="21"/>
    </row>
    <row r="491" spans="2:2" x14ac:dyDescent="0.3">
      <c r="B491" s="21"/>
    </row>
    <row r="492" spans="2:2" x14ac:dyDescent="0.3">
      <c r="B492" s="21"/>
    </row>
    <row r="493" spans="2:2" x14ac:dyDescent="0.3">
      <c r="B493" s="21"/>
    </row>
    <row r="494" spans="2:2" x14ac:dyDescent="0.3">
      <c r="B494" s="21"/>
    </row>
    <row r="495" spans="2:2" x14ac:dyDescent="0.3">
      <c r="B495" s="21"/>
    </row>
    <row r="496" spans="2:2" x14ac:dyDescent="0.3">
      <c r="B496" s="21"/>
    </row>
    <row r="497" spans="2:2" x14ac:dyDescent="0.3">
      <c r="B497" s="21"/>
    </row>
    <row r="498" spans="2:2" x14ac:dyDescent="0.3">
      <c r="B498" s="21"/>
    </row>
    <row r="499" spans="2:2" x14ac:dyDescent="0.3">
      <c r="B499" s="21"/>
    </row>
    <row r="500" spans="2:2" x14ac:dyDescent="0.3">
      <c r="B500" s="21"/>
    </row>
    <row r="501" spans="2:2" x14ac:dyDescent="0.3">
      <c r="B501" s="21"/>
    </row>
    <row r="502" spans="2:2" x14ac:dyDescent="0.3">
      <c r="B502" s="21"/>
    </row>
    <row r="503" spans="2:2" x14ac:dyDescent="0.3">
      <c r="B503" s="21"/>
    </row>
    <row r="504" spans="2:2" x14ac:dyDescent="0.3">
      <c r="B504" s="21"/>
    </row>
    <row r="505" spans="2:2" x14ac:dyDescent="0.3">
      <c r="B505" s="21"/>
    </row>
    <row r="506" spans="2:2" x14ac:dyDescent="0.3">
      <c r="B506" s="21"/>
    </row>
    <row r="507" spans="2:2" x14ac:dyDescent="0.3">
      <c r="B507" s="21"/>
    </row>
    <row r="508" spans="2:2" x14ac:dyDescent="0.3">
      <c r="B508" s="21"/>
    </row>
    <row r="509" spans="2:2" x14ac:dyDescent="0.3">
      <c r="B509" s="21"/>
    </row>
    <row r="510" spans="2:2" x14ac:dyDescent="0.3">
      <c r="B510" s="21"/>
    </row>
    <row r="511" spans="2:2" x14ac:dyDescent="0.3">
      <c r="B511" s="21"/>
    </row>
    <row r="512" spans="2:2" x14ac:dyDescent="0.3">
      <c r="B512" s="21"/>
    </row>
    <row r="513" spans="2:2" x14ac:dyDescent="0.3">
      <c r="B513" s="21"/>
    </row>
    <row r="514" spans="2:2" x14ac:dyDescent="0.3">
      <c r="B514" s="21"/>
    </row>
    <row r="515" spans="2:2" x14ac:dyDescent="0.3">
      <c r="B515" s="21"/>
    </row>
    <row r="516" spans="2:2" x14ac:dyDescent="0.3">
      <c r="B516" s="21"/>
    </row>
    <row r="517" spans="2:2" x14ac:dyDescent="0.3">
      <c r="B517" s="21"/>
    </row>
    <row r="518" spans="2:2" x14ac:dyDescent="0.3">
      <c r="B518" s="21"/>
    </row>
    <row r="519" spans="2:2" x14ac:dyDescent="0.3">
      <c r="B519" s="21"/>
    </row>
    <row r="520" spans="2:2" x14ac:dyDescent="0.3">
      <c r="B520" s="21"/>
    </row>
    <row r="521" spans="2:2" x14ac:dyDescent="0.3">
      <c r="B521" s="21"/>
    </row>
    <row r="522" spans="2:2" x14ac:dyDescent="0.3">
      <c r="B522" s="21"/>
    </row>
    <row r="523" spans="2:2" x14ac:dyDescent="0.3">
      <c r="B523" s="21"/>
    </row>
    <row r="524" spans="2:2" x14ac:dyDescent="0.3">
      <c r="B524" s="21"/>
    </row>
    <row r="525" spans="2:2" x14ac:dyDescent="0.3">
      <c r="B525" s="21"/>
    </row>
    <row r="526" spans="2:2" x14ac:dyDescent="0.3">
      <c r="B526" s="21"/>
    </row>
    <row r="527" spans="2:2" x14ac:dyDescent="0.3">
      <c r="B527" s="21"/>
    </row>
    <row r="528" spans="2:2" x14ac:dyDescent="0.3">
      <c r="B528" s="21"/>
    </row>
    <row r="529" spans="2:2" x14ac:dyDescent="0.3">
      <c r="B529" s="21"/>
    </row>
    <row r="530" spans="2:2" x14ac:dyDescent="0.3">
      <c r="B530" s="21"/>
    </row>
    <row r="531" spans="2:2" x14ac:dyDescent="0.3">
      <c r="B531" s="21"/>
    </row>
    <row r="532" spans="2:2" x14ac:dyDescent="0.3">
      <c r="B532" s="21"/>
    </row>
    <row r="533" spans="2:2" x14ac:dyDescent="0.3">
      <c r="B533" s="21"/>
    </row>
    <row r="534" spans="2:2" x14ac:dyDescent="0.3">
      <c r="B534" s="21"/>
    </row>
    <row r="535" spans="2:2" x14ac:dyDescent="0.3">
      <c r="B535" s="21"/>
    </row>
    <row r="536" spans="2:2" x14ac:dyDescent="0.3">
      <c r="B536" s="21"/>
    </row>
    <row r="537" spans="2:2" x14ac:dyDescent="0.3">
      <c r="B537" s="21"/>
    </row>
    <row r="538" spans="2:2" x14ac:dyDescent="0.3">
      <c r="B538" s="21"/>
    </row>
    <row r="539" spans="2:2" x14ac:dyDescent="0.3">
      <c r="B539" s="21"/>
    </row>
    <row r="540" spans="2:2" x14ac:dyDescent="0.3">
      <c r="B540" s="21"/>
    </row>
    <row r="541" spans="2:2" x14ac:dyDescent="0.3">
      <c r="B541" s="21"/>
    </row>
    <row r="542" spans="2:2" x14ac:dyDescent="0.3">
      <c r="B542" s="21"/>
    </row>
    <row r="543" spans="2:2" x14ac:dyDescent="0.3">
      <c r="B543" s="21"/>
    </row>
    <row r="544" spans="2:2" x14ac:dyDescent="0.3">
      <c r="B544" s="21"/>
    </row>
    <row r="545" spans="2:2" x14ac:dyDescent="0.3">
      <c r="B545" s="21"/>
    </row>
    <row r="546" spans="2:2" x14ac:dyDescent="0.3">
      <c r="B546" s="21"/>
    </row>
    <row r="547" spans="2:2" x14ac:dyDescent="0.3">
      <c r="B547" s="21"/>
    </row>
    <row r="548" spans="2:2" x14ac:dyDescent="0.3">
      <c r="B548" s="21"/>
    </row>
    <row r="549" spans="2:2" x14ac:dyDescent="0.3">
      <c r="B549" s="21"/>
    </row>
    <row r="550" spans="2:2" x14ac:dyDescent="0.3">
      <c r="B550" s="21"/>
    </row>
    <row r="551" spans="2:2" x14ac:dyDescent="0.3">
      <c r="B551" s="21"/>
    </row>
    <row r="552" spans="2:2" x14ac:dyDescent="0.3">
      <c r="B552" s="21"/>
    </row>
    <row r="553" spans="2:2" x14ac:dyDescent="0.3">
      <c r="B553" s="21"/>
    </row>
    <row r="554" spans="2:2" x14ac:dyDescent="0.3">
      <c r="B554" s="21"/>
    </row>
    <row r="555" spans="2:2" x14ac:dyDescent="0.3">
      <c r="B555" s="21"/>
    </row>
    <row r="556" spans="2:2" x14ac:dyDescent="0.3">
      <c r="B556" s="21"/>
    </row>
    <row r="557" spans="2:2" x14ac:dyDescent="0.3">
      <c r="B557" s="21"/>
    </row>
    <row r="558" spans="2:2" x14ac:dyDescent="0.3">
      <c r="B558" s="21"/>
    </row>
    <row r="559" spans="2:2" x14ac:dyDescent="0.3">
      <c r="B559" s="21"/>
    </row>
    <row r="560" spans="2:2" x14ac:dyDescent="0.3">
      <c r="B560" s="21"/>
    </row>
    <row r="561" spans="2:2" x14ac:dyDescent="0.3">
      <c r="B561" s="21"/>
    </row>
    <row r="562" spans="2:2" x14ac:dyDescent="0.3">
      <c r="B562" s="21"/>
    </row>
    <row r="563" spans="2:2" x14ac:dyDescent="0.3">
      <c r="B563" s="21"/>
    </row>
    <row r="564" spans="2:2" x14ac:dyDescent="0.3">
      <c r="B564" s="21"/>
    </row>
    <row r="565" spans="2:2" x14ac:dyDescent="0.3">
      <c r="B565" s="21"/>
    </row>
    <row r="566" spans="2:2" x14ac:dyDescent="0.3">
      <c r="B566" s="21"/>
    </row>
    <row r="567" spans="2:2" x14ac:dyDescent="0.3">
      <c r="B567" s="21"/>
    </row>
    <row r="568" spans="2:2" x14ac:dyDescent="0.3">
      <c r="B568" s="21"/>
    </row>
    <row r="569" spans="2:2" x14ac:dyDescent="0.3">
      <c r="B569" s="21"/>
    </row>
    <row r="570" spans="2:2" x14ac:dyDescent="0.3">
      <c r="B570" s="21"/>
    </row>
    <row r="571" spans="2:2" x14ac:dyDescent="0.3">
      <c r="B571" s="21"/>
    </row>
    <row r="572" spans="2:2" x14ac:dyDescent="0.3">
      <c r="B572" s="21"/>
    </row>
    <row r="573" spans="2:2" x14ac:dyDescent="0.3">
      <c r="B573" s="21"/>
    </row>
    <row r="574" spans="2:2" x14ac:dyDescent="0.3">
      <c r="B574" s="21"/>
    </row>
    <row r="575" spans="2:2" x14ac:dyDescent="0.3">
      <c r="B575" s="21"/>
    </row>
    <row r="576" spans="2:2" x14ac:dyDescent="0.3">
      <c r="B576" s="21"/>
    </row>
    <row r="577" spans="2:2" x14ac:dyDescent="0.3">
      <c r="B577" s="21"/>
    </row>
    <row r="578" spans="2:2" x14ac:dyDescent="0.3">
      <c r="B578" s="21"/>
    </row>
    <row r="579" spans="2:2" x14ac:dyDescent="0.3">
      <c r="B579" s="21"/>
    </row>
    <row r="580" spans="2:2" x14ac:dyDescent="0.3">
      <c r="B580" s="21"/>
    </row>
    <row r="581" spans="2:2" x14ac:dyDescent="0.3">
      <c r="B581" s="21"/>
    </row>
    <row r="582" spans="2:2" x14ac:dyDescent="0.3">
      <c r="B582" s="21"/>
    </row>
    <row r="583" spans="2:2" x14ac:dyDescent="0.3">
      <c r="B583" s="21"/>
    </row>
    <row r="584" spans="2:2" x14ac:dyDescent="0.3">
      <c r="B584" s="21"/>
    </row>
    <row r="585" spans="2:2" x14ac:dyDescent="0.3">
      <c r="B585" s="21"/>
    </row>
    <row r="586" spans="2:2" x14ac:dyDescent="0.3">
      <c r="B586" s="21"/>
    </row>
    <row r="587" spans="2:2" x14ac:dyDescent="0.3">
      <c r="B587" s="21"/>
    </row>
    <row r="588" spans="2:2" x14ac:dyDescent="0.3">
      <c r="B588" s="21"/>
    </row>
    <row r="589" spans="2:2" x14ac:dyDescent="0.3">
      <c r="B589" s="21"/>
    </row>
    <row r="590" spans="2:2" x14ac:dyDescent="0.3">
      <c r="B590" s="21"/>
    </row>
    <row r="591" spans="2:2" x14ac:dyDescent="0.3">
      <c r="B591" s="21"/>
    </row>
    <row r="592" spans="2:2" x14ac:dyDescent="0.3">
      <c r="B592" s="21"/>
    </row>
    <row r="593" spans="2:2" x14ac:dyDescent="0.3">
      <c r="B593" s="21"/>
    </row>
    <row r="594" spans="2:2" x14ac:dyDescent="0.3">
      <c r="B594" s="21"/>
    </row>
    <row r="595" spans="2:2" x14ac:dyDescent="0.3">
      <c r="B595" s="21"/>
    </row>
    <row r="596" spans="2:2" x14ac:dyDescent="0.3">
      <c r="B596" s="21"/>
    </row>
    <row r="597" spans="2:2" x14ac:dyDescent="0.3">
      <c r="B597" s="21"/>
    </row>
    <row r="598" spans="2:2" x14ac:dyDescent="0.3">
      <c r="B598" s="21"/>
    </row>
    <row r="599" spans="2:2" x14ac:dyDescent="0.3">
      <c r="B599" s="21"/>
    </row>
    <row r="600" spans="2:2" x14ac:dyDescent="0.3">
      <c r="B600" s="21"/>
    </row>
    <row r="601" spans="2:2" x14ac:dyDescent="0.3">
      <c r="B601" s="21"/>
    </row>
    <row r="602" spans="2:2" x14ac:dyDescent="0.3">
      <c r="B602" s="21"/>
    </row>
    <row r="603" spans="2:2" x14ac:dyDescent="0.3">
      <c r="B603" s="21"/>
    </row>
    <row r="604" spans="2:2" x14ac:dyDescent="0.3">
      <c r="B604" s="21"/>
    </row>
    <row r="605" spans="2:2" x14ac:dyDescent="0.3">
      <c r="B605" s="21"/>
    </row>
    <row r="606" spans="2:2" x14ac:dyDescent="0.3">
      <c r="B606" s="21"/>
    </row>
    <row r="607" spans="2:2" x14ac:dyDescent="0.3">
      <c r="B607" s="21"/>
    </row>
    <row r="608" spans="2:2" x14ac:dyDescent="0.3">
      <c r="B608" s="21"/>
    </row>
    <row r="609" spans="2:2" x14ac:dyDescent="0.3">
      <c r="B609" s="21"/>
    </row>
    <row r="610" spans="2:2" x14ac:dyDescent="0.3">
      <c r="B610" s="21"/>
    </row>
    <row r="611" spans="2:2" x14ac:dyDescent="0.3">
      <c r="B611" s="21"/>
    </row>
    <row r="612" spans="2:2" x14ac:dyDescent="0.3">
      <c r="B612" s="21"/>
    </row>
    <row r="613" spans="2:2" x14ac:dyDescent="0.3">
      <c r="B613" s="21"/>
    </row>
    <row r="614" spans="2:2" x14ac:dyDescent="0.3">
      <c r="B614" s="21"/>
    </row>
    <row r="615" spans="2:2" x14ac:dyDescent="0.3">
      <c r="B615" s="21"/>
    </row>
    <row r="616" spans="2:2" x14ac:dyDescent="0.3">
      <c r="B616" s="21"/>
    </row>
    <row r="617" spans="2:2" x14ac:dyDescent="0.3">
      <c r="B617" s="21"/>
    </row>
    <row r="618" spans="2:2" x14ac:dyDescent="0.3">
      <c r="B618" s="21"/>
    </row>
    <row r="619" spans="2:2" x14ac:dyDescent="0.3">
      <c r="B619" s="21"/>
    </row>
    <row r="620" spans="2:2" x14ac:dyDescent="0.3">
      <c r="B620" s="21"/>
    </row>
    <row r="621" spans="2:2" x14ac:dyDescent="0.3">
      <c r="B621" s="21"/>
    </row>
    <row r="622" spans="2:2" x14ac:dyDescent="0.3">
      <c r="B622" s="21"/>
    </row>
    <row r="623" spans="2:2" x14ac:dyDescent="0.3">
      <c r="B623" s="21"/>
    </row>
    <row r="624" spans="2:2" x14ac:dyDescent="0.3">
      <c r="B624" s="21"/>
    </row>
    <row r="625" spans="2:2" x14ac:dyDescent="0.3">
      <c r="B625" s="21"/>
    </row>
    <row r="626" spans="2:2" x14ac:dyDescent="0.3">
      <c r="B626" s="21"/>
    </row>
    <row r="627" spans="2:2" x14ac:dyDescent="0.3">
      <c r="B627" s="21"/>
    </row>
    <row r="628" spans="2:2" x14ac:dyDescent="0.3">
      <c r="B628" s="21"/>
    </row>
    <row r="629" spans="2:2" x14ac:dyDescent="0.3">
      <c r="B629" s="21"/>
    </row>
    <row r="630" spans="2:2" x14ac:dyDescent="0.3">
      <c r="B630" s="21"/>
    </row>
    <row r="631" spans="2:2" x14ac:dyDescent="0.3">
      <c r="B631" s="21"/>
    </row>
    <row r="632" spans="2:2" x14ac:dyDescent="0.3">
      <c r="B632" s="21"/>
    </row>
    <row r="633" spans="2:2" x14ac:dyDescent="0.3">
      <c r="B633" s="21"/>
    </row>
    <row r="634" spans="2:2" x14ac:dyDescent="0.3">
      <c r="B634" s="21"/>
    </row>
    <row r="635" spans="2:2" x14ac:dyDescent="0.3">
      <c r="B635" s="21"/>
    </row>
    <row r="636" spans="2:2" x14ac:dyDescent="0.3">
      <c r="B636" s="21"/>
    </row>
    <row r="637" spans="2:2" x14ac:dyDescent="0.3">
      <c r="B637" s="21"/>
    </row>
    <row r="638" spans="2:2" x14ac:dyDescent="0.3">
      <c r="B638" s="21"/>
    </row>
    <row r="639" spans="2:2" x14ac:dyDescent="0.3">
      <c r="B639" s="21"/>
    </row>
    <row r="640" spans="2:2" x14ac:dyDescent="0.3">
      <c r="B640" s="21"/>
    </row>
    <row r="641" spans="2:2" x14ac:dyDescent="0.3">
      <c r="B641" s="21"/>
    </row>
    <row r="642" spans="2:2" x14ac:dyDescent="0.3">
      <c r="B642" s="21"/>
    </row>
    <row r="643" spans="2:2" x14ac:dyDescent="0.3">
      <c r="B643" s="21"/>
    </row>
    <row r="644" spans="2:2" x14ac:dyDescent="0.3">
      <c r="B644" s="21"/>
    </row>
    <row r="645" spans="2:2" x14ac:dyDescent="0.3">
      <c r="B645" s="21"/>
    </row>
    <row r="646" spans="2:2" x14ac:dyDescent="0.3">
      <c r="B646" s="21"/>
    </row>
    <row r="647" spans="2:2" x14ac:dyDescent="0.3">
      <c r="B647" s="21"/>
    </row>
    <row r="648" spans="2:2" x14ac:dyDescent="0.3">
      <c r="B648" s="21"/>
    </row>
    <row r="649" spans="2:2" x14ac:dyDescent="0.3">
      <c r="B649" s="21"/>
    </row>
    <row r="650" spans="2:2" x14ac:dyDescent="0.3">
      <c r="B650" s="21"/>
    </row>
    <row r="651" spans="2:2" x14ac:dyDescent="0.3">
      <c r="B651" s="21"/>
    </row>
    <row r="652" spans="2:2" x14ac:dyDescent="0.3">
      <c r="B652" s="21"/>
    </row>
    <row r="653" spans="2:2" x14ac:dyDescent="0.3">
      <c r="B653" s="21"/>
    </row>
    <row r="654" spans="2:2" x14ac:dyDescent="0.3">
      <c r="B654" s="21"/>
    </row>
    <row r="655" spans="2:2" x14ac:dyDescent="0.3">
      <c r="B655" s="21"/>
    </row>
    <row r="656" spans="2:2" x14ac:dyDescent="0.3">
      <c r="B656" s="21"/>
    </row>
    <row r="657" spans="2:2" x14ac:dyDescent="0.3">
      <c r="B657" s="21"/>
    </row>
    <row r="658" spans="2:2" x14ac:dyDescent="0.3">
      <c r="B658" s="21"/>
    </row>
    <row r="659" spans="2:2" x14ac:dyDescent="0.3">
      <c r="B659" s="21"/>
    </row>
    <row r="660" spans="2:2" x14ac:dyDescent="0.3">
      <c r="B660" s="21"/>
    </row>
    <row r="661" spans="2:2" x14ac:dyDescent="0.3">
      <c r="B661" s="21"/>
    </row>
    <row r="662" spans="2:2" x14ac:dyDescent="0.3">
      <c r="B662" s="21"/>
    </row>
    <row r="663" spans="2:2" x14ac:dyDescent="0.3">
      <c r="B663" s="21"/>
    </row>
    <row r="664" spans="2:2" x14ac:dyDescent="0.3">
      <c r="B664" s="21"/>
    </row>
    <row r="665" spans="2:2" x14ac:dyDescent="0.3">
      <c r="B665" s="21"/>
    </row>
    <row r="666" spans="2:2" x14ac:dyDescent="0.3">
      <c r="B666" s="21"/>
    </row>
    <row r="667" spans="2:2" x14ac:dyDescent="0.3">
      <c r="B667" s="21"/>
    </row>
    <row r="668" spans="2:2" x14ac:dyDescent="0.3">
      <c r="B668" s="21"/>
    </row>
    <row r="669" spans="2:2" x14ac:dyDescent="0.3">
      <c r="B669" s="21"/>
    </row>
    <row r="670" spans="2:2" x14ac:dyDescent="0.3">
      <c r="B670" s="21"/>
    </row>
    <row r="671" spans="2:2" x14ac:dyDescent="0.3">
      <c r="B671" s="21"/>
    </row>
    <row r="672" spans="2:2" x14ac:dyDescent="0.3">
      <c r="B672" s="21"/>
    </row>
    <row r="673" spans="2:2" x14ac:dyDescent="0.3">
      <c r="B673" s="21"/>
    </row>
    <row r="674" spans="2:2" x14ac:dyDescent="0.3">
      <c r="B674" s="21"/>
    </row>
    <row r="675" spans="2:2" x14ac:dyDescent="0.3">
      <c r="B675" s="21"/>
    </row>
    <row r="676" spans="2:2" x14ac:dyDescent="0.3">
      <c r="B676" s="21"/>
    </row>
    <row r="677" spans="2:2" x14ac:dyDescent="0.3">
      <c r="B677" s="21"/>
    </row>
    <row r="678" spans="2:2" x14ac:dyDescent="0.3">
      <c r="B678" s="21"/>
    </row>
    <row r="679" spans="2:2" x14ac:dyDescent="0.3">
      <c r="B679" s="21"/>
    </row>
    <row r="680" spans="2:2" x14ac:dyDescent="0.3">
      <c r="B680" s="21"/>
    </row>
    <row r="681" spans="2:2" x14ac:dyDescent="0.3">
      <c r="B681" s="21"/>
    </row>
    <row r="682" spans="2:2" x14ac:dyDescent="0.3">
      <c r="B682" s="21"/>
    </row>
    <row r="683" spans="2:2" x14ac:dyDescent="0.3">
      <c r="B683" s="21"/>
    </row>
    <row r="684" spans="2:2" x14ac:dyDescent="0.3">
      <c r="B684" s="21"/>
    </row>
    <row r="685" spans="2:2" x14ac:dyDescent="0.3">
      <c r="B685" s="21"/>
    </row>
    <row r="686" spans="2:2" x14ac:dyDescent="0.3">
      <c r="B686" s="21"/>
    </row>
    <row r="687" spans="2:2" x14ac:dyDescent="0.3">
      <c r="B687" s="21"/>
    </row>
    <row r="688" spans="2:2" x14ac:dyDescent="0.3">
      <c r="B688" s="21"/>
    </row>
    <row r="689" spans="2:2" x14ac:dyDescent="0.3">
      <c r="B689" s="21"/>
    </row>
    <row r="690" spans="2:2" x14ac:dyDescent="0.3">
      <c r="B690" s="21"/>
    </row>
    <row r="691" spans="2:2" x14ac:dyDescent="0.3">
      <c r="B691" s="21"/>
    </row>
    <row r="692" spans="2:2" x14ac:dyDescent="0.3">
      <c r="B692" s="21"/>
    </row>
    <row r="693" spans="2:2" x14ac:dyDescent="0.3">
      <c r="B693" s="21"/>
    </row>
    <row r="694" spans="2:2" x14ac:dyDescent="0.3">
      <c r="B694" s="21"/>
    </row>
    <row r="695" spans="2:2" x14ac:dyDescent="0.3">
      <c r="B695" s="21"/>
    </row>
    <row r="696" spans="2:2" x14ac:dyDescent="0.3">
      <c r="B696" s="21"/>
    </row>
    <row r="697" spans="2:2" x14ac:dyDescent="0.3">
      <c r="B697" s="21"/>
    </row>
    <row r="698" spans="2:2" x14ac:dyDescent="0.3">
      <c r="B698" s="21"/>
    </row>
    <row r="699" spans="2:2" x14ac:dyDescent="0.3">
      <c r="B699" s="21"/>
    </row>
    <row r="700" spans="2:2" x14ac:dyDescent="0.3">
      <c r="B700" s="21"/>
    </row>
    <row r="701" spans="2:2" x14ac:dyDescent="0.3">
      <c r="B701" s="21"/>
    </row>
    <row r="702" spans="2:2" x14ac:dyDescent="0.3">
      <c r="B702" s="21"/>
    </row>
    <row r="703" spans="2:2" x14ac:dyDescent="0.3">
      <c r="B703" s="21"/>
    </row>
    <row r="704" spans="2:2" x14ac:dyDescent="0.3">
      <c r="B704" s="21"/>
    </row>
    <row r="705" spans="2:2" x14ac:dyDescent="0.3">
      <c r="B705" s="21"/>
    </row>
    <row r="706" spans="2:2" x14ac:dyDescent="0.3">
      <c r="B706" s="21"/>
    </row>
    <row r="707" spans="2:2" x14ac:dyDescent="0.3">
      <c r="B707" s="21"/>
    </row>
    <row r="708" spans="2:2" x14ac:dyDescent="0.3">
      <c r="B708" s="21"/>
    </row>
    <row r="709" spans="2:2" x14ac:dyDescent="0.3">
      <c r="B709" s="21"/>
    </row>
    <row r="710" spans="2:2" x14ac:dyDescent="0.3">
      <c r="B710" s="21"/>
    </row>
    <row r="711" spans="2:2" x14ac:dyDescent="0.3">
      <c r="B711" s="21"/>
    </row>
    <row r="712" spans="2:2" x14ac:dyDescent="0.3">
      <c r="B712" s="21"/>
    </row>
    <row r="713" spans="2:2" x14ac:dyDescent="0.3">
      <c r="B713" s="21"/>
    </row>
    <row r="714" spans="2:2" x14ac:dyDescent="0.3">
      <c r="B714" s="21"/>
    </row>
    <row r="715" spans="2:2" x14ac:dyDescent="0.3">
      <c r="B715" s="21"/>
    </row>
    <row r="716" spans="2:2" x14ac:dyDescent="0.3">
      <c r="B716" s="21"/>
    </row>
    <row r="717" spans="2:2" x14ac:dyDescent="0.3">
      <c r="B717" s="21"/>
    </row>
    <row r="718" spans="2:2" x14ac:dyDescent="0.3">
      <c r="B718" s="21"/>
    </row>
    <row r="719" spans="2:2" x14ac:dyDescent="0.3">
      <c r="B719" s="21"/>
    </row>
    <row r="720" spans="2:2" x14ac:dyDescent="0.3">
      <c r="B720" s="21"/>
    </row>
    <row r="721" spans="2:2" x14ac:dyDescent="0.3">
      <c r="B721" s="21"/>
    </row>
    <row r="722" spans="2:2" x14ac:dyDescent="0.3">
      <c r="B722" s="21"/>
    </row>
    <row r="723" spans="2:2" x14ac:dyDescent="0.3">
      <c r="B723" s="21"/>
    </row>
    <row r="724" spans="2:2" x14ac:dyDescent="0.3">
      <c r="B724" s="21"/>
    </row>
    <row r="725" spans="2:2" x14ac:dyDescent="0.3">
      <c r="B725" s="21"/>
    </row>
    <row r="726" spans="2:2" x14ac:dyDescent="0.3">
      <c r="B726" s="21"/>
    </row>
    <row r="727" spans="2:2" x14ac:dyDescent="0.3">
      <c r="B727" s="21"/>
    </row>
    <row r="728" spans="2:2" x14ac:dyDescent="0.3">
      <c r="B728" s="21"/>
    </row>
    <row r="729" spans="2:2" x14ac:dyDescent="0.3">
      <c r="B729" s="21"/>
    </row>
    <row r="730" spans="2:2" x14ac:dyDescent="0.3">
      <c r="B730" s="21"/>
    </row>
    <row r="731" spans="2:2" x14ac:dyDescent="0.3">
      <c r="B731" s="21"/>
    </row>
    <row r="732" spans="2:2" x14ac:dyDescent="0.3">
      <c r="B732" s="21"/>
    </row>
    <row r="733" spans="2:2" x14ac:dyDescent="0.3">
      <c r="B733" s="21"/>
    </row>
    <row r="734" spans="2:2" x14ac:dyDescent="0.3">
      <c r="B734" s="21"/>
    </row>
    <row r="735" spans="2:2" x14ac:dyDescent="0.3">
      <c r="B735" s="21"/>
    </row>
    <row r="736" spans="2:2" x14ac:dyDescent="0.3">
      <c r="B736" s="21"/>
    </row>
    <row r="737" spans="2:2" x14ac:dyDescent="0.3">
      <c r="B737" s="21"/>
    </row>
    <row r="738" spans="2:2" x14ac:dyDescent="0.3">
      <c r="B738" s="21"/>
    </row>
    <row r="739" spans="2:2" x14ac:dyDescent="0.3">
      <c r="B739" s="21"/>
    </row>
    <row r="740" spans="2:2" x14ac:dyDescent="0.3">
      <c r="B740" s="21"/>
    </row>
    <row r="741" spans="2:2" x14ac:dyDescent="0.3">
      <c r="B741" s="21"/>
    </row>
    <row r="742" spans="2:2" x14ac:dyDescent="0.3">
      <c r="B742" s="21"/>
    </row>
    <row r="743" spans="2:2" x14ac:dyDescent="0.3">
      <c r="B743" s="21"/>
    </row>
    <row r="744" spans="2:2" x14ac:dyDescent="0.3">
      <c r="B744" s="21"/>
    </row>
    <row r="745" spans="2:2" x14ac:dyDescent="0.3">
      <c r="B745" s="21"/>
    </row>
    <row r="746" spans="2:2" x14ac:dyDescent="0.3">
      <c r="B746" s="21"/>
    </row>
    <row r="747" spans="2:2" x14ac:dyDescent="0.3">
      <c r="B747" s="21"/>
    </row>
    <row r="748" spans="2:2" x14ac:dyDescent="0.3">
      <c r="B748" s="21"/>
    </row>
    <row r="749" spans="2:2" x14ac:dyDescent="0.3">
      <c r="B749" s="21"/>
    </row>
    <row r="750" spans="2:2" x14ac:dyDescent="0.3">
      <c r="B750" s="21"/>
    </row>
    <row r="751" spans="2:2" x14ac:dyDescent="0.3">
      <c r="B751" s="21"/>
    </row>
    <row r="752" spans="2:2" x14ac:dyDescent="0.3">
      <c r="B752" s="21"/>
    </row>
    <row r="753" spans="2:2" x14ac:dyDescent="0.3">
      <c r="B753" s="21"/>
    </row>
    <row r="754" spans="2:2" x14ac:dyDescent="0.3">
      <c r="B754" s="21"/>
    </row>
    <row r="755" spans="2:2" x14ac:dyDescent="0.3">
      <c r="B755" s="21"/>
    </row>
    <row r="756" spans="2:2" x14ac:dyDescent="0.3">
      <c r="B756" s="21"/>
    </row>
    <row r="757" spans="2:2" x14ac:dyDescent="0.3">
      <c r="B757" s="21"/>
    </row>
    <row r="758" spans="2:2" x14ac:dyDescent="0.3">
      <c r="B758" s="21"/>
    </row>
    <row r="759" spans="2:2" x14ac:dyDescent="0.3">
      <c r="B759" s="21"/>
    </row>
    <row r="760" spans="2:2" x14ac:dyDescent="0.3">
      <c r="B760" s="21"/>
    </row>
    <row r="761" spans="2:2" x14ac:dyDescent="0.3">
      <c r="B761" s="21"/>
    </row>
    <row r="762" spans="2:2" x14ac:dyDescent="0.3">
      <c r="B762" s="21"/>
    </row>
    <row r="763" spans="2:2" x14ac:dyDescent="0.3">
      <c r="B763" s="21"/>
    </row>
    <row r="764" spans="2:2" x14ac:dyDescent="0.3">
      <c r="B764" s="21"/>
    </row>
    <row r="765" spans="2:2" x14ac:dyDescent="0.3">
      <c r="B765" s="21"/>
    </row>
    <row r="766" spans="2:2" x14ac:dyDescent="0.3">
      <c r="B766" s="21"/>
    </row>
    <row r="767" spans="2:2" x14ac:dyDescent="0.3">
      <c r="B767" s="21"/>
    </row>
    <row r="768" spans="2:2" x14ac:dyDescent="0.3">
      <c r="B768" s="21"/>
    </row>
    <row r="769" spans="2:2" x14ac:dyDescent="0.3">
      <c r="B769" s="21"/>
    </row>
    <row r="770" spans="2:2" x14ac:dyDescent="0.3">
      <c r="B770" s="21"/>
    </row>
    <row r="771" spans="2:2" x14ac:dyDescent="0.3">
      <c r="B771" s="21"/>
    </row>
    <row r="772" spans="2:2" x14ac:dyDescent="0.3">
      <c r="B772" s="21"/>
    </row>
    <row r="773" spans="2:2" x14ac:dyDescent="0.3">
      <c r="B773" s="21"/>
    </row>
    <row r="774" spans="2:2" x14ac:dyDescent="0.3">
      <c r="B774" s="21"/>
    </row>
    <row r="775" spans="2:2" x14ac:dyDescent="0.3">
      <c r="B775" s="21"/>
    </row>
    <row r="776" spans="2:2" x14ac:dyDescent="0.3">
      <c r="B776" s="21"/>
    </row>
    <row r="777" spans="2:2" x14ac:dyDescent="0.3">
      <c r="B777" s="21"/>
    </row>
    <row r="778" spans="2:2" x14ac:dyDescent="0.3">
      <c r="B778" s="21"/>
    </row>
    <row r="779" spans="2:2" x14ac:dyDescent="0.3">
      <c r="B779" s="21"/>
    </row>
    <row r="780" spans="2:2" x14ac:dyDescent="0.3">
      <c r="B780" s="21"/>
    </row>
    <row r="781" spans="2:2" x14ac:dyDescent="0.3">
      <c r="B781" s="21"/>
    </row>
    <row r="782" spans="2:2" x14ac:dyDescent="0.3">
      <c r="B782" s="21"/>
    </row>
    <row r="783" spans="2:2" x14ac:dyDescent="0.3">
      <c r="B783" s="21"/>
    </row>
    <row r="784" spans="2:2" x14ac:dyDescent="0.3">
      <c r="B784" s="21"/>
    </row>
    <row r="785" spans="2:2" x14ac:dyDescent="0.3">
      <c r="B785" s="21"/>
    </row>
    <row r="786" spans="2:2" x14ac:dyDescent="0.3">
      <c r="B786" s="21"/>
    </row>
    <row r="787" spans="2:2" x14ac:dyDescent="0.3">
      <c r="B787" s="21"/>
    </row>
    <row r="788" spans="2:2" x14ac:dyDescent="0.3">
      <c r="B788" s="21"/>
    </row>
    <row r="789" spans="2:2" x14ac:dyDescent="0.3">
      <c r="B789" s="21"/>
    </row>
    <row r="790" spans="2:2" x14ac:dyDescent="0.3">
      <c r="B790" s="21"/>
    </row>
    <row r="791" spans="2:2" x14ac:dyDescent="0.3">
      <c r="B791" s="21"/>
    </row>
    <row r="792" spans="2:2" x14ac:dyDescent="0.3">
      <c r="B792" s="21"/>
    </row>
    <row r="793" spans="2:2" x14ac:dyDescent="0.3">
      <c r="B793" s="21"/>
    </row>
    <row r="794" spans="2:2" x14ac:dyDescent="0.3">
      <c r="B794" s="21"/>
    </row>
    <row r="795" spans="2:2" x14ac:dyDescent="0.3">
      <c r="B795" s="21"/>
    </row>
    <row r="796" spans="2:2" x14ac:dyDescent="0.3">
      <c r="B796" s="21"/>
    </row>
    <row r="797" spans="2:2" x14ac:dyDescent="0.3">
      <c r="B797" s="21"/>
    </row>
    <row r="798" spans="2:2" x14ac:dyDescent="0.3">
      <c r="B798" s="21"/>
    </row>
    <row r="799" spans="2:2" x14ac:dyDescent="0.3">
      <c r="B799" s="21"/>
    </row>
    <row r="800" spans="2:2" x14ac:dyDescent="0.3">
      <c r="B800" s="21"/>
    </row>
    <row r="801" spans="2:2" x14ac:dyDescent="0.3">
      <c r="B801" s="21"/>
    </row>
    <row r="802" spans="2:2" x14ac:dyDescent="0.3">
      <c r="B802" s="21"/>
    </row>
    <row r="803" spans="2:2" x14ac:dyDescent="0.3">
      <c r="B803" s="21"/>
    </row>
    <row r="804" spans="2:2" x14ac:dyDescent="0.3">
      <c r="B804" s="21"/>
    </row>
    <row r="805" spans="2:2" x14ac:dyDescent="0.3">
      <c r="B805" s="21"/>
    </row>
    <row r="806" spans="2:2" x14ac:dyDescent="0.3">
      <c r="B806" s="21"/>
    </row>
    <row r="807" spans="2:2" x14ac:dyDescent="0.3">
      <c r="B807" s="21"/>
    </row>
    <row r="808" spans="2:2" x14ac:dyDescent="0.3">
      <c r="B808" s="21"/>
    </row>
    <row r="809" spans="2:2" x14ac:dyDescent="0.3">
      <c r="B809" s="21"/>
    </row>
    <row r="810" spans="2:2" x14ac:dyDescent="0.3">
      <c r="B810" s="21"/>
    </row>
    <row r="811" spans="2:2" x14ac:dyDescent="0.3">
      <c r="B811" s="21"/>
    </row>
    <row r="812" spans="2:2" x14ac:dyDescent="0.3">
      <c r="B812" s="21"/>
    </row>
    <row r="813" spans="2:2" x14ac:dyDescent="0.3">
      <c r="B813" s="21"/>
    </row>
    <row r="814" spans="2:2" x14ac:dyDescent="0.3">
      <c r="B814" s="21"/>
    </row>
    <row r="815" spans="2:2" x14ac:dyDescent="0.3">
      <c r="B815" s="21"/>
    </row>
    <row r="816" spans="2:2" x14ac:dyDescent="0.3">
      <c r="B816" s="21"/>
    </row>
    <row r="817" spans="2:2" x14ac:dyDescent="0.3">
      <c r="B817" s="21"/>
    </row>
    <row r="818" spans="2:2" x14ac:dyDescent="0.3">
      <c r="B818" s="21"/>
    </row>
    <row r="819" spans="2:2" x14ac:dyDescent="0.3">
      <c r="B819" s="21"/>
    </row>
    <row r="820" spans="2:2" x14ac:dyDescent="0.3">
      <c r="B820" s="21"/>
    </row>
    <row r="821" spans="2:2" x14ac:dyDescent="0.3">
      <c r="B821" s="21"/>
    </row>
    <row r="822" spans="2:2" x14ac:dyDescent="0.3">
      <c r="B822" s="21"/>
    </row>
    <row r="823" spans="2:2" x14ac:dyDescent="0.3">
      <c r="B823" s="21"/>
    </row>
    <row r="824" spans="2:2" x14ac:dyDescent="0.3">
      <c r="B824" s="21"/>
    </row>
    <row r="825" spans="2:2" x14ac:dyDescent="0.3">
      <c r="B825" s="21"/>
    </row>
    <row r="826" spans="2:2" x14ac:dyDescent="0.3">
      <c r="B826" s="21"/>
    </row>
    <row r="827" spans="2:2" x14ac:dyDescent="0.3">
      <c r="B827" s="21"/>
    </row>
    <row r="828" spans="2:2" x14ac:dyDescent="0.3">
      <c r="B828" s="21"/>
    </row>
    <row r="829" spans="2:2" x14ac:dyDescent="0.3">
      <c r="B829" s="21"/>
    </row>
    <row r="830" spans="2:2" x14ac:dyDescent="0.3">
      <c r="B830" s="21"/>
    </row>
    <row r="831" spans="2:2" x14ac:dyDescent="0.3">
      <c r="B831" s="21"/>
    </row>
    <row r="832" spans="2:2" x14ac:dyDescent="0.3">
      <c r="B832" s="21"/>
    </row>
    <row r="833" spans="2:2" x14ac:dyDescent="0.3">
      <c r="B833" s="21"/>
    </row>
    <row r="834" spans="2:2" x14ac:dyDescent="0.3">
      <c r="B834" s="21"/>
    </row>
    <row r="835" spans="2:2" x14ac:dyDescent="0.3">
      <c r="B835" s="21"/>
    </row>
    <row r="836" spans="2:2" x14ac:dyDescent="0.3">
      <c r="B836" s="21"/>
    </row>
    <row r="837" spans="2:2" x14ac:dyDescent="0.3">
      <c r="B837" s="21"/>
    </row>
    <row r="838" spans="2:2" x14ac:dyDescent="0.3">
      <c r="B838" s="21"/>
    </row>
    <row r="839" spans="2:2" x14ac:dyDescent="0.3">
      <c r="B839" s="21"/>
    </row>
    <row r="840" spans="2:2" x14ac:dyDescent="0.3">
      <c r="B840" s="21"/>
    </row>
    <row r="841" spans="2:2" x14ac:dyDescent="0.3">
      <c r="B841" s="21"/>
    </row>
    <row r="842" spans="2:2" x14ac:dyDescent="0.3">
      <c r="B842" s="21"/>
    </row>
    <row r="843" spans="2:2" x14ac:dyDescent="0.3">
      <c r="B843" s="21"/>
    </row>
    <row r="844" spans="2:2" x14ac:dyDescent="0.3">
      <c r="B844" s="21"/>
    </row>
    <row r="845" spans="2:2" x14ac:dyDescent="0.3">
      <c r="B845" s="21"/>
    </row>
    <row r="846" spans="2:2" x14ac:dyDescent="0.3">
      <c r="B846" s="21"/>
    </row>
    <row r="847" spans="2:2" x14ac:dyDescent="0.3">
      <c r="B847" s="21"/>
    </row>
    <row r="848" spans="2:2" x14ac:dyDescent="0.3">
      <c r="B848" s="21"/>
    </row>
    <row r="849" spans="2:2" x14ac:dyDescent="0.3">
      <c r="B849" s="21"/>
    </row>
    <row r="850" spans="2:2" x14ac:dyDescent="0.3">
      <c r="B850" s="21"/>
    </row>
    <row r="851" spans="2:2" x14ac:dyDescent="0.3">
      <c r="B851" s="21"/>
    </row>
    <row r="852" spans="2:2" x14ac:dyDescent="0.3">
      <c r="B852" s="21"/>
    </row>
    <row r="853" spans="2:2" x14ac:dyDescent="0.3">
      <c r="B853" s="21"/>
    </row>
    <row r="854" spans="2:2" x14ac:dyDescent="0.3">
      <c r="B854" s="21"/>
    </row>
    <row r="855" spans="2:2" x14ac:dyDescent="0.3">
      <c r="B855" s="21"/>
    </row>
    <row r="856" spans="2:2" x14ac:dyDescent="0.3">
      <c r="B856" s="21"/>
    </row>
    <row r="857" spans="2:2" x14ac:dyDescent="0.3">
      <c r="B857" s="21"/>
    </row>
    <row r="858" spans="2:2" x14ac:dyDescent="0.3">
      <c r="B858" s="21"/>
    </row>
    <row r="859" spans="2:2" x14ac:dyDescent="0.3">
      <c r="B859" s="21"/>
    </row>
    <row r="860" spans="2:2" x14ac:dyDescent="0.3">
      <c r="B860" s="21"/>
    </row>
    <row r="861" spans="2:2" x14ac:dyDescent="0.3">
      <c r="B861" s="21"/>
    </row>
    <row r="862" spans="2:2" x14ac:dyDescent="0.3">
      <c r="B862" s="21"/>
    </row>
    <row r="863" spans="2:2" x14ac:dyDescent="0.3">
      <c r="B863" s="21"/>
    </row>
    <row r="864" spans="2:2" x14ac:dyDescent="0.3">
      <c r="B864" s="21"/>
    </row>
    <row r="865" spans="2:2" x14ac:dyDescent="0.3">
      <c r="B865" s="21"/>
    </row>
    <row r="866" spans="2:2" x14ac:dyDescent="0.3">
      <c r="B866" s="21"/>
    </row>
    <row r="867" spans="2:2" x14ac:dyDescent="0.3">
      <c r="B867" s="21"/>
    </row>
    <row r="868" spans="2:2" x14ac:dyDescent="0.3">
      <c r="B868" s="21"/>
    </row>
    <row r="869" spans="2:2" x14ac:dyDescent="0.3">
      <c r="B869" s="21"/>
    </row>
    <row r="870" spans="2:2" x14ac:dyDescent="0.3">
      <c r="B870" s="21"/>
    </row>
    <row r="871" spans="2:2" x14ac:dyDescent="0.3">
      <c r="B871" s="21"/>
    </row>
    <row r="872" spans="2:2" x14ac:dyDescent="0.3">
      <c r="B872" s="21"/>
    </row>
    <row r="873" spans="2:2" x14ac:dyDescent="0.3">
      <c r="B873" s="21"/>
    </row>
    <row r="874" spans="2:2" x14ac:dyDescent="0.3">
      <c r="B874" s="21"/>
    </row>
    <row r="875" spans="2:2" x14ac:dyDescent="0.3">
      <c r="B875" s="21"/>
    </row>
    <row r="876" spans="2:2" x14ac:dyDescent="0.3">
      <c r="B876" s="21"/>
    </row>
    <row r="877" spans="2:2" x14ac:dyDescent="0.3">
      <c r="B877" s="21"/>
    </row>
    <row r="878" spans="2:2" x14ac:dyDescent="0.3">
      <c r="B878" s="21"/>
    </row>
    <row r="879" spans="2:2" x14ac:dyDescent="0.3">
      <c r="B879" s="21"/>
    </row>
    <row r="880" spans="2:2" x14ac:dyDescent="0.3">
      <c r="B880" s="21"/>
    </row>
    <row r="881" spans="2:2" x14ac:dyDescent="0.3">
      <c r="B881" s="21"/>
    </row>
    <row r="882" spans="2:2" x14ac:dyDescent="0.3">
      <c r="B882" s="21"/>
    </row>
    <row r="883" spans="2:2" x14ac:dyDescent="0.3">
      <c r="B883" s="21"/>
    </row>
    <row r="884" spans="2:2" x14ac:dyDescent="0.3">
      <c r="B884" s="21"/>
    </row>
    <row r="885" spans="2:2" x14ac:dyDescent="0.3">
      <c r="B885" s="21"/>
    </row>
    <row r="886" spans="2:2" x14ac:dyDescent="0.3">
      <c r="B886" s="21"/>
    </row>
    <row r="887" spans="2:2" x14ac:dyDescent="0.3">
      <c r="B887" s="21"/>
    </row>
    <row r="888" spans="2:2" x14ac:dyDescent="0.3">
      <c r="B888" s="21"/>
    </row>
    <row r="889" spans="2:2" x14ac:dyDescent="0.3">
      <c r="B889" s="21"/>
    </row>
    <row r="890" spans="2:2" x14ac:dyDescent="0.3">
      <c r="B890" s="21"/>
    </row>
    <row r="891" spans="2:2" x14ac:dyDescent="0.3">
      <c r="B891" s="21"/>
    </row>
    <row r="892" spans="2:2" x14ac:dyDescent="0.3">
      <c r="B892" s="21"/>
    </row>
    <row r="893" spans="2:2" x14ac:dyDescent="0.3">
      <c r="B893" s="21"/>
    </row>
    <row r="894" spans="2:2" x14ac:dyDescent="0.3">
      <c r="B894" s="21"/>
    </row>
    <row r="895" spans="2:2" x14ac:dyDescent="0.3">
      <c r="B895" s="21"/>
    </row>
    <row r="896" spans="2:2" x14ac:dyDescent="0.3">
      <c r="B896" s="21"/>
    </row>
    <row r="897" spans="2:2" x14ac:dyDescent="0.3">
      <c r="B897" s="21"/>
    </row>
    <row r="898" spans="2:2" x14ac:dyDescent="0.3">
      <c r="B898" s="21"/>
    </row>
    <row r="899" spans="2:2" x14ac:dyDescent="0.3">
      <c r="B899" s="21"/>
    </row>
    <row r="900" spans="2:2" x14ac:dyDescent="0.3">
      <c r="B900" s="21"/>
    </row>
    <row r="901" spans="2:2" x14ac:dyDescent="0.3">
      <c r="B901" s="21"/>
    </row>
    <row r="902" spans="2:2" x14ac:dyDescent="0.3">
      <c r="B902" s="21"/>
    </row>
    <row r="903" spans="2:2" x14ac:dyDescent="0.3">
      <c r="B903" s="21"/>
    </row>
    <row r="904" spans="2:2" x14ac:dyDescent="0.3">
      <c r="B904" s="21"/>
    </row>
    <row r="905" spans="2:2" x14ac:dyDescent="0.3">
      <c r="B905" s="21"/>
    </row>
    <row r="906" spans="2:2" x14ac:dyDescent="0.3">
      <c r="B906" s="21"/>
    </row>
    <row r="907" spans="2:2" x14ac:dyDescent="0.3">
      <c r="B907" s="21"/>
    </row>
    <row r="908" spans="2:2" x14ac:dyDescent="0.3">
      <c r="B908" s="21"/>
    </row>
    <row r="909" spans="2:2" x14ac:dyDescent="0.3">
      <c r="B909" s="21"/>
    </row>
    <row r="910" spans="2:2" x14ac:dyDescent="0.3">
      <c r="B910" s="21"/>
    </row>
    <row r="911" spans="2:2" x14ac:dyDescent="0.3">
      <c r="B911" s="21"/>
    </row>
    <row r="912" spans="2:2" x14ac:dyDescent="0.3">
      <c r="B912" s="21"/>
    </row>
    <row r="913" spans="2:2" x14ac:dyDescent="0.3">
      <c r="B913" s="21"/>
    </row>
    <row r="914" spans="2:2" x14ac:dyDescent="0.3">
      <c r="B914" s="21"/>
    </row>
    <row r="915" spans="2:2" x14ac:dyDescent="0.3">
      <c r="B915" s="21"/>
    </row>
    <row r="916" spans="2:2" x14ac:dyDescent="0.3">
      <c r="B916" s="21"/>
    </row>
    <row r="917" spans="2:2" x14ac:dyDescent="0.3">
      <c r="B917" s="21"/>
    </row>
    <row r="918" spans="2:2" x14ac:dyDescent="0.3">
      <c r="B918" s="21"/>
    </row>
    <row r="919" spans="2:2" x14ac:dyDescent="0.3">
      <c r="B919" s="21"/>
    </row>
    <row r="920" spans="2:2" x14ac:dyDescent="0.3">
      <c r="B920" s="21"/>
    </row>
    <row r="921" spans="2:2" x14ac:dyDescent="0.3">
      <c r="B921" s="21"/>
    </row>
    <row r="922" spans="2:2" x14ac:dyDescent="0.3">
      <c r="B922" s="21"/>
    </row>
    <row r="923" spans="2:2" x14ac:dyDescent="0.3">
      <c r="B923" s="21"/>
    </row>
    <row r="924" spans="2:2" x14ac:dyDescent="0.3">
      <c r="B924" s="21"/>
    </row>
    <row r="925" spans="2:2" x14ac:dyDescent="0.3">
      <c r="B925" s="21"/>
    </row>
    <row r="926" spans="2:2" x14ac:dyDescent="0.3">
      <c r="B926" s="21"/>
    </row>
    <row r="927" spans="2:2" x14ac:dyDescent="0.3">
      <c r="B927" s="21"/>
    </row>
    <row r="928" spans="2:2" x14ac:dyDescent="0.3">
      <c r="B928" s="21"/>
    </row>
    <row r="929" spans="2:2" x14ac:dyDescent="0.3">
      <c r="B929" s="21"/>
    </row>
    <row r="930" spans="2:2" x14ac:dyDescent="0.3">
      <c r="B930" s="21"/>
    </row>
    <row r="931" spans="2:2" x14ac:dyDescent="0.3">
      <c r="B931" s="21"/>
    </row>
    <row r="932" spans="2:2" x14ac:dyDescent="0.3">
      <c r="B932" s="21"/>
    </row>
    <row r="933" spans="2:2" x14ac:dyDescent="0.3">
      <c r="B933" s="21"/>
    </row>
    <row r="934" spans="2:2" x14ac:dyDescent="0.3">
      <c r="B934" s="21"/>
    </row>
    <row r="935" spans="2:2" x14ac:dyDescent="0.3">
      <c r="B935" s="21"/>
    </row>
    <row r="936" spans="2:2" x14ac:dyDescent="0.3">
      <c r="B936" s="21"/>
    </row>
    <row r="937" spans="2:2" x14ac:dyDescent="0.3">
      <c r="B937" s="21"/>
    </row>
    <row r="938" spans="2:2" x14ac:dyDescent="0.3">
      <c r="B938" s="21"/>
    </row>
    <row r="939" spans="2:2" x14ac:dyDescent="0.3">
      <c r="B939" s="21"/>
    </row>
    <row r="940" spans="2:2" x14ac:dyDescent="0.3">
      <c r="B940" s="21"/>
    </row>
    <row r="941" spans="2:2" x14ac:dyDescent="0.3">
      <c r="B941" s="21"/>
    </row>
    <row r="942" spans="2:2" x14ac:dyDescent="0.3">
      <c r="B942" s="21"/>
    </row>
    <row r="943" spans="2:2" x14ac:dyDescent="0.3">
      <c r="B943" s="21"/>
    </row>
    <row r="944" spans="2:2" x14ac:dyDescent="0.3">
      <c r="B944" s="21"/>
    </row>
    <row r="945" spans="2:2" x14ac:dyDescent="0.3">
      <c r="B945" s="21"/>
    </row>
    <row r="946" spans="2:2" x14ac:dyDescent="0.3">
      <c r="B946" s="21"/>
    </row>
    <row r="947" spans="2:2" x14ac:dyDescent="0.3">
      <c r="B947" s="21"/>
    </row>
    <row r="948" spans="2:2" x14ac:dyDescent="0.3">
      <c r="B948" s="21"/>
    </row>
    <row r="949" spans="2:2" x14ac:dyDescent="0.3">
      <c r="B949" s="21"/>
    </row>
    <row r="950" spans="2:2" x14ac:dyDescent="0.3">
      <c r="B950" s="21"/>
    </row>
    <row r="951" spans="2:2" x14ac:dyDescent="0.3">
      <c r="B951" s="21"/>
    </row>
    <row r="952" spans="2:2" x14ac:dyDescent="0.3">
      <c r="B952" s="21"/>
    </row>
    <row r="953" spans="2:2" x14ac:dyDescent="0.3">
      <c r="B953" s="21"/>
    </row>
    <row r="954" spans="2:2" x14ac:dyDescent="0.3">
      <c r="B954" s="21"/>
    </row>
    <row r="955" spans="2:2" x14ac:dyDescent="0.3">
      <c r="B955" s="21"/>
    </row>
    <row r="956" spans="2:2" x14ac:dyDescent="0.3">
      <c r="B956" s="21"/>
    </row>
    <row r="957" spans="2:2" x14ac:dyDescent="0.3">
      <c r="B957" s="21"/>
    </row>
    <row r="958" spans="2:2" x14ac:dyDescent="0.3">
      <c r="B958" s="21"/>
    </row>
    <row r="959" spans="2:2" x14ac:dyDescent="0.3">
      <c r="B959" s="21"/>
    </row>
    <row r="960" spans="2:2" x14ac:dyDescent="0.3">
      <c r="B960" s="21"/>
    </row>
    <row r="961" spans="2:2" x14ac:dyDescent="0.3">
      <c r="B961" s="21"/>
    </row>
    <row r="962" spans="2:2" x14ac:dyDescent="0.3">
      <c r="B962" s="21"/>
    </row>
    <row r="963" spans="2:2" x14ac:dyDescent="0.3">
      <c r="B963" s="21"/>
    </row>
    <row r="964" spans="2:2" x14ac:dyDescent="0.3">
      <c r="B964" s="21"/>
    </row>
    <row r="965" spans="2:2" x14ac:dyDescent="0.3">
      <c r="B965" s="21"/>
    </row>
    <row r="966" spans="2:2" x14ac:dyDescent="0.3">
      <c r="B966" s="21"/>
    </row>
    <row r="967" spans="2:2" x14ac:dyDescent="0.3">
      <c r="B967" s="21"/>
    </row>
    <row r="968" spans="2:2" x14ac:dyDescent="0.3">
      <c r="B968" s="21"/>
    </row>
    <row r="969" spans="2:2" x14ac:dyDescent="0.3">
      <c r="B969" s="21"/>
    </row>
    <row r="970" spans="2:2" x14ac:dyDescent="0.3">
      <c r="B970" s="21"/>
    </row>
    <row r="971" spans="2:2" x14ac:dyDescent="0.3">
      <c r="B971" s="21"/>
    </row>
    <row r="972" spans="2:2" x14ac:dyDescent="0.3">
      <c r="B972" s="21"/>
    </row>
    <row r="973" spans="2:2" x14ac:dyDescent="0.3">
      <c r="B973" s="21"/>
    </row>
    <row r="974" spans="2:2" x14ac:dyDescent="0.3">
      <c r="B974" s="21"/>
    </row>
    <row r="975" spans="2:2" x14ac:dyDescent="0.3">
      <c r="B975" s="21"/>
    </row>
    <row r="976" spans="2:2" x14ac:dyDescent="0.3">
      <c r="B976" s="21"/>
    </row>
    <row r="977" spans="2:2" x14ac:dyDescent="0.3">
      <c r="B977" s="21"/>
    </row>
    <row r="978" spans="2:2" x14ac:dyDescent="0.3">
      <c r="B978" s="21"/>
    </row>
    <row r="979" spans="2:2" x14ac:dyDescent="0.3">
      <c r="B979" s="21"/>
    </row>
    <row r="980" spans="2:2" x14ac:dyDescent="0.3">
      <c r="B980" s="21"/>
    </row>
    <row r="981" spans="2:2" x14ac:dyDescent="0.3">
      <c r="B981" s="21"/>
    </row>
    <row r="982" spans="2:2" x14ac:dyDescent="0.3">
      <c r="B982" s="21"/>
    </row>
    <row r="983" spans="2:2" x14ac:dyDescent="0.3">
      <c r="B983" s="21"/>
    </row>
    <row r="984" spans="2:2" x14ac:dyDescent="0.3">
      <c r="B984" s="21"/>
    </row>
    <row r="985" spans="2:2" x14ac:dyDescent="0.3">
      <c r="B985" s="21"/>
    </row>
    <row r="986" spans="2:2" x14ac:dyDescent="0.3">
      <c r="B986" s="21"/>
    </row>
    <row r="987" spans="2:2" x14ac:dyDescent="0.3">
      <c r="B987" s="21"/>
    </row>
    <row r="988" spans="2:2" x14ac:dyDescent="0.3">
      <c r="B988" s="21"/>
    </row>
    <row r="989" spans="2:2" x14ac:dyDescent="0.3">
      <c r="B989" s="21"/>
    </row>
    <row r="990" spans="2:2" x14ac:dyDescent="0.3">
      <c r="B990" s="21"/>
    </row>
    <row r="991" spans="2:2" x14ac:dyDescent="0.3">
      <c r="B991" s="21"/>
    </row>
    <row r="992" spans="2:2" x14ac:dyDescent="0.3">
      <c r="B992" s="21"/>
    </row>
    <row r="993" spans="2:2" x14ac:dyDescent="0.3">
      <c r="B993" s="21"/>
    </row>
    <row r="994" spans="2:2" x14ac:dyDescent="0.3">
      <c r="B994" s="21"/>
    </row>
    <row r="995" spans="2:2" x14ac:dyDescent="0.3">
      <c r="B995" s="21"/>
    </row>
    <row r="996" spans="2:2" x14ac:dyDescent="0.3">
      <c r="B996" s="21"/>
    </row>
    <row r="997" spans="2:2" x14ac:dyDescent="0.3">
      <c r="B997" s="21"/>
    </row>
    <row r="998" spans="2:2" x14ac:dyDescent="0.3">
      <c r="B998" s="21"/>
    </row>
    <row r="999" spans="2:2" x14ac:dyDescent="0.3">
      <c r="B999" s="21"/>
    </row>
    <row r="1000" spans="2:2" x14ac:dyDescent="0.3">
      <c r="B1000" s="21"/>
    </row>
    <row r="1001" spans="2:2" x14ac:dyDescent="0.3">
      <c r="B1001" s="21"/>
    </row>
    <row r="1002" spans="2:2" x14ac:dyDescent="0.3">
      <c r="B1002" s="21"/>
    </row>
    <row r="1003" spans="2:2" x14ac:dyDescent="0.3">
      <c r="B1003" s="21"/>
    </row>
    <row r="1004" spans="2:2" x14ac:dyDescent="0.3">
      <c r="B1004" s="21"/>
    </row>
    <row r="1005" spans="2:2" x14ac:dyDescent="0.3">
      <c r="B1005" s="21"/>
    </row>
    <row r="1006" spans="2:2" x14ac:dyDescent="0.3">
      <c r="B1006" s="21"/>
    </row>
    <row r="1007" spans="2:2" x14ac:dyDescent="0.3">
      <c r="B1007" s="21"/>
    </row>
    <row r="1008" spans="2:2" x14ac:dyDescent="0.3">
      <c r="B1008" s="21"/>
    </row>
    <row r="1009" spans="2:2" x14ac:dyDescent="0.3">
      <c r="B1009" s="21"/>
    </row>
    <row r="1010" spans="2:2" x14ac:dyDescent="0.3">
      <c r="B1010" s="21"/>
    </row>
    <row r="1011" spans="2:2" x14ac:dyDescent="0.3">
      <c r="B1011" s="21"/>
    </row>
    <row r="1012" spans="2:2" x14ac:dyDescent="0.3">
      <c r="B1012" s="21"/>
    </row>
    <row r="1013" spans="2:2" x14ac:dyDescent="0.3">
      <c r="B1013" s="21"/>
    </row>
    <row r="1014" spans="2:2" x14ac:dyDescent="0.3">
      <c r="B1014" s="21"/>
    </row>
    <row r="1015" spans="2:2" x14ac:dyDescent="0.3">
      <c r="B1015" s="21"/>
    </row>
    <row r="1016" spans="2:2" x14ac:dyDescent="0.3">
      <c r="B1016" s="21"/>
    </row>
    <row r="1017" spans="2:2" x14ac:dyDescent="0.3">
      <c r="B1017" s="21"/>
    </row>
    <row r="1018" spans="2:2" x14ac:dyDescent="0.3">
      <c r="B1018" s="21"/>
    </row>
    <row r="1019" spans="2:2" x14ac:dyDescent="0.3">
      <c r="B1019" s="21"/>
    </row>
    <row r="1020" spans="2:2" x14ac:dyDescent="0.3">
      <c r="B1020" s="21"/>
    </row>
    <row r="1021" spans="2:2" x14ac:dyDescent="0.3">
      <c r="B1021" s="21"/>
    </row>
    <row r="1022" spans="2:2" x14ac:dyDescent="0.3">
      <c r="B1022" s="21"/>
    </row>
    <row r="1023" spans="2:2" x14ac:dyDescent="0.3">
      <c r="B1023" s="21"/>
    </row>
    <row r="1024" spans="2:2" x14ac:dyDescent="0.3">
      <c r="B1024" s="21"/>
    </row>
    <row r="1025" spans="2:2" x14ac:dyDescent="0.3">
      <c r="B1025" s="21"/>
    </row>
    <row r="1026" spans="2:2" x14ac:dyDescent="0.3">
      <c r="B1026" s="21"/>
    </row>
    <row r="1027" spans="2:2" x14ac:dyDescent="0.3">
      <c r="B1027" s="21"/>
    </row>
    <row r="1028" spans="2:2" x14ac:dyDescent="0.3">
      <c r="B1028" s="21"/>
    </row>
    <row r="1029" spans="2:2" x14ac:dyDescent="0.3">
      <c r="B1029" s="21"/>
    </row>
    <row r="1030" spans="2:2" x14ac:dyDescent="0.3">
      <c r="B1030" s="21"/>
    </row>
    <row r="1031" spans="2:2" x14ac:dyDescent="0.3">
      <c r="B1031" s="21"/>
    </row>
    <row r="1032" spans="2:2" x14ac:dyDescent="0.3">
      <c r="B1032" s="21"/>
    </row>
    <row r="1033" spans="2:2" x14ac:dyDescent="0.3">
      <c r="B1033" s="21"/>
    </row>
    <row r="1034" spans="2:2" x14ac:dyDescent="0.3">
      <c r="B1034" s="21"/>
    </row>
    <row r="1035" spans="2:2" x14ac:dyDescent="0.3">
      <c r="B1035" s="21"/>
    </row>
    <row r="1036" spans="2:2" x14ac:dyDescent="0.3">
      <c r="B1036" s="21"/>
    </row>
    <row r="1037" spans="2:2" x14ac:dyDescent="0.3">
      <c r="B1037" s="21"/>
    </row>
    <row r="1038" spans="2:2" x14ac:dyDescent="0.3">
      <c r="B1038" s="21"/>
    </row>
    <row r="1039" spans="2:2" x14ac:dyDescent="0.3">
      <c r="B1039" s="21"/>
    </row>
    <row r="1040" spans="2:2" x14ac:dyDescent="0.3">
      <c r="B1040" s="21"/>
    </row>
    <row r="1041" spans="2:2" x14ac:dyDescent="0.3">
      <c r="B1041" s="21"/>
    </row>
    <row r="1042" spans="2:2" x14ac:dyDescent="0.3">
      <c r="B1042" s="21"/>
    </row>
    <row r="1043" spans="2:2" x14ac:dyDescent="0.3">
      <c r="B1043" s="21"/>
    </row>
    <row r="1044" spans="2:2" x14ac:dyDescent="0.3">
      <c r="B1044" s="21"/>
    </row>
    <row r="1045" spans="2:2" x14ac:dyDescent="0.3">
      <c r="B1045" s="21"/>
    </row>
    <row r="1046" spans="2:2" x14ac:dyDescent="0.3">
      <c r="B1046" s="21"/>
    </row>
    <row r="1047" spans="2:2" x14ac:dyDescent="0.3">
      <c r="B1047" s="21"/>
    </row>
    <row r="1048" spans="2:2" x14ac:dyDescent="0.3">
      <c r="B1048" s="21"/>
    </row>
    <row r="1049" spans="2:2" x14ac:dyDescent="0.3">
      <c r="B1049" s="21"/>
    </row>
    <row r="1050" spans="2:2" x14ac:dyDescent="0.3">
      <c r="B1050" s="21"/>
    </row>
    <row r="1051" spans="2:2" x14ac:dyDescent="0.3">
      <c r="B1051" s="21"/>
    </row>
    <row r="1052" spans="2:2" x14ac:dyDescent="0.3">
      <c r="B1052" s="21"/>
    </row>
    <row r="1053" spans="2:2" x14ac:dyDescent="0.3">
      <c r="B1053" s="21"/>
    </row>
    <row r="1054" spans="2:2" x14ac:dyDescent="0.3">
      <c r="B1054" s="21"/>
    </row>
    <row r="1055" spans="2:2" x14ac:dyDescent="0.3">
      <c r="B1055" s="21"/>
    </row>
    <row r="1056" spans="2:2" x14ac:dyDescent="0.3">
      <c r="B1056" s="21"/>
    </row>
    <row r="1057" spans="2:2" x14ac:dyDescent="0.3">
      <c r="B1057" s="21"/>
    </row>
    <row r="1058" spans="2:2" x14ac:dyDescent="0.3">
      <c r="B1058" s="21"/>
    </row>
    <row r="1059" spans="2:2" x14ac:dyDescent="0.3">
      <c r="B1059" s="21"/>
    </row>
    <row r="1060" spans="2:2" x14ac:dyDescent="0.3">
      <c r="B1060" s="21"/>
    </row>
    <row r="1061" spans="2:2" x14ac:dyDescent="0.3">
      <c r="B1061" s="21"/>
    </row>
    <row r="1062" spans="2:2" x14ac:dyDescent="0.3">
      <c r="B1062" s="21"/>
    </row>
    <row r="1063" spans="2:2" x14ac:dyDescent="0.3">
      <c r="B1063" s="21"/>
    </row>
    <row r="1064" spans="2:2" x14ac:dyDescent="0.3">
      <c r="B1064" s="21"/>
    </row>
    <row r="1065" spans="2:2" x14ac:dyDescent="0.3">
      <c r="B1065" s="21"/>
    </row>
    <row r="1066" spans="2:2" x14ac:dyDescent="0.3">
      <c r="B1066" s="21"/>
    </row>
    <row r="1067" spans="2:2" x14ac:dyDescent="0.3">
      <c r="B1067" s="21"/>
    </row>
    <row r="1068" spans="2:2" x14ac:dyDescent="0.3">
      <c r="B1068" s="21"/>
    </row>
    <row r="1069" spans="2:2" x14ac:dyDescent="0.3">
      <c r="B1069" s="21"/>
    </row>
    <row r="1070" spans="2:2" x14ac:dyDescent="0.3">
      <c r="B1070" s="21"/>
    </row>
    <row r="1071" spans="2:2" x14ac:dyDescent="0.3">
      <c r="B1071" s="21"/>
    </row>
    <row r="1072" spans="2:2" x14ac:dyDescent="0.3">
      <c r="B1072" s="21"/>
    </row>
    <row r="1073" spans="2:2" x14ac:dyDescent="0.3">
      <c r="B1073" s="21"/>
    </row>
    <row r="1074" spans="2:2" x14ac:dyDescent="0.3">
      <c r="B1074" s="21"/>
    </row>
    <row r="1075" spans="2:2" x14ac:dyDescent="0.3">
      <c r="B1075" s="21"/>
    </row>
    <row r="1076" spans="2:2" x14ac:dyDescent="0.3">
      <c r="B1076" s="21"/>
    </row>
    <row r="1077" spans="2:2" x14ac:dyDescent="0.3">
      <c r="B1077" s="21"/>
    </row>
    <row r="1078" spans="2:2" x14ac:dyDescent="0.3">
      <c r="B1078" s="21"/>
    </row>
    <row r="1079" spans="2:2" x14ac:dyDescent="0.3">
      <c r="B1079" s="21"/>
    </row>
    <row r="1080" spans="2:2" x14ac:dyDescent="0.3">
      <c r="B1080" s="21"/>
    </row>
    <row r="1081" spans="2:2" x14ac:dyDescent="0.3">
      <c r="B1081" s="21"/>
    </row>
    <row r="1082" spans="2:2" x14ac:dyDescent="0.3">
      <c r="B1082" s="21"/>
    </row>
    <row r="1083" spans="2:2" x14ac:dyDescent="0.3">
      <c r="B1083" s="21"/>
    </row>
    <row r="1084" spans="2:2" x14ac:dyDescent="0.3">
      <c r="B1084" s="21"/>
    </row>
    <row r="1085" spans="2:2" x14ac:dyDescent="0.3">
      <c r="B1085" s="21"/>
    </row>
    <row r="1086" spans="2:2" x14ac:dyDescent="0.3">
      <c r="B1086" s="21"/>
    </row>
    <row r="1087" spans="2:2" x14ac:dyDescent="0.3">
      <c r="B1087" s="21"/>
    </row>
    <row r="1088" spans="2:2" x14ac:dyDescent="0.3">
      <c r="B1088" s="21"/>
    </row>
    <row r="1089" spans="2:2" x14ac:dyDescent="0.3">
      <c r="B1089" s="21"/>
    </row>
    <row r="1090" spans="2:2" x14ac:dyDescent="0.3">
      <c r="B1090" s="21"/>
    </row>
    <row r="1091" spans="2:2" x14ac:dyDescent="0.3">
      <c r="B1091" s="21"/>
    </row>
    <row r="1092" spans="2:2" x14ac:dyDescent="0.3">
      <c r="B1092" s="21"/>
    </row>
    <row r="1093" spans="2:2" x14ac:dyDescent="0.3">
      <c r="B1093" s="21"/>
    </row>
    <row r="1094" spans="2:2" x14ac:dyDescent="0.3">
      <c r="B1094" s="21"/>
    </row>
    <row r="1095" spans="2:2" x14ac:dyDescent="0.3">
      <c r="B1095" s="21"/>
    </row>
    <row r="1096" spans="2:2" x14ac:dyDescent="0.3">
      <c r="B1096" s="21"/>
    </row>
    <row r="1097" spans="2:2" x14ac:dyDescent="0.3">
      <c r="B1097" s="21"/>
    </row>
    <row r="1098" spans="2:2" x14ac:dyDescent="0.3">
      <c r="B1098" s="21"/>
    </row>
    <row r="1099" spans="2:2" x14ac:dyDescent="0.3">
      <c r="B1099" s="21"/>
    </row>
    <row r="1100" spans="2:2" x14ac:dyDescent="0.3">
      <c r="B1100" s="21"/>
    </row>
    <row r="1101" spans="2:2" x14ac:dyDescent="0.3">
      <c r="B1101" s="21"/>
    </row>
    <row r="1102" spans="2:2" x14ac:dyDescent="0.3">
      <c r="B1102" s="21"/>
    </row>
    <row r="1103" spans="2:2" x14ac:dyDescent="0.3">
      <c r="B1103" s="21"/>
    </row>
    <row r="1104" spans="2:2" x14ac:dyDescent="0.3">
      <c r="B1104" s="21"/>
    </row>
    <row r="1105" spans="2:2" x14ac:dyDescent="0.3">
      <c r="B1105" s="21"/>
    </row>
    <row r="1106" spans="2:2" x14ac:dyDescent="0.3">
      <c r="B1106" s="21"/>
    </row>
    <row r="1107" spans="2:2" x14ac:dyDescent="0.3">
      <c r="B1107" s="21"/>
    </row>
    <row r="1108" spans="2:2" x14ac:dyDescent="0.3">
      <c r="B1108" s="21"/>
    </row>
    <row r="1109" spans="2:2" x14ac:dyDescent="0.3">
      <c r="B1109" s="21"/>
    </row>
    <row r="1110" spans="2:2" x14ac:dyDescent="0.3">
      <c r="B1110" s="21"/>
    </row>
    <row r="1111" spans="2:2" x14ac:dyDescent="0.3">
      <c r="B1111" s="21"/>
    </row>
    <row r="1112" spans="2:2" x14ac:dyDescent="0.3">
      <c r="B1112" s="21"/>
    </row>
    <row r="1113" spans="2:2" x14ac:dyDescent="0.3">
      <c r="B1113" s="21"/>
    </row>
    <row r="1114" spans="2:2" x14ac:dyDescent="0.3">
      <c r="B1114" s="21"/>
    </row>
    <row r="1115" spans="2:2" x14ac:dyDescent="0.3">
      <c r="B1115" s="21"/>
    </row>
    <row r="1116" spans="2:2" x14ac:dyDescent="0.3">
      <c r="B1116" s="21"/>
    </row>
    <row r="1117" spans="2:2" x14ac:dyDescent="0.3">
      <c r="B1117" s="21"/>
    </row>
    <row r="1118" spans="2:2" x14ac:dyDescent="0.3">
      <c r="B1118" s="21"/>
    </row>
    <row r="1119" spans="2:2" x14ac:dyDescent="0.3">
      <c r="B1119" s="21"/>
    </row>
    <row r="1120" spans="2:2" x14ac:dyDescent="0.3">
      <c r="B1120" s="21"/>
    </row>
    <row r="1121" spans="2:2" x14ac:dyDescent="0.3">
      <c r="B1121" s="21"/>
    </row>
    <row r="1122" spans="2:2" x14ac:dyDescent="0.3">
      <c r="B1122" s="21"/>
    </row>
    <row r="1123" spans="2:2" x14ac:dyDescent="0.3">
      <c r="B1123" s="21"/>
    </row>
    <row r="1124" spans="2:2" x14ac:dyDescent="0.3">
      <c r="B1124" s="21"/>
    </row>
    <row r="1125" spans="2:2" x14ac:dyDescent="0.3">
      <c r="B1125" s="21"/>
    </row>
    <row r="1126" spans="2:2" x14ac:dyDescent="0.3">
      <c r="B1126" s="21"/>
    </row>
    <row r="1127" spans="2:2" x14ac:dyDescent="0.3">
      <c r="B1127" s="21"/>
    </row>
    <row r="1128" spans="2:2" x14ac:dyDescent="0.3">
      <c r="B1128" s="21"/>
    </row>
    <row r="1129" spans="2:2" x14ac:dyDescent="0.3">
      <c r="B1129" s="21"/>
    </row>
    <row r="1130" spans="2:2" x14ac:dyDescent="0.3">
      <c r="B1130" s="21"/>
    </row>
    <row r="1131" spans="2:2" x14ac:dyDescent="0.3">
      <c r="B1131" s="21"/>
    </row>
    <row r="1132" spans="2:2" x14ac:dyDescent="0.3">
      <c r="B1132" s="21"/>
    </row>
    <row r="1133" spans="2:2" x14ac:dyDescent="0.3">
      <c r="B1133" s="21"/>
    </row>
    <row r="1134" spans="2:2" x14ac:dyDescent="0.3">
      <c r="B1134" s="21"/>
    </row>
    <row r="1135" spans="2:2" x14ac:dyDescent="0.3">
      <c r="B1135" s="21"/>
    </row>
    <row r="1136" spans="2:2" x14ac:dyDescent="0.3">
      <c r="B1136" s="21"/>
    </row>
    <row r="1137" spans="2:2" x14ac:dyDescent="0.3">
      <c r="B1137" s="21"/>
    </row>
    <row r="1138" spans="2:2" x14ac:dyDescent="0.3">
      <c r="B1138" s="21"/>
    </row>
    <row r="1139" spans="2:2" x14ac:dyDescent="0.3">
      <c r="B1139" s="21"/>
    </row>
    <row r="1140" spans="2:2" x14ac:dyDescent="0.3">
      <c r="B1140" s="21"/>
    </row>
    <row r="1141" spans="2:2" x14ac:dyDescent="0.3">
      <c r="B1141" s="21"/>
    </row>
    <row r="1142" spans="2:2" x14ac:dyDescent="0.3">
      <c r="B1142" s="21"/>
    </row>
    <row r="1143" spans="2:2" x14ac:dyDescent="0.3">
      <c r="B1143" s="21"/>
    </row>
    <row r="1144" spans="2:2" x14ac:dyDescent="0.3">
      <c r="B1144" s="21"/>
    </row>
    <row r="1145" spans="2:2" x14ac:dyDescent="0.3">
      <c r="B1145" s="21"/>
    </row>
    <row r="1146" spans="2:2" x14ac:dyDescent="0.3">
      <c r="B1146" s="21"/>
    </row>
    <row r="1147" spans="2:2" x14ac:dyDescent="0.3">
      <c r="B1147" s="21"/>
    </row>
    <row r="1148" spans="2:2" x14ac:dyDescent="0.3">
      <c r="B1148" s="21"/>
    </row>
    <row r="1149" spans="2:2" x14ac:dyDescent="0.3">
      <c r="B1149" s="21"/>
    </row>
    <row r="1150" spans="2:2" x14ac:dyDescent="0.3">
      <c r="B1150" s="21"/>
    </row>
    <row r="1151" spans="2:2" x14ac:dyDescent="0.3">
      <c r="B1151" s="21"/>
    </row>
    <row r="1152" spans="2:2" x14ac:dyDescent="0.3">
      <c r="B1152" s="21"/>
    </row>
    <row r="1153" spans="2:2" x14ac:dyDescent="0.3">
      <c r="B1153" s="21"/>
    </row>
    <row r="1154" spans="2:2" x14ac:dyDescent="0.3">
      <c r="B1154" s="21"/>
    </row>
    <row r="1155" spans="2:2" x14ac:dyDescent="0.3">
      <c r="B1155" s="21"/>
    </row>
    <row r="1156" spans="2:2" x14ac:dyDescent="0.3">
      <c r="B1156" s="21"/>
    </row>
    <row r="1157" spans="2:2" x14ac:dyDescent="0.3">
      <c r="B1157" s="21"/>
    </row>
    <row r="1158" spans="2:2" x14ac:dyDescent="0.3">
      <c r="B1158" s="21"/>
    </row>
    <row r="1159" spans="2:2" x14ac:dyDescent="0.3">
      <c r="B1159" s="21"/>
    </row>
    <row r="1160" spans="2:2" x14ac:dyDescent="0.3">
      <c r="B1160" s="21"/>
    </row>
    <row r="1161" spans="2:2" x14ac:dyDescent="0.3">
      <c r="B1161" s="21"/>
    </row>
    <row r="1162" spans="2:2" x14ac:dyDescent="0.3">
      <c r="B1162" s="21"/>
    </row>
    <row r="1163" spans="2:2" x14ac:dyDescent="0.3">
      <c r="B1163" s="21"/>
    </row>
    <row r="1164" spans="2:2" x14ac:dyDescent="0.3">
      <c r="B1164" s="21"/>
    </row>
    <row r="1165" spans="2:2" x14ac:dyDescent="0.3">
      <c r="B1165" s="21"/>
    </row>
    <row r="1166" spans="2:2" x14ac:dyDescent="0.3">
      <c r="B1166" s="21"/>
    </row>
    <row r="1167" spans="2:2" x14ac:dyDescent="0.3">
      <c r="B1167" s="21"/>
    </row>
    <row r="1168" spans="2:2" x14ac:dyDescent="0.3">
      <c r="B1168" s="21"/>
    </row>
    <row r="1169" spans="2:2" x14ac:dyDescent="0.3">
      <c r="B1169" s="21"/>
    </row>
    <row r="1170" spans="2:2" x14ac:dyDescent="0.3">
      <c r="B1170" s="21"/>
    </row>
    <row r="1171" spans="2:2" x14ac:dyDescent="0.3">
      <c r="B1171" s="21"/>
    </row>
    <row r="1172" spans="2:2" x14ac:dyDescent="0.3">
      <c r="B1172" s="21"/>
    </row>
    <row r="1173" spans="2:2" x14ac:dyDescent="0.3">
      <c r="B1173" s="21"/>
    </row>
    <row r="1174" spans="2:2" x14ac:dyDescent="0.3">
      <c r="B1174" s="21"/>
    </row>
    <row r="1175" spans="2:2" x14ac:dyDescent="0.3">
      <c r="B1175" s="21"/>
    </row>
    <row r="1176" spans="2:2" x14ac:dyDescent="0.3">
      <c r="B1176" s="21"/>
    </row>
    <row r="1177" spans="2:2" x14ac:dyDescent="0.3">
      <c r="B1177" s="21"/>
    </row>
    <row r="1178" spans="2:2" x14ac:dyDescent="0.3">
      <c r="B1178" s="21"/>
    </row>
    <row r="1179" spans="2:2" x14ac:dyDescent="0.3">
      <c r="B1179" s="21"/>
    </row>
    <row r="1180" spans="2:2" x14ac:dyDescent="0.3">
      <c r="B1180" s="21"/>
    </row>
    <row r="1181" spans="2:2" x14ac:dyDescent="0.3">
      <c r="B1181" s="21"/>
    </row>
    <row r="1182" spans="2:2" x14ac:dyDescent="0.3">
      <c r="B1182" s="21"/>
    </row>
    <row r="1183" spans="2:2" x14ac:dyDescent="0.3">
      <c r="B1183" s="21"/>
    </row>
    <row r="1184" spans="2:2" x14ac:dyDescent="0.3">
      <c r="B1184" s="21"/>
    </row>
    <row r="1185" spans="2:2" x14ac:dyDescent="0.3">
      <c r="B1185" s="21"/>
    </row>
    <row r="1186" spans="2:2" x14ac:dyDescent="0.3">
      <c r="B1186" s="21"/>
    </row>
    <row r="1187" spans="2:2" x14ac:dyDescent="0.3">
      <c r="B1187" s="21"/>
    </row>
    <row r="1188" spans="2:2" x14ac:dyDescent="0.3">
      <c r="B1188" s="21"/>
    </row>
    <row r="1189" spans="2:2" x14ac:dyDescent="0.3">
      <c r="B1189" s="21"/>
    </row>
    <row r="1190" spans="2:2" x14ac:dyDescent="0.3">
      <c r="B1190" s="21"/>
    </row>
    <row r="1191" spans="2:2" x14ac:dyDescent="0.3">
      <c r="B1191" s="21"/>
    </row>
    <row r="1192" spans="2:2" x14ac:dyDescent="0.3">
      <c r="B1192" s="21"/>
    </row>
    <row r="1193" spans="2:2" x14ac:dyDescent="0.3">
      <c r="B1193" s="21"/>
    </row>
    <row r="1194" spans="2:2" x14ac:dyDescent="0.3">
      <c r="B1194" s="21"/>
    </row>
    <row r="1195" spans="2:2" x14ac:dyDescent="0.3">
      <c r="B1195" s="21"/>
    </row>
    <row r="1196" spans="2:2" x14ac:dyDescent="0.3">
      <c r="B1196" s="21"/>
    </row>
    <row r="1197" spans="2:2" x14ac:dyDescent="0.3">
      <c r="B1197" s="21"/>
    </row>
    <row r="1198" spans="2:2" x14ac:dyDescent="0.3">
      <c r="B1198" s="21"/>
    </row>
    <row r="1199" spans="2:2" x14ac:dyDescent="0.3">
      <c r="B1199" s="21"/>
    </row>
    <row r="1200" spans="2:2" x14ac:dyDescent="0.3">
      <c r="B1200" s="21"/>
    </row>
    <row r="1201" spans="2:2" x14ac:dyDescent="0.3">
      <c r="B1201" s="21"/>
    </row>
    <row r="1202" spans="2:2" x14ac:dyDescent="0.3">
      <c r="B1202" s="21"/>
    </row>
    <row r="1203" spans="2:2" x14ac:dyDescent="0.3">
      <c r="B1203" s="21"/>
    </row>
    <row r="1204" spans="2:2" x14ac:dyDescent="0.3">
      <c r="B1204" s="21"/>
    </row>
    <row r="1205" spans="2:2" x14ac:dyDescent="0.3">
      <c r="B1205" s="21"/>
    </row>
    <row r="1206" spans="2:2" x14ac:dyDescent="0.3">
      <c r="B1206" s="21"/>
    </row>
    <row r="1207" spans="2:2" x14ac:dyDescent="0.3">
      <c r="B1207" s="21"/>
    </row>
    <row r="1208" spans="2:2" x14ac:dyDescent="0.3">
      <c r="B1208" s="21"/>
    </row>
    <row r="1209" spans="2:2" x14ac:dyDescent="0.3">
      <c r="B1209" s="21"/>
    </row>
    <row r="1210" spans="2:2" x14ac:dyDescent="0.3">
      <c r="B1210" s="21"/>
    </row>
    <row r="1211" spans="2:2" x14ac:dyDescent="0.3">
      <c r="B1211" s="21"/>
    </row>
    <row r="1212" spans="2:2" x14ac:dyDescent="0.3">
      <c r="B1212" s="21"/>
    </row>
    <row r="1213" spans="2:2" x14ac:dyDescent="0.3">
      <c r="B1213" s="21"/>
    </row>
    <row r="1214" spans="2:2" x14ac:dyDescent="0.3">
      <c r="B1214" s="21"/>
    </row>
    <row r="1215" spans="2:2" x14ac:dyDescent="0.3">
      <c r="B1215" s="21"/>
    </row>
    <row r="1216" spans="2:2" x14ac:dyDescent="0.3">
      <c r="B1216" s="21"/>
    </row>
    <row r="1217" spans="2:2" x14ac:dyDescent="0.3">
      <c r="B1217" s="21"/>
    </row>
    <row r="1218" spans="2:2" x14ac:dyDescent="0.3">
      <c r="B1218" s="21"/>
    </row>
    <row r="1219" spans="2:2" x14ac:dyDescent="0.3">
      <c r="B1219" s="21"/>
    </row>
    <row r="1220" spans="2:2" x14ac:dyDescent="0.3">
      <c r="B1220" s="21"/>
    </row>
    <row r="1221" spans="2:2" x14ac:dyDescent="0.3">
      <c r="B1221" s="21"/>
    </row>
    <row r="1222" spans="2:2" x14ac:dyDescent="0.3">
      <c r="B1222" s="21"/>
    </row>
    <row r="1223" spans="2:2" x14ac:dyDescent="0.3">
      <c r="B1223" s="21"/>
    </row>
    <row r="1224" spans="2:2" x14ac:dyDescent="0.3">
      <c r="B1224" s="21"/>
    </row>
    <row r="1225" spans="2:2" x14ac:dyDescent="0.3">
      <c r="B1225" s="21"/>
    </row>
    <row r="1226" spans="2:2" x14ac:dyDescent="0.3">
      <c r="B1226" s="21"/>
    </row>
    <row r="1227" spans="2:2" x14ac:dyDescent="0.3">
      <c r="B1227" s="21"/>
    </row>
    <row r="1228" spans="2:2" x14ac:dyDescent="0.3">
      <c r="B1228" s="21"/>
    </row>
    <row r="1229" spans="2:2" x14ac:dyDescent="0.3">
      <c r="B1229" s="21"/>
    </row>
    <row r="1230" spans="2:2" x14ac:dyDescent="0.3">
      <c r="B1230" s="21"/>
    </row>
    <row r="1231" spans="2:2" x14ac:dyDescent="0.3">
      <c r="B1231" s="21"/>
    </row>
    <row r="1232" spans="2:2" x14ac:dyDescent="0.3">
      <c r="B1232" s="21"/>
    </row>
    <row r="1233" spans="2:2" x14ac:dyDescent="0.3">
      <c r="B1233" s="21"/>
    </row>
    <row r="1234" spans="2:2" x14ac:dyDescent="0.3">
      <c r="B1234" s="21"/>
    </row>
    <row r="1235" spans="2:2" x14ac:dyDescent="0.3">
      <c r="B1235" s="21"/>
    </row>
    <row r="1236" spans="2:2" x14ac:dyDescent="0.3">
      <c r="B1236" s="21"/>
    </row>
    <row r="1237" spans="2:2" x14ac:dyDescent="0.3">
      <c r="B1237" s="21"/>
    </row>
    <row r="1238" spans="2:2" x14ac:dyDescent="0.3">
      <c r="B1238" s="21"/>
    </row>
    <row r="1239" spans="2:2" x14ac:dyDescent="0.3">
      <c r="B1239" s="21"/>
    </row>
    <row r="1240" spans="2:2" x14ac:dyDescent="0.3">
      <c r="B1240" s="21"/>
    </row>
    <row r="1241" spans="2:2" x14ac:dyDescent="0.3">
      <c r="B1241" s="21"/>
    </row>
    <row r="1242" spans="2:2" x14ac:dyDescent="0.3">
      <c r="B1242" s="21"/>
    </row>
    <row r="1243" spans="2:2" x14ac:dyDescent="0.3">
      <c r="B1243" s="21"/>
    </row>
    <row r="1244" spans="2:2" x14ac:dyDescent="0.3">
      <c r="B1244" s="21"/>
    </row>
    <row r="1245" spans="2:2" x14ac:dyDescent="0.3">
      <c r="B1245" s="21"/>
    </row>
    <row r="1246" spans="2:2" x14ac:dyDescent="0.3">
      <c r="B1246" s="21"/>
    </row>
    <row r="1247" spans="2:2" x14ac:dyDescent="0.3">
      <c r="B1247" s="21"/>
    </row>
    <row r="1248" spans="2:2" x14ac:dyDescent="0.3">
      <c r="B1248" s="21"/>
    </row>
    <row r="1249" spans="2:2" x14ac:dyDescent="0.3">
      <c r="B1249" s="21"/>
    </row>
    <row r="1250" spans="2:2" x14ac:dyDescent="0.3">
      <c r="B1250" s="21"/>
    </row>
    <row r="1251" spans="2:2" x14ac:dyDescent="0.3">
      <c r="B1251" s="21"/>
    </row>
    <row r="1252" spans="2:2" x14ac:dyDescent="0.3">
      <c r="B1252" s="21"/>
    </row>
    <row r="1253" spans="2:2" x14ac:dyDescent="0.3">
      <c r="B1253" s="21"/>
    </row>
    <row r="1254" spans="2:2" x14ac:dyDescent="0.3">
      <c r="B1254" s="21"/>
    </row>
    <row r="1255" spans="2:2" x14ac:dyDescent="0.3">
      <c r="B1255" s="21"/>
    </row>
    <row r="1256" spans="2:2" x14ac:dyDescent="0.3">
      <c r="B1256" s="21"/>
    </row>
    <row r="1257" spans="2:2" x14ac:dyDescent="0.3">
      <c r="B1257" s="21"/>
    </row>
    <row r="1258" spans="2:2" x14ac:dyDescent="0.3">
      <c r="B1258" s="21"/>
    </row>
    <row r="1259" spans="2:2" x14ac:dyDescent="0.3">
      <c r="B1259" s="21"/>
    </row>
    <row r="1260" spans="2:2" x14ac:dyDescent="0.3">
      <c r="B1260" s="21"/>
    </row>
    <row r="1261" spans="2:2" x14ac:dyDescent="0.3">
      <c r="B1261" s="21"/>
    </row>
    <row r="1262" spans="2:2" x14ac:dyDescent="0.3">
      <c r="B1262" s="21"/>
    </row>
    <row r="1263" spans="2:2" x14ac:dyDescent="0.3">
      <c r="B1263" s="21"/>
    </row>
    <row r="1264" spans="2:2" x14ac:dyDescent="0.3">
      <c r="B1264" s="21"/>
    </row>
    <row r="1265" spans="2:2" x14ac:dyDescent="0.3">
      <c r="B1265" s="21"/>
    </row>
    <row r="1266" spans="2:2" x14ac:dyDescent="0.3">
      <c r="B1266" s="21"/>
    </row>
    <row r="1267" spans="2:2" x14ac:dyDescent="0.3">
      <c r="B1267" s="21"/>
    </row>
    <row r="1268" spans="2:2" x14ac:dyDescent="0.3">
      <c r="B1268" s="21"/>
    </row>
    <row r="1269" spans="2:2" x14ac:dyDescent="0.3">
      <c r="B1269" s="21"/>
    </row>
    <row r="1270" spans="2:2" x14ac:dyDescent="0.3">
      <c r="B1270" s="21"/>
    </row>
    <row r="1271" spans="2:2" x14ac:dyDescent="0.3">
      <c r="B1271" s="21"/>
    </row>
    <row r="1272" spans="2:2" x14ac:dyDescent="0.3">
      <c r="B1272" s="21"/>
    </row>
    <row r="1273" spans="2:2" x14ac:dyDescent="0.3">
      <c r="B1273" s="21"/>
    </row>
    <row r="1274" spans="2:2" x14ac:dyDescent="0.3">
      <c r="B1274" s="21"/>
    </row>
    <row r="1275" spans="2:2" x14ac:dyDescent="0.3">
      <c r="B1275" s="21"/>
    </row>
    <row r="1276" spans="2:2" x14ac:dyDescent="0.3">
      <c r="B1276" s="21"/>
    </row>
    <row r="1277" spans="2:2" x14ac:dyDescent="0.3">
      <c r="B1277" s="21"/>
    </row>
    <row r="1278" spans="2:2" x14ac:dyDescent="0.3">
      <c r="B1278" s="21"/>
    </row>
    <row r="1279" spans="2:2" x14ac:dyDescent="0.3">
      <c r="B1279" s="21"/>
    </row>
    <row r="1280" spans="2:2" x14ac:dyDescent="0.3">
      <c r="B1280" s="21"/>
    </row>
    <row r="1281" spans="2:2" x14ac:dyDescent="0.3">
      <c r="B1281" s="21"/>
    </row>
    <row r="1282" spans="2:2" x14ac:dyDescent="0.3">
      <c r="B1282" s="21"/>
    </row>
    <row r="1283" spans="2:2" x14ac:dyDescent="0.3">
      <c r="B1283" s="21"/>
    </row>
    <row r="1284" spans="2:2" x14ac:dyDescent="0.3">
      <c r="B1284" s="21"/>
    </row>
    <row r="1285" spans="2:2" x14ac:dyDescent="0.3">
      <c r="B1285" s="21"/>
    </row>
    <row r="1286" spans="2:2" x14ac:dyDescent="0.3">
      <c r="B1286" s="21"/>
    </row>
    <row r="1287" spans="2:2" x14ac:dyDescent="0.3">
      <c r="B1287" s="21"/>
    </row>
    <row r="1288" spans="2:2" x14ac:dyDescent="0.3">
      <c r="B1288" s="21"/>
    </row>
    <row r="1289" spans="2:2" x14ac:dyDescent="0.3">
      <c r="B1289" s="21"/>
    </row>
    <row r="1290" spans="2:2" x14ac:dyDescent="0.3">
      <c r="B1290" s="21"/>
    </row>
    <row r="1291" spans="2:2" x14ac:dyDescent="0.3">
      <c r="B1291" s="21"/>
    </row>
    <row r="1292" spans="2:2" x14ac:dyDescent="0.3">
      <c r="B1292" s="21"/>
    </row>
    <row r="1293" spans="2:2" x14ac:dyDescent="0.3">
      <c r="B1293" s="21"/>
    </row>
    <row r="1294" spans="2:2" x14ac:dyDescent="0.3">
      <c r="B1294" s="21"/>
    </row>
    <row r="1295" spans="2:2" x14ac:dyDescent="0.3">
      <c r="B1295" s="21"/>
    </row>
    <row r="1296" spans="2:2" x14ac:dyDescent="0.3">
      <c r="B1296" s="21"/>
    </row>
    <row r="1297" spans="2:2" x14ac:dyDescent="0.3">
      <c r="B1297" s="21"/>
    </row>
    <row r="1298" spans="2:2" x14ac:dyDescent="0.3">
      <c r="B1298" s="21"/>
    </row>
    <row r="1299" spans="2:2" x14ac:dyDescent="0.3">
      <c r="B1299" s="21"/>
    </row>
    <row r="1300" spans="2:2" x14ac:dyDescent="0.3">
      <c r="B1300" s="21"/>
    </row>
    <row r="1301" spans="2:2" x14ac:dyDescent="0.3">
      <c r="B1301" s="21"/>
    </row>
    <row r="1302" spans="2:2" x14ac:dyDescent="0.3">
      <c r="B1302" s="21"/>
    </row>
    <row r="1303" spans="2:2" x14ac:dyDescent="0.3">
      <c r="B1303" s="21"/>
    </row>
    <row r="1304" spans="2:2" x14ac:dyDescent="0.3">
      <c r="B1304" s="21"/>
    </row>
    <row r="1305" spans="2:2" x14ac:dyDescent="0.3">
      <c r="B1305" s="21"/>
    </row>
    <row r="1306" spans="2:2" x14ac:dyDescent="0.3">
      <c r="B1306" s="21"/>
    </row>
    <row r="1307" spans="2:2" x14ac:dyDescent="0.3">
      <c r="B1307" s="21"/>
    </row>
    <row r="1308" spans="2:2" x14ac:dyDescent="0.3">
      <c r="B1308" s="21"/>
    </row>
    <row r="1309" spans="2:2" x14ac:dyDescent="0.3">
      <c r="B1309" s="21"/>
    </row>
    <row r="1310" spans="2:2" x14ac:dyDescent="0.3">
      <c r="B1310" s="21"/>
    </row>
    <row r="1311" spans="2:2" x14ac:dyDescent="0.3">
      <c r="B1311" s="21"/>
    </row>
    <row r="1312" spans="2:2" x14ac:dyDescent="0.3">
      <c r="B1312" s="21"/>
    </row>
    <row r="1313" spans="2:2" x14ac:dyDescent="0.3">
      <c r="B1313" s="21"/>
    </row>
    <row r="1314" spans="2:2" x14ac:dyDescent="0.3">
      <c r="B1314" s="21"/>
    </row>
    <row r="1315" spans="2:2" x14ac:dyDescent="0.3">
      <c r="B1315" s="21"/>
    </row>
    <row r="1316" spans="2:2" x14ac:dyDescent="0.3">
      <c r="B1316" s="21"/>
    </row>
    <row r="1317" spans="2:2" x14ac:dyDescent="0.3">
      <c r="B1317" s="21"/>
    </row>
    <row r="1318" spans="2:2" x14ac:dyDescent="0.3">
      <c r="B1318" s="21"/>
    </row>
    <row r="1319" spans="2:2" x14ac:dyDescent="0.3">
      <c r="B1319" s="21"/>
    </row>
    <row r="1320" spans="2:2" x14ac:dyDescent="0.3">
      <c r="B1320" s="21"/>
    </row>
    <row r="1321" spans="2:2" x14ac:dyDescent="0.3">
      <c r="B1321" s="21"/>
    </row>
    <row r="1322" spans="2:2" x14ac:dyDescent="0.3">
      <c r="B1322" s="21"/>
    </row>
    <row r="1323" spans="2:2" x14ac:dyDescent="0.3">
      <c r="B1323" s="21"/>
    </row>
    <row r="1324" spans="2:2" x14ac:dyDescent="0.3">
      <c r="B1324" s="21"/>
    </row>
    <row r="1325" spans="2:2" x14ac:dyDescent="0.3">
      <c r="B1325" s="21"/>
    </row>
    <row r="1326" spans="2:2" x14ac:dyDescent="0.3">
      <c r="B1326" s="21"/>
    </row>
    <row r="1327" spans="2:2" x14ac:dyDescent="0.3">
      <c r="B1327" s="21"/>
    </row>
    <row r="1328" spans="2:2" x14ac:dyDescent="0.3">
      <c r="B1328" s="21"/>
    </row>
    <row r="1329" spans="2:2" x14ac:dyDescent="0.3">
      <c r="B1329" s="21"/>
    </row>
    <row r="1330" spans="2:2" x14ac:dyDescent="0.3">
      <c r="B1330" s="21"/>
    </row>
    <row r="1331" spans="2:2" x14ac:dyDescent="0.3">
      <c r="B1331" s="21"/>
    </row>
    <row r="1332" spans="2:2" x14ac:dyDescent="0.3">
      <c r="B1332" s="21"/>
    </row>
    <row r="1333" spans="2:2" x14ac:dyDescent="0.3">
      <c r="B1333" s="21"/>
    </row>
    <row r="1334" spans="2:2" x14ac:dyDescent="0.3">
      <c r="B1334" s="21"/>
    </row>
    <row r="1335" spans="2:2" x14ac:dyDescent="0.3">
      <c r="B1335" s="21"/>
    </row>
    <row r="1336" spans="2:2" x14ac:dyDescent="0.3">
      <c r="B1336" s="21"/>
    </row>
    <row r="1337" spans="2:2" x14ac:dyDescent="0.3">
      <c r="B1337" s="21"/>
    </row>
    <row r="1338" spans="2:2" x14ac:dyDescent="0.3">
      <c r="B1338" s="21"/>
    </row>
    <row r="1339" spans="2:2" x14ac:dyDescent="0.3">
      <c r="B1339" s="21"/>
    </row>
    <row r="1340" spans="2:2" x14ac:dyDescent="0.3">
      <c r="B1340" s="21"/>
    </row>
    <row r="1341" spans="2:2" x14ac:dyDescent="0.3">
      <c r="B1341" s="21"/>
    </row>
    <row r="1342" spans="2:2" x14ac:dyDescent="0.3">
      <c r="B1342" s="21"/>
    </row>
    <row r="1343" spans="2:2" x14ac:dyDescent="0.3">
      <c r="B1343" s="21"/>
    </row>
    <row r="1344" spans="2:2" x14ac:dyDescent="0.3">
      <c r="B1344" s="21"/>
    </row>
    <row r="1345" spans="2:2" x14ac:dyDescent="0.3">
      <c r="B1345" s="21"/>
    </row>
    <row r="1346" spans="2:2" x14ac:dyDescent="0.3">
      <c r="B1346" s="21"/>
    </row>
    <row r="1347" spans="2:2" x14ac:dyDescent="0.3">
      <c r="B1347" s="21"/>
    </row>
    <row r="1348" spans="2:2" x14ac:dyDescent="0.3">
      <c r="B1348" s="21"/>
    </row>
    <row r="1349" spans="2:2" x14ac:dyDescent="0.3">
      <c r="B1349" s="21"/>
    </row>
    <row r="1350" spans="2:2" x14ac:dyDescent="0.3">
      <c r="B1350" s="21"/>
    </row>
    <row r="1351" spans="2:2" x14ac:dyDescent="0.3">
      <c r="B1351" s="21"/>
    </row>
    <row r="1352" spans="2:2" x14ac:dyDescent="0.3">
      <c r="B1352" s="21"/>
    </row>
    <row r="1353" spans="2:2" x14ac:dyDescent="0.3">
      <c r="B1353" s="21"/>
    </row>
    <row r="1354" spans="2:2" x14ac:dyDescent="0.3">
      <c r="B1354" s="21"/>
    </row>
    <row r="1355" spans="2:2" x14ac:dyDescent="0.3">
      <c r="B1355" s="21"/>
    </row>
    <row r="1356" spans="2:2" x14ac:dyDescent="0.3">
      <c r="B1356" s="21"/>
    </row>
    <row r="1357" spans="2:2" x14ac:dyDescent="0.3">
      <c r="B1357" s="21"/>
    </row>
    <row r="1358" spans="2:2" x14ac:dyDescent="0.3">
      <c r="B1358" s="21"/>
    </row>
    <row r="1359" spans="2:2" x14ac:dyDescent="0.3">
      <c r="B1359" s="21"/>
    </row>
    <row r="1360" spans="2:2" x14ac:dyDescent="0.3">
      <c r="B1360" s="21"/>
    </row>
    <row r="1361" spans="2:2" x14ac:dyDescent="0.3">
      <c r="B1361" s="21"/>
    </row>
    <row r="1362" spans="2:2" x14ac:dyDescent="0.3">
      <c r="B1362" s="21"/>
    </row>
    <row r="1363" spans="2:2" x14ac:dyDescent="0.3">
      <c r="B1363" s="21"/>
    </row>
    <row r="1364" spans="2:2" x14ac:dyDescent="0.3">
      <c r="B1364" s="21"/>
    </row>
    <row r="1365" spans="2:2" x14ac:dyDescent="0.3">
      <c r="B1365" s="21"/>
    </row>
    <row r="1366" spans="2:2" x14ac:dyDescent="0.3">
      <c r="B1366" s="21"/>
    </row>
    <row r="1367" spans="2:2" x14ac:dyDescent="0.3">
      <c r="B1367" s="21"/>
    </row>
    <row r="1368" spans="2:2" x14ac:dyDescent="0.3">
      <c r="B1368" s="21"/>
    </row>
    <row r="1369" spans="2:2" x14ac:dyDescent="0.3">
      <c r="B1369" s="21"/>
    </row>
    <row r="1370" spans="2:2" x14ac:dyDescent="0.3">
      <c r="B1370" s="21"/>
    </row>
    <row r="1371" spans="2:2" x14ac:dyDescent="0.3">
      <c r="B1371" s="21"/>
    </row>
    <row r="1372" spans="2:2" x14ac:dyDescent="0.3">
      <c r="B1372" s="21"/>
    </row>
    <row r="1373" spans="2:2" x14ac:dyDescent="0.3">
      <c r="B1373" s="21"/>
    </row>
    <row r="1374" spans="2:2" x14ac:dyDescent="0.3">
      <c r="B1374" s="21"/>
    </row>
    <row r="1375" spans="2:2" x14ac:dyDescent="0.3">
      <c r="B1375" s="21"/>
    </row>
    <row r="1376" spans="2:2" x14ac:dyDescent="0.3">
      <c r="B1376" s="21"/>
    </row>
    <row r="1377" spans="2:2" x14ac:dyDescent="0.3">
      <c r="B1377" s="21"/>
    </row>
    <row r="1378" spans="2:2" x14ac:dyDescent="0.3">
      <c r="B1378" s="21"/>
    </row>
    <row r="1379" spans="2:2" x14ac:dyDescent="0.3">
      <c r="B1379" s="21"/>
    </row>
    <row r="1380" spans="2:2" x14ac:dyDescent="0.3">
      <c r="B1380" s="21"/>
    </row>
    <row r="1381" spans="2:2" x14ac:dyDescent="0.3">
      <c r="B1381" s="21"/>
    </row>
    <row r="1382" spans="2:2" x14ac:dyDescent="0.3">
      <c r="B1382" s="21"/>
    </row>
    <row r="1383" spans="2:2" x14ac:dyDescent="0.3">
      <c r="B1383" s="21"/>
    </row>
    <row r="1384" spans="2:2" x14ac:dyDescent="0.3">
      <c r="B1384" s="21"/>
    </row>
    <row r="1385" spans="2:2" x14ac:dyDescent="0.3">
      <c r="B1385" s="21"/>
    </row>
    <row r="1386" spans="2:2" x14ac:dyDescent="0.3">
      <c r="B1386" s="21"/>
    </row>
    <row r="1387" spans="2:2" x14ac:dyDescent="0.3">
      <c r="B1387" s="21"/>
    </row>
    <row r="1388" spans="2:2" x14ac:dyDescent="0.3">
      <c r="B1388" s="21"/>
    </row>
    <row r="1389" spans="2:2" x14ac:dyDescent="0.3">
      <c r="B1389" s="21"/>
    </row>
    <row r="1390" spans="2:2" x14ac:dyDescent="0.3">
      <c r="B1390" s="21"/>
    </row>
    <row r="1391" spans="2:2" x14ac:dyDescent="0.3">
      <c r="B1391" s="21"/>
    </row>
    <row r="1392" spans="2:2" x14ac:dyDescent="0.3">
      <c r="B1392" s="21"/>
    </row>
    <row r="1393" spans="2:2" x14ac:dyDescent="0.3">
      <c r="B1393" s="21"/>
    </row>
    <row r="1394" spans="2:2" x14ac:dyDescent="0.3">
      <c r="B1394" s="21"/>
    </row>
    <row r="1395" spans="2:2" x14ac:dyDescent="0.3">
      <c r="B1395" s="21"/>
    </row>
    <row r="1396" spans="2:2" x14ac:dyDescent="0.3">
      <c r="B1396" s="21"/>
    </row>
    <row r="1397" spans="2:2" x14ac:dyDescent="0.3">
      <c r="B1397" s="21"/>
    </row>
    <row r="1398" spans="2:2" x14ac:dyDescent="0.3">
      <c r="B1398" s="21"/>
    </row>
    <row r="1399" spans="2:2" x14ac:dyDescent="0.3">
      <c r="B1399" s="21"/>
    </row>
    <row r="1400" spans="2:2" x14ac:dyDescent="0.3">
      <c r="B1400" s="21"/>
    </row>
    <row r="1401" spans="2:2" x14ac:dyDescent="0.3">
      <c r="B1401" s="21"/>
    </row>
    <row r="1402" spans="2:2" x14ac:dyDescent="0.3">
      <c r="B1402" s="21"/>
    </row>
    <row r="1403" spans="2:2" x14ac:dyDescent="0.3">
      <c r="B1403" s="21"/>
    </row>
    <row r="1404" spans="2:2" x14ac:dyDescent="0.3">
      <c r="B1404" s="21"/>
    </row>
    <row r="1405" spans="2:2" x14ac:dyDescent="0.3">
      <c r="B1405" s="21"/>
    </row>
    <row r="1406" spans="2:2" x14ac:dyDescent="0.3">
      <c r="B1406" s="21"/>
    </row>
    <row r="1407" spans="2:2" x14ac:dyDescent="0.3">
      <c r="B1407" s="21"/>
    </row>
    <row r="1408" spans="2:2" x14ac:dyDescent="0.3">
      <c r="B1408" s="21"/>
    </row>
    <row r="1409" spans="2:2" x14ac:dyDescent="0.3">
      <c r="B1409" s="21"/>
    </row>
    <row r="1410" spans="2:2" x14ac:dyDescent="0.3">
      <c r="B1410" s="21"/>
    </row>
    <row r="1411" spans="2:2" x14ac:dyDescent="0.3">
      <c r="B1411" s="21"/>
    </row>
    <row r="1412" spans="2:2" x14ac:dyDescent="0.3">
      <c r="B1412" s="21"/>
    </row>
    <row r="1413" spans="2:2" x14ac:dyDescent="0.3">
      <c r="B1413" s="21"/>
    </row>
    <row r="1414" spans="2:2" x14ac:dyDescent="0.3">
      <c r="B1414" s="21"/>
    </row>
    <row r="1415" spans="2:2" x14ac:dyDescent="0.3">
      <c r="B1415" s="21"/>
    </row>
    <row r="1416" spans="2:2" x14ac:dyDescent="0.3">
      <c r="B1416" s="21"/>
    </row>
    <row r="1417" spans="2:2" x14ac:dyDescent="0.3">
      <c r="B1417" s="21"/>
    </row>
    <row r="1418" spans="2:2" x14ac:dyDescent="0.3">
      <c r="B1418" s="21"/>
    </row>
    <row r="1419" spans="2:2" x14ac:dyDescent="0.3">
      <c r="B1419" s="21"/>
    </row>
    <row r="1420" spans="2:2" x14ac:dyDescent="0.3">
      <c r="B1420" s="21"/>
    </row>
    <row r="1421" spans="2:2" x14ac:dyDescent="0.3">
      <c r="B1421" s="21"/>
    </row>
    <row r="1422" spans="2:2" x14ac:dyDescent="0.3">
      <c r="B1422" s="21"/>
    </row>
    <row r="1423" spans="2:2" x14ac:dyDescent="0.3">
      <c r="B1423" s="21"/>
    </row>
    <row r="1424" spans="2:2" x14ac:dyDescent="0.3">
      <c r="B1424" s="21"/>
    </row>
    <row r="1425" spans="2:2" x14ac:dyDescent="0.3">
      <c r="B1425" s="21"/>
    </row>
    <row r="1426" spans="2:2" x14ac:dyDescent="0.3">
      <c r="B1426" s="21"/>
    </row>
    <row r="1427" spans="2:2" x14ac:dyDescent="0.3">
      <c r="B1427" s="21"/>
    </row>
    <row r="1428" spans="2:2" x14ac:dyDescent="0.3">
      <c r="B1428" s="21"/>
    </row>
    <row r="1429" spans="2:2" x14ac:dyDescent="0.3">
      <c r="B1429" s="21"/>
    </row>
    <row r="1430" spans="2:2" x14ac:dyDescent="0.3">
      <c r="B1430" s="21"/>
    </row>
    <row r="1431" spans="2:2" x14ac:dyDescent="0.3">
      <c r="B1431" s="21"/>
    </row>
    <row r="1432" spans="2:2" x14ac:dyDescent="0.3">
      <c r="B1432" s="21"/>
    </row>
    <row r="1433" spans="2:2" x14ac:dyDescent="0.3">
      <c r="B1433" s="21"/>
    </row>
    <row r="1434" spans="2:2" x14ac:dyDescent="0.3">
      <c r="B1434" s="21"/>
    </row>
    <row r="1435" spans="2:2" x14ac:dyDescent="0.3">
      <c r="B1435" s="21"/>
    </row>
    <row r="1436" spans="2:2" x14ac:dyDescent="0.3">
      <c r="B1436" s="21"/>
    </row>
    <row r="1437" spans="2:2" x14ac:dyDescent="0.3">
      <c r="B1437" s="21"/>
    </row>
    <row r="1438" spans="2:2" x14ac:dyDescent="0.3">
      <c r="B1438" s="21"/>
    </row>
    <row r="1439" spans="2:2" x14ac:dyDescent="0.3">
      <c r="B1439" s="21"/>
    </row>
    <row r="1440" spans="2:2" x14ac:dyDescent="0.3">
      <c r="B1440" s="21"/>
    </row>
    <row r="1441" spans="2:2" x14ac:dyDescent="0.3">
      <c r="B1441" s="21"/>
    </row>
    <row r="1442" spans="2:2" x14ac:dyDescent="0.3">
      <c r="B1442" s="21"/>
    </row>
    <row r="1443" spans="2:2" x14ac:dyDescent="0.3">
      <c r="B1443" s="21"/>
    </row>
    <row r="1444" spans="2:2" x14ac:dyDescent="0.3">
      <c r="B1444" s="21"/>
    </row>
    <row r="1445" spans="2:2" x14ac:dyDescent="0.3">
      <c r="B1445" s="21"/>
    </row>
    <row r="1446" spans="2:2" x14ac:dyDescent="0.3">
      <c r="B1446" s="21"/>
    </row>
    <row r="1447" spans="2:2" x14ac:dyDescent="0.3">
      <c r="B1447" s="21"/>
    </row>
    <row r="1448" spans="2:2" x14ac:dyDescent="0.3">
      <c r="B1448" s="21"/>
    </row>
    <row r="1449" spans="2:2" x14ac:dyDescent="0.3">
      <c r="B1449" s="21"/>
    </row>
    <row r="1450" spans="2:2" x14ac:dyDescent="0.3">
      <c r="B1450" s="21"/>
    </row>
    <row r="1451" spans="2:2" x14ac:dyDescent="0.3">
      <c r="B1451" s="21"/>
    </row>
    <row r="1452" spans="2:2" x14ac:dyDescent="0.3">
      <c r="B1452" s="21"/>
    </row>
    <row r="1453" spans="2:2" x14ac:dyDescent="0.3">
      <c r="B1453" s="21"/>
    </row>
    <row r="1454" spans="2:2" x14ac:dyDescent="0.3">
      <c r="B1454" s="21"/>
    </row>
    <row r="1455" spans="2:2" x14ac:dyDescent="0.3">
      <c r="B1455" s="21"/>
    </row>
    <row r="1456" spans="2:2" x14ac:dyDescent="0.3">
      <c r="B1456" s="21"/>
    </row>
    <row r="1457" spans="2:2" x14ac:dyDescent="0.3">
      <c r="B1457" s="21"/>
    </row>
    <row r="1458" spans="2:2" x14ac:dyDescent="0.3">
      <c r="B1458" s="21"/>
    </row>
    <row r="1459" spans="2:2" x14ac:dyDescent="0.3">
      <c r="B1459" s="21"/>
    </row>
    <row r="1460" spans="2:2" x14ac:dyDescent="0.3">
      <c r="B1460" s="21"/>
    </row>
    <row r="1461" spans="2:2" x14ac:dyDescent="0.3">
      <c r="B1461" s="21"/>
    </row>
    <row r="1462" spans="2:2" x14ac:dyDescent="0.3">
      <c r="B1462" s="21"/>
    </row>
    <row r="1463" spans="2:2" x14ac:dyDescent="0.3">
      <c r="B1463" s="21"/>
    </row>
    <row r="1464" spans="2:2" x14ac:dyDescent="0.3">
      <c r="B1464" s="21"/>
    </row>
    <row r="1465" spans="2:2" x14ac:dyDescent="0.3">
      <c r="B1465" s="21"/>
    </row>
    <row r="1466" spans="2:2" x14ac:dyDescent="0.3">
      <c r="B1466" s="21"/>
    </row>
    <row r="1467" spans="2:2" x14ac:dyDescent="0.3">
      <c r="B1467" s="21"/>
    </row>
    <row r="1468" spans="2:2" x14ac:dyDescent="0.3">
      <c r="B1468" s="21"/>
    </row>
    <row r="1469" spans="2:2" x14ac:dyDescent="0.3">
      <c r="B1469" s="21"/>
    </row>
    <row r="1470" spans="2:2" x14ac:dyDescent="0.3">
      <c r="B1470" s="21"/>
    </row>
    <row r="1471" spans="2:2" x14ac:dyDescent="0.3">
      <c r="B1471" s="21"/>
    </row>
    <row r="1472" spans="2:2" x14ac:dyDescent="0.3">
      <c r="B1472" s="21"/>
    </row>
    <row r="1473" spans="2:2" x14ac:dyDescent="0.3">
      <c r="B1473" s="21"/>
    </row>
    <row r="1474" spans="2:2" x14ac:dyDescent="0.3">
      <c r="B1474" s="21"/>
    </row>
    <row r="1475" spans="2:2" x14ac:dyDescent="0.3">
      <c r="B1475" s="21"/>
    </row>
    <row r="1476" spans="2:2" x14ac:dyDescent="0.3">
      <c r="B1476" s="21"/>
    </row>
    <row r="1477" spans="2:2" x14ac:dyDescent="0.3">
      <c r="B1477" s="21"/>
    </row>
    <row r="1478" spans="2:2" x14ac:dyDescent="0.3">
      <c r="B1478" s="21"/>
    </row>
    <row r="1479" spans="2:2" x14ac:dyDescent="0.3">
      <c r="B1479" s="21"/>
    </row>
    <row r="1480" spans="2:2" x14ac:dyDescent="0.3">
      <c r="B1480" s="21"/>
    </row>
    <row r="1481" spans="2:2" x14ac:dyDescent="0.3">
      <c r="B1481" s="21"/>
    </row>
    <row r="1482" spans="2:2" x14ac:dyDescent="0.3">
      <c r="B1482" s="21"/>
    </row>
    <row r="1483" spans="2:2" x14ac:dyDescent="0.3">
      <c r="B1483" s="21"/>
    </row>
    <row r="1484" spans="2:2" x14ac:dyDescent="0.3">
      <c r="B1484" s="21"/>
    </row>
    <row r="1485" spans="2:2" x14ac:dyDescent="0.3">
      <c r="B1485" s="21"/>
    </row>
    <row r="1486" spans="2:2" x14ac:dyDescent="0.3">
      <c r="B1486" s="21"/>
    </row>
    <row r="1487" spans="2:2" x14ac:dyDescent="0.3">
      <c r="B1487" s="21"/>
    </row>
    <row r="1488" spans="2:2" x14ac:dyDescent="0.3">
      <c r="B1488" s="21"/>
    </row>
    <row r="1489" spans="2:2" x14ac:dyDescent="0.3">
      <c r="B1489" s="21"/>
    </row>
    <row r="1490" spans="2:2" x14ac:dyDescent="0.3">
      <c r="B1490" s="21"/>
    </row>
    <row r="1491" spans="2:2" x14ac:dyDescent="0.3">
      <c r="B1491" s="21"/>
    </row>
    <row r="1492" spans="2:2" x14ac:dyDescent="0.3">
      <c r="B1492" s="21"/>
    </row>
    <row r="1493" spans="2:2" x14ac:dyDescent="0.3">
      <c r="B1493" s="21"/>
    </row>
    <row r="1494" spans="2:2" x14ac:dyDescent="0.3">
      <c r="B1494" s="21"/>
    </row>
    <row r="1495" spans="2:2" x14ac:dyDescent="0.3">
      <c r="B1495" s="21"/>
    </row>
    <row r="1496" spans="2:2" x14ac:dyDescent="0.3">
      <c r="B1496" s="21"/>
    </row>
    <row r="1497" spans="2:2" x14ac:dyDescent="0.3">
      <c r="B1497" s="21"/>
    </row>
    <row r="1498" spans="2:2" x14ac:dyDescent="0.3">
      <c r="B1498" s="21"/>
    </row>
    <row r="1499" spans="2:2" x14ac:dyDescent="0.3">
      <c r="B1499" s="21"/>
    </row>
    <row r="1500" spans="2:2" x14ac:dyDescent="0.3">
      <c r="B1500" s="21"/>
    </row>
    <row r="1501" spans="2:2" x14ac:dyDescent="0.3">
      <c r="B1501" s="21"/>
    </row>
    <row r="1502" spans="2:2" x14ac:dyDescent="0.3">
      <c r="B1502" s="21"/>
    </row>
    <row r="1503" spans="2:2" x14ac:dyDescent="0.3">
      <c r="B1503" s="21"/>
    </row>
    <row r="1504" spans="2:2" x14ac:dyDescent="0.3">
      <c r="B1504" s="21"/>
    </row>
    <row r="1505" spans="2:2" x14ac:dyDescent="0.3">
      <c r="B1505" s="21"/>
    </row>
    <row r="1506" spans="2:2" x14ac:dyDescent="0.3">
      <c r="B1506" s="21"/>
    </row>
    <row r="1507" spans="2:2" x14ac:dyDescent="0.3">
      <c r="B1507" s="21"/>
    </row>
    <row r="1508" spans="2:2" x14ac:dyDescent="0.3">
      <c r="B1508" s="21"/>
    </row>
    <row r="1509" spans="2:2" x14ac:dyDescent="0.3">
      <c r="B1509" s="21"/>
    </row>
    <row r="1510" spans="2:2" x14ac:dyDescent="0.3">
      <c r="B1510" s="21"/>
    </row>
    <row r="1511" spans="2:2" x14ac:dyDescent="0.3">
      <c r="B1511" s="21"/>
    </row>
    <row r="1512" spans="2:2" x14ac:dyDescent="0.3">
      <c r="B1512" s="21"/>
    </row>
    <row r="1513" spans="2:2" x14ac:dyDescent="0.3">
      <c r="B1513" s="21"/>
    </row>
    <row r="1514" spans="2:2" x14ac:dyDescent="0.3">
      <c r="B1514" s="21"/>
    </row>
    <row r="1515" spans="2:2" x14ac:dyDescent="0.3">
      <c r="B1515" s="21"/>
    </row>
    <row r="1516" spans="2:2" x14ac:dyDescent="0.3">
      <c r="B1516" s="21"/>
    </row>
    <row r="1517" spans="2:2" x14ac:dyDescent="0.3">
      <c r="B1517" s="21"/>
    </row>
    <row r="1518" spans="2:2" x14ac:dyDescent="0.3">
      <c r="B1518" s="21"/>
    </row>
    <row r="1519" spans="2:2" x14ac:dyDescent="0.3">
      <c r="B1519" s="21"/>
    </row>
    <row r="1520" spans="2:2" x14ac:dyDescent="0.3">
      <c r="B1520" s="21"/>
    </row>
    <row r="1521" spans="2:2" x14ac:dyDescent="0.3">
      <c r="B1521" s="21"/>
    </row>
    <row r="1522" spans="2:2" x14ac:dyDescent="0.3">
      <c r="B1522" s="21"/>
    </row>
    <row r="1523" spans="2:2" x14ac:dyDescent="0.3">
      <c r="B1523" s="21"/>
    </row>
    <row r="1524" spans="2:2" x14ac:dyDescent="0.3">
      <c r="B1524" s="21"/>
    </row>
    <row r="1525" spans="2:2" x14ac:dyDescent="0.3">
      <c r="B1525" s="21"/>
    </row>
    <row r="1526" spans="2:2" x14ac:dyDescent="0.3">
      <c r="B1526" s="21"/>
    </row>
    <row r="1527" spans="2:2" x14ac:dyDescent="0.3">
      <c r="B1527" s="21"/>
    </row>
    <row r="1528" spans="2:2" x14ac:dyDescent="0.3">
      <c r="B1528" s="21"/>
    </row>
    <row r="1529" spans="2:2" x14ac:dyDescent="0.3">
      <c r="B1529" s="21"/>
    </row>
    <row r="1530" spans="2:2" x14ac:dyDescent="0.3">
      <c r="B1530" s="21"/>
    </row>
    <row r="1531" spans="2:2" x14ac:dyDescent="0.3">
      <c r="B1531" s="21"/>
    </row>
    <row r="1532" spans="2:2" x14ac:dyDescent="0.3">
      <c r="B1532" s="21"/>
    </row>
    <row r="1533" spans="2:2" x14ac:dyDescent="0.3">
      <c r="B1533" s="21"/>
    </row>
    <row r="1534" spans="2:2" x14ac:dyDescent="0.3">
      <c r="B1534" s="21"/>
    </row>
    <row r="1535" spans="2:2" x14ac:dyDescent="0.3">
      <c r="B1535" s="21"/>
    </row>
    <row r="1536" spans="2:2" x14ac:dyDescent="0.3">
      <c r="B1536" s="21"/>
    </row>
    <row r="1537" spans="2:2" x14ac:dyDescent="0.3">
      <c r="B1537" s="21"/>
    </row>
    <row r="1538" spans="2:2" x14ac:dyDescent="0.3">
      <c r="B1538" s="21"/>
    </row>
    <row r="1539" spans="2:2" x14ac:dyDescent="0.3">
      <c r="B1539" s="21"/>
    </row>
    <row r="1540" spans="2:2" x14ac:dyDescent="0.3">
      <c r="B1540" s="21"/>
    </row>
    <row r="1541" spans="2:2" x14ac:dyDescent="0.3">
      <c r="B1541" s="21"/>
    </row>
    <row r="1542" spans="2:2" x14ac:dyDescent="0.3">
      <c r="B1542" s="21"/>
    </row>
    <row r="1543" spans="2:2" x14ac:dyDescent="0.3">
      <c r="B1543" s="21"/>
    </row>
    <row r="1544" spans="2:2" x14ac:dyDescent="0.3">
      <c r="B1544" s="21"/>
    </row>
    <row r="1545" spans="2:2" x14ac:dyDescent="0.3">
      <c r="B1545" s="21"/>
    </row>
    <row r="1546" spans="2:2" x14ac:dyDescent="0.3">
      <c r="B1546" s="21"/>
    </row>
    <row r="1547" spans="2:2" x14ac:dyDescent="0.3">
      <c r="B1547" s="21"/>
    </row>
    <row r="1548" spans="2:2" x14ac:dyDescent="0.3">
      <c r="B1548" s="21"/>
    </row>
    <row r="1549" spans="2:2" x14ac:dyDescent="0.3">
      <c r="B1549" s="21"/>
    </row>
    <row r="1550" spans="2:2" x14ac:dyDescent="0.3">
      <c r="B1550" s="21"/>
    </row>
    <row r="1551" spans="2:2" x14ac:dyDescent="0.3">
      <c r="B1551" s="21"/>
    </row>
    <row r="1552" spans="2:2" x14ac:dyDescent="0.3">
      <c r="B1552" s="21"/>
    </row>
    <row r="1553" spans="2:2" x14ac:dyDescent="0.3">
      <c r="B1553" s="21"/>
    </row>
    <row r="1554" spans="2:2" x14ac:dyDescent="0.3">
      <c r="B1554" s="21"/>
    </row>
    <row r="1555" spans="2:2" x14ac:dyDescent="0.3">
      <c r="B1555" s="21"/>
    </row>
    <row r="1556" spans="2:2" x14ac:dyDescent="0.3">
      <c r="B1556" s="21"/>
    </row>
    <row r="1557" spans="2:2" x14ac:dyDescent="0.3">
      <c r="B1557" s="21"/>
    </row>
    <row r="1558" spans="2:2" x14ac:dyDescent="0.3">
      <c r="B1558" s="21"/>
    </row>
    <row r="1559" spans="2:2" x14ac:dyDescent="0.3">
      <c r="B1559" s="21"/>
    </row>
    <row r="1560" spans="2:2" x14ac:dyDescent="0.3">
      <c r="B1560" s="21"/>
    </row>
    <row r="1561" spans="2:2" x14ac:dyDescent="0.3">
      <c r="B1561" s="21"/>
    </row>
    <row r="1562" spans="2:2" x14ac:dyDescent="0.3">
      <c r="B1562" s="21"/>
    </row>
    <row r="1563" spans="2:2" x14ac:dyDescent="0.3">
      <c r="B1563" s="21"/>
    </row>
    <row r="1564" spans="2:2" x14ac:dyDescent="0.3">
      <c r="B1564" s="21"/>
    </row>
    <row r="1565" spans="2:2" x14ac:dyDescent="0.3">
      <c r="B1565" s="21"/>
    </row>
    <row r="1566" spans="2:2" x14ac:dyDescent="0.3">
      <c r="B1566" s="21"/>
    </row>
    <row r="1567" spans="2:2" x14ac:dyDescent="0.3">
      <c r="B1567" s="21"/>
    </row>
    <row r="1568" spans="2:2" x14ac:dyDescent="0.3">
      <c r="B1568" s="21"/>
    </row>
    <row r="1569" spans="2:2" x14ac:dyDescent="0.3">
      <c r="B1569" s="21"/>
    </row>
    <row r="1570" spans="2:2" x14ac:dyDescent="0.3">
      <c r="B1570" s="21"/>
    </row>
    <row r="1571" spans="2:2" x14ac:dyDescent="0.3">
      <c r="B1571" s="21"/>
    </row>
    <row r="1572" spans="2:2" x14ac:dyDescent="0.3">
      <c r="B1572" s="21"/>
    </row>
    <row r="1573" spans="2:2" x14ac:dyDescent="0.3">
      <c r="B1573" s="21"/>
    </row>
    <row r="1574" spans="2:2" x14ac:dyDescent="0.3">
      <c r="B1574" s="21"/>
    </row>
    <row r="1575" spans="2:2" x14ac:dyDescent="0.3">
      <c r="B1575" s="21"/>
    </row>
    <row r="1576" spans="2:2" x14ac:dyDescent="0.3">
      <c r="B1576" s="21"/>
    </row>
    <row r="1577" spans="2:2" x14ac:dyDescent="0.3">
      <c r="B1577" s="21"/>
    </row>
    <row r="1578" spans="2:2" x14ac:dyDescent="0.3">
      <c r="B1578" s="21"/>
    </row>
    <row r="1579" spans="2:2" x14ac:dyDescent="0.3">
      <c r="B1579" s="21"/>
    </row>
    <row r="1580" spans="2:2" x14ac:dyDescent="0.3">
      <c r="B1580" s="21"/>
    </row>
    <row r="1581" spans="2:2" x14ac:dyDescent="0.3">
      <c r="B1581" s="21"/>
    </row>
    <row r="1582" spans="2:2" x14ac:dyDescent="0.3">
      <c r="B1582" s="21"/>
    </row>
    <row r="1583" spans="2:2" x14ac:dyDescent="0.3">
      <c r="B1583" s="21"/>
    </row>
    <row r="1584" spans="2:2" x14ac:dyDescent="0.3">
      <c r="B1584" s="21"/>
    </row>
    <row r="1585" spans="2:2" x14ac:dyDescent="0.3">
      <c r="B1585" s="21"/>
    </row>
    <row r="1586" spans="2:2" x14ac:dyDescent="0.3">
      <c r="B1586" s="21"/>
    </row>
    <row r="1587" spans="2:2" x14ac:dyDescent="0.3">
      <c r="B1587" s="21"/>
    </row>
    <row r="1588" spans="2:2" x14ac:dyDescent="0.3">
      <c r="B1588" s="21"/>
    </row>
    <row r="1589" spans="2:2" x14ac:dyDescent="0.3">
      <c r="B1589" s="21"/>
    </row>
    <row r="1590" spans="2:2" x14ac:dyDescent="0.3">
      <c r="B1590" s="21"/>
    </row>
    <row r="1591" spans="2:2" x14ac:dyDescent="0.3">
      <c r="B1591" s="21"/>
    </row>
    <row r="1592" spans="2:2" x14ac:dyDescent="0.3">
      <c r="B1592" s="21"/>
    </row>
    <row r="1593" spans="2:2" x14ac:dyDescent="0.3">
      <c r="B1593" s="21"/>
    </row>
    <row r="1594" spans="2:2" x14ac:dyDescent="0.3">
      <c r="B1594" s="21"/>
    </row>
    <row r="1595" spans="2:2" x14ac:dyDescent="0.3">
      <c r="B1595" s="21"/>
    </row>
    <row r="1596" spans="2:2" x14ac:dyDescent="0.3">
      <c r="B1596" s="21"/>
    </row>
    <row r="1597" spans="2:2" x14ac:dyDescent="0.3">
      <c r="B1597" s="21"/>
    </row>
    <row r="1598" spans="2:2" x14ac:dyDescent="0.3">
      <c r="B1598" s="21"/>
    </row>
    <row r="1599" spans="2:2" x14ac:dyDescent="0.3">
      <c r="B1599" s="21"/>
    </row>
    <row r="1600" spans="2:2" x14ac:dyDescent="0.3">
      <c r="B1600" s="21"/>
    </row>
    <row r="1601" spans="2:2" x14ac:dyDescent="0.3">
      <c r="B1601" s="21"/>
    </row>
    <row r="1602" spans="2:2" x14ac:dyDescent="0.3">
      <c r="B1602" s="21"/>
    </row>
    <row r="1603" spans="2:2" x14ac:dyDescent="0.3">
      <c r="B1603" s="21"/>
    </row>
    <row r="1604" spans="2:2" x14ac:dyDescent="0.3">
      <c r="B1604" s="21"/>
    </row>
    <row r="1605" spans="2:2" x14ac:dyDescent="0.3">
      <c r="B1605" s="21"/>
    </row>
    <row r="1606" spans="2:2" x14ac:dyDescent="0.3">
      <c r="B1606" s="21"/>
    </row>
    <row r="1607" spans="2:2" x14ac:dyDescent="0.3">
      <c r="B1607" s="21"/>
    </row>
    <row r="1608" spans="2:2" x14ac:dyDescent="0.3">
      <c r="B1608" s="21"/>
    </row>
    <row r="1609" spans="2:2" x14ac:dyDescent="0.3">
      <c r="B1609" s="21"/>
    </row>
    <row r="1610" spans="2:2" x14ac:dyDescent="0.3">
      <c r="B1610" s="21"/>
    </row>
    <row r="1611" spans="2:2" x14ac:dyDescent="0.3">
      <c r="B1611" s="21"/>
    </row>
    <row r="1612" spans="2:2" x14ac:dyDescent="0.3">
      <c r="B1612" s="21"/>
    </row>
    <row r="1613" spans="2:2" x14ac:dyDescent="0.3">
      <c r="B1613" s="21"/>
    </row>
    <row r="1614" spans="2:2" x14ac:dyDescent="0.3">
      <c r="B1614" s="21"/>
    </row>
    <row r="1615" spans="2:2" x14ac:dyDescent="0.3">
      <c r="B1615" s="21"/>
    </row>
    <row r="1616" spans="2:2" x14ac:dyDescent="0.3">
      <c r="B1616" s="21"/>
    </row>
    <row r="1617" spans="2:2" x14ac:dyDescent="0.3">
      <c r="B1617" s="21"/>
    </row>
    <row r="1618" spans="2:2" x14ac:dyDescent="0.3">
      <c r="B1618" s="21"/>
    </row>
    <row r="1619" spans="2:2" x14ac:dyDescent="0.3">
      <c r="B1619" s="21"/>
    </row>
    <row r="1620" spans="2:2" x14ac:dyDescent="0.3">
      <c r="B1620" s="21"/>
    </row>
    <row r="1621" spans="2:2" x14ac:dyDescent="0.3">
      <c r="B1621" s="21"/>
    </row>
    <row r="1622" spans="2:2" x14ac:dyDescent="0.3">
      <c r="B1622" s="21"/>
    </row>
    <row r="1623" spans="2:2" x14ac:dyDescent="0.3">
      <c r="B1623" s="21"/>
    </row>
    <row r="1624" spans="2:2" x14ac:dyDescent="0.3">
      <c r="B1624" s="21"/>
    </row>
    <row r="1625" spans="2:2" x14ac:dyDescent="0.3">
      <c r="B1625" s="21"/>
    </row>
    <row r="1626" spans="2:2" x14ac:dyDescent="0.3">
      <c r="B1626" s="21"/>
    </row>
    <row r="1627" spans="2:2" x14ac:dyDescent="0.3">
      <c r="B1627" s="21"/>
    </row>
    <row r="1628" spans="2:2" x14ac:dyDescent="0.3">
      <c r="B1628" s="21"/>
    </row>
    <row r="1629" spans="2:2" x14ac:dyDescent="0.3">
      <c r="B1629" s="21"/>
    </row>
    <row r="1630" spans="2:2" x14ac:dyDescent="0.3">
      <c r="B1630" s="21"/>
    </row>
    <row r="1631" spans="2:2" x14ac:dyDescent="0.3">
      <c r="B1631" s="21"/>
    </row>
    <row r="1632" spans="2:2" x14ac:dyDescent="0.3">
      <c r="B1632" s="21"/>
    </row>
    <row r="1633" spans="2:2" x14ac:dyDescent="0.3">
      <c r="B1633" s="21"/>
    </row>
    <row r="1634" spans="2:2" x14ac:dyDescent="0.3">
      <c r="B1634" s="21"/>
    </row>
    <row r="1635" spans="2:2" x14ac:dyDescent="0.3">
      <c r="B1635" s="21"/>
    </row>
    <row r="1636" spans="2:2" x14ac:dyDescent="0.3">
      <c r="B1636" s="21"/>
    </row>
    <row r="1637" spans="2:2" x14ac:dyDescent="0.3">
      <c r="B1637" s="21"/>
    </row>
    <row r="1638" spans="2:2" x14ac:dyDescent="0.3">
      <c r="B1638" s="21"/>
    </row>
    <row r="1639" spans="2:2" x14ac:dyDescent="0.3">
      <c r="B1639" s="21"/>
    </row>
    <row r="1640" spans="2:2" x14ac:dyDescent="0.3">
      <c r="B1640" s="21"/>
    </row>
    <row r="1641" spans="2:2" x14ac:dyDescent="0.3">
      <c r="B1641" s="21"/>
    </row>
    <row r="1642" spans="2:2" x14ac:dyDescent="0.3">
      <c r="B1642" s="21"/>
    </row>
    <row r="1643" spans="2:2" x14ac:dyDescent="0.3">
      <c r="B1643" s="21"/>
    </row>
    <row r="1644" spans="2:2" x14ac:dyDescent="0.3">
      <c r="B1644" s="21"/>
    </row>
    <row r="1645" spans="2:2" x14ac:dyDescent="0.3">
      <c r="B1645" s="21"/>
    </row>
    <row r="1646" spans="2:2" x14ac:dyDescent="0.3">
      <c r="B1646" s="21"/>
    </row>
    <row r="1647" spans="2:2" x14ac:dyDescent="0.3">
      <c r="B1647" s="21"/>
    </row>
    <row r="1648" spans="2:2" x14ac:dyDescent="0.3">
      <c r="B1648" s="21"/>
    </row>
    <row r="1649" spans="2:2" x14ac:dyDescent="0.3">
      <c r="B1649" s="21"/>
    </row>
    <row r="1650" spans="2:2" x14ac:dyDescent="0.3">
      <c r="B1650" s="21"/>
    </row>
    <row r="1651" spans="2:2" x14ac:dyDescent="0.3">
      <c r="B1651" s="21"/>
    </row>
    <row r="1652" spans="2:2" x14ac:dyDescent="0.3">
      <c r="B1652" s="21"/>
    </row>
    <row r="1653" spans="2:2" x14ac:dyDescent="0.3">
      <c r="B1653" s="21"/>
    </row>
    <row r="1654" spans="2:2" x14ac:dyDescent="0.3">
      <c r="B1654" s="21"/>
    </row>
    <row r="1655" spans="2:2" x14ac:dyDescent="0.3">
      <c r="B1655" s="21"/>
    </row>
    <row r="1656" spans="2:2" x14ac:dyDescent="0.3">
      <c r="B1656" s="21"/>
    </row>
    <row r="1657" spans="2:2" x14ac:dyDescent="0.3">
      <c r="B1657" s="21"/>
    </row>
    <row r="1658" spans="2:2" x14ac:dyDescent="0.3">
      <c r="B1658" s="21"/>
    </row>
    <row r="1659" spans="2:2" x14ac:dyDescent="0.3">
      <c r="B1659" s="21"/>
    </row>
    <row r="1660" spans="2:2" x14ac:dyDescent="0.3">
      <c r="B1660" s="21"/>
    </row>
    <row r="1661" spans="2:2" x14ac:dyDescent="0.3">
      <c r="B1661" s="21"/>
    </row>
    <row r="1662" spans="2:2" x14ac:dyDescent="0.3">
      <c r="B1662" s="21"/>
    </row>
    <row r="1663" spans="2:2" x14ac:dyDescent="0.3">
      <c r="B1663" s="21"/>
    </row>
    <row r="1664" spans="2:2" x14ac:dyDescent="0.3">
      <c r="B1664" s="21"/>
    </row>
    <row r="1665" spans="2:2" x14ac:dyDescent="0.3">
      <c r="B1665" s="21"/>
    </row>
    <row r="1666" spans="2:2" x14ac:dyDescent="0.3">
      <c r="B1666" s="21"/>
    </row>
    <row r="1667" spans="2:2" x14ac:dyDescent="0.3">
      <c r="B1667" s="21"/>
    </row>
    <row r="1668" spans="2:2" x14ac:dyDescent="0.3">
      <c r="B1668" s="21"/>
    </row>
    <row r="1669" spans="2:2" x14ac:dyDescent="0.3">
      <c r="B1669" s="21"/>
    </row>
    <row r="1670" spans="2:2" x14ac:dyDescent="0.3">
      <c r="B1670" s="21"/>
    </row>
    <row r="1671" spans="2:2" x14ac:dyDescent="0.3">
      <c r="B1671" s="21"/>
    </row>
    <row r="1672" spans="2:2" x14ac:dyDescent="0.3">
      <c r="B1672" s="21"/>
    </row>
    <row r="1673" spans="2:2" x14ac:dyDescent="0.3">
      <c r="B1673" s="21"/>
    </row>
    <row r="1674" spans="2:2" x14ac:dyDescent="0.3">
      <c r="B1674" s="21"/>
    </row>
    <row r="1675" spans="2:2" x14ac:dyDescent="0.3">
      <c r="B1675" s="21"/>
    </row>
    <row r="1676" spans="2:2" x14ac:dyDescent="0.3">
      <c r="B1676" s="21"/>
    </row>
    <row r="1677" spans="2:2" x14ac:dyDescent="0.3">
      <c r="B1677" s="21"/>
    </row>
    <row r="1678" spans="2:2" x14ac:dyDescent="0.3">
      <c r="B1678" s="21"/>
    </row>
    <row r="1679" spans="2:2" x14ac:dyDescent="0.3">
      <c r="B1679" s="21"/>
    </row>
    <row r="1680" spans="2:2" x14ac:dyDescent="0.3">
      <c r="B1680" s="21"/>
    </row>
    <row r="1681" spans="2:2" x14ac:dyDescent="0.3">
      <c r="B1681" s="21"/>
    </row>
    <row r="1682" spans="2:2" x14ac:dyDescent="0.3">
      <c r="B1682" s="21"/>
    </row>
    <row r="1683" spans="2:2" x14ac:dyDescent="0.3">
      <c r="B1683" s="21"/>
    </row>
    <row r="1684" spans="2:2" x14ac:dyDescent="0.3">
      <c r="B1684" s="21"/>
    </row>
    <row r="1685" spans="2:2" x14ac:dyDescent="0.3">
      <c r="B1685" s="21"/>
    </row>
    <row r="1686" spans="2:2" x14ac:dyDescent="0.3">
      <c r="B1686" s="21"/>
    </row>
    <row r="1687" spans="2:2" x14ac:dyDescent="0.3">
      <c r="B1687" s="21"/>
    </row>
    <row r="1688" spans="2:2" x14ac:dyDescent="0.3">
      <c r="B1688" s="21"/>
    </row>
    <row r="1689" spans="2:2" x14ac:dyDescent="0.3">
      <c r="B1689" s="21"/>
    </row>
    <row r="1690" spans="2:2" x14ac:dyDescent="0.3">
      <c r="B1690" s="21"/>
    </row>
    <row r="1691" spans="2:2" x14ac:dyDescent="0.3">
      <c r="B1691" s="21"/>
    </row>
    <row r="1692" spans="2:2" x14ac:dyDescent="0.3">
      <c r="B1692" s="21"/>
    </row>
    <row r="1693" spans="2:2" x14ac:dyDescent="0.3">
      <c r="B1693" s="21"/>
    </row>
    <row r="1694" spans="2:2" x14ac:dyDescent="0.3">
      <c r="B1694" s="21"/>
    </row>
    <row r="1695" spans="2:2" x14ac:dyDescent="0.3">
      <c r="B1695" s="21"/>
    </row>
    <row r="1696" spans="2:2" x14ac:dyDescent="0.3">
      <c r="B1696" s="21"/>
    </row>
    <row r="1697" spans="2:2" x14ac:dyDescent="0.3">
      <c r="B1697" s="21"/>
    </row>
    <row r="1698" spans="2:2" x14ac:dyDescent="0.3">
      <c r="B1698" s="21"/>
    </row>
    <row r="1699" spans="2:2" x14ac:dyDescent="0.3">
      <c r="B1699" s="21"/>
    </row>
    <row r="1700" spans="2:2" x14ac:dyDescent="0.3">
      <c r="B1700" s="21"/>
    </row>
    <row r="1701" spans="2:2" x14ac:dyDescent="0.3">
      <c r="B1701" s="21"/>
    </row>
    <row r="1702" spans="2:2" x14ac:dyDescent="0.3">
      <c r="B1702" s="21"/>
    </row>
    <row r="1703" spans="2:2" x14ac:dyDescent="0.3">
      <c r="B1703" s="21"/>
    </row>
    <row r="1704" spans="2:2" x14ac:dyDescent="0.3">
      <c r="B1704" s="21"/>
    </row>
    <row r="1705" spans="2:2" x14ac:dyDescent="0.3">
      <c r="B1705" s="21"/>
    </row>
    <row r="1706" spans="2:2" x14ac:dyDescent="0.3">
      <c r="B1706" s="21"/>
    </row>
    <row r="1707" spans="2:2" x14ac:dyDescent="0.3">
      <c r="B1707" s="21"/>
    </row>
    <row r="1708" spans="2:2" x14ac:dyDescent="0.3">
      <c r="B1708" s="21"/>
    </row>
    <row r="1709" spans="2:2" x14ac:dyDescent="0.3">
      <c r="B1709" s="21"/>
    </row>
    <row r="1710" spans="2:2" x14ac:dyDescent="0.3">
      <c r="B1710" s="21"/>
    </row>
    <row r="1711" spans="2:2" x14ac:dyDescent="0.3">
      <c r="B1711" s="21"/>
    </row>
    <row r="1712" spans="2:2" x14ac:dyDescent="0.3">
      <c r="B1712" s="21"/>
    </row>
    <row r="1713" spans="2:2" x14ac:dyDescent="0.3">
      <c r="B1713" s="21"/>
    </row>
    <row r="1714" spans="2:2" x14ac:dyDescent="0.3">
      <c r="B1714" s="21"/>
    </row>
    <row r="1715" spans="2:2" x14ac:dyDescent="0.3">
      <c r="B1715" s="21"/>
    </row>
    <row r="1716" spans="2:2" x14ac:dyDescent="0.3">
      <c r="B1716" s="21"/>
    </row>
    <row r="1717" spans="2:2" x14ac:dyDescent="0.3">
      <c r="B1717" s="21"/>
    </row>
    <row r="1718" spans="2:2" x14ac:dyDescent="0.3">
      <c r="B1718" s="21"/>
    </row>
    <row r="1719" spans="2:2" x14ac:dyDescent="0.3">
      <c r="B1719" s="21"/>
    </row>
    <row r="1720" spans="2:2" x14ac:dyDescent="0.3">
      <c r="B1720" s="21"/>
    </row>
    <row r="1721" spans="2:2" x14ac:dyDescent="0.3">
      <c r="B1721" s="21"/>
    </row>
    <row r="1722" spans="2:2" x14ac:dyDescent="0.3">
      <c r="B1722" s="21"/>
    </row>
    <row r="1723" spans="2:2" x14ac:dyDescent="0.3">
      <c r="B1723" s="21"/>
    </row>
    <row r="1724" spans="2:2" x14ac:dyDescent="0.3">
      <c r="B1724" s="21"/>
    </row>
    <row r="1725" spans="2:2" x14ac:dyDescent="0.3">
      <c r="B1725" s="21"/>
    </row>
    <row r="1726" spans="2:2" x14ac:dyDescent="0.3">
      <c r="B1726" s="21"/>
    </row>
    <row r="1727" spans="2:2" x14ac:dyDescent="0.3">
      <c r="B1727" s="21"/>
    </row>
    <row r="1728" spans="2:2" x14ac:dyDescent="0.3">
      <c r="B1728" s="21"/>
    </row>
    <row r="1729" spans="2:2" x14ac:dyDescent="0.3">
      <c r="B1729" s="21"/>
    </row>
    <row r="1730" spans="2:2" x14ac:dyDescent="0.3">
      <c r="B1730" s="21"/>
    </row>
    <row r="1731" spans="2:2" x14ac:dyDescent="0.3">
      <c r="B1731" s="21"/>
    </row>
    <row r="1732" spans="2:2" x14ac:dyDescent="0.3">
      <c r="B1732" s="21"/>
    </row>
    <row r="1733" spans="2:2" x14ac:dyDescent="0.3">
      <c r="B1733" s="21"/>
    </row>
    <row r="1734" spans="2:2" x14ac:dyDescent="0.3">
      <c r="B1734" s="21"/>
    </row>
    <row r="1735" spans="2:2" x14ac:dyDescent="0.3">
      <c r="B1735" s="21"/>
    </row>
    <row r="1736" spans="2:2" x14ac:dyDescent="0.3">
      <c r="B1736" s="21"/>
    </row>
    <row r="1737" spans="2:2" x14ac:dyDescent="0.3">
      <c r="B1737" s="21"/>
    </row>
    <row r="1738" spans="2:2" x14ac:dyDescent="0.3">
      <c r="B1738" s="21"/>
    </row>
    <row r="1739" spans="2:2" x14ac:dyDescent="0.3">
      <c r="B1739" s="21"/>
    </row>
    <row r="1740" spans="2:2" x14ac:dyDescent="0.3">
      <c r="B1740" s="21"/>
    </row>
    <row r="1741" spans="2:2" x14ac:dyDescent="0.3">
      <c r="B1741" s="21"/>
    </row>
    <row r="1742" spans="2:2" x14ac:dyDescent="0.3">
      <c r="B1742" s="21"/>
    </row>
    <row r="1743" spans="2:2" x14ac:dyDescent="0.3">
      <c r="B1743" s="21"/>
    </row>
    <row r="1744" spans="2:2" x14ac:dyDescent="0.3">
      <c r="B1744" s="21"/>
    </row>
    <row r="1745" spans="2:2" x14ac:dyDescent="0.3">
      <c r="B1745" s="21"/>
    </row>
    <row r="1746" spans="2:2" x14ac:dyDescent="0.3">
      <c r="B1746" s="21"/>
    </row>
    <row r="1747" spans="2:2" x14ac:dyDescent="0.3">
      <c r="B1747" s="21"/>
    </row>
    <row r="1748" spans="2:2" x14ac:dyDescent="0.3">
      <c r="B1748" s="21"/>
    </row>
    <row r="1749" spans="2:2" x14ac:dyDescent="0.3">
      <c r="B1749" s="21"/>
    </row>
    <row r="1750" spans="2:2" x14ac:dyDescent="0.3">
      <c r="B1750" s="21"/>
    </row>
    <row r="1751" spans="2:2" x14ac:dyDescent="0.3">
      <c r="B1751" s="21"/>
    </row>
    <row r="1752" spans="2:2" x14ac:dyDescent="0.3">
      <c r="B1752" s="21"/>
    </row>
    <row r="1753" spans="2:2" x14ac:dyDescent="0.3">
      <c r="B1753" s="21"/>
    </row>
    <row r="1754" spans="2:2" x14ac:dyDescent="0.3">
      <c r="B1754" s="21"/>
    </row>
    <row r="1755" spans="2:2" x14ac:dyDescent="0.3">
      <c r="B1755" s="21"/>
    </row>
    <row r="1756" spans="2:2" x14ac:dyDescent="0.3">
      <c r="B1756" s="21"/>
    </row>
    <row r="1757" spans="2:2" x14ac:dyDescent="0.3">
      <c r="B1757" s="21"/>
    </row>
    <row r="1758" spans="2:2" x14ac:dyDescent="0.3">
      <c r="B1758" s="21"/>
    </row>
    <row r="1759" spans="2:2" x14ac:dyDescent="0.3">
      <c r="B1759" s="21"/>
    </row>
    <row r="1760" spans="2:2" x14ac:dyDescent="0.3">
      <c r="B1760" s="21"/>
    </row>
    <row r="1761" spans="2:2" x14ac:dyDescent="0.3">
      <c r="B1761" s="21"/>
    </row>
    <row r="1762" spans="2:2" x14ac:dyDescent="0.3">
      <c r="B1762" s="21"/>
    </row>
    <row r="1763" spans="2:2" x14ac:dyDescent="0.3">
      <c r="B1763" s="21"/>
    </row>
    <row r="1764" spans="2:2" x14ac:dyDescent="0.3">
      <c r="B1764" s="21"/>
    </row>
    <row r="1765" spans="2:2" x14ac:dyDescent="0.3">
      <c r="B1765" s="21"/>
    </row>
    <row r="1766" spans="2:2" x14ac:dyDescent="0.3">
      <c r="B1766" s="21"/>
    </row>
    <row r="1767" spans="2:2" x14ac:dyDescent="0.3">
      <c r="B1767" s="21"/>
    </row>
    <row r="1768" spans="2:2" x14ac:dyDescent="0.3">
      <c r="B1768" s="21"/>
    </row>
    <row r="1769" spans="2:2" x14ac:dyDescent="0.3">
      <c r="B1769" s="21"/>
    </row>
    <row r="1770" spans="2:2" x14ac:dyDescent="0.3">
      <c r="B1770" s="21"/>
    </row>
    <row r="1771" spans="2:2" x14ac:dyDescent="0.3">
      <c r="B1771" s="21"/>
    </row>
    <row r="1772" spans="2:2" x14ac:dyDescent="0.3">
      <c r="B1772" s="21"/>
    </row>
    <row r="1773" spans="2:2" x14ac:dyDescent="0.3">
      <c r="B1773" s="21"/>
    </row>
    <row r="1774" spans="2:2" x14ac:dyDescent="0.3">
      <c r="B1774" s="21"/>
    </row>
    <row r="1775" spans="2:2" x14ac:dyDescent="0.3">
      <c r="B1775" s="21"/>
    </row>
    <row r="1776" spans="2:2" x14ac:dyDescent="0.3">
      <c r="B1776" s="21"/>
    </row>
    <row r="1777" spans="2:2" x14ac:dyDescent="0.3">
      <c r="B1777" s="21"/>
    </row>
    <row r="1778" spans="2:2" x14ac:dyDescent="0.3">
      <c r="B1778" s="21"/>
    </row>
    <row r="1779" spans="2:2" x14ac:dyDescent="0.3">
      <c r="B1779" s="21"/>
    </row>
    <row r="1780" spans="2:2" x14ac:dyDescent="0.3">
      <c r="B1780" s="21"/>
    </row>
    <row r="1781" spans="2:2" x14ac:dyDescent="0.3">
      <c r="B1781" s="21"/>
    </row>
    <row r="1782" spans="2:2" x14ac:dyDescent="0.3">
      <c r="B1782" s="21"/>
    </row>
    <row r="1783" spans="2:2" x14ac:dyDescent="0.3">
      <c r="B1783" s="21"/>
    </row>
    <row r="1784" spans="2:2" x14ac:dyDescent="0.3">
      <c r="B1784" s="21"/>
    </row>
    <row r="1785" spans="2:2" x14ac:dyDescent="0.3">
      <c r="B1785" s="21"/>
    </row>
    <row r="1786" spans="2:2" x14ac:dyDescent="0.3">
      <c r="B1786" s="21"/>
    </row>
    <row r="1787" spans="2:2" x14ac:dyDescent="0.3">
      <c r="B1787" s="21"/>
    </row>
    <row r="1788" spans="2:2" x14ac:dyDescent="0.3">
      <c r="B1788" s="21"/>
    </row>
    <row r="1789" spans="2:2" x14ac:dyDescent="0.3">
      <c r="B1789" s="21"/>
    </row>
    <row r="1790" spans="2:2" x14ac:dyDescent="0.3">
      <c r="B1790" s="21"/>
    </row>
    <row r="1791" spans="2:2" x14ac:dyDescent="0.3">
      <c r="B1791" s="21"/>
    </row>
    <row r="1792" spans="2:2" x14ac:dyDescent="0.3">
      <c r="B1792" s="21"/>
    </row>
    <row r="1793" spans="2:2" x14ac:dyDescent="0.3">
      <c r="B1793" s="21"/>
    </row>
    <row r="1794" spans="2:2" x14ac:dyDescent="0.3">
      <c r="B1794" s="21"/>
    </row>
    <row r="1795" spans="2:2" x14ac:dyDescent="0.3">
      <c r="B1795" s="21"/>
    </row>
    <row r="1796" spans="2:2" x14ac:dyDescent="0.3">
      <c r="B1796" s="21"/>
    </row>
    <row r="1797" spans="2:2" x14ac:dyDescent="0.3">
      <c r="B1797" s="21"/>
    </row>
    <row r="1798" spans="2:2" x14ac:dyDescent="0.3">
      <c r="B1798" s="21"/>
    </row>
    <row r="1799" spans="2:2" x14ac:dyDescent="0.3">
      <c r="B1799" s="21"/>
    </row>
    <row r="1800" spans="2:2" x14ac:dyDescent="0.3">
      <c r="B1800" s="21"/>
    </row>
    <row r="1801" spans="2:2" x14ac:dyDescent="0.3">
      <c r="B1801" s="21"/>
    </row>
    <row r="1802" spans="2:2" x14ac:dyDescent="0.3">
      <c r="B1802" s="21"/>
    </row>
    <row r="1803" spans="2:2" x14ac:dyDescent="0.3">
      <c r="B1803" s="21"/>
    </row>
    <row r="1804" spans="2:2" x14ac:dyDescent="0.3">
      <c r="B1804" s="21"/>
    </row>
    <row r="1805" spans="2:2" x14ac:dyDescent="0.3">
      <c r="B1805" s="21"/>
    </row>
    <row r="1806" spans="2:2" x14ac:dyDescent="0.3">
      <c r="B1806" s="21"/>
    </row>
    <row r="1807" spans="2:2" x14ac:dyDescent="0.3">
      <c r="B1807" s="21"/>
    </row>
    <row r="1808" spans="2:2" x14ac:dyDescent="0.3">
      <c r="B1808" s="21"/>
    </row>
    <row r="1809" spans="2:2" x14ac:dyDescent="0.3">
      <c r="B1809" s="21"/>
    </row>
    <row r="1810" spans="2:2" x14ac:dyDescent="0.3">
      <c r="B1810" s="21"/>
    </row>
    <row r="1811" spans="2:2" x14ac:dyDescent="0.3">
      <c r="B1811" s="21"/>
    </row>
    <row r="1812" spans="2:2" x14ac:dyDescent="0.3">
      <c r="B1812" s="21"/>
    </row>
    <row r="1813" spans="2:2" x14ac:dyDescent="0.3">
      <c r="B1813" s="21"/>
    </row>
    <row r="1814" spans="2:2" x14ac:dyDescent="0.3">
      <c r="B1814" s="21"/>
    </row>
    <row r="1815" spans="2:2" x14ac:dyDescent="0.3">
      <c r="B1815" s="21"/>
    </row>
    <row r="1816" spans="2:2" x14ac:dyDescent="0.3">
      <c r="B1816" s="21"/>
    </row>
    <row r="1817" spans="2:2" x14ac:dyDescent="0.3">
      <c r="B1817" s="21"/>
    </row>
    <row r="1818" spans="2:2" x14ac:dyDescent="0.3">
      <c r="B1818" s="21"/>
    </row>
    <row r="1819" spans="2:2" x14ac:dyDescent="0.3">
      <c r="B1819" s="21"/>
    </row>
    <row r="1820" spans="2:2" x14ac:dyDescent="0.3">
      <c r="B1820" s="21"/>
    </row>
    <row r="1821" spans="2:2" x14ac:dyDescent="0.3">
      <c r="B1821" s="21"/>
    </row>
    <row r="1822" spans="2:2" x14ac:dyDescent="0.3">
      <c r="B1822" s="21"/>
    </row>
    <row r="1823" spans="2:2" x14ac:dyDescent="0.3">
      <c r="B1823" s="21"/>
    </row>
    <row r="1824" spans="2:2" x14ac:dyDescent="0.3">
      <c r="B1824" s="21"/>
    </row>
    <row r="1825" spans="2:2" x14ac:dyDescent="0.3">
      <c r="B1825" s="21"/>
    </row>
    <row r="1826" spans="2:2" x14ac:dyDescent="0.3">
      <c r="B1826" s="21"/>
    </row>
    <row r="1827" spans="2:2" x14ac:dyDescent="0.3">
      <c r="B1827" s="21"/>
    </row>
    <row r="1828" spans="2:2" x14ac:dyDescent="0.3">
      <c r="B1828" s="21"/>
    </row>
    <row r="1829" spans="2:2" x14ac:dyDescent="0.3">
      <c r="B1829" s="21"/>
    </row>
    <row r="1830" spans="2:2" x14ac:dyDescent="0.3">
      <c r="B1830" s="21"/>
    </row>
    <row r="1831" spans="2:2" x14ac:dyDescent="0.3">
      <c r="B1831" s="21"/>
    </row>
    <row r="1832" spans="2:2" x14ac:dyDescent="0.3">
      <c r="B1832" s="21"/>
    </row>
    <row r="1833" spans="2:2" x14ac:dyDescent="0.3">
      <c r="B1833" s="21"/>
    </row>
    <row r="1834" spans="2:2" x14ac:dyDescent="0.3">
      <c r="B1834" s="21"/>
    </row>
    <row r="1835" spans="2:2" x14ac:dyDescent="0.3">
      <c r="B1835" s="21"/>
    </row>
    <row r="1836" spans="2:2" x14ac:dyDescent="0.3">
      <c r="B1836" s="21"/>
    </row>
    <row r="1837" spans="2:2" x14ac:dyDescent="0.3">
      <c r="B1837" s="21"/>
    </row>
    <row r="1838" spans="2:2" x14ac:dyDescent="0.3">
      <c r="B1838" s="21"/>
    </row>
    <row r="1839" spans="2:2" x14ac:dyDescent="0.3">
      <c r="B1839" s="21"/>
    </row>
    <row r="1840" spans="2:2" x14ac:dyDescent="0.3">
      <c r="B1840" s="21"/>
    </row>
    <row r="1841" spans="2:2" x14ac:dyDescent="0.3">
      <c r="B1841" s="21"/>
    </row>
    <row r="1842" spans="2:2" x14ac:dyDescent="0.3">
      <c r="B1842" s="21"/>
    </row>
    <row r="1843" spans="2:2" x14ac:dyDescent="0.3">
      <c r="B1843" s="21"/>
    </row>
    <row r="1844" spans="2:2" x14ac:dyDescent="0.3">
      <c r="B1844" s="21"/>
    </row>
    <row r="1845" spans="2:2" x14ac:dyDescent="0.3">
      <c r="B1845" s="21"/>
    </row>
    <row r="1846" spans="2:2" x14ac:dyDescent="0.3">
      <c r="B1846" s="21"/>
    </row>
    <row r="1847" spans="2:2" x14ac:dyDescent="0.3">
      <c r="B1847" s="21"/>
    </row>
    <row r="1848" spans="2:2" x14ac:dyDescent="0.3">
      <c r="B1848" s="21"/>
    </row>
    <row r="1849" spans="2:2" x14ac:dyDescent="0.3">
      <c r="B1849" s="21"/>
    </row>
    <row r="1850" spans="2:2" x14ac:dyDescent="0.3">
      <c r="B1850" s="21"/>
    </row>
    <row r="1851" spans="2:2" x14ac:dyDescent="0.3">
      <c r="B1851" s="21"/>
    </row>
    <row r="1852" spans="2:2" x14ac:dyDescent="0.3">
      <c r="B1852" s="21"/>
    </row>
    <row r="1853" spans="2:2" x14ac:dyDescent="0.3">
      <c r="B1853" s="21"/>
    </row>
    <row r="1854" spans="2:2" x14ac:dyDescent="0.3">
      <c r="B1854" s="21"/>
    </row>
    <row r="1855" spans="2:2" x14ac:dyDescent="0.3">
      <c r="B1855" s="21"/>
    </row>
    <row r="1856" spans="2:2" x14ac:dyDescent="0.3">
      <c r="B1856" s="21"/>
    </row>
    <row r="1857" spans="2:2" x14ac:dyDescent="0.3">
      <c r="B1857" s="21"/>
    </row>
    <row r="1858" spans="2:2" x14ac:dyDescent="0.3">
      <c r="B1858" s="21"/>
    </row>
    <row r="1859" spans="2:2" x14ac:dyDescent="0.3">
      <c r="B1859" s="21"/>
    </row>
    <row r="1860" spans="2:2" x14ac:dyDescent="0.3">
      <c r="B1860" s="21"/>
    </row>
    <row r="1861" spans="2:2" x14ac:dyDescent="0.3">
      <c r="B1861" s="21"/>
    </row>
    <row r="1862" spans="2:2" x14ac:dyDescent="0.3">
      <c r="B1862" s="21"/>
    </row>
    <row r="1863" spans="2:2" x14ac:dyDescent="0.3">
      <c r="B1863" s="21"/>
    </row>
    <row r="1864" spans="2:2" x14ac:dyDescent="0.3">
      <c r="B1864" s="21"/>
    </row>
    <row r="1865" spans="2:2" x14ac:dyDescent="0.3">
      <c r="B1865" s="21"/>
    </row>
    <row r="1866" spans="2:2" x14ac:dyDescent="0.3">
      <c r="B1866" s="21"/>
    </row>
    <row r="1867" spans="2:2" x14ac:dyDescent="0.3">
      <c r="B1867" s="21"/>
    </row>
    <row r="1868" spans="2:2" x14ac:dyDescent="0.3">
      <c r="B1868" s="21"/>
    </row>
    <row r="1869" spans="2:2" x14ac:dyDescent="0.3">
      <c r="B1869" s="21"/>
    </row>
    <row r="1870" spans="2:2" x14ac:dyDescent="0.3">
      <c r="B1870" s="21"/>
    </row>
    <row r="1871" spans="2:2" x14ac:dyDescent="0.3">
      <c r="B1871" s="21"/>
    </row>
    <row r="1872" spans="2:2" x14ac:dyDescent="0.3">
      <c r="B1872" s="21"/>
    </row>
    <row r="1873" spans="2:2" x14ac:dyDescent="0.3">
      <c r="B1873" s="21"/>
    </row>
    <row r="1874" spans="2:2" x14ac:dyDescent="0.3">
      <c r="B1874" s="21"/>
    </row>
    <row r="1875" spans="2:2" x14ac:dyDescent="0.3">
      <c r="B1875" s="21"/>
    </row>
    <row r="1876" spans="2:2" x14ac:dyDescent="0.3">
      <c r="B1876" s="21"/>
    </row>
    <row r="1877" spans="2:2" x14ac:dyDescent="0.3">
      <c r="B1877" s="21"/>
    </row>
    <row r="1878" spans="2:2" x14ac:dyDescent="0.3">
      <c r="B1878" s="21"/>
    </row>
    <row r="1879" spans="2:2" x14ac:dyDescent="0.3">
      <c r="B1879" s="21"/>
    </row>
    <row r="1880" spans="2:2" x14ac:dyDescent="0.3">
      <c r="B1880" s="21"/>
    </row>
    <row r="1881" spans="2:2" x14ac:dyDescent="0.3">
      <c r="B1881" s="21"/>
    </row>
    <row r="1882" spans="2:2" x14ac:dyDescent="0.3">
      <c r="B1882" s="21"/>
    </row>
    <row r="1883" spans="2:2" x14ac:dyDescent="0.3">
      <c r="B1883" s="21"/>
    </row>
    <row r="1884" spans="2:2" x14ac:dyDescent="0.3">
      <c r="B1884" s="21"/>
    </row>
    <row r="1885" spans="2:2" x14ac:dyDescent="0.3">
      <c r="B1885" s="21"/>
    </row>
    <row r="1886" spans="2:2" x14ac:dyDescent="0.3">
      <c r="B1886" s="21"/>
    </row>
    <row r="1887" spans="2:2" x14ac:dyDescent="0.3">
      <c r="B1887" s="21"/>
    </row>
    <row r="1888" spans="2:2" x14ac:dyDescent="0.3">
      <c r="B1888" s="21"/>
    </row>
    <row r="1889" spans="2:2" x14ac:dyDescent="0.3">
      <c r="B1889" s="21"/>
    </row>
    <row r="1890" spans="2:2" x14ac:dyDescent="0.3">
      <c r="B1890" s="21"/>
    </row>
    <row r="1891" spans="2:2" x14ac:dyDescent="0.3">
      <c r="B1891" s="21"/>
    </row>
    <row r="1892" spans="2:2" x14ac:dyDescent="0.3">
      <c r="B1892" s="21"/>
    </row>
    <row r="1893" spans="2:2" x14ac:dyDescent="0.3">
      <c r="B1893" s="21"/>
    </row>
    <row r="1894" spans="2:2" x14ac:dyDescent="0.3">
      <c r="B1894" s="21"/>
    </row>
    <row r="1895" spans="2:2" x14ac:dyDescent="0.3">
      <c r="B1895" s="21"/>
    </row>
    <row r="1896" spans="2:2" x14ac:dyDescent="0.3">
      <c r="B1896" s="21"/>
    </row>
    <row r="1897" spans="2:2" x14ac:dyDescent="0.3">
      <c r="B1897" s="21"/>
    </row>
    <row r="1898" spans="2:2" x14ac:dyDescent="0.3">
      <c r="B1898" s="21"/>
    </row>
    <row r="1899" spans="2:2" x14ac:dyDescent="0.3">
      <c r="B1899" s="21"/>
    </row>
    <row r="1900" spans="2:2" x14ac:dyDescent="0.3">
      <c r="B1900" s="21"/>
    </row>
    <row r="1901" spans="2:2" x14ac:dyDescent="0.3">
      <c r="B1901" s="21"/>
    </row>
    <row r="1902" spans="2:2" x14ac:dyDescent="0.3">
      <c r="B1902" s="21"/>
    </row>
    <row r="1903" spans="2:2" x14ac:dyDescent="0.3">
      <c r="B1903" s="21"/>
    </row>
    <row r="1904" spans="2:2" x14ac:dyDescent="0.3">
      <c r="B1904" s="21"/>
    </row>
    <row r="1905" spans="2:2" x14ac:dyDescent="0.3">
      <c r="B1905" s="21"/>
    </row>
    <row r="1906" spans="2:2" x14ac:dyDescent="0.3">
      <c r="B1906" s="21"/>
    </row>
    <row r="1907" spans="2:2" x14ac:dyDescent="0.3">
      <c r="B1907" s="21"/>
    </row>
    <row r="1908" spans="2:2" x14ac:dyDescent="0.3">
      <c r="B1908" s="21"/>
    </row>
    <row r="1909" spans="2:2" x14ac:dyDescent="0.3">
      <c r="B1909" s="21"/>
    </row>
    <row r="1910" spans="2:2" x14ac:dyDescent="0.3">
      <c r="B1910" s="21"/>
    </row>
    <row r="1911" spans="2:2" x14ac:dyDescent="0.3">
      <c r="B1911" s="21"/>
    </row>
    <row r="1912" spans="2:2" x14ac:dyDescent="0.3">
      <c r="B1912" s="21"/>
    </row>
    <row r="1913" spans="2:2" x14ac:dyDescent="0.3">
      <c r="B1913" s="21"/>
    </row>
    <row r="1914" spans="2:2" x14ac:dyDescent="0.3">
      <c r="B1914" s="21"/>
    </row>
    <row r="1915" spans="2:2" x14ac:dyDescent="0.3">
      <c r="B1915" s="21"/>
    </row>
    <row r="1916" spans="2:2" x14ac:dyDescent="0.3">
      <c r="B1916" s="21"/>
    </row>
    <row r="1917" spans="2:2" x14ac:dyDescent="0.3">
      <c r="B1917" s="21"/>
    </row>
    <row r="1918" spans="2:2" x14ac:dyDescent="0.3">
      <c r="B1918" s="21"/>
    </row>
    <row r="1919" spans="2:2" x14ac:dyDescent="0.3">
      <c r="B1919" s="21"/>
    </row>
    <row r="1920" spans="2:2" x14ac:dyDescent="0.3">
      <c r="B1920" s="21"/>
    </row>
    <row r="1921" spans="2:2" x14ac:dyDescent="0.3">
      <c r="B1921" s="21"/>
    </row>
    <row r="1922" spans="2:2" x14ac:dyDescent="0.3">
      <c r="B1922" s="21"/>
    </row>
    <row r="1923" spans="2:2" x14ac:dyDescent="0.3">
      <c r="B1923" s="21"/>
    </row>
    <row r="1924" spans="2:2" x14ac:dyDescent="0.3">
      <c r="B1924" s="21"/>
    </row>
    <row r="1925" spans="2:2" x14ac:dyDescent="0.3">
      <c r="B1925" s="21"/>
    </row>
    <row r="1926" spans="2:2" x14ac:dyDescent="0.3">
      <c r="B1926" s="21"/>
    </row>
    <row r="1927" spans="2:2" x14ac:dyDescent="0.3">
      <c r="B1927" s="21"/>
    </row>
    <row r="1928" spans="2:2" x14ac:dyDescent="0.3">
      <c r="B1928" s="21"/>
    </row>
    <row r="1929" spans="2:2" x14ac:dyDescent="0.3">
      <c r="B1929" s="21"/>
    </row>
    <row r="1930" spans="2:2" x14ac:dyDescent="0.3">
      <c r="B1930" s="21"/>
    </row>
    <row r="1931" spans="2:2" x14ac:dyDescent="0.3">
      <c r="B1931" s="21"/>
    </row>
    <row r="1932" spans="2:2" x14ac:dyDescent="0.3">
      <c r="B1932" s="21"/>
    </row>
    <row r="1933" spans="2:2" x14ac:dyDescent="0.3">
      <c r="B1933" s="21"/>
    </row>
    <row r="1934" spans="2:2" x14ac:dyDescent="0.3">
      <c r="B1934" s="21"/>
    </row>
    <row r="1935" spans="2:2" x14ac:dyDescent="0.3">
      <c r="B1935" s="21"/>
    </row>
    <row r="1936" spans="2:2" x14ac:dyDescent="0.3">
      <c r="B1936" s="21"/>
    </row>
    <row r="1937" spans="2:2" x14ac:dyDescent="0.3">
      <c r="B1937" s="21"/>
    </row>
    <row r="1938" spans="2:2" x14ac:dyDescent="0.3">
      <c r="B1938" s="21"/>
    </row>
    <row r="1939" spans="2:2" x14ac:dyDescent="0.3">
      <c r="B1939" s="21"/>
    </row>
    <row r="1940" spans="2:2" x14ac:dyDescent="0.3">
      <c r="B1940" s="21"/>
    </row>
    <row r="1941" spans="2:2" x14ac:dyDescent="0.3">
      <c r="B1941" s="21"/>
    </row>
    <row r="1942" spans="2:2" x14ac:dyDescent="0.3">
      <c r="B1942" s="21"/>
    </row>
    <row r="1943" spans="2:2" x14ac:dyDescent="0.3">
      <c r="B1943" s="21"/>
    </row>
    <row r="1944" spans="2:2" x14ac:dyDescent="0.3">
      <c r="B1944" s="21"/>
    </row>
    <row r="1945" spans="2:2" x14ac:dyDescent="0.3">
      <c r="B1945" s="21"/>
    </row>
    <row r="1946" spans="2:2" x14ac:dyDescent="0.3">
      <c r="B1946" s="21"/>
    </row>
    <row r="1947" spans="2:2" x14ac:dyDescent="0.3">
      <c r="B1947" s="21"/>
    </row>
    <row r="1948" spans="2:2" x14ac:dyDescent="0.3">
      <c r="B1948" s="21"/>
    </row>
    <row r="1949" spans="2:2" x14ac:dyDescent="0.3">
      <c r="B1949" s="21"/>
    </row>
    <row r="1950" spans="2:2" x14ac:dyDescent="0.3">
      <c r="B1950" s="21"/>
    </row>
    <row r="1951" spans="2:2" x14ac:dyDescent="0.3">
      <c r="B1951" s="21"/>
    </row>
    <row r="1952" spans="2:2" x14ac:dyDescent="0.3">
      <c r="B1952" s="21"/>
    </row>
    <row r="1953" spans="2:2" x14ac:dyDescent="0.3">
      <c r="B1953" s="21"/>
    </row>
    <row r="1954" spans="2:2" x14ac:dyDescent="0.3">
      <c r="B1954" s="21"/>
    </row>
    <row r="1955" spans="2:2" x14ac:dyDescent="0.3">
      <c r="B1955" s="21"/>
    </row>
    <row r="1956" spans="2:2" x14ac:dyDescent="0.3">
      <c r="B1956" s="21"/>
    </row>
    <row r="1957" spans="2:2" x14ac:dyDescent="0.3">
      <c r="B1957" s="21"/>
    </row>
    <row r="1958" spans="2:2" x14ac:dyDescent="0.3">
      <c r="B1958" s="21"/>
    </row>
    <row r="1959" spans="2:2" x14ac:dyDescent="0.3">
      <c r="B1959" s="21"/>
    </row>
    <row r="1960" spans="2:2" x14ac:dyDescent="0.3">
      <c r="B1960" s="21"/>
    </row>
    <row r="1961" spans="2:2" x14ac:dyDescent="0.3">
      <c r="B1961" s="21"/>
    </row>
    <row r="1962" spans="2:2" x14ac:dyDescent="0.3">
      <c r="B1962" s="21"/>
    </row>
    <row r="1963" spans="2:2" x14ac:dyDescent="0.3">
      <c r="B1963" s="21"/>
    </row>
    <row r="1964" spans="2:2" x14ac:dyDescent="0.3">
      <c r="B1964" s="21"/>
    </row>
    <row r="1965" spans="2:2" x14ac:dyDescent="0.3">
      <c r="B1965" s="21"/>
    </row>
    <row r="1966" spans="2:2" x14ac:dyDescent="0.3">
      <c r="B1966" s="21"/>
    </row>
    <row r="1967" spans="2:2" x14ac:dyDescent="0.3">
      <c r="B1967" s="21"/>
    </row>
    <row r="1968" spans="2:2" x14ac:dyDescent="0.3">
      <c r="B1968" s="21"/>
    </row>
    <row r="1969" spans="2:2" x14ac:dyDescent="0.3">
      <c r="B1969" s="21"/>
    </row>
    <row r="1970" spans="2:2" x14ac:dyDescent="0.3">
      <c r="B1970" s="21"/>
    </row>
    <row r="1971" spans="2:2" x14ac:dyDescent="0.3">
      <c r="B1971" s="21"/>
    </row>
    <row r="1972" spans="2:2" x14ac:dyDescent="0.3">
      <c r="B1972" s="21"/>
    </row>
    <row r="1973" spans="2:2" x14ac:dyDescent="0.3">
      <c r="B1973" s="21"/>
    </row>
    <row r="1974" spans="2:2" x14ac:dyDescent="0.3">
      <c r="B1974" s="21"/>
    </row>
    <row r="1975" spans="2:2" x14ac:dyDescent="0.3">
      <c r="B1975" s="21"/>
    </row>
    <row r="1976" spans="2:2" x14ac:dyDescent="0.3">
      <c r="B1976" s="21"/>
    </row>
    <row r="1977" spans="2:2" x14ac:dyDescent="0.3">
      <c r="B1977" s="21"/>
    </row>
    <row r="1978" spans="2:2" x14ac:dyDescent="0.3">
      <c r="B1978" s="21"/>
    </row>
    <row r="1979" spans="2:2" x14ac:dyDescent="0.3">
      <c r="B1979" s="21"/>
    </row>
    <row r="1980" spans="2:2" x14ac:dyDescent="0.3">
      <c r="B1980" s="21"/>
    </row>
    <row r="1981" spans="2:2" x14ac:dyDescent="0.3">
      <c r="B1981" s="21"/>
    </row>
    <row r="1982" spans="2:2" x14ac:dyDescent="0.3">
      <c r="B1982" s="21"/>
    </row>
    <row r="1983" spans="2:2" x14ac:dyDescent="0.3">
      <c r="B1983" s="21"/>
    </row>
    <row r="1984" spans="2:2" x14ac:dyDescent="0.3">
      <c r="B1984" s="21"/>
    </row>
    <row r="1985" spans="2:2" x14ac:dyDescent="0.3">
      <c r="B1985" s="21"/>
    </row>
    <row r="1986" spans="2:2" x14ac:dyDescent="0.3">
      <c r="B1986" s="21"/>
    </row>
    <row r="1987" spans="2:2" x14ac:dyDescent="0.3">
      <c r="B1987" s="21"/>
    </row>
    <row r="1988" spans="2:2" x14ac:dyDescent="0.3">
      <c r="B1988" s="21"/>
    </row>
    <row r="1989" spans="2:2" x14ac:dyDescent="0.3">
      <c r="B1989" s="21"/>
    </row>
    <row r="1990" spans="2:2" x14ac:dyDescent="0.3">
      <c r="B1990" s="21"/>
    </row>
    <row r="1991" spans="2:2" x14ac:dyDescent="0.3">
      <c r="B1991" s="21"/>
    </row>
    <row r="1992" spans="2:2" x14ac:dyDescent="0.3">
      <c r="B1992" s="21"/>
    </row>
    <row r="1993" spans="2:2" x14ac:dyDescent="0.3">
      <c r="B1993" s="21"/>
    </row>
    <row r="1994" spans="2:2" x14ac:dyDescent="0.3">
      <c r="B1994" s="21"/>
    </row>
    <row r="1995" spans="2:2" x14ac:dyDescent="0.3">
      <c r="B1995" s="21"/>
    </row>
    <row r="1996" spans="2:2" x14ac:dyDescent="0.3">
      <c r="B1996" s="21"/>
    </row>
    <row r="1997" spans="2:2" x14ac:dyDescent="0.3">
      <c r="B1997" s="21"/>
    </row>
    <row r="1998" spans="2:2" x14ac:dyDescent="0.3">
      <c r="B1998" s="21"/>
    </row>
    <row r="1999" spans="2:2" x14ac:dyDescent="0.3">
      <c r="B1999" s="21"/>
    </row>
    <row r="2000" spans="2:2" x14ac:dyDescent="0.3">
      <c r="B2000" s="21"/>
    </row>
    <row r="2001" spans="2:2" x14ac:dyDescent="0.3">
      <c r="B2001" s="21"/>
    </row>
    <row r="2002" spans="2:2" x14ac:dyDescent="0.3">
      <c r="B2002" s="21"/>
    </row>
    <row r="2003" spans="2:2" x14ac:dyDescent="0.3">
      <c r="B2003" s="21"/>
    </row>
    <row r="2004" spans="2:2" x14ac:dyDescent="0.3">
      <c r="B2004" s="21"/>
    </row>
    <row r="2005" spans="2:2" x14ac:dyDescent="0.3">
      <c r="B2005" s="21"/>
    </row>
    <row r="2006" spans="2:2" x14ac:dyDescent="0.3">
      <c r="B2006" s="21"/>
    </row>
    <row r="2007" spans="2:2" x14ac:dyDescent="0.3">
      <c r="B2007" s="21"/>
    </row>
    <row r="2008" spans="2:2" x14ac:dyDescent="0.3">
      <c r="B2008" s="21"/>
    </row>
    <row r="2009" spans="2:2" x14ac:dyDescent="0.3">
      <c r="B2009" s="21"/>
    </row>
    <row r="2010" spans="2:2" x14ac:dyDescent="0.3">
      <c r="B2010" s="21"/>
    </row>
    <row r="2011" spans="2:2" x14ac:dyDescent="0.3">
      <c r="B2011" s="21"/>
    </row>
    <row r="2012" spans="2:2" x14ac:dyDescent="0.3">
      <c r="B2012" s="21"/>
    </row>
    <row r="2013" spans="2:2" x14ac:dyDescent="0.3">
      <c r="B2013" s="21"/>
    </row>
    <row r="2014" spans="2:2" x14ac:dyDescent="0.3">
      <c r="B2014" s="21"/>
    </row>
    <row r="2015" spans="2:2" x14ac:dyDescent="0.3">
      <c r="B2015" s="21"/>
    </row>
    <row r="2016" spans="2:2" x14ac:dyDescent="0.3">
      <c r="B2016" s="21"/>
    </row>
    <row r="2017" spans="2:2" x14ac:dyDescent="0.3">
      <c r="B2017" s="21"/>
    </row>
    <row r="2018" spans="2:2" x14ac:dyDescent="0.3">
      <c r="B2018" s="21"/>
    </row>
    <row r="2019" spans="2:2" x14ac:dyDescent="0.3">
      <c r="B2019" s="21"/>
    </row>
    <row r="2020" spans="2:2" x14ac:dyDescent="0.3">
      <c r="B2020" s="21"/>
    </row>
    <row r="2021" spans="2:2" x14ac:dyDescent="0.3">
      <c r="B2021" s="21"/>
    </row>
    <row r="2022" spans="2:2" x14ac:dyDescent="0.3">
      <c r="B2022" s="21"/>
    </row>
    <row r="2023" spans="2:2" x14ac:dyDescent="0.3">
      <c r="B2023" s="21"/>
    </row>
    <row r="2024" spans="2:2" x14ac:dyDescent="0.3">
      <c r="B2024" s="21"/>
    </row>
    <row r="2025" spans="2:2" x14ac:dyDescent="0.3">
      <c r="B2025" s="21"/>
    </row>
    <row r="2026" spans="2:2" x14ac:dyDescent="0.3">
      <c r="B2026" s="21"/>
    </row>
    <row r="2027" spans="2:2" x14ac:dyDescent="0.3">
      <c r="B2027" s="21"/>
    </row>
    <row r="2028" spans="2:2" x14ac:dyDescent="0.3">
      <c r="B2028" s="21"/>
    </row>
    <row r="2029" spans="2:2" x14ac:dyDescent="0.3">
      <c r="B2029" s="21"/>
    </row>
    <row r="2030" spans="2:2" x14ac:dyDescent="0.3">
      <c r="B2030" s="21"/>
    </row>
    <row r="2031" spans="2:2" x14ac:dyDescent="0.3">
      <c r="B2031" s="21"/>
    </row>
    <row r="2032" spans="2:2" x14ac:dyDescent="0.3">
      <c r="B2032" s="21"/>
    </row>
    <row r="2033" spans="2:2" x14ac:dyDescent="0.3">
      <c r="B2033" s="21"/>
    </row>
    <row r="2034" spans="2:2" x14ac:dyDescent="0.3">
      <c r="B2034" s="21"/>
    </row>
    <row r="2035" spans="2:2" x14ac:dyDescent="0.3">
      <c r="B2035" s="21"/>
    </row>
    <row r="2036" spans="2:2" x14ac:dyDescent="0.3">
      <c r="B2036" s="21"/>
    </row>
    <row r="2037" spans="2:2" x14ac:dyDescent="0.3">
      <c r="B2037" s="21"/>
    </row>
    <row r="2038" spans="2:2" x14ac:dyDescent="0.3">
      <c r="B2038" s="21"/>
    </row>
    <row r="2039" spans="2:2" x14ac:dyDescent="0.3">
      <c r="B2039" s="21"/>
    </row>
    <row r="2040" spans="2:2" x14ac:dyDescent="0.3">
      <c r="B2040" s="21"/>
    </row>
    <row r="2041" spans="2:2" x14ac:dyDescent="0.3">
      <c r="B2041" s="21"/>
    </row>
    <row r="2042" spans="2:2" x14ac:dyDescent="0.3">
      <c r="B2042" s="21"/>
    </row>
    <row r="2043" spans="2:2" x14ac:dyDescent="0.3">
      <c r="B2043" s="21"/>
    </row>
    <row r="2044" spans="2:2" x14ac:dyDescent="0.3">
      <c r="B2044" s="21"/>
    </row>
    <row r="2045" spans="2:2" x14ac:dyDescent="0.3">
      <c r="B2045" s="21"/>
    </row>
    <row r="2046" spans="2:2" x14ac:dyDescent="0.3">
      <c r="B2046" s="21"/>
    </row>
    <row r="2047" spans="2:2" x14ac:dyDescent="0.3">
      <c r="B2047" s="21"/>
    </row>
    <row r="2048" spans="2:2" x14ac:dyDescent="0.3">
      <c r="B2048" s="21"/>
    </row>
    <row r="2049" spans="2:2" x14ac:dyDescent="0.3">
      <c r="B2049" s="21"/>
    </row>
    <row r="2050" spans="2:2" x14ac:dyDescent="0.3">
      <c r="B2050" s="21"/>
    </row>
    <row r="2051" spans="2:2" x14ac:dyDescent="0.3">
      <c r="B2051" s="21"/>
    </row>
    <row r="2052" spans="2:2" x14ac:dyDescent="0.3">
      <c r="B2052" s="21"/>
    </row>
    <row r="2053" spans="2:2" x14ac:dyDescent="0.3">
      <c r="B2053" s="21"/>
    </row>
    <row r="2054" spans="2:2" x14ac:dyDescent="0.3">
      <c r="B2054" s="21"/>
    </row>
    <row r="2055" spans="2:2" x14ac:dyDescent="0.3">
      <c r="B2055" s="21"/>
    </row>
    <row r="2056" spans="2:2" x14ac:dyDescent="0.3">
      <c r="B2056" s="21"/>
    </row>
    <row r="2057" spans="2:2" x14ac:dyDescent="0.3">
      <c r="B2057" s="21"/>
    </row>
    <row r="2058" spans="2:2" x14ac:dyDescent="0.3">
      <c r="B2058" s="21"/>
    </row>
    <row r="2059" spans="2:2" x14ac:dyDescent="0.3">
      <c r="B2059" s="21"/>
    </row>
    <row r="2060" spans="2:2" x14ac:dyDescent="0.3">
      <c r="B2060" s="21"/>
    </row>
    <row r="2061" spans="2:2" x14ac:dyDescent="0.3">
      <c r="B2061" s="21"/>
    </row>
    <row r="2062" spans="2:2" x14ac:dyDescent="0.3">
      <c r="B2062" s="21"/>
    </row>
    <row r="2063" spans="2:2" x14ac:dyDescent="0.3">
      <c r="B2063" s="21"/>
    </row>
    <row r="2064" spans="2:2" x14ac:dyDescent="0.3">
      <c r="B2064" s="21"/>
    </row>
    <row r="2065" spans="2:2" x14ac:dyDescent="0.3">
      <c r="B2065" s="21"/>
    </row>
    <row r="2066" spans="2:2" x14ac:dyDescent="0.3">
      <c r="B2066" s="21"/>
    </row>
    <row r="2067" spans="2:2" x14ac:dyDescent="0.3">
      <c r="B2067" s="21"/>
    </row>
    <row r="2068" spans="2:2" x14ac:dyDescent="0.3">
      <c r="B2068" s="21"/>
    </row>
    <row r="2069" spans="2:2" x14ac:dyDescent="0.3">
      <c r="B2069" s="21"/>
    </row>
    <row r="2070" spans="2:2" x14ac:dyDescent="0.3">
      <c r="B2070" s="21"/>
    </row>
    <row r="2071" spans="2:2" x14ac:dyDescent="0.3">
      <c r="B2071" s="21"/>
    </row>
    <row r="2072" spans="2:2" x14ac:dyDescent="0.3">
      <c r="B2072" s="21"/>
    </row>
    <row r="2073" spans="2:2" x14ac:dyDescent="0.3">
      <c r="B2073" s="21"/>
    </row>
    <row r="2074" spans="2:2" x14ac:dyDescent="0.3">
      <c r="B2074" s="21"/>
    </row>
    <row r="2075" spans="2:2" x14ac:dyDescent="0.3">
      <c r="B2075" s="21"/>
    </row>
    <row r="2076" spans="2:2" x14ac:dyDescent="0.3">
      <c r="B2076" s="21"/>
    </row>
    <row r="2077" spans="2:2" x14ac:dyDescent="0.3">
      <c r="B2077" s="21"/>
    </row>
    <row r="2078" spans="2:2" x14ac:dyDescent="0.3">
      <c r="B2078" s="21"/>
    </row>
    <row r="2079" spans="2:2" x14ac:dyDescent="0.3">
      <c r="B2079" s="21"/>
    </row>
    <row r="2080" spans="2:2" x14ac:dyDescent="0.3">
      <c r="B2080" s="21"/>
    </row>
    <row r="2081" spans="2:2" x14ac:dyDescent="0.3">
      <c r="B2081" s="21"/>
    </row>
    <row r="2082" spans="2:2" x14ac:dyDescent="0.3">
      <c r="B2082" s="21"/>
    </row>
    <row r="2083" spans="2:2" x14ac:dyDescent="0.3">
      <c r="B2083" s="21"/>
    </row>
    <row r="2084" spans="2:2" x14ac:dyDescent="0.3">
      <c r="B2084" s="21"/>
    </row>
    <row r="2085" spans="2:2" x14ac:dyDescent="0.3">
      <c r="B2085" s="21"/>
    </row>
    <row r="2086" spans="2:2" x14ac:dyDescent="0.3">
      <c r="B2086" s="21"/>
    </row>
    <row r="2087" spans="2:2" x14ac:dyDescent="0.3">
      <c r="B2087" s="21"/>
    </row>
    <row r="2088" spans="2:2" x14ac:dyDescent="0.3">
      <c r="B2088" s="21"/>
    </row>
    <row r="2089" spans="2:2" x14ac:dyDescent="0.3">
      <c r="B2089" s="21"/>
    </row>
    <row r="2090" spans="2:2" x14ac:dyDescent="0.3">
      <c r="B2090" s="21"/>
    </row>
    <row r="2091" spans="2:2" x14ac:dyDescent="0.3">
      <c r="B2091" s="21"/>
    </row>
    <row r="2092" spans="2:2" x14ac:dyDescent="0.3">
      <c r="B2092" s="21"/>
    </row>
    <row r="2093" spans="2:2" x14ac:dyDescent="0.3">
      <c r="B2093" s="21"/>
    </row>
    <row r="2094" spans="2:2" x14ac:dyDescent="0.3">
      <c r="B2094" s="21"/>
    </row>
    <row r="2095" spans="2:2" x14ac:dyDescent="0.3">
      <c r="B2095" s="21"/>
    </row>
    <row r="2096" spans="2:2" x14ac:dyDescent="0.3">
      <c r="B2096" s="21"/>
    </row>
    <row r="2097" spans="2:2" x14ac:dyDescent="0.3">
      <c r="B2097" s="21"/>
    </row>
    <row r="2098" spans="2:2" x14ac:dyDescent="0.3">
      <c r="B2098" s="21"/>
    </row>
    <row r="2099" spans="2:2" x14ac:dyDescent="0.3">
      <c r="B2099" s="21"/>
    </row>
    <row r="2100" spans="2:2" x14ac:dyDescent="0.3">
      <c r="B2100" s="21"/>
    </row>
    <row r="2101" spans="2:2" x14ac:dyDescent="0.3">
      <c r="B2101" s="21"/>
    </row>
    <row r="2102" spans="2:2" x14ac:dyDescent="0.3">
      <c r="B2102" s="21"/>
    </row>
    <row r="2103" spans="2:2" x14ac:dyDescent="0.3">
      <c r="B2103" s="21"/>
    </row>
    <row r="2104" spans="2:2" x14ac:dyDescent="0.3">
      <c r="B2104" s="21"/>
    </row>
    <row r="2105" spans="2:2" x14ac:dyDescent="0.3">
      <c r="B2105" s="21"/>
    </row>
    <row r="2106" spans="2:2" x14ac:dyDescent="0.3">
      <c r="B2106" s="21"/>
    </row>
    <row r="2107" spans="2:2" x14ac:dyDescent="0.3">
      <c r="B2107" s="21"/>
    </row>
    <row r="2108" spans="2:2" x14ac:dyDescent="0.3">
      <c r="B2108" s="21"/>
    </row>
    <row r="2109" spans="2:2" x14ac:dyDescent="0.3">
      <c r="B2109" s="21"/>
    </row>
    <row r="2110" spans="2:2" x14ac:dyDescent="0.3">
      <c r="B2110" s="21"/>
    </row>
    <row r="2111" spans="2:2" x14ac:dyDescent="0.3">
      <c r="B2111" s="21"/>
    </row>
    <row r="2112" spans="2:2" x14ac:dyDescent="0.3">
      <c r="B2112" s="21"/>
    </row>
    <row r="2113" spans="2:2" x14ac:dyDescent="0.3">
      <c r="B2113" s="21"/>
    </row>
    <row r="2114" spans="2:2" x14ac:dyDescent="0.3">
      <c r="B2114" s="21"/>
    </row>
    <row r="2115" spans="2:2" x14ac:dyDescent="0.3">
      <c r="B2115" s="21"/>
    </row>
    <row r="2116" spans="2:2" x14ac:dyDescent="0.3">
      <c r="B2116" s="21"/>
    </row>
    <row r="2117" spans="2:2" x14ac:dyDescent="0.3">
      <c r="B2117" s="21"/>
    </row>
    <row r="2118" spans="2:2" x14ac:dyDescent="0.3">
      <c r="B2118" s="21"/>
    </row>
    <row r="2119" spans="2:2" x14ac:dyDescent="0.3">
      <c r="B2119" s="21"/>
    </row>
    <row r="2120" spans="2:2" x14ac:dyDescent="0.3">
      <c r="B2120" s="21"/>
    </row>
    <row r="2121" spans="2:2" x14ac:dyDescent="0.3">
      <c r="B2121" s="21"/>
    </row>
    <row r="2122" spans="2:2" x14ac:dyDescent="0.3">
      <c r="B2122" s="21"/>
    </row>
    <row r="2123" spans="2:2" x14ac:dyDescent="0.3">
      <c r="B2123" s="21"/>
    </row>
    <row r="2124" spans="2:2" x14ac:dyDescent="0.3">
      <c r="B2124" s="21"/>
    </row>
    <row r="2125" spans="2:2" x14ac:dyDescent="0.3">
      <c r="B2125" s="21"/>
    </row>
    <row r="2126" spans="2:2" x14ac:dyDescent="0.3">
      <c r="B2126" s="21"/>
    </row>
    <row r="2127" spans="2:2" x14ac:dyDescent="0.3">
      <c r="B2127" s="21"/>
    </row>
    <row r="2128" spans="2:2" x14ac:dyDescent="0.3">
      <c r="B2128" s="21"/>
    </row>
    <row r="2129" spans="2:2" x14ac:dyDescent="0.3">
      <c r="B2129" s="21"/>
    </row>
    <row r="2130" spans="2:2" x14ac:dyDescent="0.3">
      <c r="B2130" s="21"/>
    </row>
    <row r="2131" spans="2:2" x14ac:dyDescent="0.3">
      <c r="B2131" s="21"/>
    </row>
    <row r="2132" spans="2:2" x14ac:dyDescent="0.3">
      <c r="B2132" s="21"/>
    </row>
    <row r="2133" spans="2:2" x14ac:dyDescent="0.3">
      <c r="B2133" s="21"/>
    </row>
    <row r="2134" spans="2:2" x14ac:dyDescent="0.3">
      <c r="B2134" s="21"/>
    </row>
    <row r="2135" spans="2:2" x14ac:dyDescent="0.3">
      <c r="B2135" s="21"/>
    </row>
    <row r="2136" spans="2:2" x14ac:dyDescent="0.3">
      <c r="B2136" s="21"/>
    </row>
    <row r="2137" spans="2:2" x14ac:dyDescent="0.3">
      <c r="B2137" s="21"/>
    </row>
    <row r="2138" spans="2:2" x14ac:dyDescent="0.3">
      <c r="B2138" s="21"/>
    </row>
    <row r="2139" spans="2:2" x14ac:dyDescent="0.3">
      <c r="B2139" s="21"/>
    </row>
    <row r="2140" spans="2:2" x14ac:dyDescent="0.3">
      <c r="B2140" s="21"/>
    </row>
    <row r="2141" spans="2:2" x14ac:dyDescent="0.3">
      <c r="B2141" s="21"/>
    </row>
    <row r="2142" spans="2:2" x14ac:dyDescent="0.3">
      <c r="B2142" s="21"/>
    </row>
    <row r="2143" spans="2:2" x14ac:dyDescent="0.3">
      <c r="B2143" s="21"/>
    </row>
    <row r="2144" spans="2:2" x14ac:dyDescent="0.3">
      <c r="B2144" s="21"/>
    </row>
    <row r="2145" spans="2:2" x14ac:dyDescent="0.3">
      <c r="B2145" s="21"/>
    </row>
    <row r="2146" spans="2:2" x14ac:dyDescent="0.3">
      <c r="B2146" s="21"/>
    </row>
    <row r="2147" spans="2:2" x14ac:dyDescent="0.3">
      <c r="B2147" s="21"/>
    </row>
    <row r="2148" spans="2:2" x14ac:dyDescent="0.3">
      <c r="B2148" s="21"/>
    </row>
    <row r="2149" spans="2:2" x14ac:dyDescent="0.3">
      <c r="B2149" s="21"/>
    </row>
    <row r="2150" spans="2:2" x14ac:dyDescent="0.3">
      <c r="B2150" s="21"/>
    </row>
    <row r="2151" spans="2:2" x14ac:dyDescent="0.3">
      <c r="B2151" s="21"/>
    </row>
    <row r="2152" spans="2:2" x14ac:dyDescent="0.3">
      <c r="B2152" s="21"/>
    </row>
    <row r="2153" spans="2:2" x14ac:dyDescent="0.3">
      <c r="B2153" s="21"/>
    </row>
    <row r="2154" spans="2:2" x14ac:dyDescent="0.3">
      <c r="B2154" s="21"/>
    </row>
    <row r="2155" spans="2:2" x14ac:dyDescent="0.3">
      <c r="B2155" s="21"/>
    </row>
    <row r="2156" spans="2:2" x14ac:dyDescent="0.3">
      <c r="B2156" s="21"/>
    </row>
    <row r="2157" spans="2:2" x14ac:dyDescent="0.3">
      <c r="B2157" s="21"/>
    </row>
    <row r="2158" spans="2:2" x14ac:dyDescent="0.3">
      <c r="B2158" s="21"/>
    </row>
    <row r="2159" spans="2:2" x14ac:dyDescent="0.3">
      <c r="B2159" s="21"/>
    </row>
    <row r="2160" spans="2:2" x14ac:dyDescent="0.3">
      <c r="B2160" s="21"/>
    </row>
    <row r="2161" spans="2:2" x14ac:dyDescent="0.3">
      <c r="B2161" s="21"/>
    </row>
    <row r="2162" spans="2:2" x14ac:dyDescent="0.3">
      <c r="B2162" s="21"/>
    </row>
    <row r="2163" spans="2:2" x14ac:dyDescent="0.3">
      <c r="B2163" s="21"/>
    </row>
    <row r="2164" spans="2:2" x14ac:dyDescent="0.3">
      <c r="B2164" s="21"/>
    </row>
    <row r="2165" spans="2:2" x14ac:dyDescent="0.3">
      <c r="B2165" s="21"/>
    </row>
    <row r="2166" spans="2:2" x14ac:dyDescent="0.3">
      <c r="B2166" s="21"/>
    </row>
    <row r="2167" spans="2:2" x14ac:dyDescent="0.3">
      <c r="B2167" s="21"/>
    </row>
    <row r="2168" spans="2:2" x14ac:dyDescent="0.3">
      <c r="B2168" s="21"/>
    </row>
    <row r="2169" spans="2:2" x14ac:dyDescent="0.3">
      <c r="B2169" s="21"/>
    </row>
    <row r="2170" spans="2:2" x14ac:dyDescent="0.3">
      <c r="B2170" s="21"/>
    </row>
    <row r="2171" spans="2:2" x14ac:dyDescent="0.3">
      <c r="B2171" s="21"/>
    </row>
    <row r="2172" spans="2:2" x14ac:dyDescent="0.3">
      <c r="B2172" s="21"/>
    </row>
    <row r="2173" spans="2:2" x14ac:dyDescent="0.3">
      <c r="B2173" s="21"/>
    </row>
    <row r="2174" spans="2:2" x14ac:dyDescent="0.3">
      <c r="B2174" s="21"/>
    </row>
    <row r="2175" spans="2:2" x14ac:dyDescent="0.3">
      <c r="B2175" s="21"/>
    </row>
    <row r="2176" spans="2:2" x14ac:dyDescent="0.3">
      <c r="B2176" s="21"/>
    </row>
    <row r="2177" spans="2:2" x14ac:dyDescent="0.3">
      <c r="B2177" s="21"/>
    </row>
    <row r="2178" spans="2:2" x14ac:dyDescent="0.3">
      <c r="B2178" s="21"/>
    </row>
    <row r="2179" spans="2:2" x14ac:dyDescent="0.3">
      <c r="B2179" s="21"/>
    </row>
    <row r="2180" spans="2:2" x14ac:dyDescent="0.3">
      <c r="B2180" s="21"/>
    </row>
    <row r="2181" spans="2:2" x14ac:dyDescent="0.3">
      <c r="B2181" s="21"/>
    </row>
    <row r="2182" spans="2:2" x14ac:dyDescent="0.3">
      <c r="B2182" s="21"/>
    </row>
    <row r="2183" spans="2:2" x14ac:dyDescent="0.3">
      <c r="B2183" s="21"/>
    </row>
    <row r="2184" spans="2:2" x14ac:dyDescent="0.3">
      <c r="B2184" s="21"/>
    </row>
    <row r="2185" spans="2:2" x14ac:dyDescent="0.3">
      <c r="B2185" s="21"/>
    </row>
    <row r="2186" spans="2:2" x14ac:dyDescent="0.3">
      <c r="B2186" s="21"/>
    </row>
    <row r="2187" spans="2:2" x14ac:dyDescent="0.3">
      <c r="B2187" s="21"/>
    </row>
    <row r="2188" spans="2:2" x14ac:dyDescent="0.3">
      <c r="B2188" s="21"/>
    </row>
    <row r="2189" spans="2:2" x14ac:dyDescent="0.3">
      <c r="B2189" s="21"/>
    </row>
    <row r="2190" spans="2:2" x14ac:dyDescent="0.3">
      <c r="B2190" s="21"/>
    </row>
    <row r="2191" spans="2:2" x14ac:dyDescent="0.3">
      <c r="B2191" s="21"/>
    </row>
    <row r="2192" spans="2:2" x14ac:dyDescent="0.3">
      <c r="B2192" s="21"/>
    </row>
    <row r="2193" spans="2:2" x14ac:dyDescent="0.3">
      <c r="B2193" s="21"/>
    </row>
    <row r="2194" spans="2:2" x14ac:dyDescent="0.3">
      <c r="B2194" s="21"/>
    </row>
    <row r="2195" spans="2:2" x14ac:dyDescent="0.3">
      <c r="B2195" s="21"/>
    </row>
    <row r="2196" spans="2:2" x14ac:dyDescent="0.3">
      <c r="B2196" s="21"/>
    </row>
    <row r="2197" spans="2:2" x14ac:dyDescent="0.3">
      <c r="B2197" s="21"/>
    </row>
    <row r="2198" spans="2:2" x14ac:dyDescent="0.3">
      <c r="B2198" s="21"/>
    </row>
    <row r="2199" spans="2:2" x14ac:dyDescent="0.3">
      <c r="B2199" s="21"/>
    </row>
    <row r="2200" spans="2:2" x14ac:dyDescent="0.3">
      <c r="B2200" s="21"/>
    </row>
    <row r="2201" spans="2:2" x14ac:dyDescent="0.3">
      <c r="B2201" s="21"/>
    </row>
    <row r="2202" spans="2:2" x14ac:dyDescent="0.3">
      <c r="B2202" s="21"/>
    </row>
    <row r="2203" spans="2:2" x14ac:dyDescent="0.3">
      <c r="B2203" s="21"/>
    </row>
    <row r="2204" spans="2:2" x14ac:dyDescent="0.3">
      <c r="B2204" s="21"/>
    </row>
    <row r="2205" spans="2:2" x14ac:dyDescent="0.3">
      <c r="B2205" s="21"/>
    </row>
    <row r="2206" spans="2:2" x14ac:dyDescent="0.3">
      <c r="B2206" s="21"/>
    </row>
    <row r="2207" spans="2:2" x14ac:dyDescent="0.3">
      <c r="B2207" s="21"/>
    </row>
    <row r="2208" spans="2:2" x14ac:dyDescent="0.3">
      <c r="B2208" s="21"/>
    </row>
    <row r="2209" spans="2:2" x14ac:dyDescent="0.3">
      <c r="B2209" s="21"/>
    </row>
    <row r="2210" spans="2:2" x14ac:dyDescent="0.3">
      <c r="B2210" s="21"/>
    </row>
    <row r="2211" spans="2:2" x14ac:dyDescent="0.3">
      <c r="B2211" s="21"/>
    </row>
    <row r="2212" spans="2:2" x14ac:dyDescent="0.3">
      <c r="B2212" s="21"/>
    </row>
    <row r="2213" spans="2:2" x14ac:dyDescent="0.3">
      <c r="B2213" s="21"/>
    </row>
    <row r="2214" spans="2:2" x14ac:dyDescent="0.3">
      <c r="B2214" s="21"/>
    </row>
    <row r="2215" spans="2:2" x14ac:dyDescent="0.3">
      <c r="B2215" s="21"/>
    </row>
    <row r="2216" spans="2:2" x14ac:dyDescent="0.3">
      <c r="B2216" s="21"/>
    </row>
    <row r="2217" spans="2:2" x14ac:dyDescent="0.3">
      <c r="B2217" s="21"/>
    </row>
    <row r="2218" spans="2:2" x14ac:dyDescent="0.3">
      <c r="B2218" s="21"/>
    </row>
    <row r="2219" spans="2:2" x14ac:dyDescent="0.3">
      <c r="B2219" s="21"/>
    </row>
    <row r="2220" spans="2:2" x14ac:dyDescent="0.3">
      <c r="B2220" s="21"/>
    </row>
    <row r="2221" spans="2:2" x14ac:dyDescent="0.3">
      <c r="B2221" s="21"/>
    </row>
    <row r="2222" spans="2:2" x14ac:dyDescent="0.3">
      <c r="B2222" s="21"/>
    </row>
    <row r="2223" spans="2:2" x14ac:dyDescent="0.3">
      <c r="B2223" s="21"/>
    </row>
    <row r="2224" spans="2:2" x14ac:dyDescent="0.3">
      <c r="B2224" s="21"/>
    </row>
    <row r="2225" spans="2:2" x14ac:dyDescent="0.3">
      <c r="B2225" s="21"/>
    </row>
    <row r="2226" spans="2:2" x14ac:dyDescent="0.3">
      <c r="B2226" s="21"/>
    </row>
    <row r="2227" spans="2:2" x14ac:dyDescent="0.3">
      <c r="B2227" s="21"/>
    </row>
    <row r="2228" spans="2:2" x14ac:dyDescent="0.3">
      <c r="B2228" s="21"/>
    </row>
    <row r="2229" spans="2:2" x14ac:dyDescent="0.3">
      <c r="B2229" s="21"/>
    </row>
    <row r="2230" spans="2:2" x14ac:dyDescent="0.3">
      <c r="B2230" s="21"/>
    </row>
    <row r="2231" spans="2:2" x14ac:dyDescent="0.3">
      <c r="B2231" s="21"/>
    </row>
    <row r="2232" spans="2:2" x14ac:dyDescent="0.3">
      <c r="B2232" s="21"/>
    </row>
    <row r="2233" spans="2:2" x14ac:dyDescent="0.3">
      <c r="B2233" s="21"/>
    </row>
    <row r="2234" spans="2:2" x14ac:dyDescent="0.3">
      <c r="B2234" s="21"/>
    </row>
    <row r="2235" spans="2:2" x14ac:dyDescent="0.3">
      <c r="B2235" s="21"/>
    </row>
    <row r="2236" spans="2:2" x14ac:dyDescent="0.3">
      <c r="B2236" s="21"/>
    </row>
    <row r="2237" spans="2:2" x14ac:dyDescent="0.3">
      <c r="B2237" s="21"/>
    </row>
    <row r="2238" spans="2:2" x14ac:dyDescent="0.3">
      <c r="B2238" s="21"/>
    </row>
    <row r="2239" spans="2:2" x14ac:dyDescent="0.3">
      <c r="B2239" s="21"/>
    </row>
    <row r="2240" spans="2:2" x14ac:dyDescent="0.3">
      <c r="B2240" s="21"/>
    </row>
    <row r="2241" spans="2:2" x14ac:dyDescent="0.3">
      <c r="B2241" s="21"/>
    </row>
    <row r="2242" spans="2:2" x14ac:dyDescent="0.3">
      <c r="B2242" s="21"/>
    </row>
    <row r="2243" spans="2:2" x14ac:dyDescent="0.3">
      <c r="B2243" s="21"/>
    </row>
    <row r="2244" spans="2:2" x14ac:dyDescent="0.3">
      <c r="B2244" s="21"/>
    </row>
    <row r="2245" spans="2:2" x14ac:dyDescent="0.3">
      <c r="B2245" s="21"/>
    </row>
    <row r="2246" spans="2:2" x14ac:dyDescent="0.3">
      <c r="B2246" s="21"/>
    </row>
    <row r="2247" spans="2:2" x14ac:dyDescent="0.3">
      <c r="B2247" s="21"/>
    </row>
    <row r="2248" spans="2:2" x14ac:dyDescent="0.3">
      <c r="B2248" s="21"/>
    </row>
    <row r="2249" spans="2:2" x14ac:dyDescent="0.3">
      <c r="B2249" s="21"/>
    </row>
    <row r="2250" spans="2:2" x14ac:dyDescent="0.3">
      <c r="B2250" s="21"/>
    </row>
    <row r="2251" spans="2:2" x14ac:dyDescent="0.3">
      <c r="B2251" s="21"/>
    </row>
    <row r="2252" spans="2:2" x14ac:dyDescent="0.3">
      <c r="B2252" s="21"/>
    </row>
    <row r="2253" spans="2:2" x14ac:dyDescent="0.3">
      <c r="B2253" s="21"/>
    </row>
    <row r="2254" spans="2:2" x14ac:dyDescent="0.3">
      <c r="B2254" s="21"/>
    </row>
    <row r="2255" spans="2:2" x14ac:dyDescent="0.3">
      <c r="B2255" s="21"/>
    </row>
    <row r="2256" spans="2:2" x14ac:dyDescent="0.3">
      <c r="B2256" s="21"/>
    </row>
    <row r="2257" spans="2:2" x14ac:dyDescent="0.3">
      <c r="B2257" s="21"/>
    </row>
    <row r="2258" spans="2:2" x14ac:dyDescent="0.3">
      <c r="B2258" s="21"/>
    </row>
    <row r="2259" spans="2:2" x14ac:dyDescent="0.3">
      <c r="B2259" s="21"/>
    </row>
    <row r="2260" spans="2:2" x14ac:dyDescent="0.3">
      <c r="B2260" s="21"/>
    </row>
    <row r="2261" spans="2:2" x14ac:dyDescent="0.3">
      <c r="B2261" s="21"/>
    </row>
    <row r="2262" spans="2:2" x14ac:dyDescent="0.3">
      <c r="B2262" s="21"/>
    </row>
    <row r="2263" spans="2:2" x14ac:dyDescent="0.3">
      <c r="B2263" s="21"/>
    </row>
    <row r="2264" spans="2:2" x14ac:dyDescent="0.3">
      <c r="B2264" s="21"/>
    </row>
    <row r="2265" spans="2:2" x14ac:dyDescent="0.3">
      <c r="B2265" s="21"/>
    </row>
    <row r="2266" spans="2:2" x14ac:dyDescent="0.3">
      <c r="B2266" s="21"/>
    </row>
    <row r="2267" spans="2:2" x14ac:dyDescent="0.3">
      <c r="B2267" s="21"/>
    </row>
    <row r="2268" spans="2:2" x14ac:dyDescent="0.3">
      <c r="B2268" s="21"/>
    </row>
    <row r="2269" spans="2:2" x14ac:dyDescent="0.3">
      <c r="B2269" s="21"/>
    </row>
    <row r="2270" spans="2:2" x14ac:dyDescent="0.3">
      <c r="B2270" s="21"/>
    </row>
    <row r="2271" spans="2:2" x14ac:dyDescent="0.3">
      <c r="B2271" s="21"/>
    </row>
    <row r="2272" spans="2:2" x14ac:dyDescent="0.3">
      <c r="B2272" s="21"/>
    </row>
    <row r="2273" spans="2:2" x14ac:dyDescent="0.3">
      <c r="B2273" s="21"/>
    </row>
    <row r="2274" spans="2:2" x14ac:dyDescent="0.3">
      <c r="B2274" s="21"/>
    </row>
    <row r="2275" spans="2:2" x14ac:dyDescent="0.3">
      <c r="B2275" s="21"/>
    </row>
    <row r="2276" spans="2:2" x14ac:dyDescent="0.3">
      <c r="B2276" s="21"/>
    </row>
    <row r="2277" spans="2:2" x14ac:dyDescent="0.3">
      <c r="B2277" s="21"/>
    </row>
    <row r="2278" spans="2:2" x14ac:dyDescent="0.3">
      <c r="B2278" s="21"/>
    </row>
    <row r="2279" spans="2:2" x14ac:dyDescent="0.3">
      <c r="B2279" s="21"/>
    </row>
    <row r="2280" spans="2:2" x14ac:dyDescent="0.3">
      <c r="B2280" s="21"/>
    </row>
    <row r="2281" spans="2:2" x14ac:dyDescent="0.3">
      <c r="B2281" s="21"/>
    </row>
    <row r="2282" spans="2:2" x14ac:dyDescent="0.3">
      <c r="B2282" s="21"/>
    </row>
    <row r="2283" spans="2:2" x14ac:dyDescent="0.3">
      <c r="B2283" s="21"/>
    </row>
    <row r="2284" spans="2:2" x14ac:dyDescent="0.3">
      <c r="B2284" s="21"/>
    </row>
    <row r="2285" spans="2:2" x14ac:dyDescent="0.3">
      <c r="B2285" s="21"/>
    </row>
    <row r="2286" spans="2:2" x14ac:dyDescent="0.3">
      <c r="B2286" s="21"/>
    </row>
    <row r="2287" spans="2:2" x14ac:dyDescent="0.3">
      <c r="B2287" s="21"/>
    </row>
    <row r="2288" spans="2:2" x14ac:dyDescent="0.3">
      <c r="B2288" s="21"/>
    </row>
    <row r="2289" spans="2:2" x14ac:dyDescent="0.3">
      <c r="B2289" s="21"/>
    </row>
    <row r="2290" spans="2:2" x14ac:dyDescent="0.3">
      <c r="B2290" s="21"/>
    </row>
    <row r="2291" spans="2:2" x14ac:dyDescent="0.3">
      <c r="B2291" s="21"/>
    </row>
    <row r="2292" spans="2:2" x14ac:dyDescent="0.3">
      <c r="B2292" s="21"/>
    </row>
    <row r="2293" spans="2:2" x14ac:dyDescent="0.3">
      <c r="B2293" s="21"/>
    </row>
    <row r="2294" spans="2:2" x14ac:dyDescent="0.3">
      <c r="B2294" s="21"/>
    </row>
    <row r="2295" spans="2:2" x14ac:dyDescent="0.3">
      <c r="B2295" s="21"/>
    </row>
    <row r="2296" spans="2:2" x14ac:dyDescent="0.3">
      <c r="B2296" s="21"/>
    </row>
    <row r="2297" spans="2:2" x14ac:dyDescent="0.3">
      <c r="B2297" s="21"/>
    </row>
    <row r="2298" spans="2:2" x14ac:dyDescent="0.3">
      <c r="B2298" s="21"/>
    </row>
    <row r="2299" spans="2:2" x14ac:dyDescent="0.3">
      <c r="B2299" s="21"/>
    </row>
    <row r="2300" spans="2:2" x14ac:dyDescent="0.3">
      <c r="B2300" s="21"/>
    </row>
    <row r="2301" spans="2:2" x14ac:dyDescent="0.3">
      <c r="B2301" s="21"/>
    </row>
    <row r="2302" spans="2:2" x14ac:dyDescent="0.3">
      <c r="B2302" s="21"/>
    </row>
    <row r="2303" spans="2:2" x14ac:dyDescent="0.3">
      <c r="B2303" s="21"/>
    </row>
    <row r="2304" spans="2:2" x14ac:dyDescent="0.3">
      <c r="B2304" s="21"/>
    </row>
    <row r="2305" spans="2:2" x14ac:dyDescent="0.3">
      <c r="B2305" s="21"/>
    </row>
    <row r="2306" spans="2:2" x14ac:dyDescent="0.3">
      <c r="B2306" s="21"/>
    </row>
    <row r="2307" spans="2:2" x14ac:dyDescent="0.3">
      <c r="B2307" s="21"/>
    </row>
    <row r="2308" spans="2:2" x14ac:dyDescent="0.3">
      <c r="B2308" s="21"/>
    </row>
    <row r="2309" spans="2:2" x14ac:dyDescent="0.3">
      <c r="B2309" s="21"/>
    </row>
    <row r="2310" spans="2:2" x14ac:dyDescent="0.3">
      <c r="B2310" s="21"/>
    </row>
    <row r="2311" spans="2:2" x14ac:dyDescent="0.3">
      <c r="B2311" s="21"/>
    </row>
    <row r="2312" spans="2:2" x14ac:dyDescent="0.3">
      <c r="B2312" s="21"/>
    </row>
    <row r="2313" spans="2:2" x14ac:dyDescent="0.3">
      <c r="B2313" s="21"/>
    </row>
    <row r="2314" spans="2:2" x14ac:dyDescent="0.3">
      <c r="B2314" s="21"/>
    </row>
    <row r="2315" spans="2:2" x14ac:dyDescent="0.3">
      <c r="B2315" s="21"/>
    </row>
    <row r="2316" spans="2:2" x14ac:dyDescent="0.3">
      <c r="B2316" s="21"/>
    </row>
    <row r="2317" spans="2:2" x14ac:dyDescent="0.3">
      <c r="B2317" s="21"/>
    </row>
    <row r="2318" spans="2:2" x14ac:dyDescent="0.3">
      <c r="B2318" s="21"/>
    </row>
    <row r="2319" spans="2:2" x14ac:dyDescent="0.3">
      <c r="B2319" s="21"/>
    </row>
    <row r="2320" spans="2:2" x14ac:dyDescent="0.3">
      <c r="B2320" s="21"/>
    </row>
    <row r="2321" spans="2:2" x14ac:dyDescent="0.3">
      <c r="B2321" s="21"/>
    </row>
    <row r="2322" spans="2:2" x14ac:dyDescent="0.3">
      <c r="B2322" s="21"/>
    </row>
    <row r="2323" spans="2:2" x14ac:dyDescent="0.3">
      <c r="B2323" s="21"/>
    </row>
    <row r="2324" spans="2:2" x14ac:dyDescent="0.3">
      <c r="B2324" s="21"/>
    </row>
    <row r="2325" spans="2:2" x14ac:dyDescent="0.3">
      <c r="B2325" s="21"/>
    </row>
    <row r="2326" spans="2:2" x14ac:dyDescent="0.3">
      <c r="B2326" s="21"/>
    </row>
    <row r="2327" spans="2:2" x14ac:dyDescent="0.3">
      <c r="B2327" s="21"/>
    </row>
    <row r="2328" spans="2:2" x14ac:dyDescent="0.3">
      <c r="B2328" s="21"/>
    </row>
    <row r="2329" spans="2:2" x14ac:dyDescent="0.3">
      <c r="B2329" s="21"/>
    </row>
    <row r="2330" spans="2:2" x14ac:dyDescent="0.3">
      <c r="B2330" s="21"/>
    </row>
    <row r="2331" spans="2:2" x14ac:dyDescent="0.3">
      <c r="B2331" s="21"/>
    </row>
    <row r="2332" spans="2:2" x14ac:dyDescent="0.3">
      <c r="B2332" s="21"/>
    </row>
    <row r="2333" spans="2:2" x14ac:dyDescent="0.3">
      <c r="B2333" s="21"/>
    </row>
    <row r="2334" spans="2:2" x14ac:dyDescent="0.3">
      <c r="B2334" s="21"/>
    </row>
    <row r="2335" spans="2:2" x14ac:dyDescent="0.3">
      <c r="B2335" s="21"/>
    </row>
    <row r="2336" spans="2:2" x14ac:dyDescent="0.3">
      <c r="B2336" s="21"/>
    </row>
    <row r="2337" spans="2:2" x14ac:dyDescent="0.3">
      <c r="B2337" s="21"/>
    </row>
    <row r="2338" spans="2:2" x14ac:dyDescent="0.3">
      <c r="B2338" s="21"/>
    </row>
    <row r="2339" spans="2:2" x14ac:dyDescent="0.3">
      <c r="B2339" s="21"/>
    </row>
    <row r="2340" spans="2:2" x14ac:dyDescent="0.3">
      <c r="B2340" s="21"/>
    </row>
    <row r="2341" spans="2:2" x14ac:dyDescent="0.3">
      <c r="B2341" s="21"/>
    </row>
    <row r="2342" spans="2:2" x14ac:dyDescent="0.3">
      <c r="B2342" s="21"/>
    </row>
    <row r="2343" spans="2:2" x14ac:dyDescent="0.3">
      <c r="B2343" s="21"/>
    </row>
    <row r="2344" spans="2:2" x14ac:dyDescent="0.3">
      <c r="B2344" s="21"/>
    </row>
    <row r="2345" spans="2:2" x14ac:dyDescent="0.3">
      <c r="B2345" s="21"/>
    </row>
    <row r="2346" spans="2:2" x14ac:dyDescent="0.3">
      <c r="B2346" s="21"/>
    </row>
    <row r="2347" spans="2:2" x14ac:dyDescent="0.3">
      <c r="B2347" s="21"/>
    </row>
    <row r="2348" spans="2:2" x14ac:dyDescent="0.3">
      <c r="B2348" s="21"/>
    </row>
    <row r="2349" spans="2:2" x14ac:dyDescent="0.3">
      <c r="B2349" s="21"/>
    </row>
    <row r="2350" spans="2:2" x14ac:dyDescent="0.3">
      <c r="B2350" s="21"/>
    </row>
    <row r="2351" spans="2:2" x14ac:dyDescent="0.3">
      <c r="B2351" s="21"/>
    </row>
    <row r="2352" spans="2:2" x14ac:dyDescent="0.3">
      <c r="B2352" s="21"/>
    </row>
    <row r="2353" spans="2:2" x14ac:dyDescent="0.3">
      <c r="B2353" s="21"/>
    </row>
    <row r="2354" spans="2:2" x14ac:dyDescent="0.3">
      <c r="B2354" s="21"/>
    </row>
    <row r="2355" spans="2:2" x14ac:dyDescent="0.3">
      <c r="B2355" s="21"/>
    </row>
    <row r="2356" spans="2:2" x14ac:dyDescent="0.3">
      <c r="B2356" s="21"/>
    </row>
    <row r="2357" spans="2:2" x14ac:dyDescent="0.3">
      <c r="B2357" s="21"/>
    </row>
    <row r="2358" spans="2:2" x14ac:dyDescent="0.3">
      <c r="B2358" s="21"/>
    </row>
    <row r="2359" spans="2:2" x14ac:dyDescent="0.3">
      <c r="B2359" s="21"/>
    </row>
    <row r="2360" spans="2:2" x14ac:dyDescent="0.3">
      <c r="B2360" s="21"/>
    </row>
    <row r="2361" spans="2:2" x14ac:dyDescent="0.3">
      <c r="B2361" s="21"/>
    </row>
    <row r="2362" spans="2:2" x14ac:dyDescent="0.3">
      <c r="B2362" s="21"/>
    </row>
    <row r="2363" spans="2:2" x14ac:dyDescent="0.3">
      <c r="B2363" s="21"/>
    </row>
    <row r="2364" spans="2:2" x14ac:dyDescent="0.3">
      <c r="B2364" s="21"/>
    </row>
    <row r="2365" spans="2:2" x14ac:dyDescent="0.3">
      <c r="B2365" s="21"/>
    </row>
    <row r="2366" spans="2:2" x14ac:dyDescent="0.3">
      <c r="B2366" s="21"/>
    </row>
    <row r="2367" spans="2:2" x14ac:dyDescent="0.3">
      <c r="B2367" s="21"/>
    </row>
    <row r="2368" spans="2:2" x14ac:dyDescent="0.3">
      <c r="B2368" s="21"/>
    </row>
    <row r="2369" spans="2:2" x14ac:dyDescent="0.3">
      <c r="B2369" s="21"/>
    </row>
    <row r="2370" spans="2:2" x14ac:dyDescent="0.3">
      <c r="B2370" s="21"/>
    </row>
    <row r="2371" spans="2:2" x14ac:dyDescent="0.3">
      <c r="B2371" s="21"/>
    </row>
    <row r="2372" spans="2:2" x14ac:dyDescent="0.3">
      <c r="B2372" s="21"/>
    </row>
    <row r="2373" spans="2:2" x14ac:dyDescent="0.3">
      <c r="B2373" s="21"/>
    </row>
    <row r="2374" spans="2:2" x14ac:dyDescent="0.3">
      <c r="B2374" s="21"/>
    </row>
    <row r="2375" spans="2:2" x14ac:dyDescent="0.3">
      <c r="B2375" s="21"/>
    </row>
    <row r="2376" spans="2:2" x14ac:dyDescent="0.3">
      <c r="B2376" s="21"/>
    </row>
    <row r="2377" spans="2:2" x14ac:dyDescent="0.3">
      <c r="B2377" s="21"/>
    </row>
    <row r="2378" spans="2:2" x14ac:dyDescent="0.3">
      <c r="B2378" s="21"/>
    </row>
    <row r="2379" spans="2:2" x14ac:dyDescent="0.3">
      <c r="B2379" s="21"/>
    </row>
    <row r="2380" spans="2:2" x14ac:dyDescent="0.3">
      <c r="B2380" s="21"/>
    </row>
    <row r="2381" spans="2:2" x14ac:dyDescent="0.3">
      <c r="B2381" s="21"/>
    </row>
    <row r="2382" spans="2:2" x14ac:dyDescent="0.3">
      <c r="B2382" s="21"/>
    </row>
    <row r="2383" spans="2:2" x14ac:dyDescent="0.3">
      <c r="B2383" s="21"/>
    </row>
    <row r="2384" spans="2:2" x14ac:dyDescent="0.3">
      <c r="B2384" s="21"/>
    </row>
    <row r="2385" spans="2:2" x14ac:dyDescent="0.3">
      <c r="B2385" s="21"/>
    </row>
    <row r="2386" spans="2:2" x14ac:dyDescent="0.3">
      <c r="B2386" s="21"/>
    </row>
    <row r="2387" spans="2:2" x14ac:dyDescent="0.3">
      <c r="B2387" s="21"/>
    </row>
    <row r="2388" spans="2:2" x14ac:dyDescent="0.3">
      <c r="B2388" s="21"/>
    </row>
    <row r="2389" spans="2:2" x14ac:dyDescent="0.3">
      <c r="B2389" s="21"/>
    </row>
    <row r="2390" spans="2:2" x14ac:dyDescent="0.3">
      <c r="B2390" s="21"/>
    </row>
    <row r="2391" spans="2:2" x14ac:dyDescent="0.3">
      <c r="B2391" s="21"/>
    </row>
    <row r="2392" spans="2:2" x14ac:dyDescent="0.3">
      <c r="B2392" s="21"/>
    </row>
    <row r="2393" spans="2:2" x14ac:dyDescent="0.3">
      <c r="B2393" s="21"/>
    </row>
    <row r="2394" spans="2:2" x14ac:dyDescent="0.3">
      <c r="B2394" s="21"/>
    </row>
    <row r="2395" spans="2:2" x14ac:dyDescent="0.3">
      <c r="B2395" s="21"/>
    </row>
    <row r="2396" spans="2:2" x14ac:dyDescent="0.3">
      <c r="B2396" s="21"/>
    </row>
    <row r="2397" spans="2:2" x14ac:dyDescent="0.3">
      <c r="B2397" s="21"/>
    </row>
    <row r="2398" spans="2:2" x14ac:dyDescent="0.3">
      <c r="B2398" s="21"/>
    </row>
    <row r="2399" spans="2:2" x14ac:dyDescent="0.3">
      <c r="B2399" s="21"/>
    </row>
    <row r="2400" spans="2:2" x14ac:dyDescent="0.3">
      <c r="B2400" s="21"/>
    </row>
    <row r="2401" spans="2:2" x14ac:dyDescent="0.3">
      <c r="B2401" s="21"/>
    </row>
    <row r="2402" spans="2:2" x14ac:dyDescent="0.3">
      <c r="B2402" s="21"/>
    </row>
    <row r="2403" spans="2:2" x14ac:dyDescent="0.3">
      <c r="B2403" s="21"/>
    </row>
    <row r="2404" spans="2:2" x14ac:dyDescent="0.3">
      <c r="B2404" s="21"/>
    </row>
    <row r="2405" spans="2:2" x14ac:dyDescent="0.3">
      <c r="B2405" s="21"/>
    </row>
    <row r="2406" spans="2:2" x14ac:dyDescent="0.3">
      <c r="B2406" s="21"/>
    </row>
    <row r="2407" spans="2:2" x14ac:dyDescent="0.3">
      <c r="B2407" s="21"/>
    </row>
    <row r="2408" spans="2:2" x14ac:dyDescent="0.3">
      <c r="B2408" s="21"/>
    </row>
    <row r="2409" spans="2:2" x14ac:dyDescent="0.3">
      <c r="B2409" s="21"/>
    </row>
    <row r="2410" spans="2:2" x14ac:dyDescent="0.3">
      <c r="B2410" s="21"/>
    </row>
    <row r="2411" spans="2:2" x14ac:dyDescent="0.3">
      <c r="B2411" s="21"/>
    </row>
    <row r="2412" spans="2:2" x14ac:dyDescent="0.3">
      <c r="B2412" s="21"/>
    </row>
    <row r="2413" spans="2:2" x14ac:dyDescent="0.3">
      <c r="B2413" s="21"/>
    </row>
    <row r="2414" spans="2:2" x14ac:dyDescent="0.3">
      <c r="B2414" s="21"/>
    </row>
    <row r="2415" spans="2:2" x14ac:dyDescent="0.3">
      <c r="B2415" s="21"/>
    </row>
    <row r="2416" spans="2:2" x14ac:dyDescent="0.3">
      <c r="B2416" s="21"/>
    </row>
    <row r="2417" spans="2:2" x14ac:dyDescent="0.3">
      <c r="B2417" s="21"/>
    </row>
    <row r="2418" spans="2:2" x14ac:dyDescent="0.3">
      <c r="B2418" s="21"/>
    </row>
    <row r="2419" spans="2:2" x14ac:dyDescent="0.3">
      <c r="B2419" s="21"/>
    </row>
    <row r="2420" spans="2:2" x14ac:dyDescent="0.3">
      <c r="B2420" s="21"/>
    </row>
    <row r="2421" spans="2:2" x14ac:dyDescent="0.3">
      <c r="B2421" s="21"/>
    </row>
    <row r="2422" spans="2:2" x14ac:dyDescent="0.3">
      <c r="B2422" s="21"/>
    </row>
    <row r="2423" spans="2:2" x14ac:dyDescent="0.3">
      <c r="B2423" s="21"/>
    </row>
    <row r="2424" spans="2:2" x14ac:dyDescent="0.3">
      <c r="B2424" s="21"/>
    </row>
    <row r="2425" spans="2:2" x14ac:dyDescent="0.3">
      <c r="B2425" s="21"/>
    </row>
    <row r="2426" spans="2:2" x14ac:dyDescent="0.3">
      <c r="B2426" s="21"/>
    </row>
    <row r="2427" spans="2:2" x14ac:dyDescent="0.3">
      <c r="B2427" s="21"/>
    </row>
    <row r="2428" spans="2:2" x14ac:dyDescent="0.3">
      <c r="B2428" s="21"/>
    </row>
    <row r="2429" spans="2:2" x14ac:dyDescent="0.3">
      <c r="B2429" s="21"/>
    </row>
    <row r="2430" spans="2:2" x14ac:dyDescent="0.3">
      <c r="B2430" s="21"/>
    </row>
    <row r="2431" spans="2:2" x14ac:dyDescent="0.3">
      <c r="B2431" s="21"/>
    </row>
    <row r="2432" spans="2:2" x14ac:dyDescent="0.3">
      <c r="B2432" s="21"/>
    </row>
    <row r="2433" spans="2:2" x14ac:dyDescent="0.3">
      <c r="B2433" s="21"/>
    </row>
    <row r="2434" spans="2:2" x14ac:dyDescent="0.3">
      <c r="B2434" s="21"/>
    </row>
    <row r="2435" spans="2:2" x14ac:dyDescent="0.3">
      <c r="B2435" s="21"/>
    </row>
    <row r="2436" spans="2:2" x14ac:dyDescent="0.3">
      <c r="B2436" s="21"/>
    </row>
    <row r="2437" spans="2:2" x14ac:dyDescent="0.3">
      <c r="B2437" s="21"/>
    </row>
    <row r="2438" spans="2:2" x14ac:dyDescent="0.3">
      <c r="B2438" s="21"/>
    </row>
    <row r="2439" spans="2:2" x14ac:dyDescent="0.3">
      <c r="B2439" s="21"/>
    </row>
    <row r="2440" spans="2:2" x14ac:dyDescent="0.3">
      <c r="B2440" s="21"/>
    </row>
    <row r="2441" spans="2:2" x14ac:dyDescent="0.3">
      <c r="B2441" s="21"/>
    </row>
    <row r="2442" spans="2:2" x14ac:dyDescent="0.3">
      <c r="B2442" s="21"/>
    </row>
    <row r="2443" spans="2:2" x14ac:dyDescent="0.3">
      <c r="B2443" s="21"/>
    </row>
    <row r="2444" spans="2:2" x14ac:dyDescent="0.3">
      <c r="B2444" s="21"/>
    </row>
    <row r="2445" spans="2:2" x14ac:dyDescent="0.3">
      <c r="B2445" s="21"/>
    </row>
    <row r="2446" spans="2:2" x14ac:dyDescent="0.3">
      <c r="B2446" s="21"/>
    </row>
    <row r="2447" spans="2:2" x14ac:dyDescent="0.3">
      <c r="B2447" s="21"/>
    </row>
    <row r="2448" spans="2:2" x14ac:dyDescent="0.3">
      <c r="B2448" s="21"/>
    </row>
    <row r="2449" spans="2:2" x14ac:dyDescent="0.3">
      <c r="B2449" s="21"/>
    </row>
    <row r="2450" spans="2:2" x14ac:dyDescent="0.3">
      <c r="B2450" s="21"/>
    </row>
    <row r="2451" spans="2:2" x14ac:dyDescent="0.3">
      <c r="B2451" s="21"/>
    </row>
    <row r="2452" spans="2:2" x14ac:dyDescent="0.3">
      <c r="B2452" s="21"/>
    </row>
    <row r="2453" spans="2:2" x14ac:dyDescent="0.3">
      <c r="B2453" s="21"/>
    </row>
    <row r="2454" spans="2:2" x14ac:dyDescent="0.3">
      <c r="B2454" s="21"/>
    </row>
    <row r="2455" spans="2:2" x14ac:dyDescent="0.3">
      <c r="B2455" s="21"/>
    </row>
    <row r="2456" spans="2:2" x14ac:dyDescent="0.3">
      <c r="B2456" s="21"/>
    </row>
    <row r="2457" spans="2:2" x14ac:dyDescent="0.3">
      <c r="B2457" s="21"/>
    </row>
    <row r="2458" spans="2:2" x14ac:dyDescent="0.3">
      <c r="B2458" s="21"/>
    </row>
    <row r="2459" spans="2:2" x14ac:dyDescent="0.3">
      <c r="B2459" s="21"/>
    </row>
    <row r="2460" spans="2:2" x14ac:dyDescent="0.3">
      <c r="B2460" s="21"/>
    </row>
    <row r="2461" spans="2:2" x14ac:dyDescent="0.3">
      <c r="B2461" s="21"/>
    </row>
    <row r="2462" spans="2:2" x14ac:dyDescent="0.3">
      <c r="B2462" s="21"/>
    </row>
    <row r="2463" spans="2:2" x14ac:dyDescent="0.3">
      <c r="B2463" s="21"/>
    </row>
    <row r="2464" spans="2:2" x14ac:dyDescent="0.3">
      <c r="B2464" s="21"/>
    </row>
    <row r="2465" spans="2:2" x14ac:dyDescent="0.3">
      <c r="B2465" s="21"/>
    </row>
    <row r="2466" spans="2:2" x14ac:dyDescent="0.3">
      <c r="B2466" s="21"/>
    </row>
    <row r="2467" spans="2:2" x14ac:dyDescent="0.3">
      <c r="B2467" s="21"/>
    </row>
    <row r="2468" spans="2:2" x14ac:dyDescent="0.3">
      <c r="B2468" s="21"/>
    </row>
    <row r="2469" spans="2:2" x14ac:dyDescent="0.3">
      <c r="B2469" s="21"/>
    </row>
    <row r="2470" spans="2:2" x14ac:dyDescent="0.3">
      <c r="B2470" s="21"/>
    </row>
    <row r="2471" spans="2:2" x14ac:dyDescent="0.3">
      <c r="B2471" s="21"/>
    </row>
    <row r="2472" spans="2:2" x14ac:dyDescent="0.3">
      <c r="B2472" s="21"/>
    </row>
    <row r="2473" spans="2:2" x14ac:dyDescent="0.3">
      <c r="B2473" s="21"/>
    </row>
    <row r="2474" spans="2:2" x14ac:dyDescent="0.3">
      <c r="B2474" s="21"/>
    </row>
    <row r="2475" spans="2:2" x14ac:dyDescent="0.3">
      <c r="B2475" s="21"/>
    </row>
    <row r="2476" spans="2:2" x14ac:dyDescent="0.3">
      <c r="B2476" s="21"/>
    </row>
    <row r="2477" spans="2:2" x14ac:dyDescent="0.3">
      <c r="B2477" s="21"/>
    </row>
    <row r="2478" spans="2:2" x14ac:dyDescent="0.3">
      <c r="B2478" s="21"/>
    </row>
    <row r="2479" spans="2:2" x14ac:dyDescent="0.3">
      <c r="B2479" s="21"/>
    </row>
    <row r="2480" spans="2:2" x14ac:dyDescent="0.3">
      <c r="B2480" s="21"/>
    </row>
    <row r="2481" spans="2:2" x14ac:dyDescent="0.3">
      <c r="B2481" s="21"/>
    </row>
    <row r="2482" spans="2:2" x14ac:dyDescent="0.3">
      <c r="B2482" s="21"/>
    </row>
    <row r="2483" spans="2:2" x14ac:dyDescent="0.3">
      <c r="B2483" s="21"/>
    </row>
    <row r="2484" spans="2:2" x14ac:dyDescent="0.3">
      <c r="B2484" s="21"/>
    </row>
    <row r="2485" spans="2:2" x14ac:dyDescent="0.3">
      <c r="B2485" s="21"/>
    </row>
    <row r="2486" spans="2:2" x14ac:dyDescent="0.3">
      <c r="B2486" s="21"/>
    </row>
    <row r="2487" spans="2:2" x14ac:dyDescent="0.3">
      <c r="B2487" s="21"/>
    </row>
    <row r="2488" spans="2:2" x14ac:dyDescent="0.3">
      <c r="B2488" s="21"/>
    </row>
    <row r="2489" spans="2:2" x14ac:dyDescent="0.3">
      <c r="B2489" s="21"/>
    </row>
    <row r="2490" spans="2:2" x14ac:dyDescent="0.3">
      <c r="B2490" s="21"/>
    </row>
    <row r="2491" spans="2:2" x14ac:dyDescent="0.3">
      <c r="B2491" s="21"/>
    </row>
    <row r="2492" spans="2:2" x14ac:dyDescent="0.3">
      <c r="B2492" s="21"/>
    </row>
    <row r="2493" spans="2:2" x14ac:dyDescent="0.3">
      <c r="B2493" s="21"/>
    </row>
    <row r="2494" spans="2:2" x14ac:dyDescent="0.3">
      <c r="B2494" s="21"/>
    </row>
    <row r="2495" spans="2:2" x14ac:dyDescent="0.3">
      <c r="B2495" s="21"/>
    </row>
    <row r="2496" spans="2:2" x14ac:dyDescent="0.3">
      <c r="B2496" s="21"/>
    </row>
    <row r="2497" spans="2:2" x14ac:dyDescent="0.3">
      <c r="B2497" s="21"/>
    </row>
    <row r="2498" spans="2:2" x14ac:dyDescent="0.3">
      <c r="B2498" s="21"/>
    </row>
    <row r="2499" spans="2:2" x14ac:dyDescent="0.3">
      <c r="B2499" s="21"/>
    </row>
    <row r="2500" spans="2:2" x14ac:dyDescent="0.3">
      <c r="B2500" s="21"/>
    </row>
    <row r="2501" spans="2:2" x14ac:dyDescent="0.3">
      <c r="B2501" s="21"/>
    </row>
    <row r="2502" spans="2:2" x14ac:dyDescent="0.3">
      <c r="B2502" s="21"/>
    </row>
  </sheetData>
  <sheetProtection algorithmName="SHA-512" hashValue="shwWl2vKy+kup9+AEfdYdjP8Q2lqEF34XLuc/DBpeRvesGc+lDYKEXonpnkg+wyYTph+rahQ/Fq1ZqCJHfdwiw==" saltValue="3Dz6Is+dY1DfNnrbH4t47w==" spinCount="100000" sheet="1" objects="1" scenarios="1"/>
  <hyperlinks>
    <hyperlink ref="A58" r:id="rId1" tooltip="EMFAC2017 Database" xr:uid="{00000000-0004-0000-0B00-000000000000}"/>
    <hyperlink ref="A43" r:id="rId2" tooltip="EMFAC2017 Database" xr:uid="{00000000-0004-0000-0B00-000001000000}"/>
  </hyperlinks>
  <pageMargins left="0.7" right="0.7" top="0.75" bottom="0.75" header="0.3" footer="0.3"/>
  <pageSetup scale="57"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1"/>
  </sheetPr>
  <dimension ref="A2:Y56"/>
  <sheetViews>
    <sheetView showGridLines="0" showWhiteSpace="0" zoomScaleNormal="100" workbookViewId="0">
      <selection activeCell="O40" sqref="O40"/>
    </sheetView>
  </sheetViews>
  <sheetFormatPr defaultColWidth="9.1796875" defaultRowHeight="14" x14ac:dyDescent="0.3"/>
  <cols>
    <col min="1" max="1" width="44.1796875" style="21" customWidth="1"/>
    <col min="2" max="2" width="35" style="21" customWidth="1"/>
    <col min="3" max="9" width="18.7265625" style="21" customWidth="1"/>
    <col min="10" max="10" width="14.7265625" style="21" customWidth="1"/>
    <col min="11" max="16384" width="9.1796875" style="21"/>
  </cols>
  <sheetData>
    <row r="2" spans="1:25" ht="18" x14ac:dyDescent="0.4">
      <c r="D2" s="23" t="s">
        <v>0</v>
      </c>
    </row>
    <row r="3" spans="1:25" ht="18" x14ac:dyDescent="0.4">
      <c r="D3" s="24" t="s">
        <v>1</v>
      </c>
    </row>
    <row r="4" spans="1:25" ht="18" x14ac:dyDescent="0.4">
      <c r="D4" s="25" t="s">
        <v>70</v>
      </c>
    </row>
    <row r="8" spans="1:25" ht="14.5" thickBot="1" x14ac:dyDescent="0.35"/>
    <row r="9" spans="1:25" ht="18" customHeight="1" thickBot="1" x14ac:dyDescent="0.45">
      <c r="A9" s="188" t="s">
        <v>3602</v>
      </c>
      <c r="B9" s="189"/>
      <c r="C9" s="1"/>
      <c r="D9" s="1"/>
      <c r="E9" s="1"/>
      <c r="F9" s="1"/>
      <c r="G9" s="1"/>
      <c r="H9" s="1"/>
      <c r="I9" s="1"/>
      <c r="J9" s="1"/>
      <c r="K9" s="15"/>
      <c r="L9" s="15"/>
      <c r="M9" s="15"/>
      <c r="N9" s="15"/>
      <c r="O9" s="15"/>
      <c r="P9" s="15"/>
      <c r="Q9" s="15"/>
      <c r="R9" s="15"/>
      <c r="S9" s="15"/>
      <c r="T9" s="15"/>
      <c r="U9" s="15"/>
      <c r="V9" s="15"/>
      <c r="W9" s="15"/>
      <c r="X9" s="15"/>
      <c r="Y9" s="15"/>
    </row>
    <row r="10" spans="1:25" ht="17.5" x14ac:dyDescent="0.45">
      <c r="A10" s="190" t="s">
        <v>173</v>
      </c>
      <c r="B10" s="191">
        <v>41.064999999999998</v>
      </c>
      <c r="C10" s="107"/>
      <c r="D10" s="107"/>
      <c r="E10" s="107"/>
      <c r="F10" s="107"/>
      <c r="G10" s="107"/>
      <c r="H10" s="107"/>
      <c r="I10" s="107"/>
      <c r="J10" s="107"/>
    </row>
    <row r="11" spans="1:25" ht="16.5" customHeight="1" x14ac:dyDescent="0.45">
      <c r="A11" s="190" t="s">
        <v>174</v>
      </c>
      <c r="B11" s="191">
        <v>18.651</v>
      </c>
      <c r="C11" s="2"/>
      <c r="D11" s="2"/>
      <c r="E11" s="2"/>
      <c r="F11" s="2"/>
      <c r="G11" s="2"/>
      <c r="H11" s="2"/>
      <c r="I11" s="2"/>
      <c r="J11" s="2"/>
    </row>
    <row r="12" spans="1:25" ht="17.5" x14ac:dyDescent="0.45">
      <c r="A12" s="190" t="s">
        <v>175</v>
      </c>
      <c r="B12" s="192">
        <v>59715999.999999993</v>
      </c>
      <c r="C12" s="193"/>
      <c r="D12" s="193"/>
      <c r="E12" s="193"/>
      <c r="F12" s="193"/>
      <c r="G12" s="193"/>
      <c r="H12" s="193"/>
      <c r="I12" s="193"/>
      <c r="J12" s="193"/>
      <c r="K12" s="194"/>
      <c r="L12" s="194"/>
      <c r="M12" s="194"/>
      <c r="N12" s="194"/>
      <c r="O12" s="194"/>
      <c r="P12" s="194"/>
      <c r="Q12" s="194"/>
      <c r="R12" s="194"/>
      <c r="S12" s="194"/>
      <c r="T12" s="194"/>
      <c r="U12" s="194"/>
      <c r="V12" s="194"/>
      <c r="W12" s="194"/>
      <c r="X12" s="194"/>
      <c r="Y12" s="194"/>
    </row>
    <row r="13" spans="1:25" ht="5.25" customHeight="1" x14ac:dyDescent="0.35">
      <c r="A13" s="195"/>
      <c r="B13" s="196"/>
      <c r="C13" s="2"/>
      <c r="D13" s="2"/>
      <c r="E13" s="2"/>
      <c r="F13" s="2"/>
      <c r="G13" s="2"/>
      <c r="H13" s="2"/>
      <c r="I13" s="2"/>
      <c r="J13" s="2"/>
    </row>
    <row r="14" spans="1:25" ht="15.5" x14ac:dyDescent="0.35">
      <c r="A14" s="190" t="s">
        <v>176</v>
      </c>
      <c r="B14" s="197">
        <v>283491.511713335</v>
      </c>
      <c r="C14" s="198"/>
      <c r="D14" s="198"/>
      <c r="E14" s="198"/>
      <c r="F14" s="198"/>
      <c r="G14" s="198"/>
      <c r="H14" s="198"/>
      <c r="I14" s="198"/>
      <c r="J14" s="193"/>
      <c r="K14" s="199"/>
      <c r="L14" s="199"/>
      <c r="M14" s="199"/>
      <c r="N14" s="199"/>
      <c r="O14" s="199"/>
      <c r="P14" s="199"/>
      <c r="Q14" s="199"/>
      <c r="R14" s="199"/>
      <c r="S14" s="199"/>
      <c r="T14" s="199"/>
      <c r="U14" s="199"/>
      <c r="V14" s="200"/>
      <c r="W14" s="200"/>
      <c r="X14" s="200"/>
      <c r="Y14" s="200"/>
    </row>
    <row r="15" spans="1:25" ht="16.5" hidden="1" customHeight="1" x14ac:dyDescent="0.35">
      <c r="A15" s="201">
        <v>1000</v>
      </c>
      <c r="B15" s="202">
        <v>290338000</v>
      </c>
      <c r="C15" s="193"/>
      <c r="D15" s="193"/>
      <c r="E15" s="193"/>
      <c r="F15" s="193"/>
      <c r="G15" s="193"/>
      <c r="H15" s="193"/>
      <c r="I15" s="193"/>
      <c r="J15" s="193"/>
    </row>
    <row r="16" spans="1:25" ht="16" thickBot="1" x14ac:dyDescent="0.4">
      <c r="A16" s="203" t="s">
        <v>177</v>
      </c>
      <c r="B16" s="204">
        <v>283491511.71333498</v>
      </c>
      <c r="C16" s="198"/>
      <c r="D16" s="198"/>
      <c r="E16" s="198"/>
      <c r="F16" s="198"/>
      <c r="G16" s="198"/>
      <c r="H16" s="198"/>
      <c r="I16" s="198"/>
      <c r="J16" s="198"/>
      <c r="K16" s="199"/>
      <c r="L16" s="199"/>
      <c r="M16" s="199"/>
      <c r="N16" s="199"/>
      <c r="O16" s="199"/>
      <c r="P16" s="199"/>
      <c r="Q16" s="199"/>
      <c r="R16" s="199"/>
      <c r="S16" s="199"/>
      <c r="T16" s="199"/>
      <c r="U16" s="199"/>
      <c r="V16" s="199"/>
      <c r="W16" s="199"/>
      <c r="X16" s="199"/>
      <c r="Y16" s="199"/>
    </row>
    <row r="17" spans="1:25" ht="18" customHeight="1" thickBot="1" x14ac:dyDescent="0.4">
      <c r="A17" s="188" t="s">
        <v>3603</v>
      </c>
      <c r="B17" s="189"/>
      <c r="C17" s="1"/>
      <c r="D17" s="1"/>
      <c r="E17" s="1"/>
      <c r="F17" s="1"/>
      <c r="G17" s="1"/>
      <c r="H17" s="1"/>
      <c r="I17" s="1"/>
      <c r="J17" s="1"/>
    </row>
    <row r="18" spans="1:25" ht="17.5" x14ac:dyDescent="0.45">
      <c r="A18" s="205" t="s">
        <v>178</v>
      </c>
      <c r="B18" s="206">
        <v>0.21064475489616943</v>
      </c>
      <c r="C18" s="207"/>
      <c r="D18" s="207"/>
      <c r="E18" s="207"/>
      <c r="F18" s="207"/>
      <c r="G18" s="207"/>
      <c r="H18" s="207"/>
      <c r="I18" s="207"/>
      <c r="J18" s="207"/>
    </row>
    <row r="19" spans="1:25" ht="17.5" x14ac:dyDescent="0.45">
      <c r="A19" s="190" t="s">
        <v>179</v>
      </c>
      <c r="B19" s="208">
        <v>2.1064475489616943E-4</v>
      </c>
      <c r="C19" s="209"/>
      <c r="D19" s="209"/>
      <c r="E19" s="209"/>
      <c r="F19" s="209"/>
      <c r="G19" s="209"/>
      <c r="H19" s="209"/>
      <c r="I19" s="209"/>
      <c r="J19" s="209"/>
    </row>
    <row r="20" spans="1:25" ht="15.5" x14ac:dyDescent="0.35">
      <c r="A20" s="190" t="s">
        <v>180</v>
      </c>
      <c r="B20" s="210">
        <v>464.39163953919302</v>
      </c>
      <c r="C20" s="211"/>
      <c r="D20" s="211"/>
      <c r="E20" s="211"/>
      <c r="F20" s="211"/>
      <c r="G20" s="211"/>
      <c r="H20" s="211"/>
      <c r="I20" s="212"/>
      <c r="J20" s="211"/>
    </row>
    <row r="21" spans="1:25" ht="16" thickBot="1" x14ac:dyDescent="0.4">
      <c r="A21" s="213" t="s">
        <v>181</v>
      </c>
      <c r="B21" s="214">
        <v>0.46439163953919305</v>
      </c>
      <c r="C21" s="207"/>
      <c r="D21" s="207"/>
      <c r="E21" s="207"/>
      <c r="F21" s="207"/>
      <c r="G21" s="207"/>
      <c r="H21" s="207"/>
      <c r="I21" s="207"/>
      <c r="J21" s="207"/>
    </row>
    <row r="22" spans="1:25" ht="14.5" thickBot="1" x14ac:dyDescent="0.35">
      <c r="A22" s="215"/>
      <c r="B22" s="78"/>
      <c r="C22" s="78"/>
      <c r="D22" s="78"/>
      <c r="E22" s="78"/>
      <c r="F22" s="78"/>
      <c r="G22" s="78"/>
      <c r="H22" s="78"/>
      <c r="I22" s="78"/>
      <c r="J22" s="78"/>
      <c r="K22" s="78"/>
      <c r="L22" s="78"/>
      <c r="M22" s="78"/>
      <c r="N22" s="78"/>
      <c r="O22" s="78"/>
      <c r="P22" s="78"/>
      <c r="Q22" s="78"/>
      <c r="R22" s="78"/>
      <c r="S22" s="78"/>
      <c r="T22" s="78"/>
      <c r="U22" s="78"/>
      <c r="V22" s="78"/>
      <c r="W22" s="78"/>
      <c r="X22" s="78"/>
      <c r="Y22" s="78"/>
    </row>
    <row r="23" spans="1:25" ht="16" customHeight="1" x14ac:dyDescent="0.4">
      <c r="A23" s="216" t="s">
        <v>556</v>
      </c>
      <c r="B23" s="217"/>
      <c r="C23" s="217"/>
      <c r="D23" s="217"/>
      <c r="E23" s="217"/>
      <c r="F23" s="217"/>
      <c r="G23" s="218"/>
      <c r="H23" s="15"/>
      <c r="I23" s="15"/>
      <c r="J23" s="15"/>
      <c r="K23" s="78"/>
      <c r="L23" s="78"/>
      <c r="M23" s="78"/>
      <c r="N23" s="78"/>
      <c r="O23" s="78"/>
      <c r="P23" s="78"/>
      <c r="Q23" s="78"/>
      <c r="R23" s="78"/>
      <c r="S23" s="78"/>
      <c r="T23" s="78"/>
      <c r="U23" s="78"/>
      <c r="V23" s="78"/>
      <c r="W23" s="78"/>
      <c r="X23" s="78"/>
      <c r="Y23" s="78"/>
    </row>
    <row r="24" spans="1:25" ht="16" thickBot="1" x14ac:dyDescent="0.4">
      <c r="A24" s="219" t="s">
        <v>182</v>
      </c>
      <c r="B24" s="220"/>
      <c r="C24" s="220"/>
      <c r="D24" s="220"/>
      <c r="E24" s="220"/>
      <c r="F24" s="220"/>
      <c r="G24" s="221"/>
    </row>
    <row r="25" spans="1:25" ht="17.5" x14ac:dyDescent="0.45">
      <c r="A25" s="222" t="s">
        <v>183</v>
      </c>
      <c r="B25" s="223" t="s">
        <v>184</v>
      </c>
      <c r="C25" s="224" t="s">
        <v>117</v>
      </c>
      <c r="D25" s="224" t="s">
        <v>185</v>
      </c>
      <c r="E25" s="224" t="s">
        <v>186</v>
      </c>
      <c r="F25" s="224" t="s">
        <v>187</v>
      </c>
      <c r="G25" s="225" t="s">
        <v>188</v>
      </c>
    </row>
    <row r="26" spans="1:25" ht="15.5" x14ac:dyDescent="0.35">
      <c r="A26" s="226">
        <v>2017</v>
      </c>
      <c r="B26" s="227" t="s">
        <v>189</v>
      </c>
      <c r="C26" s="228">
        <v>1.71</v>
      </c>
      <c r="D26" s="229">
        <v>12.92</v>
      </c>
      <c r="E26" s="229">
        <v>4.8</v>
      </c>
      <c r="F26" s="229">
        <v>4.68</v>
      </c>
      <c r="G26" s="230">
        <v>4.46</v>
      </c>
    </row>
    <row r="27" spans="1:25" ht="16" thickBot="1" x14ac:dyDescent="0.4">
      <c r="A27" s="231">
        <v>2017</v>
      </c>
      <c r="B27" s="232" t="s">
        <v>190</v>
      </c>
      <c r="C27" s="233">
        <v>2.4</v>
      </c>
      <c r="D27" s="233">
        <v>12.11</v>
      </c>
      <c r="E27" s="233">
        <v>1.85</v>
      </c>
      <c r="F27" s="233">
        <v>1.7</v>
      </c>
      <c r="G27" s="234">
        <v>1.57</v>
      </c>
    </row>
    <row r="28" spans="1:25" ht="16" thickBot="1" x14ac:dyDescent="0.4">
      <c r="A28" s="235" t="s">
        <v>191</v>
      </c>
      <c r="B28" s="236"/>
      <c r="C28" s="236"/>
      <c r="D28" s="236"/>
      <c r="E28" s="236"/>
      <c r="F28" s="236"/>
      <c r="G28" s="237"/>
    </row>
    <row r="29" spans="1:25" ht="17.5" x14ac:dyDescent="0.45">
      <c r="A29" s="222" t="s">
        <v>183</v>
      </c>
      <c r="B29" s="238" t="s">
        <v>184</v>
      </c>
      <c r="C29" s="239" t="s">
        <v>117</v>
      </c>
      <c r="D29" s="239" t="s">
        <v>185</v>
      </c>
      <c r="E29" s="239" t="s">
        <v>186</v>
      </c>
      <c r="F29" s="239" t="s">
        <v>187</v>
      </c>
      <c r="G29" s="240" t="s">
        <v>188</v>
      </c>
    </row>
    <row r="30" spans="1:25" ht="15.5" x14ac:dyDescent="0.35">
      <c r="A30" s="226">
        <v>2017</v>
      </c>
      <c r="B30" s="143" t="s">
        <v>189</v>
      </c>
      <c r="C30" s="241">
        <v>624.15</v>
      </c>
      <c r="D30" s="241">
        <v>4715.8</v>
      </c>
      <c r="E30" s="241">
        <v>1752</v>
      </c>
      <c r="F30" s="241">
        <v>1708.2</v>
      </c>
      <c r="G30" s="242">
        <v>1627.9</v>
      </c>
    </row>
    <row r="31" spans="1:25" ht="16" thickBot="1" x14ac:dyDescent="0.4">
      <c r="A31" s="231">
        <v>2017</v>
      </c>
      <c r="B31" s="143" t="s">
        <v>190</v>
      </c>
      <c r="C31" s="241">
        <v>876</v>
      </c>
      <c r="D31" s="241">
        <v>4420.1499999999996</v>
      </c>
      <c r="E31" s="241">
        <v>675.25</v>
      </c>
      <c r="F31" s="241">
        <v>620.5</v>
      </c>
      <c r="G31" s="242">
        <v>573.04999999999995</v>
      </c>
    </row>
    <row r="32" spans="1:25" ht="16" thickBot="1" x14ac:dyDescent="0.4">
      <c r="A32" s="2"/>
      <c r="B32" s="243" t="s">
        <v>192</v>
      </c>
      <c r="C32" s="244">
        <v>1500.15</v>
      </c>
      <c r="D32" s="244">
        <v>9135.9500000000007</v>
      </c>
      <c r="E32" s="244">
        <v>2427.25</v>
      </c>
      <c r="F32" s="244">
        <v>2328.6999999999998</v>
      </c>
      <c r="G32" s="245">
        <v>2200.9499999999998</v>
      </c>
    </row>
    <row r="33" spans="1:10" ht="11.25" customHeight="1" thickBot="1" x14ac:dyDescent="0.35">
      <c r="B33" s="246"/>
      <c r="C33" s="247"/>
      <c r="D33" s="247"/>
      <c r="E33" s="247"/>
      <c r="F33" s="247"/>
      <c r="G33" s="247"/>
    </row>
    <row r="34" spans="1:10" ht="15.5" x14ac:dyDescent="0.35">
      <c r="A34" s="248" t="s">
        <v>193</v>
      </c>
      <c r="B34" s="249">
        <v>206477382</v>
      </c>
      <c r="C34" s="250" t="s">
        <v>194</v>
      </c>
      <c r="D34" s="250"/>
      <c r="E34" s="250"/>
      <c r="F34" s="250"/>
      <c r="G34" s="251"/>
    </row>
    <row r="35" spans="1:10" ht="18" thickBot="1" x14ac:dyDescent="0.5">
      <c r="A35" s="213" t="s">
        <v>195</v>
      </c>
      <c r="B35" s="252">
        <v>206379000</v>
      </c>
      <c r="C35" s="253" t="s">
        <v>117</v>
      </c>
      <c r="D35" s="253" t="s">
        <v>185</v>
      </c>
      <c r="E35" s="253" t="s">
        <v>186</v>
      </c>
      <c r="F35" s="253" t="s">
        <v>187</v>
      </c>
      <c r="G35" s="254" t="s">
        <v>188</v>
      </c>
    </row>
    <row r="36" spans="1:10" ht="15.5" x14ac:dyDescent="0.35">
      <c r="A36" s="2"/>
      <c r="B36" s="255" t="s">
        <v>196</v>
      </c>
      <c r="C36" s="256">
        <v>6.9999999999999994E-5</v>
      </c>
      <c r="D36" s="256">
        <v>4.3999999999999999E-5</v>
      </c>
      <c r="E36" s="256">
        <v>1.2E-5</v>
      </c>
      <c r="F36" s="256">
        <v>1.1E-5</v>
      </c>
      <c r="G36" s="257">
        <v>1.1E-5</v>
      </c>
    </row>
    <row r="37" spans="1:10" ht="15.5" x14ac:dyDescent="0.35">
      <c r="A37" s="2"/>
      <c r="B37" s="258" t="s">
        <v>197</v>
      </c>
      <c r="C37" s="259">
        <v>6.9999999999999998E-9</v>
      </c>
      <c r="D37" s="259">
        <v>4.3999999999999997E-8</v>
      </c>
      <c r="E37" s="259">
        <v>1.2E-8</v>
      </c>
      <c r="F37" s="259">
        <v>1.0999999999999999E-8</v>
      </c>
      <c r="G37" s="260">
        <v>1.0999999999999999E-8</v>
      </c>
    </row>
    <row r="38" spans="1:10" ht="15.5" x14ac:dyDescent="0.35">
      <c r="A38" s="2"/>
      <c r="B38" s="261" t="s">
        <v>180</v>
      </c>
      <c r="C38" s="262">
        <v>1.6E-2</v>
      </c>
      <c r="D38" s="262">
        <v>9.7600000000000006E-2</v>
      </c>
      <c r="E38" s="262">
        <v>2.5899999999999999E-2</v>
      </c>
      <c r="F38" s="262">
        <v>2.4899999999999999E-2</v>
      </c>
      <c r="G38" s="263">
        <v>2.35E-2</v>
      </c>
    </row>
    <row r="39" spans="1:10" ht="16" thickBot="1" x14ac:dyDescent="0.4">
      <c r="A39" s="2"/>
      <c r="B39" s="264" t="s">
        <v>181</v>
      </c>
      <c r="C39" s="265">
        <v>1.5999999999999999E-5</v>
      </c>
      <c r="D39" s="265">
        <v>9.7999999999999997E-5</v>
      </c>
      <c r="E39" s="265">
        <v>2.5999999999999998E-5</v>
      </c>
      <c r="F39" s="265">
        <v>2.5000000000000001E-5</v>
      </c>
      <c r="G39" s="266">
        <v>2.4000000000000001E-5</v>
      </c>
    </row>
    <row r="40" spans="1:10" ht="14.5" thickBot="1" x14ac:dyDescent="0.35"/>
    <row r="41" spans="1:10" ht="15.5" x14ac:dyDescent="0.35">
      <c r="A41" s="267" t="s">
        <v>92</v>
      </c>
      <c r="B41" s="268"/>
      <c r="C41" s="268"/>
      <c r="D41" s="268"/>
      <c r="E41" s="268"/>
      <c r="F41" s="268"/>
      <c r="G41" s="268"/>
      <c r="H41" s="268"/>
      <c r="I41" s="268"/>
      <c r="J41" s="269"/>
    </row>
    <row r="42" spans="1:10" ht="15.5" x14ac:dyDescent="0.35">
      <c r="A42" s="270" t="s">
        <v>198</v>
      </c>
      <c r="B42" s="271"/>
      <c r="C42" s="271"/>
      <c r="D42" s="271"/>
      <c r="E42" s="271"/>
      <c r="F42" s="271"/>
      <c r="G42" s="271"/>
      <c r="H42" s="271"/>
      <c r="I42" s="271"/>
      <c r="J42" s="272"/>
    </row>
    <row r="43" spans="1:10" ht="15" customHeight="1" x14ac:dyDescent="0.3">
      <c r="A43" s="50" t="s">
        <v>199</v>
      </c>
      <c r="B43" s="22"/>
      <c r="C43" s="22"/>
      <c r="D43" s="22"/>
      <c r="E43" s="22"/>
      <c r="F43" s="22"/>
      <c r="G43" s="22"/>
      <c r="H43" s="22"/>
      <c r="I43" s="22"/>
      <c r="J43" s="273"/>
    </row>
    <row r="44" spans="1:10" ht="15" customHeight="1" x14ac:dyDescent="0.3">
      <c r="A44" s="50" t="s">
        <v>3604</v>
      </c>
      <c r="B44" s="22"/>
      <c r="C44" s="22"/>
      <c r="D44" s="22"/>
      <c r="E44" s="22"/>
      <c r="F44" s="22"/>
      <c r="G44" s="22"/>
      <c r="H44" s="22"/>
      <c r="I44" s="22"/>
      <c r="J44" s="273"/>
    </row>
    <row r="45" spans="1:10" ht="15.5" x14ac:dyDescent="0.35">
      <c r="A45" s="274" t="s">
        <v>3605</v>
      </c>
      <c r="B45" s="2"/>
      <c r="C45" s="2"/>
      <c r="D45" s="2"/>
      <c r="E45" s="2"/>
      <c r="F45" s="2"/>
      <c r="G45" s="2"/>
      <c r="H45" s="2"/>
      <c r="I45" s="2"/>
      <c r="J45" s="16"/>
    </row>
    <row r="46" spans="1:10" ht="6.75" customHeight="1" x14ac:dyDescent="0.35">
      <c r="A46" s="26"/>
      <c r="B46" s="2"/>
      <c r="C46" s="2"/>
      <c r="D46" s="2"/>
      <c r="E46" s="2"/>
      <c r="F46" s="2"/>
      <c r="G46" s="2"/>
      <c r="H46" s="2"/>
      <c r="I46" s="2"/>
      <c r="J46" s="16"/>
    </row>
    <row r="47" spans="1:10" ht="15.5" x14ac:dyDescent="0.35">
      <c r="A47" s="26" t="s">
        <v>3606</v>
      </c>
      <c r="B47" s="2"/>
      <c r="C47" s="2"/>
      <c r="D47" s="2"/>
      <c r="E47" s="2"/>
      <c r="F47" s="2"/>
      <c r="G47" s="2"/>
      <c r="H47" s="2"/>
      <c r="I47" s="2"/>
      <c r="J47" s="16"/>
    </row>
    <row r="48" spans="1:10" ht="15.5" x14ac:dyDescent="0.35">
      <c r="A48" s="439" t="s">
        <v>200</v>
      </c>
      <c r="B48" s="275"/>
      <c r="C48" s="2"/>
      <c r="D48" s="2"/>
      <c r="E48" s="2"/>
      <c r="F48" s="2"/>
      <c r="G48" s="2"/>
      <c r="H48" s="2"/>
      <c r="I48" s="2"/>
      <c r="J48" s="16"/>
    </row>
    <row r="49" spans="1:10" ht="9" customHeight="1" x14ac:dyDescent="0.35">
      <c r="A49" s="26"/>
      <c r="B49" s="2"/>
      <c r="C49" s="2"/>
      <c r="D49" s="2"/>
      <c r="E49" s="2"/>
      <c r="F49" s="2"/>
      <c r="G49" s="2"/>
      <c r="H49" s="2"/>
      <c r="I49" s="2"/>
      <c r="J49" s="16"/>
    </row>
    <row r="50" spans="1:10" ht="15.5" x14ac:dyDescent="0.35">
      <c r="A50" s="276" t="s">
        <v>201</v>
      </c>
      <c r="B50" s="277"/>
      <c r="C50" s="277"/>
      <c r="D50" s="277"/>
      <c r="E50" s="277"/>
      <c r="F50" s="277"/>
      <c r="G50" s="277"/>
      <c r="H50" s="277"/>
      <c r="I50" s="277"/>
      <c r="J50" s="278"/>
    </row>
    <row r="51" spans="1:10" ht="15" customHeight="1" x14ac:dyDescent="0.3">
      <c r="A51" s="50" t="s">
        <v>202</v>
      </c>
      <c r="B51" s="22"/>
      <c r="C51" s="22"/>
      <c r="D51" s="22"/>
      <c r="E51" s="22"/>
      <c r="F51" s="22"/>
      <c r="G51" s="22"/>
      <c r="H51" s="22"/>
      <c r="I51" s="22"/>
      <c r="J51" s="273"/>
    </row>
    <row r="52" spans="1:10" ht="15" customHeight="1" x14ac:dyDescent="0.3">
      <c r="A52" s="50" t="s">
        <v>555</v>
      </c>
      <c r="B52" s="22"/>
      <c r="C52" s="22"/>
      <c r="D52" s="22"/>
      <c r="E52" s="22"/>
      <c r="F52" s="22"/>
      <c r="G52" s="22"/>
      <c r="H52" s="22"/>
      <c r="I52" s="22"/>
      <c r="J52" s="273"/>
    </row>
    <row r="53" spans="1:10" ht="15.5" x14ac:dyDescent="0.35">
      <c r="A53" s="274" t="s">
        <v>203</v>
      </c>
      <c r="B53" s="2"/>
      <c r="C53" s="2"/>
      <c r="D53" s="2"/>
      <c r="E53" s="2"/>
      <c r="F53" s="2"/>
      <c r="G53" s="2"/>
      <c r="H53" s="2"/>
      <c r="I53" s="2"/>
      <c r="J53" s="16"/>
    </row>
    <row r="54" spans="1:10" ht="5.25" customHeight="1" x14ac:dyDescent="0.35">
      <c r="A54" s="26"/>
      <c r="B54" s="2"/>
      <c r="C54" s="2"/>
      <c r="D54" s="2"/>
      <c r="E54" s="2"/>
      <c r="F54" s="2"/>
      <c r="G54" s="2"/>
      <c r="H54" s="2"/>
      <c r="I54" s="2"/>
      <c r="J54" s="16"/>
    </row>
    <row r="55" spans="1:10" ht="15.5" x14ac:dyDescent="0.35">
      <c r="A55" s="26" t="s">
        <v>204</v>
      </c>
      <c r="B55" s="2"/>
      <c r="C55" s="2"/>
      <c r="D55" s="2"/>
      <c r="E55" s="2"/>
      <c r="F55" s="2"/>
      <c r="G55" s="2"/>
      <c r="H55" s="2"/>
      <c r="I55" s="2"/>
      <c r="J55" s="16"/>
    </row>
    <row r="56" spans="1:10" ht="16" thickBot="1" x14ac:dyDescent="0.4">
      <c r="A56" s="279" t="s">
        <v>200</v>
      </c>
      <c r="B56" s="17"/>
      <c r="C56" s="17"/>
      <c r="D56" s="17"/>
      <c r="E56" s="17"/>
      <c r="F56" s="17"/>
      <c r="G56" s="17"/>
      <c r="H56" s="17"/>
      <c r="I56" s="17"/>
      <c r="J56" s="18"/>
    </row>
  </sheetData>
  <sheetProtection algorithmName="SHA-512" hashValue="mSWeL2DAEtHhykfwflhzqKTRBmbjxpFIV8557WlfQ3LqT+Y5Nug4ccx4B6q0GuZxFvT1psO481DCFDXq96hM4Q==" saltValue="FkDdSSNVC6DFCJ//+jbZzA==" spinCount="100000" sheet="1" objects="1" scenarios="1"/>
  <hyperlinks>
    <hyperlink ref="A48" r:id="rId1" xr:uid="{00000000-0004-0000-0C00-000001000000}"/>
    <hyperlink ref="A53" r:id="rId2" location="0" tooltip="California Air Resources Board's criteria pollutant emissions inventory" xr:uid="{00000000-0004-0000-0C00-000002000000}"/>
    <hyperlink ref="A56" r:id="rId3" tooltip="California Energy Commission Energy Almanac" xr:uid="{00000000-0004-0000-0C00-000003000000}"/>
    <hyperlink ref="A45" r:id="rId4" tooltip="California Air Resources Board GHG inventory" xr:uid="{C6CD3711-B538-4416-A963-0A6D17542191}"/>
  </hyperlinks>
  <pageMargins left="0.7" right="0.7" top="0.75" bottom="0.75" header="0.3" footer="0.3"/>
  <pageSetup scale="40" orientation="portrait" horizontalDpi="1200" verticalDpi="1200"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1"/>
  </sheetPr>
  <dimension ref="B1:I57"/>
  <sheetViews>
    <sheetView showGridLines="0" showWhiteSpace="0" topLeftCell="A8" zoomScaleNormal="100" workbookViewId="0">
      <selection activeCell="B56" sqref="B56"/>
    </sheetView>
  </sheetViews>
  <sheetFormatPr defaultColWidth="9.1796875" defaultRowHeight="14" x14ac:dyDescent="0.3"/>
  <cols>
    <col min="1" max="1" width="4.26953125" style="21" customWidth="1"/>
    <col min="2" max="2" width="37.7265625" style="21" customWidth="1"/>
    <col min="3" max="4" width="19.54296875" style="21" customWidth="1"/>
    <col min="5" max="5" width="28" style="21" customWidth="1"/>
    <col min="6" max="16384" width="9.1796875" style="21"/>
  </cols>
  <sheetData>
    <row r="1" spans="2:9" x14ac:dyDescent="0.3">
      <c r="B1" s="78"/>
    </row>
    <row r="2" spans="2:9" ht="18" x14ac:dyDescent="0.4">
      <c r="B2" s="78"/>
      <c r="D2" s="23" t="s">
        <v>0</v>
      </c>
      <c r="I2" s="23"/>
    </row>
    <row r="3" spans="2:9" ht="18" x14ac:dyDescent="0.4">
      <c r="B3" s="78"/>
      <c r="D3" s="24" t="s">
        <v>1</v>
      </c>
      <c r="I3" s="24"/>
    </row>
    <row r="4" spans="2:9" ht="18" x14ac:dyDescent="0.4">
      <c r="B4" s="78"/>
      <c r="D4" s="25" t="s">
        <v>70</v>
      </c>
    </row>
    <row r="5" spans="2:9" x14ac:dyDescent="0.3">
      <c r="B5" s="78"/>
    </row>
    <row r="6" spans="2:9" x14ac:dyDescent="0.3">
      <c r="B6" s="78"/>
    </row>
    <row r="7" spans="2:9" x14ac:dyDescent="0.3">
      <c r="B7" s="78"/>
    </row>
    <row r="8" spans="2:9" s="2" customFormat="1" ht="18.75" customHeight="1" thickBot="1" x14ac:dyDescent="0.4"/>
    <row r="9" spans="2:9" s="2" customFormat="1" ht="15" customHeight="1" x14ac:dyDescent="0.35">
      <c r="B9" s="64" t="s">
        <v>71</v>
      </c>
      <c r="C9" s="65"/>
      <c r="D9" s="65"/>
      <c r="E9" s="66"/>
    </row>
    <row r="10" spans="2:9" s="2" customFormat="1" ht="15.5" x14ac:dyDescent="0.35">
      <c r="B10" s="51" t="s">
        <v>72</v>
      </c>
      <c r="C10" s="52"/>
      <c r="D10" s="52"/>
      <c r="E10" s="53"/>
    </row>
    <row r="11" spans="2:9" s="2" customFormat="1" ht="33.5" thickBot="1" x14ac:dyDescent="0.5">
      <c r="B11" s="27" t="s">
        <v>73</v>
      </c>
      <c r="C11" s="362" t="s">
        <v>323</v>
      </c>
      <c r="D11" s="362" t="s">
        <v>324</v>
      </c>
      <c r="E11" s="363" t="s">
        <v>325</v>
      </c>
    </row>
    <row r="12" spans="2:9" s="2" customFormat="1" ht="15.5" x14ac:dyDescent="0.35">
      <c r="B12" s="28" t="s">
        <v>74</v>
      </c>
      <c r="C12" s="364">
        <v>126.13</v>
      </c>
      <c r="D12" s="364">
        <v>28.53</v>
      </c>
      <c r="E12" s="365">
        <f t="shared" ref="E12:E23" si="0">C12*D12</f>
        <v>3598.4888999999998</v>
      </c>
    </row>
    <row r="13" spans="2:9" s="2" customFormat="1" ht="15.5" x14ac:dyDescent="0.35">
      <c r="B13" s="29" t="s">
        <v>75</v>
      </c>
      <c r="C13" s="366">
        <v>0.98</v>
      </c>
      <c r="D13" s="366">
        <v>86.7</v>
      </c>
      <c r="E13" s="365">
        <f t="shared" si="0"/>
        <v>84.966000000000008</v>
      </c>
    </row>
    <row r="14" spans="2:9" s="2" customFormat="1" ht="15.5" x14ac:dyDescent="0.35">
      <c r="B14" s="29" t="s">
        <v>76</v>
      </c>
      <c r="C14" s="366">
        <v>134.47</v>
      </c>
      <c r="D14" s="366">
        <v>100.45</v>
      </c>
      <c r="E14" s="365">
        <f t="shared" si="0"/>
        <v>13507.511500000001</v>
      </c>
    </row>
    <row r="15" spans="2:9" s="2" customFormat="1" ht="15.5" x14ac:dyDescent="0.35">
      <c r="B15" s="29" t="s">
        <v>77</v>
      </c>
      <c r="C15" s="366">
        <v>3.6</v>
      </c>
      <c r="D15" s="366">
        <v>76.73</v>
      </c>
      <c r="E15" s="365">
        <f t="shared" si="0"/>
        <v>276.22800000000001</v>
      </c>
    </row>
    <row r="16" spans="2:9" ht="15.5" x14ac:dyDescent="0.35">
      <c r="B16" s="29" t="s">
        <v>78</v>
      </c>
      <c r="C16" s="366">
        <v>115.83</v>
      </c>
      <c r="D16" s="366">
        <v>99.44</v>
      </c>
      <c r="E16" s="365">
        <f t="shared" si="0"/>
        <v>11518.135199999999</v>
      </c>
      <c r="F16" s="2"/>
    </row>
    <row r="17" spans="2:6" ht="15.5" x14ac:dyDescent="0.35">
      <c r="B17" s="29" t="s">
        <v>79</v>
      </c>
      <c r="C17" s="366">
        <v>120</v>
      </c>
      <c r="D17" s="366">
        <v>111.61</v>
      </c>
      <c r="E17" s="365">
        <f t="shared" si="0"/>
        <v>13393.2</v>
      </c>
      <c r="F17" s="2"/>
    </row>
    <row r="18" spans="2:6" ht="15.5" x14ac:dyDescent="0.35">
      <c r="B18" s="29" t="s">
        <v>80</v>
      </c>
      <c r="C18" s="366">
        <v>78.83</v>
      </c>
      <c r="D18" s="366">
        <v>97.48</v>
      </c>
      <c r="E18" s="365">
        <f t="shared" si="0"/>
        <v>7684.3483999999999</v>
      </c>
      <c r="F18" s="2"/>
    </row>
    <row r="19" spans="2:6" ht="15.5" x14ac:dyDescent="0.35">
      <c r="B19" s="29" t="s">
        <v>81</v>
      </c>
      <c r="C19" s="366">
        <v>89.63</v>
      </c>
      <c r="D19" s="366">
        <v>80.48</v>
      </c>
      <c r="E19" s="365">
        <f t="shared" si="0"/>
        <v>7213.4224000000004</v>
      </c>
      <c r="F19" s="2"/>
    </row>
    <row r="20" spans="2:6" ht="15.5" x14ac:dyDescent="0.35">
      <c r="B20" s="29" t="s">
        <v>82</v>
      </c>
      <c r="C20" s="366">
        <v>81.510000000000005</v>
      </c>
      <c r="D20" s="366">
        <v>59.93</v>
      </c>
      <c r="E20" s="365">
        <f t="shared" si="0"/>
        <v>4884.8942999999999</v>
      </c>
      <c r="F20" s="2"/>
    </row>
    <row r="21" spans="2:6" ht="15.5" x14ac:dyDescent="0.35">
      <c r="B21" s="29" t="s">
        <v>83</v>
      </c>
      <c r="C21" s="366">
        <v>129.65</v>
      </c>
      <c r="D21" s="366">
        <v>37.97</v>
      </c>
      <c r="E21" s="365">
        <f t="shared" si="0"/>
        <v>4922.8105000000005</v>
      </c>
      <c r="F21" s="2"/>
    </row>
    <row r="22" spans="2:6" ht="15.5" x14ac:dyDescent="0.35">
      <c r="B22" s="32" t="s">
        <v>84</v>
      </c>
      <c r="C22" s="367">
        <v>3.6</v>
      </c>
      <c r="D22" s="367">
        <v>0</v>
      </c>
      <c r="E22" s="365">
        <f t="shared" si="0"/>
        <v>0</v>
      </c>
      <c r="F22" s="2"/>
    </row>
    <row r="23" spans="2:6" ht="16" thickBot="1" x14ac:dyDescent="0.4">
      <c r="B23" s="33" t="s">
        <v>85</v>
      </c>
      <c r="C23" s="368">
        <v>0.98</v>
      </c>
      <c r="D23" s="368">
        <v>-50.55</v>
      </c>
      <c r="E23" s="365">
        <f t="shared" si="0"/>
        <v>-49.538999999999994</v>
      </c>
      <c r="F23" s="2"/>
    </row>
    <row r="24" spans="2:6" ht="15" customHeight="1" x14ac:dyDescent="0.3">
      <c r="B24" s="369" t="s">
        <v>86</v>
      </c>
      <c r="C24" s="370"/>
      <c r="D24" s="370"/>
      <c r="E24" s="371"/>
    </row>
    <row r="25" spans="2:6" ht="15" customHeight="1" x14ac:dyDescent="0.3">
      <c r="B25" s="50" t="s">
        <v>326</v>
      </c>
      <c r="C25" s="22"/>
      <c r="D25" s="22"/>
      <c r="E25" s="273"/>
    </row>
    <row r="26" spans="2:6" ht="15" customHeight="1" x14ac:dyDescent="0.3">
      <c r="B26" s="50" t="s">
        <v>327</v>
      </c>
      <c r="C26" s="22"/>
      <c r="D26" s="22"/>
      <c r="E26" s="273"/>
    </row>
    <row r="27" spans="2:6" ht="15" customHeight="1" x14ac:dyDescent="0.3">
      <c r="B27" s="50" t="s">
        <v>328</v>
      </c>
      <c r="C27" s="22"/>
      <c r="D27" s="22"/>
      <c r="E27" s="273"/>
    </row>
    <row r="28" spans="2:6" ht="15" customHeight="1" x14ac:dyDescent="0.3">
      <c r="B28" s="50" t="s">
        <v>329</v>
      </c>
      <c r="C28" s="22"/>
      <c r="D28" s="22"/>
      <c r="E28" s="273"/>
    </row>
    <row r="29" spans="2:6" ht="15.75" customHeight="1" thickBot="1" x14ac:dyDescent="0.35">
      <c r="B29" s="372"/>
      <c r="C29" s="373"/>
      <c r="D29" s="373"/>
      <c r="E29" s="374"/>
    </row>
    <row r="30" spans="2:6" ht="16" thickBot="1" x14ac:dyDescent="0.35">
      <c r="B30" s="35"/>
      <c r="C30" s="35"/>
      <c r="D30" s="35"/>
      <c r="E30" s="35"/>
    </row>
    <row r="31" spans="2:6" ht="15.5" x14ac:dyDescent="0.35">
      <c r="B31" s="54" t="s">
        <v>87</v>
      </c>
      <c r="C31" s="55"/>
      <c r="D31" s="56"/>
      <c r="E31" s="2"/>
    </row>
    <row r="32" spans="2:6" ht="31.5" thickBot="1" x14ac:dyDescent="0.4">
      <c r="B32" s="36" t="s">
        <v>73</v>
      </c>
      <c r="C32" s="37" t="s">
        <v>88</v>
      </c>
      <c r="D32" s="38" t="s">
        <v>89</v>
      </c>
      <c r="E32" s="2"/>
    </row>
    <row r="33" spans="2:5" ht="15.5" x14ac:dyDescent="0.35">
      <c r="B33" s="39" t="s">
        <v>74</v>
      </c>
      <c r="C33" s="40">
        <v>1</v>
      </c>
      <c r="D33" s="41" t="s">
        <v>90</v>
      </c>
      <c r="E33" s="2"/>
    </row>
    <row r="34" spans="2:5" ht="15.5" x14ac:dyDescent="0.35">
      <c r="B34" s="29" t="s">
        <v>75</v>
      </c>
      <c r="C34" s="30">
        <v>0.9</v>
      </c>
      <c r="D34" s="42">
        <v>1</v>
      </c>
      <c r="E34" s="2"/>
    </row>
    <row r="35" spans="2:5" ht="15.5" x14ac:dyDescent="0.35">
      <c r="B35" s="29" t="s">
        <v>76</v>
      </c>
      <c r="C35" s="43">
        <v>1</v>
      </c>
      <c r="D35" s="44" t="s">
        <v>90</v>
      </c>
      <c r="E35" s="2"/>
    </row>
    <row r="36" spans="2:5" ht="124" x14ac:dyDescent="0.35">
      <c r="B36" s="45" t="s">
        <v>77</v>
      </c>
      <c r="C36" s="46" t="s">
        <v>330</v>
      </c>
      <c r="D36" s="31">
        <v>3.4</v>
      </c>
      <c r="E36" s="2"/>
    </row>
    <row r="37" spans="2:5" ht="15.5" x14ac:dyDescent="0.35">
      <c r="B37" s="29" t="s">
        <v>91</v>
      </c>
      <c r="C37" s="47" t="s">
        <v>90</v>
      </c>
      <c r="D37" s="42">
        <v>1</v>
      </c>
      <c r="E37" s="2"/>
    </row>
    <row r="38" spans="2:5" ht="15.5" x14ac:dyDescent="0.35">
      <c r="B38" s="29" t="s">
        <v>79</v>
      </c>
      <c r="C38" s="30">
        <v>1.9</v>
      </c>
      <c r="D38" s="31">
        <v>2.5</v>
      </c>
      <c r="E38" s="2"/>
    </row>
    <row r="39" spans="2:5" ht="15.5" x14ac:dyDescent="0.35">
      <c r="B39" s="29" t="s">
        <v>80</v>
      </c>
      <c r="C39" s="30">
        <v>0.9</v>
      </c>
      <c r="D39" s="42">
        <v>1</v>
      </c>
      <c r="E39" s="2"/>
    </row>
    <row r="40" spans="2:5" ht="15.5" x14ac:dyDescent="0.35">
      <c r="B40" s="29" t="s">
        <v>81</v>
      </c>
      <c r="C40" s="43">
        <v>0.9</v>
      </c>
      <c r="D40" s="42">
        <v>1</v>
      </c>
      <c r="E40" s="2"/>
    </row>
    <row r="41" spans="2:5" ht="15.5" x14ac:dyDescent="0.35">
      <c r="B41" s="29" t="s">
        <v>82</v>
      </c>
      <c r="C41" s="47" t="s">
        <v>90</v>
      </c>
      <c r="D41" s="42">
        <v>1</v>
      </c>
      <c r="E41" s="2"/>
    </row>
    <row r="42" spans="2:5" ht="15.5" x14ac:dyDescent="0.35">
      <c r="B42" s="29" t="s">
        <v>83</v>
      </c>
      <c r="C42" s="43">
        <v>1</v>
      </c>
      <c r="D42" s="44" t="s">
        <v>90</v>
      </c>
      <c r="E42" s="2"/>
    </row>
    <row r="43" spans="2:5" ht="16" thickBot="1" x14ac:dyDescent="0.4">
      <c r="B43" s="33" t="s">
        <v>85</v>
      </c>
      <c r="C43" s="34">
        <v>0.9</v>
      </c>
      <c r="D43" s="48">
        <v>1</v>
      </c>
      <c r="E43" s="2"/>
    </row>
    <row r="44" spans="2:5" ht="15.5" x14ac:dyDescent="0.35">
      <c r="B44" s="2"/>
      <c r="C44" s="2"/>
      <c r="D44" s="2"/>
      <c r="E44" s="2"/>
    </row>
    <row r="45" spans="2:5" ht="16" thickBot="1" x14ac:dyDescent="0.4">
      <c r="B45" s="2"/>
      <c r="C45" s="2"/>
      <c r="D45" s="2"/>
      <c r="E45" s="2"/>
    </row>
    <row r="46" spans="2:5" ht="15.5" x14ac:dyDescent="0.3">
      <c r="B46" s="57" t="s">
        <v>92</v>
      </c>
      <c r="C46" s="58"/>
      <c r="D46" s="58"/>
      <c r="E46" s="59"/>
    </row>
    <row r="47" spans="2:5" ht="15.5" x14ac:dyDescent="0.3">
      <c r="B47" s="60" t="s">
        <v>93</v>
      </c>
      <c r="C47" s="61"/>
      <c r="D47" s="61"/>
      <c r="E47" s="62"/>
    </row>
    <row r="48" spans="2:5" ht="15.5" x14ac:dyDescent="0.3">
      <c r="B48" s="60" t="s">
        <v>94</v>
      </c>
      <c r="C48" s="61"/>
      <c r="D48" s="61"/>
      <c r="E48" s="62"/>
    </row>
    <row r="49" spans="2:5" ht="15.75" customHeight="1" x14ac:dyDescent="0.35">
      <c r="B49" s="125" t="s">
        <v>95</v>
      </c>
      <c r="C49"/>
      <c r="D49"/>
      <c r="E49" s="375"/>
    </row>
    <row r="50" spans="2:5" ht="15.75" customHeight="1" x14ac:dyDescent="0.35">
      <c r="B50" s="67" t="s">
        <v>96</v>
      </c>
      <c r="C50" s="68"/>
      <c r="D50" s="68"/>
      <c r="E50" s="69"/>
    </row>
    <row r="51" spans="2:5" ht="15.75" customHeight="1" x14ac:dyDescent="0.35">
      <c r="B51" s="67"/>
      <c r="C51" s="68"/>
      <c r="D51" s="68"/>
      <c r="E51" s="69"/>
    </row>
    <row r="52" spans="2:5" ht="15.75" customHeight="1" x14ac:dyDescent="0.35">
      <c r="B52" s="67" t="s">
        <v>97</v>
      </c>
      <c r="C52" s="68"/>
      <c r="D52" s="68"/>
      <c r="E52" s="69"/>
    </row>
    <row r="53" spans="2:5" ht="15.5" x14ac:dyDescent="0.35">
      <c r="B53" s="67" t="s">
        <v>3607</v>
      </c>
      <c r="C53" s="68"/>
      <c r="D53" s="68"/>
      <c r="E53" s="69"/>
    </row>
    <row r="54" spans="2:5" ht="15.5" x14ac:dyDescent="0.35">
      <c r="B54" s="67"/>
      <c r="C54" s="68"/>
      <c r="D54" s="68"/>
      <c r="E54" s="69"/>
    </row>
    <row r="55" spans="2:5" ht="15.5" x14ac:dyDescent="0.35">
      <c r="B55" s="432" t="s">
        <v>3608</v>
      </c>
      <c r="C55" s="68"/>
      <c r="D55" s="68"/>
      <c r="E55" s="69"/>
    </row>
    <row r="56" spans="2:5" ht="15.75" customHeight="1" x14ac:dyDescent="0.35">
      <c r="B56" s="432" t="s">
        <v>506</v>
      </c>
      <c r="C56" s="68"/>
      <c r="D56" s="68"/>
      <c r="E56" s="69"/>
    </row>
    <row r="57" spans="2:5" ht="16" thickBot="1" x14ac:dyDescent="0.4">
      <c r="B57" s="431" t="s">
        <v>505</v>
      </c>
      <c r="C57" s="70"/>
      <c r="D57" s="70"/>
      <c r="E57" s="71"/>
    </row>
  </sheetData>
  <sheetProtection algorithmName="SHA-512" hashValue="jzLbN3z35/q9OKqIG7XlmucVZjkJnXW0ICwxbKYxzVGkZNZ1C2jyZHe3brBrzDF+WKGDoaPH6MWDmCz4iVaodw==" saltValue="BEvJiRxpFvGdJg8PlZuX1A==" spinCount="100000" sheet="1" objects="1" scenarios="1"/>
  <hyperlinks>
    <hyperlink ref="B49" r:id="rId1" tooltip="Link to Low Carbon Fuel Standard Regulation" xr:uid="{00000000-0004-0000-0D00-000000000000}"/>
    <hyperlink ref="B57" r:id="rId2" tooltip="Carbon Intensity for California Average Grid Electricity Used as a Transportation Fuel in California" xr:uid="{0784838E-C6F3-4E0F-9A44-859733BF85FB}"/>
  </hyperlinks>
  <pageMargins left="0.7" right="0.7" top="0.75" bottom="0.75" header="0.3" footer="0.3"/>
  <pageSetup scale="65"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1"/>
  </sheetPr>
  <dimension ref="B1:G39"/>
  <sheetViews>
    <sheetView showGridLines="0" showWhiteSpace="0" zoomScaleNormal="100" workbookViewId="0">
      <selection activeCell="B40" sqref="B40"/>
    </sheetView>
  </sheetViews>
  <sheetFormatPr defaultColWidth="9.1796875" defaultRowHeight="14.5" x14ac:dyDescent="0.35"/>
  <cols>
    <col min="1" max="1" width="4.54296875" customWidth="1"/>
    <col min="2" max="2" width="37.7265625" customWidth="1"/>
    <col min="3" max="3" width="16.453125" customWidth="1"/>
    <col min="4" max="4" width="19.54296875" customWidth="1"/>
    <col min="5" max="5" width="26.81640625" customWidth="1"/>
    <col min="6" max="6" width="5.1796875" customWidth="1"/>
    <col min="7" max="7" width="9.1796875" customWidth="1"/>
  </cols>
  <sheetData>
    <row r="1" spans="2:7" s="2" customFormat="1" ht="18.75" customHeight="1" x14ac:dyDescent="0.4">
      <c r="B1" s="11"/>
      <c r="C1" s="11"/>
      <c r="D1" s="361" t="s">
        <v>0</v>
      </c>
      <c r="E1" s="11"/>
      <c r="F1" s="11"/>
      <c r="G1" s="11"/>
    </row>
    <row r="2" spans="2:7" s="2" customFormat="1" ht="15" customHeight="1" x14ac:dyDescent="0.4">
      <c r="B2" s="11"/>
      <c r="C2" s="11"/>
      <c r="D2" s="361"/>
      <c r="E2" s="11"/>
      <c r="F2" s="11"/>
      <c r="G2" s="11"/>
    </row>
    <row r="3" spans="2:7" s="2" customFormat="1" ht="18.75" customHeight="1" x14ac:dyDescent="0.4">
      <c r="B3" s="11"/>
      <c r="C3" s="11"/>
      <c r="D3" s="361" t="s">
        <v>504</v>
      </c>
      <c r="E3" s="11"/>
      <c r="F3" s="11"/>
      <c r="G3" s="11"/>
    </row>
    <row r="4" spans="2:7" s="2" customFormat="1" ht="18.75" customHeight="1" x14ac:dyDescent="0.4">
      <c r="B4" s="11"/>
      <c r="C4" s="11"/>
      <c r="D4" s="25" t="s">
        <v>276</v>
      </c>
      <c r="E4" s="11"/>
      <c r="F4" s="11"/>
      <c r="G4" s="11"/>
    </row>
    <row r="5" spans="2:7" s="2" customFormat="1" ht="18.75" customHeight="1" x14ac:dyDescent="0.4">
      <c r="B5" s="11"/>
      <c r="C5" s="11"/>
      <c r="D5" s="25" t="s">
        <v>277</v>
      </c>
      <c r="E5" s="11"/>
      <c r="F5" s="11"/>
      <c r="G5" s="11"/>
    </row>
    <row r="6" spans="2:7" s="2" customFormat="1" ht="15" customHeight="1" x14ac:dyDescent="0.4">
      <c r="B6" s="11"/>
      <c r="C6" s="11"/>
      <c r="D6" s="361"/>
      <c r="E6" s="11"/>
      <c r="F6" s="11"/>
      <c r="G6" s="11"/>
    </row>
    <row r="7" spans="2:7" s="2" customFormat="1" ht="15" customHeight="1" x14ac:dyDescent="0.4">
      <c r="B7" s="11"/>
      <c r="C7" s="11"/>
      <c r="D7" s="361" t="s">
        <v>1</v>
      </c>
      <c r="E7" s="11"/>
      <c r="F7" s="11"/>
      <c r="G7" s="11"/>
    </row>
    <row r="8" spans="2:7" s="2" customFormat="1" ht="18.75" customHeight="1" thickBot="1" x14ac:dyDescent="0.4"/>
    <row r="9" spans="2:7" s="21" customFormat="1" ht="18" x14ac:dyDescent="0.3">
      <c r="B9" s="320" t="s">
        <v>298</v>
      </c>
      <c r="C9" s="321"/>
      <c r="D9" s="322"/>
      <c r="E9" s="323"/>
    </row>
    <row r="10" spans="2:7" ht="16" thickBot="1" x14ac:dyDescent="0.4">
      <c r="B10" s="324" t="s">
        <v>68</v>
      </c>
      <c r="C10" s="325" t="s">
        <v>299</v>
      </c>
      <c r="D10" s="326" t="s">
        <v>300</v>
      </c>
      <c r="E10" s="323"/>
    </row>
    <row r="11" spans="2:7" ht="15.5" x14ac:dyDescent="0.35">
      <c r="B11" s="327" t="s">
        <v>67</v>
      </c>
      <c r="C11" s="328">
        <v>5.53</v>
      </c>
      <c r="D11" s="329" t="s">
        <v>301</v>
      </c>
      <c r="E11" s="323"/>
    </row>
    <row r="12" spans="2:7" ht="15.5" x14ac:dyDescent="0.35">
      <c r="B12" s="330" t="s">
        <v>66</v>
      </c>
      <c r="C12" s="331">
        <v>5.94</v>
      </c>
      <c r="D12" s="332" t="s">
        <v>301</v>
      </c>
      <c r="E12" s="323"/>
    </row>
    <row r="13" spans="2:7" ht="15.5" x14ac:dyDescent="0.35">
      <c r="B13" s="330" t="s">
        <v>302</v>
      </c>
      <c r="C13" s="331">
        <f>3.07/115.83*0.98</f>
        <v>2.5974272640939305E-2</v>
      </c>
      <c r="D13" s="332" t="s">
        <v>303</v>
      </c>
      <c r="E13" s="323"/>
    </row>
    <row r="14" spans="2:7" ht="15.5" x14ac:dyDescent="0.35">
      <c r="B14" s="330" t="s">
        <v>304</v>
      </c>
      <c r="C14" s="331">
        <v>4.29</v>
      </c>
      <c r="D14" s="332" t="s">
        <v>301</v>
      </c>
      <c r="E14" s="333"/>
    </row>
    <row r="15" spans="2:7" ht="15.5" x14ac:dyDescent="0.35">
      <c r="B15" s="330" t="s">
        <v>305</v>
      </c>
      <c r="C15" s="331">
        <v>4.09</v>
      </c>
      <c r="D15" s="332" t="s">
        <v>301</v>
      </c>
      <c r="E15" s="323"/>
    </row>
    <row r="16" spans="2:7" ht="15.5" x14ac:dyDescent="0.35">
      <c r="B16" s="330" t="s">
        <v>306</v>
      </c>
      <c r="C16" s="331">
        <v>3.92</v>
      </c>
      <c r="D16" s="332" t="s">
        <v>301</v>
      </c>
      <c r="E16" s="323"/>
    </row>
    <row r="17" spans="2:5" ht="15.5" x14ac:dyDescent="0.35">
      <c r="B17" s="330" t="s">
        <v>307</v>
      </c>
      <c r="C17" s="331">
        <v>5.52</v>
      </c>
      <c r="D17" s="332" t="s">
        <v>301</v>
      </c>
      <c r="E17" s="323"/>
    </row>
    <row r="18" spans="2:5" ht="18.5" thickBot="1" x14ac:dyDescent="0.4">
      <c r="B18" s="334" t="s">
        <v>308</v>
      </c>
      <c r="C18" s="335">
        <v>17.489999999999998</v>
      </c>
      <c r="D18" s="336" t="s">
        <v>309</v>
      </c>
      <c r="E18" s="323"/>
    </row>
    <row r="19" spans="2:5" ht="15" thickBot="1" x14ac:dyDescent="0.4">
      <c r="B19" s="21"/>
      <c r="C19" s="21"/>
      <c r="D19" s="21"/>
      <c r="E19" s="21"/>
    </row>
    <row r="20" spans="2:5" ht="18" x14ac:dyDescent="0.35">
      <c r="B20" s="320" t="s">
        <v>3609</v>
      </c>
      <c r="C20" s="321"/>
      <c r="D20" s="322"/>
      <c r="E20" s="21"/>
    </row>
    <row r="21" spans="2:5" ht="16" thickBot="1" x14ac:dyDescent="0.4">
      <c r="B21" s="324" t="s">
        <v>310</v>
      </c>
      <c r="C21" s="325" t="s">
        <v>299</v>
      </c>
      <c r="D21" s="326" t="s">
        <v>300</v>
      </c>
      <c r="E21" s="21"/>
    </row>
    <row r="22" spans="2:5" ht="15.5" x14ac:dyDescent="0.35">
      <c r="B22" s="327" t="s">
        <v>311</v>
      </c>
      <c r="C22" s="337">
        <v>0.17119999999999999</v>
      </c>
      <c r="D22" s="329" t="s">
        <v>312</v>
      </c>
      <c r="E22" s="21"/>
    </row>
    <row r="23" spans="2:5" ht="16" thickBot="1" x14ac:dyDescent="0.4">
      <c r="B23" s="334" t="s">
        <v>313</v>
      </c>
      <c r="C23" s="335">
        <f>13.89/1000</f>
        <v>1.3890000000000001E-2</v>
      </c>
      <c r="D23" s="336" t="s">
        <v>303</v>
      </c>
      <c r="E23" s="338"/>
    </row>
    <row r="24" spans="2:5" ht="15" thickBot="1" x14ac:dyDescent="0.4">
      <c r="B24" s="21"/>
      <c r="C24" s="21"/>
      <c r="D24" s="21"/>
      <c r="E24" s="21"/>
    </row>
    <row r="25" spans="2:5" ht="18" x14ac:dyDescent="0.35">
      <c r="B25" s="320" t="s">
        <v>3610</v>
      </c>
      <c r="C25" s="321"/>
      <c r="D25" s="322"/>
      <c r="E25" s="21"/>
    </row>
    <row r="26" spans="2:5" ht="16" thickBot="1" x14ac:dyDescent="0.4">
      <c r="B26" s="324" t="s">
        <v>310</v>
      </c>
      <c r="C26" s="325" t="s">
        <v>299</v>
      </c>
      <c r="D26" s="326" t="s">
        <v>300</v>
      </c>
      <c r="E26" s="21"/>
    </row>
    <row r="27" spans="2:5" ht="16" thickBot="1" x14ac:dyDescent="0.4">
      <c r="B27" s="339" t="s">
        <v>311</v>
      </c>
      <c r="C27" s="340">
        <v>0.21490000000000001</v>
      </c>
      <c r="D27" s="341" t="s">
        <v>312</v>
      </c>
      <c r="E27" s="21"/>
    </row>
    <row r="28" spans="2:5" ht="15" thickBot="1" x14ac:dyDescent="0.4">
      <c r="B28" s="21"/>
      <c r="C28" s="21"/>
      <c r="D28" s="21"/>
      <c r="E28" s="21"/>
    </row>
    <row r="29" spans="2:5" ht="18" x14ac:dyDescent="0.35">
      <c r="B29" s="320" t="s">
        <v>3611</v>
      </c>
      <c r="C29" s="321"/>
      <c r="D29" s="322"/>
      <c r="E29" s="21"/>
    </row>
    <row r="30" spans="2:5" ht="16" thickBot="1" x14ac:dyDescent="0.4">
      <c r="B30" s="324" t="s">
        <v>310</v>
      </c>
      <c r="C30" s="325" t="s">
        <v>299</v>
      </c>
      <c r="D30" s="326" t="s">
        <v>300</v>
      </c>
      <c r="E30" s="21"/>
    </row>
    <row r="31" spans="2:5" ht="16" thickBot="1" x14ac:dyDescent="0.4">
      <c r="B31" s="339" t="s">
        <v>311</v>
      </c>
      <c r="C31" s="340">
        <v>0.26100000000000001</v>
      </c>
      <c r="D31" s="341" t="s">
        <v>312</v>
      </c>
      <c r="E31" s="21"/>
    </row>
    <row r="32" spans="2:5" ht="15" thickBot="1" x14ac:dyDescent="0.4">
      <c r="B32" s="21"/>
      <c r="C32" s="21"/>
      <c r="D32" s="21"/>
      <c r="E32" s="21"/>
    </row>
    <row r="33" spans="2:5" ht="18" x14ac:dyDescent="0.35">
      <c r="B33" s="320" t="s">
        <v>3612</v>
      </c>
      <c r="C33" s="321"/>
      <c r="D33" s="322"/>
      <c r="E33" s="21"/>
    </row>
    <row r="34" spans="2:5" ht="16" thickBot="1" x14ac:dyDescent="0.4">
      <c r="B34" s="324" t="s">
        <v>310</v>
      </c>
      <c r="C34" s="325" t="s">
        <v>299</v>
      </c>
      <c r="D34" s="326" t="s">
        <v>300</v>
      </c>
      <c r="E34" s="21"/>
    </row>
    <row r="35" spans="2:5" ht="16" thickBot="1" x14ac:dyDescent="0.4">
      <c r="B35" s="339" t="s">
        <v>311</v>
      </c>
      <c r="C35" s="340">
        <v>0.13500000000000001</v>
      </c>
      <c r="D35" s="341" t="s">
        <v>312</v>
      </c>
      <c r="E35" s="21"/>
    </row>
    <row r="36" spans="2:5" ht="16" thickBot="1" x14ac:dyDescent="0.4">
      <c r="B36" s="61"/>
      <c r="C36" s="342"/>
      <c r="D36" s="343"/>
      <c r="E36" s="21"/>
    </row>
    <row r="37" spans="2:5" ht="15.5" x14ac:dyDescent="0.35">
      <c r="B37" s="120" t="s">
        <v>314</v>
      </c>
      <c r="C37" s="344"/>
      <c r="D37" s="344"/>
      <c r="E37" s="345"/>
    </row>
    <row r="38" spans="2:5" ht="15.5" x14ac:dyDescent="0.35">
      <c r="B38" s="346" t="s">
        <v>3613</v>
      </c>
      <c r="C38" s="323"/>
      <c r="D38" s="323"/>
      <c r="E38" s="347"/>
    </row>
    <row r="39" spans="2:5" ht="16" thickBot="1" x14ac:dyDescent="0.4">
      <c r="B39" s="395" t="s">
        <v>3614</v>
      </c>
      <c r="C39" s="348"/>
      <c r="D39" s="348"/>
      <c r="E39" s="349"/>
    </row>
  </sheetData>
  <sheetProtection algorithmName="SHA-512" hashValue="gCyQMcaQTMk4A/bagbKhetYCGTre63wIMnP5EupCXQj8PyTKZkoPBwKZMGnhjrIx+mYR/PWsQU8ac68Y3AMedA==" saltValue="hqBCMrUr0HFDtaNhUmz1rQ==" spinCount="100000" sheet="1" objects="1" scenarios="1"/>
  <pageMargins left="0.7" right="0.7" top="0.75" bottom="0.75" header="0.3" footer="0.3"/>
  <pageSetup scale="72" orientation="portrait" r:id="rId1"/>
  <headerFooter>
    <oddFooter>&amp;L&amp;"Avenir LT Std 55 Roman,Regular"&amp;12FINAL June 1, 2022&amp;C&amp;"Avenir LT Std 55 Roman,Regular"&amp;12Page &amp;P of &amp;N&amp;R&amp;"Avenir LT Std 55 Roman,Regular"&amp;12&amp;A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1"/>
  </sheetPr>
  <dimension ref="A1:H20"/>
  <sheetViews>
    <sheetView showGridLines="0" showWhiteSpace="0" zoomScaleNormal="100" workbookViewId="0">
      <selection activeCell="B9" sqref="B9"/>
    </sheetView>
  </sheetViews>
  <sheetFormatPr defaultColWidth="9.1796875" defaultRowHeight="14.5" x14ac:dyDescent="0.35"/>
  <cols>
    <col min="1" max="1" width="4.26953125" customWidth="1"/>
    <col min="2" max="2" width="37.7265625" customWidth="1"/>
    <col min="3" max="3" width="16.453125" customWidth="1"/>
    <col min="4" max="4" width="19.54296875" customWidth="1"/>
    <col min="5" max="5" width="26.81640625" customWidth="1"/>
    <col min="6" max="6" width="50.1796875" customWidth="1"/>
    <col min="7" max="7" width="9.1796875" customWidth="1"/>
  </cols>
  <sheetData>
    <row r="1" spans="1:8" s="2" customFormat="1" ht="18.75" customHeight="1" x14ac:dyDescent="0.4">
      <c r="B1" s="11"/>
      <c r="C1" s="11"/>
      <c r="D1" s="361" t="s">
        <v>0</v>
      </c>
      <c r="E1" s="11"/>
      <c r="F1" s="11"/>
      <c r="G1" s="11"/>
      <c r="H1" s="11"/>
    </row>
    <row r="2" spans="1:8" s="2" customFormat="1" ht="15" customHeight="1" x14ac:dyDescent="0.4">
      <c r="B2" s="11"/>
      <c r="C2" s="11"/>
      <c r="D2" s="361"/>
      <c r="E2" s="11"/>
      <c r="F2" s="11"/>
      <c r="G2" s="11"/>
      <c r="H2" s="11"/>
    </row>
    <row r="3" spans="1:8" s="2" customFormat="1" ht="18.75" customHeight="1" x14ac:dyDescent="0.4">
      <c r="B3" s="11"/>
      <c r="C3" s="11"/>
      <c r="D3" s="361" t="s">
        <v>504</v>
      </c>
      <c r="E3" s="11"/>
      <c r="F3" s="11"/>
      <c r="G3" s="11"/>
      <c r="H3" s="11"/>
    </row>
    <row r="4" spans="1:8" s="2" customFormat="1" ht="18.75" customHeight="1" x14ac:dyDescent="0.4">
      <c r="B4" s="11"/>
      <c r="C4" s="11"/>
      <c r="D4" s="25" t="s">
        <v>276</v>
      </c>
      <c r="E4" s="11"/>
      <c r="F4" s="11"/>
      <c r="G4" s="11"/>
      <c r="H4" s="11"/>
    </row>
    <row r="5" spans="1:8" s="2" customFormat="1" ht="18.75" customHeight="1" x14ac:dyDescent="0.4">
      <c r="B5" s="11"/>
      <c r="C5" s="11"/>
      <c r="D5" s="25" t="s">
        <v>277</v>
      </c>
      <c r="E5" s="11"/>
      <c r="F5" s="11"/>
      <c r="G5" s="11"/>
      <c r="H5" s="11"/>
    </row>
    <row r="6" spans="1:8" s="2" customFormat="1" ht="15" customHeight="1" x14ac:dyDescent="0.4">
      <c r="B6" s="11"/>
      <c r="C6" s="11"/>
      <c r="D6" s="361"/>
      <c r="E6" s="11"/>
      <c r="F6" s="11"/>
      <c r="G6" s="11"/>
      <c r="H6" s="11"/>
    </row>
    <row r="7" spans="1:8" s="2" customFormat="1" ht="15" customHeight="1" x14ac:dyDescent="0.4">
      <c r="B7" s="11"/>
      <c r="C7" s="11"/>
      <c r="D7" s="361" t="s">
        <v>1</v>
      </c>
      <c r="E7" s="11"/>
      <c r="F7" s="11"/>
      <c r="G7" s="11"/>
      <c r="H7" s="11"/>
    </row>
    <row r="8" spans="1:8" s="2" customFormat="1" ht="18.75" customHeight="1" thickBot="1" x14ac:dyDescent="0.4"/>
    <row r="9" spans="1:8" ht="15.5" x14ac:dyDescent="0.35">
      <c r="A9" s="21"/>
      <c r="B9" s="350" t="s">
        <v>315</v>
      </c>
      <c r="C9" s="351"/>
      <c r="D9" s="352"/>
      <c r="E9" s="323"/>
    </row>
    <row r="10" spans="1:8" ht="16" thickBot="1" x14ac:dyDescent="0.4">
      <c r="A10" s="21"/>
      <c r="B10" s="353" t="s">
        <v>68</v>
      </c>
      <c r="C10" s="354" t="s">
        <v>316</v>
      </c>
      <c r="D10" s="355" t="s">
        <v>300</v>
      </c>
      <c r="E10" s="323"/>
    </row>
    <row r="11" spans="1:8" ht="15.5" x14ac:dyDescent="0.35">
      <c r="A11" s="21"/>
      <c r="B11" s="327" t="s">
        <v>317</v>
      </c>
      <c r="C11" s="356">
        <v>6.1459999999999999</v>
      </c>
      <c r="D11" s="329" t="s">
        <v>318</v>
      </c>
      <c r="E11" s="323"/>
    </row>
    <row r="12" spans="1:8" ht="15.5" x14ac:dyDescent="0.35">
      <c r="A12" s="21"/>
      <c r="B12" s="330" t="s">
        <v>66</v>
      </c>
      <c r="C12" s="357">
        <v>6.9820000000000002</v>
      </c>
      <c r="D12" s="332" t="s">
        <v>318</v>
      </c>
      <c r="E12" s="323"/>
    </row>
    <row r="13" spans="1:8" ht="15.5" x14ac:dyDescent="0.35">
      <c r="A13" s="21"/>
      <c r="B13" s="330" t="s">
        <v>302</v>
      </c>
      <c r="C13" s="358">
        <f>20.8/453.592</f>
        <v>4.5856187939822574E-2</v>
      </c>
      <c r="D13" s="332" t="s">
        <v>319</v>
      </c>
      <c r="E13" s="323"/>
    </row>
    <row r="14" spans="1:8" ht="15.5" x14ac:dyDescent="0.35">
      <c r="A14" s="21"/>
      <c r="B14" s="330" t="s">
        <v>304</v>
      </c>
      <c r="C14" s="357">
        <v>3.5739999999999998</v>
      </c>
      <c r="D14" s="332" t="s">
        <v>318</v>
      </c>
      <c r="E14" s="333"/>
    </row>
    <row r="15" spans="1:8" ht="15.5" x14ac:dyDescent="0.35">
      <c r="A15" s="21"/>
      <c r="B15" s="330" t="s">
        <v>320</v>
      </c>
      <c r="C15" s="357">
        <v>4.2389999999999999</v>
      </c>
      <c r="D15" s="332" t="s">
        <v>318</v>
      </c>
      <c r="E15" s="323"/>
    </row>
    <row r="16" spans="1:8" ht="16" thickBot="1" x14ac:dyDescent="0.4">
      <c r="A16" s="21"/>
      <c r="B16" s="334" t="s">
        <v>306</v>
      </c>
      <c r="C16" s="359">
        <v>4.2329999999999997</v>
      </c>
      <c r="D16" s="336" t="s">
        <v>318</v>
      </c>
      <c r="E16" s="323"/>
    </row>
    <row r="17" spans="1:5" ht="16" thickBot="1" x14ac:dyDescent="0.4">
      <c r="A17" s="21"/>
      <c r="B17" s="61"/>
      <c r="C17" s="342"/>
      <c r="D17" s="343"/>
      <c r="E17" s="21"/>
    </row>
    <row r="18" spans="1:5" ht="15.5" x14ac:dyDescent="0.35">
      <c r="A18" s="21"/>
      <c r="B18" s="120" t="s">
        <v>314</v>
      </c>
      <c r="C18" s="344"/>
      <c r="D18" s="344"/>
      <c r="E18" s="345"/>
    </row>
    <row r="19" spans="1:5" ht="15.5" x14ac:dyDescent="0.35">
      <c r="A19" s="2"/>
      <c r="B19" s="346" t="s">
        <v>321</v>
      </c>
      <c r="C19" s="10"/>
      <c r="D19" s="10"/>
      <c r="E19" s="360"/>
    </row>
    <row r="20" spans="1:5" ht="16" thickBot="1" x14ac:dyDescent="0.4">
      <c r="A20" s="2"/>
      <c r="B20" s="63" t="s">
        <v>322</v>
      </c>
      <c r="C20" s="348"/>
      <c r="D20" s="348"/>
      <c r="E20" s="349"/>
    </row>
  </sheetData>
  <sheetProtection algorithmName="SHA-512" hashValue="5v0rGmIa/Ln6NFI9M3cpxI0yfjf2Ub87rAlTqp692ssFggefH86WWJOL1p165qltXlFiVh1dG47/8/NI84VKCA==" saltValue="kogT0+KC96uYnmHvkEz+hQ==" spinCount="100000" sheet="1" objects="1" scenarios="1"/>
  <hyperlinks>
    <hyperlink ref="B20" r:id="rId1" tooltip="Link to California GREET 3.0 Model" xr:uid="{00000000-0004-0000-0F00-000000000000}"/>
  </hyperlinks>
  <pageMargins left="0.7" right="0.7" top="0.75" bottom="0.75" header="0.3" footer="0.3"/>
  <pageSetup scale="56" orientation="portrait" r:id="rId2"/>
  <headerFooter>
    <oddFooter>&amp;L&amp;"Avenir LT Std 55 Roman,Regular"&amp;12FINAL June 1, 2022&amp;C&amp;"Avenir LT Std 55 Roman,Regular"&amp;12Page &amp;P of &amp;N&amp;R&amp;"Avenir LT Std 55 Roman,Regular"&amp;12&amp;A</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1"/>
  </sheetPr>
  <dimension ref="B1:M102"/>
  <sheetViews>
    <sheetView showGridLines="0" showWhiteSpace="0" topLeftCell="A65" zoomScaleNormal="100" zoomScaleSheetLayoutView="100" workbookViewId="0">
      <selection activeCell="G18" sqref="G18"/>
    </sheetView>
  </sheetViews>
  <sheetFormatPr defaultColWidth="9.1796875" defaultRowHeight="14.5" x14ac:dyDescent="0.35"/>
  <cols>
    <col min="1" max="1" width="4.54296875" customWidth="1"/>
    <col min="2" max="2" width="8.54296875" style="430" customWidth="1"/>
    <col min="3" max="3" width="18.1796875" customWidth="1"/>
    <col min="4" max="4" width="24.453125" customWidth="1"/>
    <col min="5" max="5" width="19.54296875" customWidth="1"/>
    <col min="6" max="10" width="26.81640625" customWidth="1"/>
    <col min="11" max="11" width="4" customWidth="1"/>
    <col min="12" max="12" width="50.1796875" customWidth="1"/>
    <col min="13" max="13" width="9.1796875" customWidth="1"/>
  </cols>
  <sheetData>
    <row r="1" spans="2:13" s="2" customFormat="1" ht="18.75" customHeight="1" x14ac:dyDescent="0.4">
      <c r="B1" s="422"/>
      <c r="C1" s="11"/>
      <c r="D1" s="11"/>
      <c r="E1" s="361" t="s">
        <v>0</v>
      </c>
      <c r="F1" s="11"/>
      <c r="G1" s="11"/>
      <c r="H1" s="11"/>
      <c r="I1" s="11"/>
      <c r="J1" s="11"/>
      <c r="K1" s="11"/>
      <c r="L1" s="11"/>
      <c r="M1" s="11"/>
    </row>
    <row r="2" spans="2:13" s="2" customFormat="1" ht="15" customHeight="1" x14ac:dyDescent="0.4">
      <c r="B2" s="422"/>
      <c r="C2" s="11"/>
      <c r="D2" s="11"/>
      <c r="E2" s="361"/>
      <c r="F2" s="11"/>
      <c r="G2" s="11"/>
      <c r="H2" s="11"/>
      <c r="I2" s="11"/>
      <c r="J2" s="11"/>
      <c r="K2" s="11"/>
      <c r="L2" s="11"/>
      <c r="M2" s="11"/>
    </row>
    <row r="3" spans="2:13" s="2" customFormat="1" ht="18.75" customHeight="1" x14ac:dyDescent="0.4">
      <c r="B3" s="422"/>
      <c r="C3" s="11"/>
      <c r="D3" s="11"/>
      <c r="E3" s="361" t="s">
        <v>504</v>
      </c>
      <c r="F3" s="11"/>
      <c r="G3" s="11"/>
      <c r="H3" s="11"/>
      <c r="I3" s="11"/>
      <c r="J3" s="11"/>
      <c r="K3" s="11"/>
      <c r="L3" s="11"/>
      <c r="M3" s="11"/>
    </row>
    <row r="4" spans="2:13" s="2" customFormat="1" ht="18.75" customHeight="1" x14ac:dyDescent="0.4">
      <c r="B4" s="422"/>
      <c r="C4" s="11"/>
      <c r="D4" s="11"/>
      <c r="E4" s="25" t="s">
        <v>276</v>
      </c>
      <c r="F4" s="11"/>
      <c r="G4" s="11"/>
      <c r="H4" s="11"/>
      <c r="I4" s="11"/>
      <c r="J4" s="11"/>
      <c r="K4" s="11"/>
      <c r="L4" s="11"/>
      <c r="M4" s="11"/>
    </row>
    <row r="5" spans="2:13" s="2" customFormat="1" ht="18.75" customHeight="1" x14ac:dyDescent="0.4">
      <c r="B5" s="422"/>
      <c r="C5" s="11"/>
      <c r="D5" s="11"/>
      <c r="E5" s="25" t="s">
        <v>277</v>
      </c>
      <c r="F5" s="11"/>
      <c r="G5" s="11"/>
      <c r="H5" s="11"/>
      <c r="I5" s="11"/>
      <c r="J5" s="11"/>
      <c r="K5" s="11"/>
      <c r="L5" s="11"/>
      <c r="M5" s="11"/>
    </row>
    <row r="6" spans="2:13" s="2" customFormat="1" ht="15" customHeight="1" x14ac:dyDescent="0.4">
      <c r="B6" s="422"/>
      <c r="C6" s="11"/>
      <c r="D6" s="11"/>
      <c r="E6" s="361"/>
      <c r="F6" s="11"/>
      <c r="G6" s="11"/>
      <c r="H6" s="11"/>
      <c r="I6" s="11"/>
      <c r="J6" s="11"/>
      <c r="K6" s="11"/>
      <c r="L6" s="11"/>
      <c r="M6" s="11"/>
    </row>
    <row r="7" spans="2:13" s="2" customFormat="1" ht="15" customHeight="1" x14ac:dyDescent="0.4">
      <c r="B7" s="422"/>
      <c r="C7" s="11"/>
      <c r="D7" s="11"/>
      <c r="E7" s="361" t="s">
        <v>1</v>
      </c>
      <c r="F7" s="11"/>
      <c r="G7" s="11"/>
      <c r="H7" s="11"/>
      <c r="I7" s="11"/>
      <c r="J7" s="11"/>
      <c r="K7" s="11"/>
      <c r="L7" s="11"/>
      <c r="M7" s="11"/>
    </row>
    <row r="8" spans="2:13" s="2" customFormat="1" ht="18.75" customHeight="1" x14ac:dyDescent="0.35">
      <c r="B8" s="422"/>
    </row>
    <row r="9" spans="2:13" s="21" customFormat="1" ht="16" thickBot="1" x14ac:dyDescent="0.35">
      <c r="B9" s="423"/>
      <c r="C9" s="318" t="s">
        <v>377</v>
      </c>
      <c r="D9" s="318"/>
      <c r="E9" s="318"/>
      <c r="F9" s="323"/>
      <c r="G9" s="323"/>
      <c r="H9" s="323"/>
      <c r="I9" s="323"/>
      <c r="J9" s="323"/>
    </row>
    <row r="10" spans="2:13" ht="31.5" thickBot="1" x14ac:dyDescent="0.4">
      <c r="B10" s="424" t="s">
        <v>422</v>
      </c>
      <c r="C10" s="384" t="s">
        <v>287</v>
      </c>
      <c r="D10" s="384" t="s">
        <v>286</v>
      </c>
      <c r="E10" s="397" t="s">
        <v>353</v>
      </c>
      <c r="F10" s="397" t="s">
        <v>354</v>
      </c>
      <c r="G10" s="397" t="s">
        <v>355</v>
      </c>
      <c r="H10" s="397" t="s">
        <v>356</v>
      </c>
      <c r="I10" s="397" t="s">
        <v>357</v>
      </c>
      <c r="J10" s="397" t="s">
        <v>358</v>
      </c>
    </row>
    <row r="11" spans="2:13" ht="15.5" x14ac:dyDescent="0.35">
      <c r="B11" s="425">
        <v>111</v>
      </c>
      <c r="C11" s="411" t="s">
        <v>337</v>
      </c>
      <c r="D11" s="382" t="s">
        <v>338</v>
      </c>
      <c r="E11" s="383">
        <v>6.51</v>
      </c>
      <c r="F11" s="383">
        <v>9.7999999999999997E-5</v>
      </c>
      <c r="G11" s="383">
        <v>1.68</v>
      </c>
      <c r="H11" s="383">
        <v>2.1000000000000001E-4</v>
      </c>
      <c r="I11" s="383">
        <v>0.54700000000000004</v>
      </c>
      <c r="J11" s="377">
        <v>4.2400000000000001E-5</v>
      </c>
    </row>
    <row r="12" spans="2:13" ht="15.5" x14ac:dyDescent="0.35">
      <c r="B12" s="426">
        <v>112</v>
      </c>
      <c r="C12" s="412" t="s">
        <v>337</v>
      </c>
      <c r="D12" s="331" t="s">
        <v>339</v>
      </c>
      <c r="E12" s="380">
        <v>6.42</v>
      </c>
      <c r="F12" s="380">
        <v>9.7E-5</v>
      </c>
      <c r="G12" s="380">
        <v>1.64</v>
      </c>
      <c r="H12" s="380">
        <v>2.1000000000000001E-4</v>
      </c>
      <c r="I12" s="380">
        <v>0.54700000000000004</v>
      </c>
      <c r="J12" s="378">
        <v>4.2400000000000001E-5</v>
      </c>
    </row>
    <row r="13" spans="2:13" ht="15.5" x14ac:dyDescent="0.35">
      <c r="B13" s="426">
        <v>121</v>
      </c>
      <c r="C13" s="413" t="s">
        <v>378</v>
      </c>
      <c r="D13" s="331" t="s">
        <v>338</v>
      </c>
      <c r="E13" s="380">
        <v>12.09</v>
      </c>
      <c r="F13" s="380">
        <v>2.7999999999999998E-4</v>
      </c>
      <c r="G13" s="380">
        <v>1.31</v>
      </c>
      <c r="H13" s="380">
        <v>6.0999999999999999E-5</v>
      </c>
      <c r="I13" s="380">
        <v>0.60499999999999998</v>
      </c>
      <c r="J13" s="378">
        <v>4.3999999999999999E-5</v>
      </c>
    </row>
    <row r="14" spans="2:13" ht="15.5" x14ac:dyDescent="0.35">
      <c r="B14" s="426">
        <v>122</v>
      </c>
      <c r="C14" s="412" t="s">
        <v>378</v>
      </c>
      <c r="D14" s="331" t="s">
        <v>339</v>
      </c>
      <c r="E14" s="380">
        <v>8.14</v>
      </c>
      <c r="F14" s="380">
        <v>1.9000000000000001E-4</v>
      </c>
      <c r="G14" s="380">
        <v>0.9</v>
      </c>
      <c r="H14" s="380">
        <v>4.1999999999999998E-5</v>
      </c>
      <c r="I14" s="380">
        <v>0.497</v>
      </c>
      <c r="J14" s="378">
        <v>3.6100000000000003E-5</v>
      </c>
    </row>
    <row r="15" spans="2:13" ht="15.5" x14ac:dyDescent="0.35">
      <c r="B15" s="434">
        <v>131</v>
      </c>
      <c r="C15" s="413" t="s">
        <v>340</v>
      </c>
      <c r="D15" s="331" t="s">
        <v>341</v>
      </c>
      <c r="E15" s="380">
        <v>13.02</v>
      </c>
      <c r="F15" s="380">
        <v>2.9999999999999997E-4</v>
      </c>
      <c r="G15" s="380">
        <v>1.2</v>
      </c>
      <c r="H15" s="380">
        <v>5.5999999999999999E-5</v>
      </c>
      <c r="I15" s="380">
        <v>0.55400000000000005</v>
      </c>
      <c r="J15" s="378">
        <v>4.0299999999999997E-5</v>
      </c>
    </row>
    <row r="16" spans="2:13" ht="15.5" x14ac:dyDescent="0.35">
      <c r="B16" s="434">
        <v>132</v>
      </c>
      <c r="C16" s="414" t="s">
        <v>340</v>
      </c>
      <c r="D16" s="331" t="s">
        <v>342</v>
      </c>
      <c r="E16" s="380">
        <v>11.16</v>
      </c>
      <c r="F16" s="380">
        <v>2.5999999999999998E-4</v>
      </c>
      <c r="G16" s="380">
        <v>0.91</v>
      </c>
      <c r="H16" s="380">
        <v>4.1999999999999998E-5</v>
      </c>
      <c r="I16" s="380">
        <v>0.39600000000000002</v>
      </c>
      <c r="J16" s="378">
        <v>2.8799999999999999E-5</v>
      </c>
    </row>
    <row r="17" spans="2:10" ht="15.5" x14ac:dyDescent="0.35">
      <c r="B17" s="426">
        <v>133</v>
      </c>
      <c r="C17" s="414" t="s">
        <v>340</v>
      </c>
      <c r="D17" s="331" t="s">
        <v>343</v>
      </c>
      <c r="E17" s="380">
        <v>10.23</v>
      </c>
      <c r="F17" s="380">
        <v>2.4000000000000001E-4</v>
      </c>
      <c r="G17" s="380">
        <v>0.8</v>
      </c>
      <c r="H17" s="380">
        <v>3.6999999999999998E-5</v>
      </c>
      <c r="I17" s="380">
        <v>0.39600000000000002</v>
      </c>
      <c r="J17" s="378">
        <v>2.8799999999999999E-5</v>
      </c>
    </row>
    <row r="18" spans="2:10" ht="16" thickBot="1" x14ac:dyDescent="0.4">
      <c r="B18" s="426">
        <v>134</v>
      </c>
      <c r="C18" s="415" t="s">
        <v>340</v>
      </c>
      <c r="D18" s="433" t="s">
        <v>339</v>
      </c>
      <c r="E18" s="381">
        <v>7.6</v>
      </c>
      <c r="F18" s="381">
        <v>1.8000000000000001E-4</v>
      </c>
      <c r="G18" s="381">
        <v>0.62</v>
      </c>
      <c r="H18" s="381">
        <v>2.9E-5</v>
      </c>
      <c r="I18" s="381">
        <v>0.27400000000000002</v>
      </c>
      <c r="J18" s="379">
        <v>1.9899999999999999E-5</v>
      </c>
    </row>
    <row r="19" spans="2:10" x14ac:dyDescent="0.35">
      <c r="B19" s="423"/>
      <c r="C19" s="21"/>
      <c r="D19" s="21"/>
      <c r="E19" s="21"/>
      <c r="F19" s="21"/>
      <c r="G19" s="21"/>
      <c r="H19" s="21"/>
      <c r="I19" s="21"/>
      <c r="J19" s="21"/>
    </row>
    <row r="20" spans="2:10" ht="16" thickBot="1" x14ac:dyDescent="0.4">
      <c r="B20" s="423"/>
      <c r="C20" s="318" t="s">
        <v>376</v>
      </c>
      <c r="D20" s="21"/>
      <c r="E20" s="21"/>
      <c r="F20" s="21"/>
      <c r="G20" s="21"/>
      <c r="H20" s="21"/>
      <c r="I20" s="21"/>
      <c r="J20" s="21"/>
    </row>
    <row r="21" spans="2:10" ht="31.5" thickBot="1" x14ac:dyDescent="0.4">
      <c r="B21" s="424" t="s">
        <v>422</v>
      </c>
      <c r="C21" s="384" t="s">
        <v>287</v>
      </c>
      <c r="D21" s="384" t="s">
        <v>344</v>
      </c>
      <c r="E21" s="397" t="s">
        <v>353</v>
      </c>
      <c r="F21" s="397" t="s">
        <v>354</v>
      </c>
      <c r="G21" s="397" t="s">
        <v>355</v>
      </c>
      <c r="H21" s="397" t="s">
        <v>356</v>
      </c>
      <c r="I21" s="397" t="s">
        <v>357</v>
      </c>
      <c r="J21" s="397" t="s">
        <v>358</v>
      </c>
    </row>
    <row r="22" spans="2:10" ht="15.5" x14ac:dyDescent="0.35">
      <c r="B22" s="425">
        <v>211</v>
      </c>
      <c r="C22" s="391" t="s">
        <v>337</v>
      </c>
      <c r="D22" s="386">
        <v>1</v>
      </c>
      <c r="E22" s="383">
        <v>5.26</v>
      </c>
      <c r="F22" s="383">
        <v>9.7999999999999997E-5</v>
      </c>
      <c r="G22" s="383">
        <v>1.32</v>
      </c>
      <c r="H22" s="383">
        <v>1.7000000000000001E-4</v>
      </c>
      <c r="I22" s="383">
        <v>0.48</v>
      </c>
      <c r="J22" s="383">
        <v>3.7200000000000003E-5</v>
      </c>
    </row>
    <row r="23" spans="2:10" ht="15.5" x14ac:dyDescent="0.35">
      <c r="B23" s="426">
        <v>212</v>
      </c>
      <c r="C23" s="390" t="s">
        <v>337</v>
      </c>
      <c r="D23" s="387">
        <v>2</v>
      </c>
      <c r="E23" s="380">
        <v>4.63</v>
      </c>
      <c r="F23" s="380">
        <v>9.2999999999999997E-5</v>
      </c>
      <c r="G23" s="380">
        <v>0.22</v>
      </c>
      <c r="H23" s="380">
        <v>5.0000000000000002E-5</v>
      </c>
      <c r="I23" s="380">
        <v>0.28000000000000003</v>
      </c>
      <c r="J23" s="380">
        <v>2.1800000000000001E-5</v>
      </c>
    </row>
    <row r="24" spans="2:10" ht="15.5" x14ac:dyDescent="0.35">
      <c r="B24" s="426">
        <v>214</v>
      </c>
      <c r="C24" s="390" t="s">
        <v>337</v>
      </c>
      <c r="D24" s="387" t="s">
        <v>345</v>
      </c>
      <c r="E24" s="380">
        <v>4.55</v>
      </c>
      <c r="F24" s="380">
        <v>9.5000000000000005E-5</v>
      </c>
      <c r="G24" s="380">
        <v>0.09</v>
      </c>
      <c r="H24" s="380">
        <v>3.6000000000000001E-5</v>
      </c>
      <c r="I24" s="380">
        <v>0.128</v>
      </c>
      <c r="J24" s="380">
        <v>9.5999999999999996E-6</v>
      </c>
    </row>
    <row r="25" spans="2:10" ht="15.5" x14ac:dyDescent="0.35">
      <c r="B25" s="426">
        <v>216</v>
      </c>
      <c r="C25" s="385" t="s">
        <v>337</v>
      </c>
      <c r="D25" s="387" t="s">
        <v>346</v>
      </c>
      <c r="E25" s="380">
        <v>2.75</v>
      </c>
      <c r="F25" s="380">
        <v>5.7000000000000003E-5</v>
      </c>
      <c r="G25" s="380">
        <v>0.09</v>
      </c>
      <c r="H25" s="380">
        <v>3.6000000000000001E-5</v>
      </c>
      <c r="I25" s="380">
        <v>8.9999999999999993E-3</v>
      </c>
      <c r="J25" s="380">
        <v>9.9999999999999995E-7</v>
      </c>
    </row>
    <row r="26" spans="2:10" ht="15.5" x14ac:dyDescent="0.35">
      <c r="B26" s="426">
        <v>221</v>
      </c>
      <c r="C26" s="389" t="s">
        <v>347</v>
      </c>
      <c r="D26" s="387">
        <v>1</v>
      </c>
      <c r="E26" s="380">
        <v>6.54</v>
      </c>
      <c r="F26" s="380">
        <v>1.4999999999999999E-4</v>
      </c>
      <c r="G26" s="380">
        <v>0.9</v>
      </c>
      <c r="H26" s="380">
        <v>4.1999999999999998E-5</v>
      </c>
      <c r="I26" s="380">
        <v>0.55200000000000005</v>
      </c>
      <c r="J26" s="380">
        <v>4.0200000000000001E-5</v>
      </c>
    </row>
    <row r="27" spans="2:10" ht="15.5" x14ac:dyDescent="0.35">
      <c r="B27" s="426">
        <v>222</v>
      </c>
      <c r="C27" s="390" t="s">
        <v>347</v>
      </c>
      <c r="D27" s="387">
        <v>2</v>
      </c>
      <c r="E27" s="380">
        <v>4.75</v>
      </c>
      <c r="F27" s="380">
        <v>7.1000000000000005E-5</v>
      </c>
      <c r="G27" s="380">
        <v>0.17</v>
      </c>
      <c r="H27" s="380">
        <v>2.5000000000000001E-5</v>
      </c>
      <c r="I27" s="380">
        <v>0.192</v>
      </c>
      <c r="J27" s="380">
        <v>1.4100000000000001E-5</v>
      </c>
    </row>
    <row r="28" spans="2:10" ht="15.5" x14ac:dyDescent="0.35">
      <c r="B28" s="426">
        <v>223</v>
      </c>
      <c r="C28" s="390" t="s">
        <v>347</v>
      </c>
      <c r="D28" s="387">
        <v>3</v>
      </c>
      <c r="E28" s="380">
        <v>2.74</v>
      </c>
      <c r="F28" s="380">
        <v>3.6000000000000001E-5</v>
      </c>
      <c r="G28" s="380">
        <v>0.09</v>
      </c>
      <c r="H28" s="380">
        <v>2.3E-5</v>
      </c>
      <c r="I28" s="380">
        <v>0.192</v>
      </c>
      <c r="J28" s="380">
        <v>1.4100000000000001E-5</v>
      </c>
    </row>
    <row r="29" spans="2:10" ht="15.5" x14ac:dyDescent="0.35">
      <c r="B29" s="426">
        <v>224</v>
      </c>
      <c r="C29" s="390" t="s">
        <v>347</v>
      </c>
      <c r="D29" s="387" t="s">
        <v>345</v>
      </c>
      <c r="E29" s="380">
        <v>2.74</v>
      </c>
      <c r="F29" s="380">
        <v>3.6000000000000001E-5</v>
      </c>
      <c r="G29" s="380">
        <v>0.09</v>
      </c>
      <c r="H29" s="380">
        <v>2.3E-5</v>
      </c>
      <c r="I29" s="380">
        <v>0.112</v>
      </c>
      <c r="J29" s="380">
        <v>7.9999999999999996E-6</v>
      </c>
    </row>
    <row r="30" spans="2:10" ht="15.5" x14ac:dyDescent="0.35">
      <c r="B30" s="426">
        <v>226</v>
      </c>
      <c r="C30" s="385" t="s">
        <v>347</v>
      </c>
      <c r="D30" s="387" t="s">
        <v>346</v>
      </c>
      <c r="E30" s="380">
        <v>2.74</v>
      </c>
      <c r="F30" s="380">
        <v>3.6000000000000001E-5</v>
      </c>
      <c r="G30" s="380">
        <v>0.09</v>
      </c>
      <c r="H30" s="380">
        <v>2.3E-5</v>
      </c>
      <c r="I30" s="380">
        <v>8.9999999999999993E-3</v>
      </c>
      <c r="J30" s="380">
        <v>8.9999999999999996E-7</v>
      </c>
    </row>
    <row r="31" spans="2:10" ht="15.5" x14ac:dyDescent="0.35">
      <c r="B31" s="426">
        <v>231</v>
      </c>
      <c r="C31" s="389" t="s">
        <v>348</v>
      </c>
      <c r="D31" s="387">
        <v>1</v>
      </c>
      <c r="E31" s="380">
        <v>6.54</v>
      </c>
      <c r="F31" s="380">
        <v>1.4999999999999999E-4</v>
      </c>
      <c r="G31" s="380">
        <v>0.9</v>
      </c>
      <c r="H31" s="380">
        <v>4.1999999999999998E-5</v>
      </c>
      <c r="I31" s="380">
        <v>0.55200000000000005</v>
      </c>
      <c r="J31" s="380">
        <v>4.0200000000000001E-5</v>
      </c>
    </row>
    <row r="32" spans="2:10" ht="15.5" x14ac:dyDescent="0.35">
      <c r="B32" s="426">
        <v>232</v>
      </c>
      <c r="C32" s="390" t="s">
        <v>348</v>
      </c>
      <c r="D32" s="387">
        <v>2</v>
      </c>
      <c r="E32" s="380">
        <v>4.75</v>
      </c>
      <c r="F32" s="380">
        <v>7.1000000000000005E-5</v>
      </c>
      <c r="G32" s="380">
        <v>0.17</v>
      </c>
      <c r="H32" s="380">
        <v>2.5000000000000001E-5</v>
      </c>
      <c r="I32" s="380">
        <v>0.192</v>
      </c>
      <c r="J32" s="380">
        <v>1.4100000000000001E-5</v>
      </c>
    </row>
    <row r="33" spans="2:10" ht="15.5" x14ac:dyDescent="0.35">
      <c r="B33" s="426">
        <v>233</v>
      </c>
      <c r="C33" s="390" t="s">
        <v>348</v>
      </c>
      <c r="D33" s="387">
        <v>3</v>
      </c>
      <c r="E33" s="380">
        <v>2.74</v>
      </c>
      <c r="F33" s="380">
        <v>3.6000000000000001E-5</v>
      </c>
      <c r="G33" s="380">
        <v>0.09</v>
      </c>
      <c r="H33" s="380">
        <v>2.3E-5</v>
      </c>
      <c r="I33" s="380">
        <v>0.112</v>
      </c>
      <c r="J33" s="380">
        <v>7.9999999999999996E-6</v>
      </c>
    </row>
    <row r="34" spans="2:10" ht="15.5" x14ac:dyDescent="0.35">
      <c r="B34" s="426">
        <v>234</v>
      </c>
      <c r="C34" s="390" t="s">
        <v>348</v>
      </c>
      <c r="D34" s="387" t="s">
        <v>360</v>
      </c>
      <c r="E34" s="380">
        <v>2.74</v>
      </c>
      <c r="F34" s="380">
        <v>3.6000000000000001E-5</v>
      </c>
      <c r="G34" s="380">
        <v>0.09</v>
      </c>
      <c r="H34" s="380">
        <v>3.0000000000000001E-5</v>
      </c>
      <c r="I34" s="380">
        <v>8.9999999999999993E-3</v>
      </c>
      <c r="J34" s="380">
        <v>8.9999999999999996E-7</v>
      </c>
    </row>
    <row r="35" spans="2:10" ht="15.5" x14ac:dyDescent="0.35">
      <c r="B35" s="434">
        <v>235</v>
      </c>
      <c r="C35" s="390" t="s">
        <v>348</v>
      </c>
      <c r="D35" s="387" t="s">
        <v>349</v>
      </c>
      <c r="E35" s="380">
        <v>2.15</v>
      </c>
      <c r="F35" s="380">
        <v>2.6999999999999999E-5</v>
      </c>
      <c r="G35" s="380">
        <v>0.08</v>
      </c>
      <c r="H35" s="380">
        <v>2.0999999999999999E-5</v>
      </c>
      <c r="I35" s="380">
        <v>8.9999999999999993E-3</v>
      </c>
      <c r="J35" s="380">
        <v>8.9999999999999996E-7</v>
      </c>
    </row>
    <row r="36" spans="2:10" ht="15.5" x14ac:dyDescent="0.35">
      <c r="B36" s="426">
        <v>236</v>
      </c>
      <c r="C36" s="385" t="s">
        <v>348</v>
      </c>
      <c r="D36" s="387" t="s">
        <v>346</v>
      </c>
      <c r="E36" s="380">
        <v>0.26</v>
      </c>
      <c r="F36" s="380">
        <v>3.4999999999999999E-6</v>
      </c>
      <c r="G36" s="380">
        <v>0.05</v>
      </c>
      <c r="H36" s="380">
        <v>1.5E-5</v>
      </c>
      <c r="I36" s="380">
        <v>8.9999999999999993E-3</v>
      </c>
      <c r="J36" s="380">
        <v>8.9999999999999996E-7</v>
      </c>
    </row>
    <row r="37" spans="2:10" ht="15.5" x14ac:dyDescent="0.35">
      <c r="B37" s="426">
        <v>241</v>
      </c>
      <c r="C37" s="389" t="s">
        <v>350</v>
      </c>
      <c r="D37" s="387">
        <v>1</v>
      </c>
      <c r="E37" s="380">
        <v>6.54</v>
      </c>
      <c r="F37" s="380">
        <v>1.4999999999999999E-4</v>
      </c>
      <c r="G37" s="380">
        <v>0.62</v>
      </c>
      <c r="H37" s="380">
        <v>2.9E-5</v>
      </c>
      <c r="I37" s="380">
        <v>0.30399999999999999</v>
      </c>
      <c r="J37" s="380">
        <v>2.2099999999999998E-5</v>
      </c>
    </row>
    <row r="38" spans="2:10" ht="15.5" x14ac:dyDescent="0.35">
      <c r="B38" s="426">
        <v>242</v>
      </c>
      <c r="C38" s="390" t="s">
        <v>350</v>
      </c>
      <c r="D38" s="387">
        <v>2</v>
      </c>
      <c r="E38" s="380">
        <v>4.1500000000000004</v>
      </c>
      <c r="F38" s="380">
        <v>6.0000000000000002E-5</v>
      </c>
      <c r="G38" s="380">
        <v>0.15</v>
      </c>
      <c r="H38" s="380">
        <v>2.3E-5</v>
      </c>
      <c r="I38" s="380">
        <v>0.128</v>
      </c>
      <c r="J38" s="380">
        <v>9.3999999999999998E-6</v>
      </c>
    </row>
    <row r="39" spans="2:10" ht="15.5" x14ac:dyDescent="0.35">
      <c r="B39" s="426">
        <v>243</v>
      </c>
      <c r="C39" s="390" t="s">
        <v>350</v>
      </c>
      <c r="D39" s="387">
        <v>3</v>
      </c>
      <c r="E39" s="380">
        <v>2.3199999999999998</v>
      </c>
      <c r="F39" s="380">
        <v>3.0000000000000001E-5</v>
      </c>
      <c r="G39" s="380">
        <v>0.09</v>
      </c>
      <c r="H39" s="380">
        <v>3.0000000000000001E-5</v>
      </c>
      <c r="I39" s="380">
        <v>0.112</v>
      </c>
      <c r="J39" s="380">
        <v>7.9999999999999996E-6</v>
      </c>
    </row>
    <row r="40" spans="2:10" ht="15.5" x14ac:dyDescent="0.35">
      <c r="B40" s="426">
        <v>244</v>
      </c>
      <c r="C40" s="390" t="s">
        <v>350</v>
      </c>
      <c r="D40" s="387" t="s">
        <v>360</v>
      </c>
      <c r="E40" s="380">
        <v>2.3199999999999998</v>
      </c>
      <c r="F40" s="380">
        <v>3.0000000000000001E-5</v>
      </c>
      <c r="G40" s="380">
        <v>0.09</v>
      </c>
      <c r="H40" s="380">
        <v>3.0000000000000001E-5</v>
      </c>
      <c r="I40" s="380">
        <v>8.9999999999999993E-3</v>
      </c>
      <c r="J40" s="380">
        <v>3.9999999999999998E-7</v>
      </c>
    </row>
    <row r="41" spans="2:10" ht="15.5" x14ac:dyDescent="0.35">
      <c r="B41" s="426">
        <v>245</v>
      </c>
      <c r="C41" s="390" t="s">
        <v>350</v>
      </c>
      <c r="D41" s="387" t="s">
        <v>349</v>
      </c>
      <c r="E41" s="380">
        <v>2.15</v>
      </c>
      <c r="F41" s="380">
        <v>2.6999999999999999E-5</v>
      </c>
      <c r="G41" s="380">
        <v>0.08</v>
      </c>
      <c r="H41" s="380">
        <v>2.0000000000000002E-5</v>
      </c>
      <c r="I41" s="380">
        <v>8.9999999999999993E-3</v>
      </c>
      <c r="J41" s="380">
        <v>3.9999999999999998E-7</v>
      </c>
    </row>
    <row r="42" spans="2:10" ht="15.5" x14ac:dyDescent="0.35">
      <c r="B42" s="426">
        <v>246</v>
      </c>
      <c r="C42" s="385" t="s">
        <v>350</v>
      </c>
      <c r="D42" s="387" t="s">
        <v>346</v>
      </c>
      <c r="E42" s="380">
        <v>0.26</v>
      </c>
      <c r="F42" s="380">
        <v>3.9999999999999998E-6</v>
      </c>
      <c r="G42" s="380">
        <v>0.05</v>
      </c>
      <c r="H42" s="380">
        <v>1.1E-5</v>
      </c>
      <c r="I42" s="380">
        <v>8.9999999999999993E-3</v>
      </c>
      <c r="J42" s="380">
        <v>3.9999999999999998E-7</v>
      </c>
    </row>
    <row r="43" spans="2:10" ht="15.5" x14ac:dyDescent="0.35">
      <c r="B43" s="426">
        <v>251</v>
      </c>
      <c r="C43" s="398" t="s">
        <v>359</v>
      </c>
      <c r="D43" s="387">
        <v>1</v>
      </c>
      <c r="E43" s="380">
        <v>5.93</v>
      </c>
      <c r="F43" s="380">
        <v>1.3999999999999999E-4</v>
      </c>
      <c r="G43" s="380">
        <v>0.28999999999999998</v>
      </c>
      <c r="H43" s="380">
        <v>1.2999999999999999E-5</v>
      </c>
      <c r="I43" s="380">
        <v>0.12</v>
      </c>
      <c r="J43" s="380">
        <v>6.3999999999999997E-6</v>
      </c>
    </row>
    <row r="44" spans="2:10" ht="15.5" x14ac:dyDescent="0.35">
      <c r="B44" s="426">
        <v>252</v>
      </c>
      <c r="C44" s="399" t="s">
        <v>359</v>
      </c>
      <c r="D44" s="387">
        <v>2</v>
      </c>
      <c r="E44" s="380">
        <v>4.1500000000000004</v>
      </c>
      <c r="F44" s="380">
        <v>6.0000000000000002E-5</v>
      </c>
      <c r="G44" s="380">
        <v>0.11</v>
      </c>
      <c r="H44" s="380">
        <v>2.1999999999999999E-5</v>
      </c>
      <c r="I44" s="380">
        <v>8.7999999999999995E-2</v>
      </c>
      <c r="J44" s="380">
        <v>4.6E-6</v>
      </c>
    </row>
    <row r="45" spans="2:10" ht="15.5" x14ac:dyDescent="0.35">
      <c r="B45" s="426">
        <v>253</v>
      </c>
      <c r="C45" s="399" t="s">
        <v>359</v>
      </c>
      <c r="D45" s="387">
        <v>3</v>
      </c>
      <c r="E45" s="380">
        <v>2.3199999999999998</v>
      </c>
      <c r="F45" s="380">
        <v>3.0000000000000001E-5</v>
      </c>
      <c r="G45" s="380">
        <v>0.09</v>
      </c>
      <c r="H45" s="380">
        <v>2.3E-5</v>
      </c>
      <c r="I45" s="380">
        <v>8.7999999999999995E-2</v>
      </c>
      <c r="J45" s="380">
        <v>4.6E-6</v>
      </c>
    </row>
    <row r="46" spans="2:10" ht="15.5" x14ac:dyDescent="0.35">
      <c r="B46" s="426">
        <v>254</v>
      </c>
      <c r="C46" s="399" t="s">
        <v>359</v>
      </c>
      <c r="D46" s="387" t="s">
        <v>360</v>
      </c>
      <c r="E46" s="380">
        <v>2.3199999999999998</v>
      </c>
      <c r="F46" s="380">
        <v>3.0000000000000001E-5</v>
      </c>
      <c r="G46" s="380">
        <v>0.09</v>
      </c>
      <c r="H46" s="380">
        <v>2.3E-5</v>
      </c>
      <c r="I46" s="380">
        <v>8.9999999999999993E-3</v>
      </c>
      <c r="J46" s="380">
        <v>2.9999999999999999E-7</v>
      </c>
    </row>
    <row r="47" spans="2:10" ht="15.5" x14ac:dyDescent="0.35">
      <c r="B47" s="426">
        <v>255</v>
      </c>
      <c r="C47" s="399" t="s">
        <v>359</v>
      </c>
      <c r="D47" s="387" t="s">
        <v>349</v>
      </c>
      <c r="E47" s="380">
        <v>1.29</v>
      </c>
      <c r="F47" s="380">
        <v>1.7E-5</v>
      </c>
      <c r="G47" s="380">
        <v>0.06</v>
      </c>
      <c r="H47" s="380">
        <v>1.7E-5</v>
      </c>
      <c r="I47" s="380">
        <v>8.9999999999999993E-3</v>
      </c>
      <c r="J47" s="380">
        <v>2.9999999999999999E-7</v>
      </c>
    </row>
    <row r="48" spans="2:10" ht="15.5" x14ac:dyDescent="0.35">
      <c r="B48" s="426">
        <v>256</v>
      </c>
      <c r="C48" s="400" t="s">
        <v>359</v>
      </c>
      <c r="D48" s="387" t="s">
        <v>346</v>
      </c>
      <c r="E48" s="380">
        <v>0.26</v>
      </c>
      <c r="F48" s="380">
        <v>3.5999999999999998E-6</v>
      </c>
      <c r="G48" s="380">
        <v>0.05</v>
      </c>
      <c r="H48" s="380">
        <v>1.1E-5</v>
      </c>
      <c r="I48" s="380">
        <v>8.9999999999999993E-3</v>
      </c>
      <c r="J48" s="380">
        <v>2.9999999999999999E-7</v>
      </c>
    </row>
    <row r="49" spans="2:10" ht="15.5" x14ac:dyDescent="0.35">
      <c r="B49" s="426">
        <v>261</v>
      </c>
      <c r="C49" s="398" t="s">
        <v>361</v>
      </c>
      <c r="D49" s="387">
        <v>1</v>
      </c>
      <c r="E49" s="380">
        <v>5.93</v>
      </c>
      <c r="F49" s="380">
        <v>9.8999999999999994E-5</v>
      </c>
      <c r="G49" s="380">
        <v>0.28999999999999998</v>
      </c>
      <c r="H49" s="380">
        <v>1.0000000000000001E-5</v>
      </c>
      <c r="I49" s="380">
        <v>0.12</v>
      </c>
      <c r="J49" s="380">
        <v>6.3999999999999997E-6</v>
      </c>
    </row>
    <row r="50" spans="2:10" ht="15.5" x14ac:dyDescent="0.35">
      <c r="B50" s="426">
        <v>262</v>
      </c>
      <c r="C50" s="399" t="s">
        <v>361</v>
      </c>
      <c r="D50" s="387">
        <v>2</v>
      </c>
      <c r="E50" s="380">
        <v>3.79</v>
      </c>
      <c r="F50" s="380">
        <v>5.0000000000000002E-5</v>
      </c>
      <c r="G50" s="380">
        <v>0.09</v>
      </c>
      <c r="H50" s="380">
        <v>2.3E-5</v>
      </c>
      <c r="I50" s="380">
        <v>8.7999999999999995E-2</v>
      </c>
      <c r="J50" s="380">
        <v>4.4000000000000002E-6</v>
      </c>
    </row>
    <row r="51" spans="2:10" ht="15.5" x14ac:dyDescent="0.35">
      <c r="B51" s="426">
        <v>263</v>
      </c>
      <c r="C51" s="399" t="s">
        <v>361</v>
      </c>
      <c r="D51" s="387">
        <v>3</v>
      </c>
      <c r="E51" s="380">
        <v>2.3199999999999998</v>
      </c>
      <c r="F51" s="380">
        <v>3.0000000000000001E-5</v>
      </c>
      <c r="G51" s="380">
        <v>0.09</v>
      </c>
      <c r="H51" s="380">
        <v>2.3E-5</v>
      </c>
      <c r="I51" s="380">
        <v>8.7999999999999995E-2</v>
      </c>
      <c r="J51" s="380">
        <v>4.4000000000000002E-6</v>
      </c>
    </row>
    <row r="52" spans="2:10" ht="15.5" x14ac:dyDescent="0.35">
      <c r="B52" s="426">
        <v>264</v>
      </c>
      <c r="C52" s="399" t="s">
        <v>361</v>
      </c>
      <c r="D52" s="387" t="s">
        <v>360</v>
      </c>
      <c r="E52" s="380">
        <v>2.3199999999999998</v>
      </c>
      <c r="F52" s="380">
        <v>3.0000000000000001E-5</v>
      </c>
      <c r="G52" s="380">
        <v>0.09</v>
      </c>
      <c r="H52" s="380">
        <v>2.3E-5</v>
      </c>
      <c r="I52" s="380">
        <v>8.9999999999999993E-3</v>
      </c>
      <c r="J52" s="380">
        <v>2.9999999999999999E-7</v>
      </c>
    </row>
    <row r="53" spans="2:10" ht="15.5" x14ac:dyDescent="0.35">
      <c r="B53" s="426">
        <v>265</v>
      </c>
      <c r="C53" s="399" t="s">
        <v>361</v>
      </c>
      <c r="D53" s="387" t="s">
        <v>349</v>
      </c>
      <c r="E53" s="380">
        <v>1.29</v>
      </c>
      <c r="F53" s="380">
        <v>1.7E-5</v>
      </c>
      <c r="G53" s="380">
        <v>0.06</v>
      </c>
      <c r="H53" s="380">
        <v>1.7E-5</v>
      </c>
      <c r="I53" s="380">
        <v>8.9999999999999993E-3</v>
      </c>
      <c r="J53" s="380">
        <v>2.9999999999999999E-7</v>
      </c>
    </row>
    <row r="54" spans="2:10" ht="15.5" x14ac:dyDescent="0.35">
      <c r="B54" s="426">
        <v>266</v>
      </c>
      <c r="C54" s="399" t="s">
        <v>361</v>
      </c>
      <c r="D54" s="387" t="s">
        <v>346</v>
      </c>
      <c r="E54" s="380">
        <v>0.26</v>
      </c>
      <c r="F54" s="380">
        <v>3.5999999999999998E-6</v>
      </c>
      <c r="G54" s="380">
        <v>0.05</v>
      </c>
      <c r="H54" s="380">
        <v>1.1E-5</v>
      </c>
      <c r="I54" s="380">
        <v>8.9999999999999993E-3</v>
      </c>
      <c r="J54" s="380">
        <v>2.9999999999999999E-7</v>
      </c>
    </row>
    <row r="55" spans="2:10" ht="15.5" x14ac:dyDescent="0.35">
      <c r="B55" s="426">
        <v>271</v>
      </c>
      <c r="C55" s="398" t="s">
        <v>362</v>
      </c>
      <c r="D55" s="387">
        <v>1</v>
      </c>
      <c r="E55" s="380">
        <v>5.93</v>
      </c>
      <c r="F55" s="380">
        <v>9.8999999999999994E-5</v>
      </c>
      <c r="G55" s="380">
        <v>0.28999999999999998</v>
      </c>
      <c r="H55" s="380">
        <v>1.0000000000000001E-5</v>
      </c>
      <c r="I55" s="380">
        <v>0.12</v>
      </c>
      <c r="J55" s="380">
        <v>6.3999999999999997E-6</v>
      </c>
    </row>
    <row r="56" spans="2:10" ht="15.5" x14ac:dyDescent="0.35">
      <c r="B56" s="426">
        <v>272</v>
      </c>
      <c r="C56" s="399" t="s">
        <v>362</v>
      </c>
      <c r="D56" s="387">
        <v>2</v>
      </c>
      <c r="E56" s="380">
        <v>3.79</v>
      </c>
      <c r="F56" s="380">
        <v>5.0000000000000002E-5</v>
      </c>
      <c r="G56" s="380">
        <v>0.09</v>
      </c>
      <c r="H56" s="380">
        <v>2.3E-5</v>
      </c>
      <c r="I56" s="380">
        <v>8.7999999999999995E-2</v>
      </c>
      <c r="J56" s="380">
        <v>4.4000000000000002E-6</v>
      </c>
    </row>
    <row r="57" spans="2:10" ht="15.5" x14ac:dyDescent="0.35">
      <c r="B57" s="426">
        <v>274</v>
      </c>
      <c r="C57" s="399" t="s">
        <v>362</v>
      </c>
      <c r="D57" s="387" t="s">
        <v>345</v>
      </c>
      <c r="E57" s="380">
        <v>2.2400000000000002</v>
      </c>
      <c r="F57" s="380">
        <v>2.8E-5</v>
      </c>
      <c r="G57" s="380">
        <v>0.06</v>
      </c>
      <c r="H57" s="380">
        <v>1.7E-5</v>
      </c>
      <c r="I57" s="380">
        <v>5.0999999999999997E-2</v>
      </c>
      <c r="J57" s="380">
        <v>2.0999999999999998E-6</v>
      </c>
    </row>
    <row r="58" spans="2:10" ht="16" thickBot="1" x14ac:dyDescent="0.4">
      <c r="B58" s="427">
        <v>276</v>
      </c>
      <c r="C58" s="401" t="s">
        <v>362</v>
      </c>
      <c r="D58" s="388" t="s">
        <v>346</v>
      </c>
      <c r="E58" s="381">
        <v>2.2400000000000002</v>
      </c>
      <c r="F58" s="381">
        <v>2.8E-5</v>
      </c>
      <c r="G58" s="381">
        <v>0.05</v>
      </c>
      <c r="H58" s="381">
        <v>1.1E-5</v>
      </c>
      <c r="I58" s="381">
        <v>1.7000000000000001E-2</v>
      </c>
      <c r="J58" s="381">
        <v>8.9999999999999996E-7</v>
      </c>
    </row>
    <row r="59" spans="2:10" x14ac:dyDescent="0.35">
      <c r="B59" s="423"/>
      <c r="C59" s="21"/>
      <c r="D59" s="21"/>
      <c r="E59" s="21"/>
      <c r="F59" s="21"/>
      <c r="G59" s="21"/>
      <c r="H59" s="21"/>
      <c r="I59" s="21"/>
      <c r="J59" s="21"/>
    </row>
    <row r="60" spans="2:10" ht="16" thickBot="1" x14ac:dyDescent="0.4">
      <c r="B60" s="423"/>
      <c r="C60" s="318" t="s">
        <v>375</v>
      </c>
      <c r="D60" s="21"/>
      <c r="E60" s="21"/>
      <c r="F60" s="21"/>
      <c r="G60" s="21"/>
      <c r="H60" s="21"/>
      <c r="I60" s="21"/>
      <c r="J60" s="21"/>
    </row>
    <row r="61" spans="2:10" ht="31.5" thickBot="1" x14ac:dyDescent="0.4">
      <c r="B61" s="424" t="s">
        <v>422</v>
      </c>
      <c r="C61" s="397" t="s">
        <v>287</v>
      </c>
      <c r="D61" s="397" t="s">
        <v>286</v>
      </c>
      <c r="E61" s="397" t="s">
        <v>353</v>
      </c>
      <c r="F61" s="397" t="s">
        <v>354</v>
      </c>
      <c r="G61" s="397" t="s">
        <v>355</v>
      </c>
      <c r="H61" s="397" t="s">
        <v>356</v>
      </c>
      <c r="I61" s="397" t="s">
        <v>357</v>
      </c>
      <c r="J61" s="397" t="s">
        <v>358</v>
      </c>
    </row>
    <row r="62" spans="2:10" ht="15.5" x14ac:dyDescent="0.35">
      <c r="B62" s="425">
        <v>311</v>
      </c>
      <c r="C62" s="398" t="s">
        <v>363</v>
      </c>
      <c r="D62" s="387" t="s">
        <v>364</v>
      </c>
      <c r="E62" s="380">
        <v>8.01</v>
      </c>
      <c r="F62" s="380">
        <v>4.0599999999999998E-5</v>
      </c>
      <c r="G62" s="380">
        <v>3.76</v>
      </c>
      <c r="H62" s="380">
        <v>4.1199999999999999E-4</v>
      </c>
      <c r="I62" s="380">
        <v>0.06</v>
      </c>
      <c r="J62" s="380">
        <v>0</v>
      </c>
    </row>
    <row r="63" spans="2:10" ht="15.5" x14ac:dyDescent="0.35">
      <c r="B63" s="426">
        <v>312</v>
      </c>
      <c r="C63" s="399" t="s">
        <v>363</v>
      </c>
      <c r="D63" s="387" t="s">
        <v>365</v>
      </c>
      <c r="E63" s="380">
        <v>1.33</v>
      </c>
      <c r="F63" s="380">
        <v>4.7100000000000001E-4</v>
      </c>
      <c r="G63" s="380">
        <v>0.71</v>
      </c>
      <c r="H63" s="380">
        <v>1.6899999999999999E-4</v>
      </c>
      <c r="I63" s="380">
        <v>0.06</v>
      </c>
      <c r="J63" s="380">
        <v>0</v>
      </c>
    </row>
    <row r="64" spans="2:10" ht="15.5" x14ac:dyDescent="0.35">
      <c r="B64" s="426">
        <v>313</v>
      </c>
      <c r="C64" s="399" t="s">
        <v>363</v>
      </c>
      <c r="D64" s="387" t="s">
        <v>366</v>
      </c>
      <c r="E64" s="380">
        <v>0.89</v>
      </c>
      <c r="F64" s="380">
        <v>1.192E-4</v>
      </c>
      <c r="G64" s="380">
        <v>0.47299999999999998</v>
      </c>
      <c r="H64" s="380">
        <v>6.3999999999999997E-5</v>
      </c>
      <c r="I64" s="380">
        <v>0.06</v>
      </c>
      <c r="J64" s="380">
        <v>0</v>
      </c>
    </row>
    <row r="65" spans="2:10" ht="15.5" x14ac:dyDescent="0.35">
      <c r="B65" s="426">
        <v>314</v>
      </c>
      <c r="C65" s="400" t="s">
        <v>363</v>
      </c>
      <c r="D65" s="387" t="s">
        <v>367</v>
      </c>
      <c r="E65" s="380">
        <v>0.27</v>
      </c>
      <c r="F65" s="380">
        <v>2.5000000000000001E-5</v>
      </c>
      <c r="G65" s="380">
        <v>0.14199999999999999</v>
      </c>
      <c r="H65" s="380">
        <v>1.2999999999999999E-5</v>
      </c>
      <c r="I65" s="380">
        <v>0.06</v>
      </c>
      <c r="J65" s="380">
        <v>0</v>
      </c>
    </row>
    <row r="66" spans="2:10" ht="15.5" x14ac:dyDescent="0.35">
      <c r="B66" s="426">
        <v>321</v>
      </c>
      <c r="C66" s="398" t="s">
        <v>368</v>
      </c>
      <c r="D66" s="387" t="s">
        <v>369</v>
      </c>
      <c r="E66" s="380">
        <v>11.84</v>
      </c>
      <c r="F66" s="380">
        <v>6.0099999999999997E-5</v>
      </c>
      <c r="G66" s="380">
        <v>2.63</v>
      </c>
      <c r="H66" s="380">
        <v>2.8699999999999998E-4</v>
      </c>
      <c r="I66" s="380">
        <v>0.06</v>
      </c>
      <c r="J66" s="380">
        <v>0</v>
      </c>
    </row>
    <row r="67" spans="2:10" ht="15.5" x14ac:dyDescent="0.35">
      <c r="B67" s="426">
        <v>322</v>
      </c>
      <c r="C67" s="399" t="s">
        <v>368</v>
      </c>
      <c r="D67" s="387" t="s">
        <v>370</v>
      </c>
      <c r="E67" s="380">
        <v>1.78</v>
      </c>
      <c r="F67" s="380">
        <v>2.0699999999999999E-4</v>
      </c>
      <c r="G67" s="380">
        <v>0.26</v>
      </c>
      <c r="H67" s="380">
        <v>8.1000000000000004E-5</v>
      </c>
      <c r="I67" s="380">
        <v>0.06</v>
      </c>
      <c r="J67" s="380">
        <v>0</v>
      </c>
    </row>
    <row r="68" spans="2:10" ht="15.5" x14ac:dyDescent="0.35">
      <c r="B68" s="426">
        <v>323</v>
      </c>
      <c r="C68" s="399" t="s">
        <v>368</v>
      </c>
      <c r="D68" s="387" t="s">
        <v>366</v>
      </c>
      <c r="E68" s="380">
        <v>1.17</v>
      </c>
      <c r="F68" s="380">
        <v>6.6000000000000005E-5</v>
      </c>
      <c r="G68" s="380">
        <v>0.13</v>
      </c>
      <c r="H68" s="380">
        <v>7.3999999999999996E-5</v>
      </c>
      <c r="I68" s="380">
        <v>0.06</v>
      </c>
      <c r="J68" s="380">
        <v>0</v>
      </c>
    </row>
    <row r="69" spans="2:10" ht="15.5" x14ac:dyDescent="0.35">
      <c r="B69" s="426">
        <v>324</v>
      </c>
      <c r="C69" s="400" t="s">
        <v>368</v>
      </c>
      <c r="D69" s="387" t="s">
        <v>367</v>
      </c>
      <c r="E69" s="380">
        <v>0.35</v>
      </c>
      <c r="F69" s="380">
        <v>3.0000000000000001E-5</v>
      </c>
      <c r="G69" s="380">
        <v>0.03</v>
      </c>
      <c r="H69" s="380">
        <v>1.4E-5</v>
      </c>
      <c r="I69" s="380">
        <v>0.06</v>
      </c>
      <c r="J69" s="380">
        <v>0</v>
      </c>
    </row>
    <row r="70" spans="2:10" ht="15.5" x14ac:dyDescent="0.35">
      <c r="B70" s="426">
        <v>331</v>
      </c>
      <c r="C70" s="408" t="s">
        <v>371</v>
      </c>
      <c r="D70" s="387" t="s">
        <v>364</v>
      </c>
      <c r="E70" s="380">
        <v>12.94</v>
      </c>
      <c r="F70" s="380">
        <v>1.27E-4</v>
      </c>
      <c r="G70" s="380">
        <v>1.61</v>
      </c>
      <c r="H70" s="380">
        <v>4.1999999999999998E-5</v>
      </c>
      <c r="I70" s="380">
        <v>0.06</v>
      </c>
      <c r="J70" s="380">
        <v>0</v>
      </c>
    </row>
    <row r="71" spans="2:10" ht="15.5" x14ac:dyDescent="0.35">
      <c r="B71" s="426">
        <v>332</v>
      </c>
      <c r="C71" s="409" t="s">
        <v>371</v>
      </c>
      <c r="D71" s="387" t="s">
        <v>372</v>
      </c>
      <c r="E71" s="380">
        <v>1.94</v>
      </c>
      <c r="F71" s="380">
        <v>2.7799999999999998E-4</v>
      </c>
      <c r="G71" s="380">
        <v>0.16</v>
      </c>
      <c r="H71" s="380">
        <v>1.02E-4</v>
      </c>
      <c r="I71" s="380">
        <v>0.06</v>
      </c>
      <c r="J71" s="380">
        <v>0</v>
      </c>
    </row>
    <row r="72" spans="2:10" ht="15.5" x14ac:dyDescent="0.35">
      <c r="B72" s="426">
        <v>333</v>
      </c>
      <c r="C72" s="409" t="s">
        <v>371</v>
      </c>
      <c r="D72" s="387" t="s">
        <v>373</v>
      </c>
      <c r="E72" s="380">
        <v>1.17</v>
      </c>
      <c r="F72" s="380">
        <v>6.6000000000000005E-5</v>
      </c>
      <c r="G72" s="380">
        <v>0.13</v>
      </c>
      <c r="H72" s="380">
        <v>7.3999999999999996E-5</v>
      </c>
      <c r="I72" s="380">
        <v>0.06</v>
      </c>
      <c r="J72" s="380">
        <v>0</v>
      </c>
    </row>
    <row r="73" spans="2:10" ht="16" thickBot="1" x14ac:dyDescent="0.4">
      <c r="B73" s="427">
        <v>334</v>
      </c>
      <c r="C73" s="410" t="s">
        <v>371</v>
      </c>
      <c r="D73" s="388" t="s">
        <v>367</v>
      </c>
      <c r="E73" s="381">
        <v>0.35</v>
      </c>
      <c r="F73" s="381">
        <v>3.0000000000000001E-5</v>
      </c>
      <c r="G73" s="381">
        <v>0.03</v>
      </c>
      <c r="H73" s="381">
        <v>1.4E-5</v>
      </c>
      <c r="I73" s="381">
        <v>0.06</v>
      </c>
      <c r="J73" s="381">
        <v>0</v>
      </c>
    </row>
    <row r="74" spans="2:10" x14ac:dyDescent="0.35">
      <c r="B74" s="423"/>
      <c r="C74" s="21"/>
      <c r="D74" s="21"/>
      <c r="E74" s="21"/>
      <c r="F74" s="21"/>
      <c r="G74" s="21"/>
      <c r="H74" s="21"/>
      <c r="I74" s="21"/>
      <c r="J74" s="21"/>
    </row>
    <row r="75" spans="2:10" ht="16" thickBot="1" x14ac:dyDescent="0.4">
      <c r="B75" s="423"/>
      <c r="C75" s="318" t="s">
        <v>374</v>
      </c>
      <c r="D75" s="21"/>
      <c r="E75" s="21"/>
      <c r="F75" s="21"/>
      <c r="G75" s="21"/>
      <c r="H75" s="21"/>
      <c r="I75" s="21"/>
      <c r="J75" s="21"/>
    </row>
    <row r="76" spans="2:10" ht="31.5" thickBot="1" x14ac:dyDescent="0.4">
      <c r="B76" s="424" t="s">
        <v>422</v>
      </c>
      <c r="C76" s="397" t="s">
        <v>287</v>
      </c>
      <c r="D76" s="397" t="s">
        <v>286</v>
      </c>
      <c r="E76" s="397" t="s">
        <v>353</v>
      </c>
      <c r="F76" s="397" t="s">
        <v>354</v>
      </c>
      <c r="G76" s="397" t="s">
        <v>355</v>
      </c>
      <c r="H76" s="397" t="s">
        <v>356</v>
      </c>
      <c r="I76" s="397" t="s">
        <v>357</v>
      </c>
      <c r="J76" s="397" t="s">
        <v>358</v>
      </c>
    </row>
    <row r="77" spans="2:10" ht="15.5" x14ac:dyDescent="0.35">
      <c r="B77" s="428">
        <v>411</v>
      </c>
      <c r="C77" s="402" t="s">
        <v>363</v>
      </c>
      <c r="D77" s="403" t="s">
        <v>364</v>
      </c>
      <c r="E77" s="403">
        <v>13</v>
      </c>
      <c r="F77" s="403">
        <v>6.6199999999999996E-5</v>
      </c>
      <c r="G77" s="403">
        <v>1.38</v>
      </c>
      <c r="H77" s="403">
        <v>1.5100000000000001E-4</v>
      </c>
      <c r="I77" s="403">
        <v>0.06</v>
      </c>
      <c r="J77" s="403">
        <v>0</v>
      </c>
    </row>
    <row r="78" spans="2:10" ht="15.5" x14ac:dyDescent="0.35">
      <c r="B78" s="429">
        <v>412</v>
      </c>
      <c r="C78" s="404" t="s">
        <v>363</v>
      </c>
      <c r="D78" s="319" t="s">
        <v>365</v>
      </c>
      <c r="E78" s="319">
        <v>1.95</v>
      </c>
      <c r="F78" s="319">
        <v>2.7599999999999999E-4</v>
      </c>
      <c r="G78" s="319">
        <v>0.14000000000000001</v>
      </c>
      <c r="H78" s="319">
        <v>1.06E-4</v>
      </c>
      <c r="I78" s="319">
        <v>0.06</v>
      </c>
      <c r="J78" s="319">
        <v>0</v>
      </c>
    </row>
    <row r="79" spans="2:10" ht="15.5" x14ac:dyDescent="0.35">
      <c r="B79" s="429">
        <v>413</v>
      </c>
      <c r="C79" s="404" t="s">
        <v>363</v>
      </c>
      <c r="D79" s="319" t="s">
        <v>366</v>
      </c>
      <c r="E79" s="319">
        <v>1.3</v>
      </c>
      <c r="F79" s="319">
        <v>1.1000000000000001E-6</v>
      </c>
      <c r="G79" s="319">
        <v>9.2999999999999999E-2</v>
      </c>
      <c r="H79" s="319">
        <v>1.7200000000000001E-4</v>
      </c>
      <c r="I79" s="319">
        <v>0.06</v>
      </c>
      <c r="J79" s="319">
        <v>0</v>
      </c>
    </row>
    <row r="80" spans="2:10" ht="15.5" x14ac:dyDescent="0.35">
      <c r="B80" s="429">
        <v>414</v>
      </c>
      <c r="C80" s="405" t="s">
        <v>363</v>
      </c>
      <c r="D80" s="319" t="s">
        <v>367</v>
      </c>
      <c r="E80" s="319">
        <v>0.39</v>
      </c>
      <c r="F80" s="319">
        <v>1.9999999999999999E-7</v>
      </c>
      <c r="G80" s="319">
        <v>2.8000000000000001E-2</v>
      </c>
      <c r="H80" s="319">
        <v>3.6000000000000001E-5</v>
      </c>
      <c r="I80" s="319">
        <v>0.06</v>
      </c>
      <c r="J80" s="319">
        <v>0</v>
      </c>
    </row>
    <row r="81" spans="2:10" ht="15.5" x14ac:dyDescent="0.35">
      <c r="B81" s="429">
        <v>421</v>
      </c>
      <c r="C81" s="406" t="s">
        <v>368</v>
      </c>
      <c r="D81" s="319" t="s">
        <v>369</v>
      </c>
      <c r="E81" s="319">
        <v>10.53</v>
      </c>
      <c r="F81" s="319">
        <v>5.3300000000000001E-5</v>
      </c>
      <c r="G81" s="319">
        <v>1.55</v>
      </c>
      <c r="H81" s="319">
        <v>1.6899999999999999E-4</v>
      </c>
      <c r="I81" s="319">
        <v>0.06</v>
      </c>
      <c r="J81" s="319">
        <v>0</v>
      </c>
    </row>
    <row r="82" spans="2:10" ht="15.5" x14ac:dyDescent="0.35">
      <c r="B82" s="429">
        <v>422</v>
      </c>
      <c r="C82" s="404" t="s">
        <v>368</v>
      </c>
      <c r="D82" s="319" t="s">
        <v>370</v>
      </c>
      <c r="E82" s="319">
        <v>1.58</v>
      </c>
      <c r="F82" s="319">
        <v>3.5E-4</v>
      </c>
      <c r="G82" s="319">
        <v>0.16</v>
      </c>
      <c r="H82" s="319">
        <v>1.03E-5</v>
      </c>
      <c r="I82" s="319">
        <v>0.06</v>
      </c>
      <c r="J82" s="319">
        <v>0</v>
      </c>
    </row>
    <row r="83" spans="2:10" ht="15.5" x14ac:dyDescent="0.35">
      <c r="B83" s="429">
        <v>423</v>
      </c>
      <c r="C83" s="404" t="s">
        <v>368</v>
      </c>
      <c r="D83" s="319" t="s">
        <v>366</v>
      </c>
      <c r="E83" s="319">
        <v>1.04</v>
      </c>
      <c r="F83" s="319">
        <v>1.2500000000000001E-5</v>
      </c>
      <c r="G83" s="319">
        <v>0.1</v>
      </c>
      <c r="H83" s="319">
        <v>4.6999999999999997E-5</v>
      </c>
      <c r="I83" s="319">
        <v>0.06</v>
      </c>
      <c r="J83" s="319">
        <v>0</v>
      </c>
    </row>
    <row r="84" spans="2:10" ht="15.5" x14ac:dyDescent="0.35">
      <c r="B84" s="429">
        <v>424</v>
      </c>
      <c r="C84" s="405" t="s">
        <v>368</v>
      </c>
      <c r="D84" s="319" t="s">
        <v>367</v>
      </c>
      <c r="E84" s="319">
        <v>0.31</v>
      </c>
      <c r="F84" s="319">
        <v>3.8000000000000002E-5</v>
      </c>
      <c r="G84" s="319">
        <v>0.03</v>
      </c>
      <c r="H84" s="319">
        <v>1.4E-5</v>
      </c>
      <c r="I84" s="319">
        <v>0.06</v>
      </c>
      <c r="J84" s="319">
        <v>0</v>
      </c>
    </row>
    <row r="85" spans="2:10" ht="15.5" x14ac:dyDescent="0.35">
      <c r="B85" s="429">
        <v>431</v>
      </c>
      <c r="C85" s="406" t="s">
        <v>371</v>
      </c>
      <c r="D85" s="319" t="s">
        <v>364</v>
      </c>
      <c r="E85" s="319">
        <v>10.51</v>
      </c>
      <c r="F85" s="319">
        <v>1.0399999999999999E-4</v>
      </c>
      <c r="G85" s="319">
        <v>1.38</v>
      </c>
      <c r="H85" s="319">
        <v>3.4999999999999997E-5</v>
      </c>
      <c r="I85" s="319">
        <v>0.06</v>
      </c>
      <c r="J85" s="319">
        <v>0</v>
      </c>
    </row>
    <row r="86" spans="2:10" ht="15.5" x14ac:dyDescent="0.35">
      <c r="B86" s="429">
        <v>432</v>
      </c>
      <c r="C86" s="404" t="s">
        <v>371</v>
      </c>
      <c r="D86" s="319" t="s">
        <v>372</v>
      </c>
      <c r="E86" s="319">
        <v>1.58</v>
      </c>
      <c r="F86" s="319">
        <v>2.6400000000000002E-4</v>
      </c>
      <c r="G86" s="319">
        <v>0.14000000000000001</v>
      </c>
      <c r="H86" s="319">
        <v>1.06E-4</v>
      </c>
      <c r="I86" s="319">
        <v>0.06</v>
      </c>
      <c r="J86" s="319">
        <v>0</v>
      </c>
    </row>
    <row r="87" spans="2:10" ht="15.5" x14ac:dyDescent="0.35">
      <c r="B87" s="429">
        <v>433</v>
      </c>
      <c r="C87" s="404" t="s">
        <v>371</v>
      </c>
      <c r="D87" s="319" t="s">
        <v>373</v>
      </c>
      <c r="E87" s="319">
        <v>1.04</v>
      </c>
      <c r="F87" s="319">
        <v>1.2500000000000001E-5</v>
      </c>
      <c r="G87" s="319">
        <v>0.1</v>
      </c>
      <c r="H87" s="319">
        <v>4.6999999999999997E-5</v>
      </c>
      <c r="I87" s="319">
        <v>0.06</v>
      </c>
      <c r="J87" s="319">
        <v>0</v>
      </c>
    </row>
    <row r="88" spans="2:10" ht="16" thickBot="1" x14ac:dyDescent="0.4">
      <c r="B88" s="427">
        <v>434</v>
      </c>
      <c r="C88" s="407" t="s">
        <v>371</v>
      </c>
      <c r="D88" s="388" t="s">
        <v>367</v>
      </c>
      <c r="E88" s="381">
        <v>0.31</v>
      </c>
      <c r="F88" s="381">
        <v>3.8000000000000002E-5</v>
      </c>
      <c r="G88" s="381">
        <v>0.03</v>
      </c>
      <c r="H88" s="381">
        <v>1.4E-5</v>
      </c>
      <c r="I88" s="381">
        <v>0.06</v>
      </c>
      <c r="J88" s="381">
        <v>0</v>
      </c>
    </row>
    <row r="89" spans="2:10" ht="16" thickBot="1" x14ac:dyDescent="0.4">
      <c r="C89" s="61"/>
      <c r="D89" s="342"/>
      <c r="E89" s="343"/>
      <c r="F89" s="21"/>
      <c r="G89" s="21"/>
      <c r="H89" s="21"/>
      <c r="I89" s="21"/>
      <c r="J89" s="21"/>
    </row>
    <row r="90" spans="2:10" ht="15.5" x14ac:dyDescent="0.35">
      <c r="C90" s="392" t="s">
        <v>314</v>
      </c>
      <c r="D90" s="393"/>
      <c r="E90" s="393"/>
      <c r="F90" s="393"/>
      <c r="G90" s="394"/>
      <c r="H90" s="1"/>
      <c r="I90" s="1"/>
      <c r="J90" s="1"/>
    </row>
    <row r="91" spans="2:10" ht="15.5" x14ac:dyDescent="0.35">
      <c r="C91" s="346" t="s">
        <v>351</v>
      </c>
      <c r="D91" s="323"/>
      <c r="E91" s="323"/>
      <c r="F91" s="323"/>
      <c r="G91" s="347"/>
      <c r="H91" s="323"/>
      <c r="I91" s="323"/>
      <c r="J91" s="323"/>
    </row>
    <row r="92" spans="2:10" ht="16" thickBot="1" x14ac:dyDescent="0.4">
      <c r="C92" s="396" t="s">
        <v>352</v>
      </c>
      <c r="D92" s="348"/>
      <c r="E92" s="348"/>
      <c r="F92" s="348"/>
      <c r="G92" s="349"/>
    </row>
    <row r="93" spans="2:10" ht="15" thickBot="1" x14ac:dyDescent="0.4"/>
    <row r="94" spans="2:10" ht="47" thickBot="1" x14ac:dyDescent="0.4">
      <c r="B94" s="397" t="s">
        <v>538</v>
      </c>
      <c r="C94" s="397" t="s">
        <v>537</v>
      </c>
      <c r="D94" s="397" t="s">
        <v>540</v>
      </c>
      <c r="E94" s="397" t="s">
        <v>539</v>
      </c>
      <c r="F94" s="397" t="s">
        <v>546</v>
      </c>
      <c r="G94" s="397" t="s">
        <v>543</v>
      </c>
      <c r="H94" s="397" t="s">
        <v>544</v>
      </c>
      <c r="I94" s="397" t="s">
        <v>545</v>
      </c>
      <c r="J94" s="397" t="s">
        <v>552</v>
      </c>
    </row>
    <row r="95" spans="2:10" ht="15.5" x14ac:dyDescent="0.35">
      <c r="B95" s="403" t="s">
        <v>532</v>
      </c>
      <c r="C95" s="403" t="s">
        <v>534</v>
      </c>
      <c r="D95" s="403">
        <v>0.112</v>
      </c>
      <c r="E95" s="403">
        <v>264</v>
      </c>
      <c r="F95" s="438">
        <f>E95*'Grid Electricity'!$B$19</f>
        <v>5.5610215292588729E-2</v>
      </c>
      <c r="G95" s="435">
        <f>E95*'Grid Electricity'!$D$39</f>
        <v>2.5871999999999999E-2</v>
      </c>
      <c r="H95" s="436">
        <f>E95*'Grid Electricity'!$C$39</f>
        <v>4.2239999999999995E-3</v>
      </c>
      <c r="I95" s="436">
        <f>E95*'Grid Electricity'!$G$39</f>
        <v>6.3360000000000005E-3</v>
      </c>
      <c r="J95" s="436">
        <f>E95*'Grid Electricity'!$F$39</f>
        <v>6.6E-3</v>
      </c>
    </row>
    <row r="96" spans="2:10" ht="15.5" x14ac:dyDescent="0.35">
      <c r="B96" s="319" t="s">
        <v>532</v>
      </c>
      <c r="C96" s="319" t="s">
        <v>535</v>
      </c>
      <c r="D96" s="319">
        <v>0.108</v>
      </c>
      <c r="E96" s="319">
        <v>257</v>
      </c>
      <c r="F96" s="438">
        <f>E96*'Grid Electricity'!$B$19</f>
        <v>5.4135702008315544E-2</v>
      </c>
      <c r="G96" s="435">
        <f>E96*'Grid Electricity'!$D$39</f>
        <v>2.5186E-2</v>
      </c>
      <c r="H96" s="437">
        <f>E96*'Grid Electricity'!$C$39</f>
        <v>4.1120000000000002E-3</v>
      </c>
      <c r="I96" s="436">
        <f>E96*'Grid Electricity'!$G$39</f>
        <v>6.1679999999999999E-3</v>
      </c>
      <c r="J96" s="436">
        <f>E96*'Grid Electricity'!$F$39</f>
        <v>6.4250000000000002E-3</v>
      </c>
    </row>
    <row r="97" spans="2:10" ht="15.5" x14ac:dyDescent="0.35">
      <c r="B97" s="319" t="s">
        <v>533</v>
      </c>
      <c r="C97" s="319" t="s">
        <v>534</v>
      </c>
      <c r="D97" s="319">
        <v>0.12</v>
      </c>
      <c r="E97" s="319">
        <v>284</v>
      </c>
      <c r="F97" s="438">
        <f>E97*'Grid Electricity'!$B$19</f>
        <v>5.9823110390512121E-2</v>
      </c>
      <c r="G97" s="435">
        <f>E97*'Grid Electricity'!$D$39</f>
        <v>2.7831999999999999E-2</v>
      </c>
      <c r="H97" s="437">
        <f>E97*'Grid Electricity'!$C$39</f>
        <v>4.5439999999999994E-3</v>
      </c>
      <c r="I97" s="436">
        <f>E97*'Grid Electricity'!$G$39</f>
        <v>6.816E-3</v>
      </c>
      <c r="J97" s="436">
        <f>E97*'Grid Electricity'!$F$39</f>
        <v>7.1000000000000004E-3</v>
      </c>
    </row>
    <row r="98" spans="2:10" ht="15.5" x14ac:dyDescent="0.35">
      <c r="B98" s="319" t="s">
        <v>533</v>
      </c>
      <c r="C98" s="319" t="s">
        <v>536</v>
      </c>
      <c r="D98" s="319">
        <v>0.17699999999999999</v>
      </c>
      <c r="E98" s="319">
        <v>276</v>
      </c>
      <c r="F98" s="438">
        <f>E98*'Grid Electricity'!$B$19</f>
        <v>5.813795235134276E-2</v>
      </c>
      <c r="G98" s="435">
        <f>E98*'Grid Electricity'!$D$39</f>
        <v>2.7047999999999999E-2</v>
      </c>
      <c r="H98" s="437">
        <f>E98*'Grid Electricity'!$C$39</f>
        <v>4.4159999999999998E-3</v>
      </c>
      <c r="I98" s="436">
        <f>E98*'Grid Electricity'!$G$39</f>
        <v>6.6240000000000005E-3</v>
      </c>
      <c r="J98" s="436">
        <f>E98*'Grid Electricity'!$F$39</f>
        <v>6.9000000000000008E-3</v>
      </c>
    </row>
    <row r="99" spans="2:10" ht="15" thickBot="1" x14ac:dyDescent="0.4"/>
    <row r="100" spans="2:10" ht="15.5" x14ac:dyDescent="0.35">
      <c r="C100" s="392" t="s">
        <v>314</v>
      </c>
      <c r="D100" s="393"/>
      <c r="E100" s="393"/>
      <c r="F100" s="393"/>
      <c r="G100" s="393"/>
      <c r="H100" s="393"/>
      <c r="I100" s="394"/>
    </row>
    <row r="101" spans="2:10" ht="15.5" x14ac:dyDescent="0.35">
      <c r="C101" s="346" t="s">
        <v>542</v>
      </c>
      <c r="D101" s="323"/>
      <c r="E101" s="323"/>
      <c r="F101" s="323"/>
      <c r="G101" s="323"/>
      <c r="H101" s="323"/>
      <c r="I101" s="347"/>
    </row>
    <row r="102" spans="2:10" ht="16" thickBot="1" x14ac:dyDescent="0.4">
      <c r="C102" s="396" t="s">
        <v>541</v>
      </c>
      <c r="D102" s="348"/>
      <c r="E102" s="348"/>
      <c r="F102" s="348"/>
      <c r="G102" s="348"/>
      <c r="H102" s="348"/>
      <c r="I102" s="349"/>
    </row>
  </sheetData>
  <sheetProtection algorithmName="SHA-512" hashValue="zR5ij+P/bCk26toRqW331zt2IFwf/T2A8NmIJQsq2LT2Q91/kqHWzNTRl1UzlU//ASUfgUnJfDEIDK2WZcQYHg==" saltValue="U4N1516QuVHce06aL2cRVg==" spinCount="100000" sheet="1" objects="1" scenarios="1"/>
  <hyperlinks>
    <hyperlink ref="C92" r:id="rId1" xr:uid="{00000000-0004-0000-1000-000000000000}"/>
    <hyperlink ref="C102" r:id="rId2" xr:uid="{59F8599A-8140-4B27-BA3E-33D1B589E198}"/>
  </hyperlinks>
  <pageMargins left="0.7" right="0.7" top="0.75" bottom="0.75" header="0.3" footer="0.3"/>
  <pageSetup scale="40" orientation="portrait" r:id="rId3"/>
  <headerFooter>
    <oddFooter>&amp;L&amp;"Avenir LT Std 55 Roman,Regular"&amp;12FINAL June 1, 2022&amp;C&amp;"Avenir LT Std 55 Roman,Regular"&amp;12Page &amp;P of &amp;N&amp;R&amp;"Avenir LT Std 55 Roman,Regular"&amp;12&amp;A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pageSetUpPr fitToPage="1"/>
  </sheetPr>
  <dimension ref="B1:J37"/>
  <sheetViews>
    <sheetView showGridLines="0" showWhiteSpace="0" zoomScaleNormal="100" zoomScalePageLayoutView="110" workbookViewId="0">
      <selection activeCell="D20" sqref="D20"/>
    </sheetView>
  </sheetViews>
  <sheetFormatPr defaultColWidth="9.1796875" defaultRowHeight="15.5" x14ac:dyDescent="0.35"/>
  <cols>
    <col min="1" max="1" width="2.81640625" style="635" customWidth="1"/>
    <col min="2" max="2" width="58.81640625" style="635" customWidth="1"/>
    <col min="3" max="3" width="51.26953125" style="635" customWidth="1"/>
    <col min="4" max="4" width="13.81640625" style="634" customWidth="1"/>
    <col min="5" max="5" width="4.26953125" style="635" customWidth="1"/>
    <col min="6" max="10" width="9.1796875" style="635"/>
    <col min="11" max="11" width="2.81640625" style="635" customWidth="1"/>
    <col min="12" max="16384" width="9.1796875" style="635"/>
  </cols>
  <sheetData>
    <row r="1" spans="2:10" ht="18" x14ac:dyDescent="0.4">
      <c r="B1" s="632"/>
      <c r="C1" s="633" t="str">
        <f>'Read Me'!B1</f>
        <v>California Air Resources Board</v>
      </c>
    </row>
    <row r="2" spans="2:10" ht="18" x14ac:dyDescent="0.4">
      <c r="C2" s="636"/>
    </row>
    <row r="3" spans="2:10" ht="18" x14ac:dyDescent="0.4">
      <c r="B3" s="632"/>
      <c r="C3" s="633" t="str">
        <f>'Read Me'!B3</f>
        <v>Benefits Calculator Tool</v>
      </c>
    </row>
    <row r="4" spans="2:10" ht="18" x14ac:dyDescent="0.4">
      <c r="B4" s="632"/>
      <c r="C4" s="637" t="str">
        <f>'Read Me'!B4</f>
        <v>Safe and Affordable Drinking Water</v>
      </c>
    </row>
    <row r="5" spans="2:10" ht="18" x14ac:dyDescent="0.4">
      <c r="B5" s="632"/>
      <c r="C5" s="637" t="str">
        <f>'Read Me'!B5</f>
        <v>(SADW) Fund</v>
      </c>
    </row>
    <row r="6" spans="2:10" ht="18" x14ac:dyDescent="0.4">
      <c r="B6" s="632"/>
      <c r="C6" s="638"/>
    </row>
    <row r="7" spans="2:10" ht="18" x14ac:dyDescent="0.4">
      <c r="B7" s="632"/>
      <c r="C7" s="633"/>
    </row>
    <row r="8" spans="2:10" ht="18" x14ac:dyDescent="0.4">
      <c r="B8" s="632"/>
      <c r="C8" s="633" t="str">
        <f>'Read Me'!B8</f>
        <v xml:space="preserve">California Climate Investments </v>
      </c>
    </row>
    <row r="9" spans="2:10" ht="18" x14ac:dyDescent="0.4">
      <c r="C9" s="639"/>
    </row>
    <row r="10" spans="2:10" ht="18" x14ac:dyDescent="0.4">
      <c r="C10" s="639"/>
    </row>
    <row r="11" spans="2:10" x14ac:dyDescent="0.35">
      <c r="B11" s="621" t="s">
        <v>8</v>
      </c>
    </row>
    <row r="12" spans="2:10" ht="15" customHeight="1" x14ac:dyDescent="0.35">
      <c r="B12" s="640" t="s">
        <v>3616</v>
      </c>
      <c r="C12" s="641"/>
      <c r="D12" s="642"/>
      <c r="E12" s="641"/>
      <c r="F12" s="641"/>
      <c r="G12" s="641"/>
      <c r="H12" s="641"/>
      <c r="I12" s="641"/>
      <c r="J12" s="643"/>
    </row>
    <row r="13" spans="2:10" ht="15" customHeight="1" x14ac:dyDescent="0.35">
      <c r="B13" s="631" t="s">
        <v>3650</v>
      </c>
      <c r="C13" s="644"/>
      <c r="D13" s="645"/>
      <c r="E13" s="644"/>
      <c r="F13" s="644"/>
      <c r="G13" s="644"/>
      <c r="H13" s="644"/>
      <c r="I13" s="644"/>
      <c r="J13" s="646"/>
    </row>
    <row r="15" spans="2:10" ht="15" customHeight="1" x14ac:dyDescent="0.35">
      <c r="B15" s="647" t="s">
        <v>9</v>
      </c>
    </row>
    <row r="16" spans="2:10" ht="15" customHeight="1" x14ac:dyDescent="0.35">
      <c r="B16" s="648" t="s">
        <v>51</v>
      </c>
      <c r="C16" s="649"/>
      <c r="D16" s="650"/>
      <c r="E16" s="649"/>
      <c r="F16" s="649"/>
    </row>
    <row r="17" spans="2:10" ht="15" customHeight="1" x14ac:dyDescent="0.35">
      <c r="B17" s="648"/>
      <c r="C17" s="649"/>
      <c r="D17" s="650"/>
      <c r="E17" s="649"/>
      <c r="F17" s="649"/>
    </row>
    <row r="18" spans="2:10" ht="15" customHeight="1" x14ac:dyDescent="0.35">
      <c r="B18" s="651" t="s">
        <v>52</v>
      </c>
      <c r="C18" s="649"/>
      <c r="D18" s="650"/>
      <c r="E18" s="649"/>
      <c r="F18" s="649"/>
    </row>
    <row r="19" spans="2:10" x14ac:dyDescent="0.35">
      <c r="B19" s="652" t="s">
        <v>53</v>
      </c>
      <c r="C19" s="653"/>
      <c r="D19" s="654"/>
      <c r="F19" s="649"/>
    </row>
    <row r="20" spans="2:10" x14ac:dyDescent="0.35">
      <c r="B20" s="655" t="s">
        <v>3617</v>
      </c>
      <c r="C20" s="656"/>
      <c r="D20" s="654"/>
    </row>
    <row r="21" spans="2:10" x14ac:dyDescent="0.35">
      <c r="B21" s="655"/>
      <c r="C21" s="656"/>
      <c r="D21" s="654"/>
    </row>
    <row r="22" spans="2:10" x14ac:dyDescent="0.35">
      <c r="B22" s="657" t="s">
        <v>54</v>
      </c>
      <c r="C22" s="656"/>
      <c r="D22" s="654"/>
    </row>
    <row r="24" spans="2:10" x14ac:dyDescent="0.35">
      <c r="B24" s="647" t="s">
        <v>34</v>
      </c>
    </row>
    <row r="25" spans="2:10" ht="15" customHeight="1" x14ac:dyDescent="0.35">
      <c r="B25" s="648" t="s">
        <v>278</v>
      </c>
      <c r="C25" s="648"/>
      <c r="D25" s="658"/>
      <c r="E25" s="648"/>
      <c r="F25" s="648"/>
    </row>
    <row r="26" spans="2:10" ht="15" customHeight="1" thickBot="1" x14ac:dyDescent="0.4">
      <c r="B26" s="648"/>
      <c r="C26" s="648"/>
      <c r="D26" s="658"/>
      <c r="E26" s="648"/>
      <c r="F26" s="648"/>
    </row>
    <row r="27" spans="2:10" ht="16" hidden="1" thickBot="1" x14ac:dyDescent="0.4">
      <c r="B27" s="659" t="s">
        <v>28</v>
      </c>
      <c r="C27" s="659" t="s">
        <v>27</v>
      </c>
      <c r="D27" s="660" t="s">
        <v>29</v>
      </c>
      <c r="E27" s="648"/>
      <c r="F27" s="648"/>
    </row>
    <row r="28" spans="2:10" x14ac:dyDescent="0.35">
      <c r="B28" s="661" t="s">
        <v>10</v>
      </c>
      <c r="C28" s="662"/>
      <c r="D28" s="663" t="str">
        <f>IF(ISBLANK(C28),"(Required)","")</f>
        <v>(Required)</v>
      </c>
      <c r="F28" s="664" t="s">
        <v>21</v>
      </c>
      <c r="G28" s="665"/>
      <c r="H28" s="665"/>
      <c r="I28" s="665"/>
      <c r="J28" s="666"/>
    </row>
    <row r="29" spans="2:10" x14ac:dyDescent="0.35">
      <c r="B29" s="667" t="s">
        <v>208</v>
      </c>
      <c r="C29" s="668" t="s">
        <v>281</v>
      </c>
      <c r="D29" s="669"/>
      <c r="F29" s="670" t="s">
        <v>16</v>
      </c>
      <c r="G29" s="635" t="s">
        <v>19</v>
      </c>
      <c r="J29" s="671"/>
    </row>
    <row r="30" spans="2:10" x14ac:dyDescent="0.35">
      <c r="B30" s="667" t="s">
        <v>11</v>
      </c>
      <c r="C30" s="672"/>
      <c r="D30" s="673" t="str">
        <f t="shared" ref="D30:D36" si="0">IF(ISBLANK(C30),"(Required)","")</f>
        <v>(Required)</v>
      </c>
      <c r="F30" s="674" t="s">
        <v>17</v>
      </c>
      <c r="G30" s="635" t="s">
        <v>20</v>
      </c>
      <c r="J30" s="671"/>
    </row>
    <row r="31" spans="2:10" ht="16" thickBot="1" x14ac:dyDescent="0.4">
      <c r="B31" s="667" t="s">
        <v>12</v>
      </c>
      <c r="C31" s="672"/>
      <c r="D31" s="673" t="str">
        <f t="shared" si="0"/>
        <v>(Required)</v>
      </c>
      <c r="F31" s="675" t="s">
        <v>18</v>
      </c>
      <c r="G31" s="676" t="s">
        <v>206</v>
      </c>
      <c r="H31" s="676"/>
      <c r="I31" s="676"/>
      <c r="J31" s="677"/>
    </row>
    <row r="32" spans="2:10" x14ac:dyDescent="0.35">
      <c r="B32" s="667" t="s">
        <v>13</v>
      </c>
      <c r="C32" s="678"/>
      <c r="D32" s="673" t="str">
        <f t="shared" si="0"/>
        <v>(Required)</v>
      </c>
      <c r="F32" s="679"/>
      <c r="G32" s="616"/>
      <c r="H32" s="616"/>
      <c r="I32" s="616"/>
      <c r="J32" s="616"/>
    </row>
    <row r="33" spans="2:10" ht="16" thickBot="1" x14ac:dyDescent="0.4">
      <c r="B33" s="680" t="s">
        <v>14</v>
      </c>
      <c r="C33" s="681"/>
      <c r="D33" s="682" t="str">
        <f>IF(ISBLANK(C33),"(Required)","")</f>
        <v>(Required)</v>
      </c>
      <c r="F33" s="616"/>
      <c r="G33" s="616"/>
      <c r="H33" s="616"/>
      <c r="I33" s="616"/>
      <c r="J33" s="616"/>
    </row>
    <row r="34" spans="2:10" x14ac:dyDescent="0.35">
      <c r="B34" s="683" t="s">
        <v>279</v>
      </c>
      <c r="C34" s="684"/>
      <c r="D34" s="663" t="str">
        <f>IF(ISBLANK(C34),"(Required)","")</f>
        <v>(Required)</v>
      </c>
    </row>
    <row r="35" spans="2:10" x14ac:dyDescent="0.35">
      <c r="B35" s="685" t="s">
        <v>46</v>
      </c>
      <c r="C35" s="686">
        <v>0</v>
      </c>
      <c r="D35" s="673" t="str">
        <f t="shared" si="0"/>
        <v/>
      </c>
    </row>
    <row r="36" spans="2:10" x14ac:dyDescent="0.35">
      <c r="B36" s="667" t="s">
        <v>47</v>
      </c>
      <c r="C36" s="687"/>
      <c r="D36" s="673" t="str">
        <f t="shared" si="0"/>
        <v>(Required)</v>
      </c>
    </row>
    <row r="37" spans="2:10" ht="16" thickBot="1" x14ac:dyDescent="0.4">
      <c r="B37" s="688" t="s">
        <v>15</v>
      </c>
      <c r="C37" s="689">
        <f>SUM(C34:C36)</f>
        <v>0</v>
      </c>
      <c r="D37" s="690"/>
    </row>
  </sheetData>
  <sheetProtection algorithmName="SHA-512" hashValue="nL6Mbt2M4oPBdMFm9Mw6FD98ArRgT2RrNf7Y/Ltk8zsCs3kg9FHzA0RXTfvR6ilAo2q+Hannovqb+vX1Hc1+YQ==" saltValue="52YhhcUI73cvm+jk+aS/8w==" spinCount="100000" sheet="1"/>
  <dataValidations count="10">
    <dataValidation allowBlank="1" showInputMessage="1" showErrorMessage="1" prompt="Name of the project per the grant agreement." sqref="B28 C28" xr:uid="{1EBCCC04-77C3-40BE-BFDD-DE7CFCBC5E2D}"/>
    <dataValidation allowBlank="1" showInputMessage="1" showErrorMessage="1" prompt="Grant ID assigned by the State Water Resources Control Board." sqref="B29:C29" xr:uid="{D2067ECC-6F3E-4DFC-A505-CF333E14B8B1}"/>
    <dataValidation allowBlank="1" showInputMessage="1" showErrorMessage="1" prompt="Contact who can verify the project information input into the tool." sqref="B30:C30" xr:uid="{8C7CC95E-2129-452B-9439-B7F4BD0DEC14}"/>
    <dataValidation allowBlank="1" showInputMessage="1" showErrorMessage="1" prompt="Phone number for the contact person named." sqref="B31:C31" xr:uid="{50661B02-7A2D-4C7A-92D0-60BC7373A58C}"/>
    <dataValidation allowBlank="1" showInputMessage="1" showErrorMessage="1" prompt="Email for the contact person named." sqref="B32:C32" xr:uid="{8CC51D90-188E-4D81-A76D-5637DB36D92F}"/>
    <dataValidation allowBlank="1" showInputMessage="1" showErrorMessage="1" prompt="Date this tool was completed for this project." sqref="B33:C33" xr:uid="{A2DDFF9C-CE7A-4EAA-8AD0-C6FE0F1DF78E}"/>
    <dataValidation allowBlank="1" showInputMessage="1" showErrorMessage="1" prompt="Total project cost that is or will be paid for by the Greenhouse Gas Reduction Fund (GGRF) via the Safe and Affordable Drinking Water Fund (SADW Fund)." sqref="B34:C34" xr:uid="{746F728F-BB6A-4F92-9B71-1AC3A0444E80}"/>
    <dataValidation allowBlank="1" showInputMessage="1" showErrorMessage="1" prompt="Total project cost that is or will be paid for by the GGRF that is paid from other GGRF sources." sqref="B35:C35" xr:uid="{CD8D9F4B-116A-40E8-9E53-9ED29D59F753}"/>
    <dataValidation allowBlank="1" showInputMessage="1" showErrorMessage="1" prompt="Total project cost that is paid for by non-GGRF monies." sqref="B36:C36" xr:uid="{FDFD07E8-3371-4764-A596-D315D56BB98A}"/>
    <dataValidation allowBlank="1" showInputMessage="1" showErrorMessage="1" prompt="Total project cost, including GGRF and non-GGRF monies." sqref="B37:C37" xr:uid="{DC88FE20-7044-476D-B1E6-70AB2849C33F}"/>
  </dataValidations>
  <hyperlinks>
    <hyperlink ref="B20" r:id="rId1" tooltip="PVWatts Calculator" xr:uid="{00000000-0004-0000-0100-000000000000}"/>
    <hyperlink ref="B13" r:id="rId2" xr:uid="{0FF69117-BE4E-43C9-AD31-632C67F704B9}"/>
  </hyperlinks>
  <pageMargins left="0.7" right="0.7" top="0.75" bottom="0.75" header="0.3" footer="0.3"/>
  <pageSetup scale="68" orientation="landscape" r:id="rId3"/>
  <headerFooter>
    <oddFooter>&amp;L&amp;"Avenir LT Std 55 Roman,Regular"&amp;12FINAL June 1, 2022&amp;C&amp;"Avenir LT Std 55 Roman,Regular"&amp;12Page &amp;P of &amp;N&amp;R&amp;"Avenir LT Std 55 Roman,Regular"&amp;12&amp;A</oddFooter>
  </headerFooter>
  <ignoredErrors>
    <ignoredError sqref="D30:D36 D28" calculatedColumn="1"/>
  </ignoredErrors>
  <drawing r:id="rId4"/>
  <tableParts count="1">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1"/>
    <pageSetUpPr fitToPage="1"/>
  </sheetPr>
  <dimension ref="A1:L102"/>
  <sheetViews>
    <sheetView showGridLines="0" showWhiteSpace="0" view="pageLayout" zoomScaleNormal="100" zoomScaleSheetLayoutView="30" workbookViewId="0">
      <selection activeCell="F13" sqref="F13:F19"/>
    </sheetView>
  </sheetViews>
  <sheetFormatPr defaultColWidth="9.1796875" defaultRowHeight="15.5" x14ac:dyDescent="0.35"/>
  <cols>
    <col min="1" max="1" width="2.81640625" style="2" customWidth="1"/>
    <col min="2" max="2" width="44.1796875" style="2" customWidth="1"/>
    <col min="3" max="3" width="17.81640625" style="2" customWidth="1"/>
    <col min="4" max="4" width="25.54296875" style="2" bestFit="1" customWidth="1"/>
    <col min="5" max="5" width="10.81640625" style="2" customWidth="1"/>
    <col min="6" max="6" width="34.26953125" style="2" customWidth="1"/>
    <col min="7" max="7" width="12.26953125" style="2" customWidth="1"/>
    <col min="8" max="8" width="46.54296875" style="2" customWidth="1"/>
    <col min="9" max="9" width="3.7265625" style="2" customWidth="1"/>
    <col min="10" max="10" width="43.54296875" style="2" customWidth="1"/>
    <col min="11" max="11" width="5" style="2" customWidth="1"/>
    <col min="12" max="16384" width="9.1796875" style="2"/>
  </cols>
  <sheetData>
    <row r="1" spans="2:10" ht="18.75" customHeight="1" x14ac:dyDescent="0.4">
      <c r="B1" s="11"/>
      <c r="C1" s="11"/>
      <c r="D1" s="12" t="s">
        <v>0</v>
      </c>
      <c r="E1" s="11"/>
      <c r="F1" s="11"/>
      <c r="G1" s="11"/>
      <c r="H1" s="11"/>
    </row>
    <row r="2" spans="2:10" ht="15" customHeight="1" x14ac:dyDescent="0.4">
      <c r="B2" s="11"/>
      <c r="C2" s="11"/>
      <c r="D2" s="12"/>
      <c r="E2" s="11"/>
      <c r="F2" s="11"/>
      <c r="G2" s="11"/>
      <c r="H2" s="11"/>
    </row>
    <row r="3" spans="2:10" ht="18.75" customHeight="1" x14ac:dyDescent="0.4">
      <c r="B3" s="11"/>
      <c r="C3" s="11"/>
      <c r="D3" s="12" t="s">
        <v>504</v>
      </c>
      <c r="E3" s="11"/>
      <c r="F3" s="11"/>
      <c r="G3" s="11"/>
      <c r="H3" s="11"/>
    </row>
    <row r="4" spans="2:10" ht="18.75" customHeight="1" x14ac:dyDescent="0.4">
      <c r="B4" s="11"/>
      <c r="C4" s="11"/>
      <c r="D4" s="20" t="s">
        <v>276</v>
      </c>
      <c r="E4" s="11"/>
      <c r="F4" s="11"/>
      <c r="G4" s="11"/>
      <c r="H4" s="11"/>
    </row>
    <row r="5" spans="2:10" ht="18.75" customHeight="1" x14ac:dyDescent="0.4">
      <c r="B5" s="11"/>
      <c r="C5" s="11"/>
      <c r="D5" s="20" t="s">
        <v>277</v>
      </c>
      <c r="E5" s="11"/>
      <c r="F5" s="11"/>
      <c r="G5" s="11"/>
      <c r="H5" s="11"/>
    </row>
    <row r="6" spans="2:10" ht="15" customHeight="1" x14ac:dyDescent="0.4">
      <c r="B6" s="11"/>
      <c r="C6" s="11"/>
      <c r="D6" s="12"/>
      <c r="E6" s="11"/>
      <c r="F6" s="11"/>
      <c r="G6" s="11"/>
      <c r="H6" s="11"/>
    </row>
    <row r="7" spans="2:10" ht="15" customHeight="1" x14ac:dyDescent="0.4">
      <c r="B7" s="11"/>
      <c r="C7" s="11"/>
      <c r="D7" s="12" t="s">
        <v>1</v>
      </c>
      <c r="E7" s="11"/>
      <c r="F7" s="11"/>
      <c r="G7" s="11"/>
      <c r="H7" s="11"/>
    </row>
    <row r="8" spans="2:10" ht="18.75" customHeight="1" x14ac:dyDescent="0.35"/>
    <row r="9" spans="2:10" ht="15" customHeight="1" x14ac:dyDescent="0.35"/>
    <row r="10" spans="2:10" ht="15" customHeight="1" thickBot="1" x14ac:dyDescent="0.4">
      <c r="B10" s="7" t="s">
        <v>57</v>
      </c>
      <c r="H10" s="7" t="s">
        <v>427</v>
      </c>
      <c r="J10" s="7" t="s">
        <v>435</v>
      </c>
    </row>
    <row r="11" spans="2:10" ht="15" customHeight="1" thickTop="1" x14ac:dyDescent="0.35">
      <c r="B11" s="8" t="s">
        <v>25</v>
      </c>
      <c r="H11" s="8" t="s">
        <v>428</v>
      </c>
      <c r="J11" s="416">
        <v>1985</v>
      </c>
    </row>
    <row r="12" spans="2:10" ht="15" customHeight="1" thickBot="1" x14ac:dyDescent="0.4">
      <c r="B12" s="9" t="s">
        <v>26</v>
      </c>
      <c r="F12" s="7" t="s">
        <v>394</v>
      </c>
      <c r="H12" s="9" t="s">
        <v>429</v>
      </c>
      <c r="J12" s="417">
        <v>1986</v>
      </c>
    </row>
    <row r="13" spans="2:10" ht="15" customHeight="1" thickTop="1" x14ac:dyDescent="0.35">
      <c r="F13" s="8" t="s">
        <v>313</v>
      </c>
      <c r="J13" s="417">
        <v>1987</v>
      </c>
    </row>
    <row r="14" spans="2:10" ht="15" customHeight="1" thickBot="1" x14ac:dyDescent="0.4">
      <c r="B14" s="7" t="s">
        <v>58</v>
      </c>
      <c r="D14" s="7" t="s">
        <v>61</v>
      </c>
      <c r="F14" s="8" t="s">
        <v>63</v>
      </c>
      <c r="H14" s="7" t="s">
        <v>107</v>
      </c>
      <c r="J14" s="416">
        <v>1988</v>
      </c>
    </row>
    <row r="15" spans="2:10" ht="15" customHeight="1" thickTop="1" x14ac:dyDescent="0.35">
      <c r="B15" s="8" t="s">
        <v>59</v>
      </c>
      <c r="D15" s="8" t="s">
        <v>62</v>
      </c>
      <c r="F15" s="8" t="s">
        <v>64</v>
      </c>
      <c r="H15" s="75">
        <v>13123</v>
      </c>
      <c r="J15" s="417">
        <v>1989</v>
      </c>
    </row>
    <row r="16" spans="2:10" ht="15" customHeight="1" x14ac:dyDescent="0.35">
      <c r="B16" s="9" t="s">
        <v>60</v>
      </c>
      <c r="D16" s="8" t="s">
        <v>147</v>
      </c>
      <c r="F16" s="8" t="s">
        <v>148</v>
      </c>
      <c r="H16" s="74" t="s">
        <v>108</v>
      </c>
      <c r="J16" s="417">
        <v>1990</v>
      </c>
    </row>
    <row r="17" spans="2:10" ht="15" customHeight="1" x14ac:dyDescent="0.35">
      <c r="D17" s="8" t="s">
        <v>143</v>
      </c>
      <c r="F17" s="8" t="s">
        <v>65</v>
      </c>
      <c r="H17" s="8" t="s">
        <v>111</v>
      </c>
      <c r="J17" s="416">
        <v>1991</v>
      </c>
    </row>
    <row r="18" spans="2:10" ht="15" customHeight="1" thickBot="1" x14ac:dyDescent="0.4">
      <c r="B18" s="7" t="s">
        <v>331</v>
      </c>
      <c r="D18" s="9" t="s">
        <v>242</v>
      </c>
      <c r="F18" s="8" t="s">
        <v>67</v>
      </c>
      <c r="H18" s="8" t="s">
        <v>109</v>
      </c>
      <c r="J18" s="417">
        <v>1992</v>
      </c>
    </row>
    <row r="19" spans="2:10" ht="15" customHeight="1" thickTop="1" x14ac:dyDescent="0.35">
      <c r="B19" s="8">
        <v>0.65</v>
      </c>
      <c r="F19" s="9" t="s">
        <v>66</v>
      </c>
      <c r="H19" s="9" t="s">
        <v>110</v>
      </c>
      <c r="J19" s="417">
        <v>1993</v>
      </c>
    </row>
    <row r="20" spans="2:10" ht="15" customHeight="1" x14ac:dyDescent="0.35">
      <c r="B20" s="8" t="s">
        <v>333</v>
      </c>
      <c r="J20" s="416">
        <v>1994</v>
      </c>
    </row>
    <row r="21" spans="2:10" ht="15" customHeight="1" thickBot="1" x14ac:dyDescent="0.4">
      <c r="B21" s="8" t="s">
        <v>334</v>
      </c>
      <c r="D21" s="418" t="s">
        <v>393</v>
      </c>
      <c r="F21" s="418" t="s">
        <v>399</v>
      </c>
      <c r="H21" s="418" t="s">
        <v>400</v>
      </c>
      <c r="J21" s="417">
        <v>1995</v>
      </c>
    </row>
    <row r="22" spans="2:10" ht="15" customHeight="1" thickTop="1" x14ac:dyDescent="0.35">
      <c r="B22" s="8" t="s">
        <v>335</v>
      </c>
      <c r="D22" s="417" t="s">
        <v>386</v>
      </c>
      <c r="F22" s="417" t="s">
        <v>398</v>
      </c>
      <c r="H22" s="419">
        <v>1</v>
      </c>
      <c r="J22" s="417">
        <v>1996</v>
      </c>
    </row>
    <row r="23" spans="2:10" ht="15" customHeight="1" x14ac:dyDescent="0.35">
      <c r="B23" s="376" t="s">
        <v>332</v>
      </c>
      <c r="D23" s="416" t="s">
        <v>387</v>
      </c>
      <c r="F23" s="416" t="s">
        <v>397</v>
      </c>
      <c r="H23" s="420">
        <v>2</v>
      </c>
      <c r="J23" s="416">
        <v>1997</v>
      </c>
    </row>
    <row r="24" spans="2:10" ht="15" customHeight="1" x14ac:dyDescent="0.35">
      <c r="D24" s="416" t="s">
        <v>388</v>
      </c>
      <c r="F24" s="416" t="s">
        <v>396</v>
      </c>
      <c r="H24" s="420">
        <v>3</v>
      </c>
      <c r="J24" s="417">
        <v>1998</v>
      </c>
    </row>
    <row r="25" spans="2:10" ht="15" customHeight="1" thickBot="1" x14ac:dyDescent="0.4">
      <c r="B25" s="7" t="s">
        <v>170</v>
      </c>
      <c r="D25" s="416" t="s">
        <v>389</v>
      </c>
      <c r="F25" s="416" t="s">
        <v>395</v>
      </c>
      <c r="H25" s="420" t="s">
        <v>360</v>
      </c>
      <c r="J25" s="417">
        <v>1999</v>
      </c>
    </row>
    <row r="26" spans="2:10" ht="15" customHeight="1" thickTop="1" x14ac:dyDescent="0.35">
      <c r="B26" s="8" t="s">
        <v>171</v>
      </c>
      <c r="D26" s="416" t="s">
        <v>390</v>
      </c>
      <c r="F26" s="416" t="s">
        <v>343</v>
      </c>
      <c r="H26" s="421" t="s">
        <v>349</v>
      </c>
      <c r="J26" s="416">
        <v>2000</v>
      </c>
    </row>
    <row r="27" spans="2:10" ht="15" customHeight="1" x14ac:dyDescent="0.35">
      <c r="B27" s="9" t="s">
        <v>172</v>
      </c>
      <c r="D27" s="416" t="s">
        <v>391</v>
      </c>
      <c r="F27" s="416" t="s">
        <v>342</v>
      </c>
      <c r="H27" s="421" t="s">
        <v>346</v>
      </c>
      <c r="J27" s="417">
        <v>2001</v>
      </c>
    </row>
    <row r="28" spans="2:10" ht="15" customHeight="1" x14ac:dyDescent="0.35">
      <c r="D28" s="416" t="s">
        <v>392</v>
      </c>
      <c r="J28" s="417">
        <v>2002</v>
      </c>
    </row>
    <row r="29" spans="2:10" ht="15" customHeight="1" x14ac:dyDescent="0.35">
      <c r="B29" s="1" t="s">
        <v>234</v>
      </c>
      <c r="F29" s="1" t="s">
        <v>235</v>
      </c>
      <c r="J29" s="416">
        <v>2003</v>
      </c>
    </row>
    <row r="30" spans="2:10" ht="15" customHeight="1" thickBot="1" x14ac:dyDescent="0.4">
      <c r="B30" s="7" t="s">
        <v>239</v>
      </c>
      <c r="C30" s="7" t="s">
        <v>257</v>
      </c>
      <c r="F30" s="7" t="s">
        <v>232</v>
      </c>
      <c r="G30" s="7" t="s">
        <v>233</v>
      </c>
      <c r="J30" s="417">
        <v>2004</v>
      </c>
    </row>
    <row r="31" spans="2:10" ht="15" customHeight="1" thickTop="1" x14ac:dyDescent="0.35">
      <c r="B31" s="8" t="s">
        <v>66</v>
      </c>
      <c r="C31" s="569">
        <f>'Fuel Prices'!C12</f>
        <v>5.94</v>
      </c>
      <c r="F31" s="8" t="s">
        <v>171</v>
      </c>
      <c r="G31" s="8">
        <f>'Fuel Prices'!C31</f>
        <v>0.26100000000000001</v>
      </c>
      <c r="J31" s="417">
        <v>2005</v>
      </c>
    </row>
    <row r="32" spans="2:10" ht="15" customHeight="1" x14ac:dyDescent="0.35">
      <c r="B32" s="8" t="s">
        <v>67</v>
      </c>
      <c r="C32" s="569">
        <f>'Fuel Prices'!C11</f>
        <v>5.53</v>
      </c>
      <c r="F32" s="8" t="s">
        <v>172</v>
      </c>
      <c r="G32" s="8">
        <f>'Fuel Prices'!C27</f>
        <v>0.21490000000000001</v>
      </c>
      <c r="J32" s="416">
        <v>2006</v>
      </c>
    </row>
    <row r="33" spans="2:10" ht="15" customHeight="1" x14ac:dyDescent="0.35">
      <c r="B33" s="8" t="s">
        <v>260</v>
      </c>
      <c r="C33" s="315">
        <f>'Fuel Prices'!C27</f>
        <v>0.21490000000000001</v>
      </c>
      <c r="F33" s="289" t="s">
        <v>237</v>
      </c>
      <c r="G33" s="290"/>
      <c r="J33" s="417">
        <v>2007</v>
      </c>
    </row>
    <row r="34" spans="2:10" ht="15" customHeight="1" x14ac:dyDescent="0.35">
      <c r="B34" s="289" t="s">
        <v>237</v>
      </c>
      <c r="C34" s="290"/>
      <c r="F34" s="293" t="s">
        <v>238</v>
      </c>
      <c r="G34" s="294"/>
      <c r="J34" s="416">
        <v>2008</v>
      </c>
    </row>
    <row r="35" spans="2:10" ht="15" customHeight="1" x14ac:dyDescent="0.35">
      <c r="B35" s="293" t="s">
        <v>238</v>
      </c>
      <c r="C35" s="294"/>
      <c r="F35" s="293" t="s">
        <v>236</v>
      </c>
      <c r="G35" s="294"/>
      <c r="J35" s="417">
        <v>2009</v>
      </c>
    </row>
    <row r="36" spans="2:10" ht="15" customHeight="1" x14ac:dyDescent="0.35">
      <c r="B36" s="293" t="s">
        <v>236</v>
      </c>
      <c r="C36" s="294"/>
      <c r="F36" s="292" t="s">
        <v>6</v>
      </c>
      <c r="G36" s="291"/>
      <c r="J36" s="416">
        <v>2010</v>
      </c>
    </row>
    <row r="37" spans="2:10" ht="15" customHeight="1" x14ac:dyDescent="0.35">
      <c r="B37" s="292" t="s">
        <v>6</v>
      </c>
      <c r="C37" s="291"/>
      <c r="J37" s="417">
        <v>2011</v>
      </c>
    </row>
    <row r="38" spans="2:10" ht="15" customHeight="1" x14ac:dyDescent="0.35">
      <c r="B38" s="295"/>
      <c r="J38" s="416">
        <v>2012</v>
      </c>
    </row>
    <row r="39" spans="2:10" ht="15" customHeight="1" x14ac:dyDescent="0.35">
      <c r="B39" s="313" t="s">
        <v>252</v>
      </c>
      <c r="J39" s="417">
        <v>2013</v>
      </c>
    </row>
    <row r="40" spans="2:10" ht="15" customHeight="1" x14ac:dyDescent="0.35">
      <c r="B40" s="304" t="s">
        <v>258</v>
      </c>
      <c r="C40" s="311" t="s">
        <v>66</v>
      </c>
      <c r="D40" s="311" t="s">
        <v>67</v>
      </c>
      <c r="E40" s="311" t="s">
        <v>65</v>
      </c>
      <c r="F40" s="311" t="s">
        <v>249</v>
      </c>
      <c r="G40" s="311" t="s">
        <v>250</v>
      </c>
      <c r="H40" s="312" t="s">
        <v>251</v>
      </c>
      <c r="J40" s="416">
        <v>2014</v>
      </c>
    </row>
    <row r="41" spans="2:10" ht="15" customHeight="1" thickBot="1" x14ac:dyDescent="0.4">
      <c r="B41" s="314" t="s">
        <v>259</v>
      </c>
      <c r="C41" s="309" t="s">
        <v>248</v>
      </c>
      <c r="D41" s="309" t="s">
        <v>248</v>
      </c>
      <c r="E41" s="309" t="s">
        <v>248</v>
      </c>
      <c r="F41" s="309" t="s">
        <v>254</v>
      </c>
      <c r="G41" s="309" t="s">
        <v>254</v>
      </c>
      <c r="H41" s="310" t="s">
        <v>255</v>
      </c>
      <c r="J41" s="417">
        <v>2015</v>
      </c>
    </row>
    <row r="42" spans="2:10" ht="15" customHeight="1" thickTop="1" x14ac:dyDescent="0.35">
      <c r="B42" s="293" t="s">
        <v>243</v>
      </c>
      <c r="C42" s="212">
        <v>7.3443013525016703</v>
      </c>
      <c r="D42" s="212"/>
      <c r="E42" s="212"/>
      <c r="F42" s="212"/>
      <c r="G42" s="212"/>
      <c r="H42" s="306"/>
      <c r="J42" s="416">
        <v>2016</v>
      </c>
    </row>
    <row r="43" spans="2:10" ht="15" customHeight="1" x14ac:dyDescent="0.35">
      <c r="B43" s="293" t="s">
        <v>245</v>
      </c>
      <c r="C43" s="212"/>
      <c r="D43" s="212">
        <v>8.7414198530895106</v>
      </c>
      <c r="E43" s="212">
        <v>10.926774816361901</v>
      </c>
      <c r="F43" s="212">
        <v>10.926774816361901</v>
      </c>
      <c r="G43" s="212">
        <v>0.92372424243991702</v>
      </c>
      <c r="H43" s="306">
        <v>22.640300059801898</v>
      </c>
      <c r="J43" s="416">
        <v>2017</v>
      </c>
    </row>
    <row r="44" spans="2:10" ht="15" customHeight="1" x14ac:dyDescent="0.35">
      <c r="B44" s="293" t="s">
        <v>246</v>
      </c>
      <c r="C44" s="212"/>
      <c r="D44" s="212">
        <v>9.9709991903023898</v>
      </c>
      <c r="E44" s="212">
        <v>12.463748987878001</v>
      </c>
      <c r="F44" s="212">
        <v>12.463748987878001</v>
      </c>
      <c r="G44" s="212">
        <v>1.0536564800941099</v>
      </c>
      <c r="H44" s="306">
        <v>25.824913727796901</v>
      </c>
      <c r="J44" s="417">
        <v>2018</v>
      </c>
    </row>
    <row r="45" spans="2:10" ht="15" customHeight="1" x14ac:dyDescent="0.35">
      <c r="B45" s="293" t="s">
        <v>247</v>
      </c>
      <c r="C45" s="212"/>
      <c r="D45" s="212">
        <v>34.414753544996103</v>
      </c>
      <c r="E45" s="212">
        <v>43.0184419312451</v>
      </c>
      <c r="F45" s="212">
        <v>43.0184419312451</v>
      </c>
      <c r="G45" s="212">
        <v>3.6366794732862999</v>
      </c>
      <c r="H45" s="306">
        <v>89.134300815840604</v>
      </c>
      <c r="J45" s="416">
        <v>2019</v>
      </c>
    </row>
    <row r="46" spans="2:10" ht="15" customHeight="1" x14ac:dyDescent="0.35">
      <c r="B46" s="293" t="s">
        <v>253</v>
      </c>
      <c r="C46" s="212"/>
      <c r="D46" s="212"/>
      <c r="E46" s="212"/>
      <c r="F46" s="212">
        <v>0.4</v>
      </c>
      <c r="G46" s="212"/>
      <c r="H46" s="306"/>
      <c r="J46" s="417">
        <v>2020</v>
      </c>
    </row>
    <row r="47" spans="2:10" ht="15" customHeight="1" x14ac:dyDescent="0.35">
      <c r="B47" s="303" t="s">
        <v>244</v>
      </c>
      <c r="C47" s="307"/>
      <c r="D47" s="307"/>
      <c r="E47" s="307"/>
      <c r="F47" s="307"/>
      <c r="G47" s="307"/>
      <c r="H47" s="308"/>
      <c r="J47" s="416">
        <v>2021</v>
      </c>
    </row>
    <row r="48" spans="2:10" ht="15" customHeight="1" x14ac:dyDescent="0.35">
      <c r="B48" s="301" t="s">
        <v>102</v>
      </c>
      <c r="C48" s="106"/>
      <c r="D48" s="106"/>
      <c r="E48" s="106"/>
      <c r="F48" s="106"/>
      <c r="G48" s="106"/>
      <c r="H48" s="294"/>
      <c r="J48" s="416">
        <v>2022</v>
      </c>
    </row>
    <row r="49" spans="1:12" ht="15" customHeight="1" x14ac:dyDescent="0.35">
      <c r="B49" s="302" t="s">
        <v>103</v>
      </c>
      <c r="C49" s="305"/>
      <c r="D49" s="305"/>
      <c r="E49" s="305"/>
      <c r="F49" s="305"/>
      <c r="G49" s="305"/>
      <c r="H49" s="291"/>
      <c r="J49" s="417">
        <v>2023</v>
      </c>
    </row>
    <row r="50" spans="1:12" ht="15" customHeight="1" x14ac:dyDescent="0.35">
      <c r="B50" s="297"/>
      <c r="J50" s="416">
        <v>2024</v>
      </c>
    </row>
    <row r="51" spans="1:12" ht="15" customHeight="1" thickBot="1" x14ac:dyDescent="0.4">
      <c r="B51" s="7" t="s">
        <v>57</v>
      </c>
      <c r="J51" s="416">
        <v>2025</v>
      </c>
    </row>
    <row r="52" spans="1:12" ht="15" customHeight="1" thickTop="1" x14ac:dyDescent="0.35">
      <c r="B52" s="8" t="s">
        <v>526</v>
      </c>
      <c r="J52" s="417">
        <v>2026</v>
      </c>
    </row>
    <row r="53" spans="1:12" ht="15" customHeight="1" x14ac:dyDescent="0.35">
      <c r="B53" s="8" t="s">
        <v>527</v>
      </c>
      <c r="J53" s="416">
        <v>2027</v>
      </c>
    </row>
    <row r="54" spans="1:12" ht="15" customHeight="1" x14ac:dyDescent="0.35">
      <c r="B54" s="8" t="s">
        <v>528</v>
      </c>
      <c r="J54" s="416">
        <v>2028</v>
      </c>
    </row>
    <row r="55" spans="1:12" ht="15" customHeight="1" x14ac:dyDescent="0.35">
      <c r="B55" s="9" t="s">
        <v>529</v>
      </c>
      <c r="J55" s="417">
        <v>2029</v>
      </c>
    </row>
    <row r="56" spans="1:12" ht="15" customHeight="1" x14ac:dyDescent="0.35">
      <c r="D56" s="4"/>
      <c r="F56" s="4"/>
      <c r="G56" s="4"/>
      <c r="J56" s="416">
        <v>2030</v>
      </c>
    </row>
    <row r="57" spans="1:12" ht="15" customHeight="1" thickBot="1" x14ac:dyDescent="0.4">
      <c r="A57" s="4"/>
      <c r="B57" s="567" t="s">
        <v>3540</v>
      </c>
      <c r="C57" s="568"/>
      <c r="E57" s="4"/>
      <c r="H57" s="4"/>
      <c r="I57" s="4"/>
      <c r="J57" s="5"/>
      <c r="K57" s="5"/>
      <c r="L57" s="4"/>
    </row>
    <row r="58" spans="1:12" ht="15" customHeight="1" thickTop="1" x14ac:dyDescent="0.35">
      <c r="B58" s="293" t="s">
        <v>3535</v>
      </c>
      <c r="C58" s="294">
        <v>19.7</v>
      </c>
    </row>
    <row r="59" spans="1:12" ht="15" customHeight="1" x14ac:dyDescent="0.35">
      <c r="B59" s="566" t="s">
        <v>3541</v>
      </c>
      <c r="C59" s="291">
        <v>2</v>
      </c>
    </row>
    <row r="60" spans="1:12" ht="15" customHeight="1" x14ac:dyDescent="0.35"/>
    <row r="61" spans="1:12" ht="15" customHeight="1" x14ac:dyDescent="0.35"/>
    <row r="62" spans="1:12" ht="15" customHeight="1" x14ac:dyDescent="0.35"/>
    <row r="63" spans="1:12" ht="15" customHeight="1" x14ac:dyDescent="0.35">
      <c r="C63" s="4"/>
    </row>
    <row r="64" spans="1:12" ht="15" customHeight="1" x14ac:dyDescent="0.35">
      <c r="B64" s="4"/>
    </row>
    <row r="65" spans="2:2" ht="15" customHeight="1" x14ac:dyDescent="0.35">
      <c r="B65" s="4"/>
    </row>
    <row r="66" spans="2:2" ht="15" customHeight="1" x14ac:dyDescent="0.35">
      <c r="B66" s="4"/>
    </row>
    <row r="67" spans="2:2" ht="15" customHeight="1" x14ac:dyDescent="0.35">
      <c r="B67" s="4"/>
    </row>
    <row r="68" spans="2:2" ht="15" customHeight="1" x14ac:dyDescent="0.35"/>
    <row r="69" spans="2:2" ht="15" customHeight="1" x14ac:dyDescent="0.35"/>
    <row r="70" spans="2:2" ht="15" customHeight="1" x14ac:dyDescent="0.35"/>
    <row r="71" spans="2:2" ht="15" customHeight="1" x14ac:dyDescent="0.35"/>
    <row r="72" spans="2:2" ht="15" customHeight="1" x14ac:dyDescent="0.35"/>
    <row r="73" spans="2:2" ht="15" customHeight="1" x14ac:dyDescent="0.35"/>
    <row r="74" spans="2:2" ht="15" customHeight="1" x14ac:dyDescent="0.35"/>
    <row r="75" spans="2:2" ht="15" customHeight="1" x14ac:dyDescent="0.35"/>
    <row r="76" spans="2:2" ht="15" customHeight="1" x14ac:dyDescent="0.35"/>
    <row r="77" spans="2:2" ht="15" customHeight="1" x14ac:dyDescent="0.35"/>
    <row r="78" spans="2:2" ht="15" customHeight="1" x14ac:dyDescent="0.35"/>
    <row r="79" spans="2:2" ht="15" customHeight="1" x14ac:dyDescent="0.35"/>
    <row r="80" spans="2:2"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sheetData>
  <sheetProtection algorithmName="SHA-512" hashValue="9KeP3CYiscmgH1POiE8QgyhCPacGWPdbKPCXnIdX6h42dPXBK3HdmMG06Vu9/HM36XJJHDVD7aFJYhJa/rQ0mw==" saltValue="3PeM1sw05SXTywujTmovdA==" spinCount="100000" sheet="1"/>
  <hyperlinks>
    <hyperlink ref="B37" r:id="rId1" tooltip="California Climate Investments Co-benefit Assessment Methodologies" xr:uid="{00000000-0004-0000-1100-000000000000}"/>
    <hyperlink ref="B49" r:id="rId2" tooltip="EMFAC2017 Database" xr:uid="{00000000-0004-0000-1100-000001000000}"/>
    <hyperlink ref="F36" r:id="rId3" tooltip="California Climate Investments Co-benefit Assessment Methodologies" xr:uid="{00000000-0004-0000-1100-000002000000}"/>
    <hyperlink ref="B23" r:id="rId4" xr:uid="{00000000-0004-0000-1100-000003000000}"/>
  </hyperlinks>
  <pageMargins left="0.7" right="0.7" top="0.98479166666666662" bottom="0.75" header="0.3" footer="0.3"/>
  <pageSetup scale="50" fitToHeight="0" orientation="landscape" r:id="rId5"/>
  <headerFooter>
    <oddFooter>&amp;L&amp;"Avenir LT Std 55 Roman,Regular"&amp;12&amp;K000000FINAL June 1, 2022&amp;C&amp;"Avenir LT Std 55 Roman,Regular"&amp;12Page &amp;P of &amp;N&amp;R&amp;"Avenir LT Std 55 Roman,Regular"&amp;12&amp;K000000&amp;A</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DD7FC-E8C3-4B3C-B7B1-7FB1F51DAA23}">
  <sheetPr codeName="Sheet21">
    <tabColor theme="1"/>
  </sheetPr>
  <dimension ref="A1:K2712"/>
  <sheetViews>
    <sheetView topLeftCell="A36" workbookViewId="0">
      <selection activeCell="L67" sqref="L67"/>
    </sheetView>
  </sheetViews>
  <sheetFormatPr defaultRowHeight="14.5" x14ac:dyDescent="0.35"/>
  <cols>
    <col min="1" max="1" width="34.54296875" customWidth="1"/>
    <col min="2" max="2" width="17.81640625" customWidth="1"/>
    <col min="3" max="3" width="37.81640625" customWidth="1"/>
    <col min="4" max="4" width="22.81640625" customWidth="1"/>
    <col min="5" max="5" width="18.7265625" customWidth="1"/>
    <col min="6" max="6" width="15.1796875" customWidth="1"/>
    <col min="9" max="9" width="16.1796875" customWidth="1"/>
  </cols>
  <sheetData>
    <row r="1" spans="1:11" x14ac:dyDescent="0.35">
      <c r="A1" s="21"/>
      <c r="B1" s="78"/>
      <c r="C1" s="21"/>
      <c r="D1" s="21"/>
      <c r="E1" s="21"/>
      <c r="F1" s="21"/>
      <c r="G1" s="21"/>
      <c r="H1" s="21"/>
      <c r="I1" s="21"/>
      <c r="J1" s="21"/>
      <c r="K1" s="21"/>
    </row>
    <row r="2" spans="1:11" ht="18" x14ac:dyDescent="0.4">
      <c r="A2" s="21"/>
      <c r="B2" s="78"/>
      <c r="C2" s="21"/>
      <c r="D2" s="23" t="s">
        <v>0</v>
      </c>
      <c r="E2" s="21"/>
      <c r="F2" s="21"/>
      <c r="G2" s="21"/>
      <c r="H2" s="21"/>
      <c r="I2" s="23"/>
      <c r="J2" s="21"/>
      <c r="K2" s="21"/>
    </row>
    <row r="3" spans="1:11" ht="18" x14ac:dyDescent="0.4">
      <c r="A3" s="21"/>
      <c r="B3" s="78"/>
      <c r="C3" s="21"/>
      <c r="D3" s="24" t="s">
        <v>1</v>
      </c>
      <c r="E3" s="21"/>
      <c r="F3" s="21"/>
      <c r="G3" s="21"/>
      <c r="H3" s="21"/>
      <c r="I3" s="24"/>
      <c r="J3" s="21"/>
      <c r="K3" s="21"/>
    </row>
    <row r="4" spans="1:11" ht="18" x14ac:dyDescent="0.4">
      <c r="A4" s="21"/>
      <c r="B4" s="78"/>
      <c r="C4" s="21"/>
      <c r="D4" s="25" t="s">
        <v>70</v>
      </c>
      <c r="E4" s="21"/>
      <c r="F4" s="21"/>
      <c r="G4" s="21"/>
      <c r="H4" s="21"/>
      <c r="I4" s="21"/>
      <c r="J4" s="21"/>
      <c r="K4" s="21"/>
    </row>
    <row r="5" spans="1:11" x14ac:dyDescent="0.35">
      <c r="A5" s="21"/>
      <c r="B5" s="78"/>
      <c r="C5" s="21"/>
      <c r="D5" s="21"/>
      <c r="E5" s="21"/>
      <c r="F5" s="21"/>
      <c r="G5" s="21"/>
      <c r="H5" s="21"/>
      <c r="I5" s="21"/>
      <c r="J5" s="21"/>
      <c r="K5" s="21"/>
    </row>
    <row r="6" spans="1:11" x14ac:dyDescent="0.35">
      <c r="A6" s="21"/>
      <c r="B6" s="78"/>
      <c r="C6" s="21"/>
      <c r="D6" s="21"/>
      <c r="E6" s="21"/>
      <c r="F6" s="21"/>
      <c r="G6" s="21"/>
      <c r="H6" s="21"/>
      <c r="I6" s="21"/>
      <c r="J6" s="21"/>
      <c r="K6" s="21"/>
    </row>
    <row r="7" spans="1:11" x14ac:dyDescent="0.35">
      <c r="A7" s="21"/>
      <c r="B7" s="78"/>
      <c r="C7" s="21"/>
      <c r="D7" s="21"/>
      <c r="E7" s="21"/>
      <c r="F7" s="21"/>
      <c r="G7" s="21"/>
      <c r="H7" s="21"/>
      <c r="I7" s="21"/>
      <c r="J7" s="21"/>
      <c r="K7" s="21"/>
    </row>
    <row r="8" spans="1:11" ht="16" thickBot="1" x14ac:dyDescent="0.4">
      <c r="A8" s="1" t="s">
        <v>773</v>
      </c>
      <c r="B8" s="21"/>
      <c r="C8" s="21"/>
      <c r="D8" s="21"/>
      <c r="E8" s="21"/>
      <c r="F8" s="21"/>
      <c r="G8" s="21"/>
      <c r="H8" s="21"/>
      <c r="I8" s="21"/>
      <c r="J8" s="21"/>
      <c r="K8" s="21"/>
    </row>
    <row r="9" spans="1:11" ht="15.5" x14ac:dyDescent="0.35">
      <c r="A9" s="443" t="s">
        <v>774</v>
      </c>
      <c r="B9" s="444"/>
      <c r="C9" s="444"/>
      <c r="D9" s="445" t="s">
        <v>775</v>
      </c>
      <c r="E9" s="444"/>
      <c r="F9" s="444"/>
      <c r="G9" s="444"/>
      <c r="H9" s="444"/>
      <c r="I9" s="446"/>
      <c r="J9" s="21"/>
      <c r="K9" s="21"/>
    </row>
    <row r="10" spans="1:11" ht="15.5" x14ac:dyDescent="0.35">
      <c r="A10" s="447" t="s">
        <v>0</v>
      </c>
      <c r="B10" s="448"/>
      <c r="C10" s="448"/>
      <c r="D10" s="449" t="s">
        <v>776</v>
      </c>
      <c r="E10" s="448"/>
      <c r="F10" s="448"/>
      <c r="G10" s="448"/>
      <c r="H10" s="448"/>
      <c r="I10" s="450"/>
      <c r="J10" s="21"/>
      <c r="K10" s="21"/>
    </row>
    <row r="11" spans="1:11" ht="15.5" x14ac:dyDescent="0.35">
      <c r="A11" s="447" t="s">
        <v>0</v>
      </c>
      <c r="B11" s="448"/>
      <c r="C11" s="448"/>
      <c r="D11" s="449" t="s">
        <v>777</v>
      </c>
      <c r="E11" s="448"/>
      <c r="F11" s="448"/>
      <c r="G11" s="448"/>
      <c r="H11" s="448"/>
      <c r="I11" s="450"/>
      <c r="J11" s="21"/>
      <c r="K11" s="21"/>
    </row>
    <row r="12" spans="1:11" ht="15.5" x14ac:dyDescent="0.35">
      <c r="A12" s="447" t="s">
        <v>0</v>
      </c>
      <c r="B12" s="448"/>
      <c r="C12" s="448"/>
      <c r="D12" s="451" t="s">
        <v>778</v>
      </c>
      <c r="E12" s="448"/>
      <c r="F12" s="448"/>
      <c r="G12" s="448"/>
      <c r="H12" s="448"/>
      <c r="I12" s="450"/>
      <c r="J12" s="21"/>
      <c r="K12" s="21"/>
    </row>
    <row r="13" spans="1:11" ht="15.5" x14ac:dyDescent="0.35">
      <c r="A13" s="447" t="s">
        <v>779</v>
      </c>
      <c r="B13" s="448"/>
      <c r="C13" s="448"/>
      <c r="D13" s="449" t="s">
        <v>780</v>
      </c>
      <c r="E13" s="448"/>
      <c r="F13" s="448"/>
      <c r="G13" s="448"/>
      <c r="H13" s="448"/>
      <c r="I13" s="450"/>
      <c r="J13" s="21"/>
      <c r="K13" s="21"/>
    </row>
    <row r="14" spans="1:11" ht="15.5" x14ac:dyDescent="0.35">
      <c r="A14" s="447" t="s">
        <v>781</v>
      </c>
      <c r="B14" s="448"/>
      <c r="C14" s="448"/>
      <c r="D14" s="449" t="s">
        <v>782</v>
      </c>
      <c r="E14" s="448"/>
      <c r="F14" s="448"/>
      <c r="G14" s="448"/>
      <c r="H14" s="448"/>
      <c r="I14" s="450"/>
      <c r="J14" s="21"/>
      <c r="K14" s="21"/>
    </row>
    <row r="15" spans="1:11" ht="15.5" x14ac:dyDescent="0.35">
      <c r="A15" s="447" t="s">
        <v>783</v>
      </c>
      <c r="B15" s="448"/>
      <c r="C15" s="448"/>
      <c r="D15" s="449" t="s">
        <v>784</v>
      </c>
      <c r="E15" s="448"/>
      <c r="F15" s="448"/>
      <c r="G15" s="448"/>
      <c r="H15" s="448"/>
      <c r="I15" s="450"/>
      <c r="J15" s="21"/>
      <c r="K15" s="21"/>
    </row>
    <row r="16" spans="1:11" ht="15.5" x14ac:dyDescent="0.35">
      <c r="A16" s="447" t="s">
        <v>785</v>
      </c>
      <c r="B16" s="448"/>
      <c r="C16" s="448"/>
      <c r="D16" s="449" t="s">
        <v>786</v>
      </c>
      <c r="E16" s="448"/>
      <c r="F16" s="448"/>
      <c r="G16" s="448"/>
      <c r="H16" s="448"/>
      <c r="I16" s="450"/>
      <c r="J16" s="21"/>
      <c r="K16" s="21"/>
    </row>
    <row r="17" spans="1:11" ht="15.5" x14ac:dyDescent="0.35">
      <c r="A17" s="447" t="s">
        <v>785</v>
      </c>
      <c r="B17" s="448"/>
      <c r="C17" s="448"/>
      <c r="D17" s="449" t="s">
        <v>787</v>
      </c>
      <c r="E17" s="448"/>
      <c r="F17" s="448"/>
      <c r="G17" s="448"/>
      <c r="H17" s="448"/>
      <c r="I17" s="450"/>
      <c r="J17" s="21"/>
      <c r="K17" s="21"/>
    </row>
    <row r="18" spans="1:11" ht="15.5" x14ac:dyDescent="0.35">
      <c r="A18" s="447" t="s">
        <v>785</v>
      </c>
      <c r="B18" s="448"/>
      <c r="C18" s="448"/>
      <c r="D18" s="449" t="s">
        <v>788</v>
      </c>
      <c r="E18" s="448"/>
      <c r="F18" s="448"/>
      <c r="G18" s="448"/>
      <c r="H18" s="448"/>
      <c r="I18" s="450"/>
      <c r="J18" s="21"/>
      <c r="K18" s="21"/>
    </row>
    <row r="19" spans="1:11" ht="16" thickBot="1" x14ac:dyDescent="0.4">
      <c r="A19" s="452" t="s">
        <v>789</v>
      </c>
      <c r="B19" s="453"/>
      <c r="C19" s="453"/>
      <c r="D19" s="454" t="s">
        <v>790</v>
      </c>
      <c r="E19" s="453"/>
      <c r="F19" s="453"/>
      <c r="G19" s="453"/>
      <c r="H19" s="453"/>
      <c r="I19" s="455"/>
      <c r="J19" s="21"/>
      <c r="K19" s="21"/>
    </row>
    <row r="20" spans="1:11" ht="15" thickBot="1" x14ac:dyDescent="0.4">
      <c r="A20" s="21"/>
      <c r="B20" s="78"/>
      <c r="C20" s="21"/>
      <c r="D20" s="21"/>
      <c r="E20" s="21"/>
      <c r="F20" s="21"/>
      <c r="G20" s="21"/>
      <c r="H20" s="21"/>
      <c r="I20" s="21"/>
      <c r="J20" s="21"/>
      <c r="K20" s="21"/>
    </row>
    <row r="21" spans="1:11" ht="15.5" x14ac:dyDescent="0.35">
      <c r="A21" s="456" t="s">
        <v>791</v>
      </c>
      <c r="B21" s="457"/>
      <c r="C21" s="457"/>
      <c r="D21" s="457"/>
      <c r="E21" s="457"/>
      <c r="F21" s="457"/>
      <c r="G21" s="457"/>
      <c r="H21" s="457"/>
      <c r="I21" s="458"/>
      <c r="J21" s="21"/>
      <c r="K21" s="21"/>
    </row>
    <row r="22" spans="1:11" ht="15.5" x14ac:dyDescent="0.35">
      <c r="A22" s="459" t="s">
        <v>92</v>
      </c>
      <c r="B22" s="460"/>
      <c r="C22" s="460"/>
      <c r="D22" s="460"/>
      <c r="E22" s="460"/>
      <c r="F22" s="460"/>
      <c r="G22" s="460"/>
      <c r="H22" s="460"/>
      <c r="I22" s="461"/>
      <c r="J22" s="21"/>
      <c r="K22" s="21"/>
    </row>
    <row r="23" spans="1:11" ht="15.5" x14ac:dyDescent="0.35">
      <c r="A23" s="26" t="s">
        <v>792</v>
      </c>
      <c r="B23" s="107"/>
      <c r="C23" s="2"/>
      <c r="D23" s="2"/>
      <c r="E23" s="2"/>
      <c r="F23" s="2"/>
      <c r="G23" s="2"/>
      <c r="H23" s="2"/>
      <c r="I23" s="16"/>
      <c r="J23" s="21"/>
      <c r="K23" s="21"/>
    </row>
    <row r="24" spans="1:11" ht="15.5" x14ac:dyDescent="0.35">
      <c r="A24" s="26" t="s">
        <v>793</v>
      </c>
      <c r="B24" s="107"/>
      <c r="C24" s="2"/>
      <c r="D24" s="2"/>
      <c r="E24" s="2"/>
      <c r="F24" s="2"/>
      <c r="G24" s="2"/>
      <c r="H24" s="2"/>
      <c r="I24" s="16"/>
      <c r="J24" s="21"/>
      <c r="K24" s="21"/>
    </row>
    <row r="25" spans="1:11" ht="15.5" x14ac:dyDescent="0.35">
      <c r="A25" s="26" t="s">
        <v>99</v>
      </c>
      <c r="B25" s="107"/>
      <c r="C25" s="2"/>
      <c r="D25" s="2"/>
      <c r="E25" s="2"/>
      <c r="F25" s="2"/>
      <c r="G25" s="2"/>
      <c r="H25" s="2"/>
      <c r="I25" s="16"/>
      <c r="J25" s="21"/>
      <c r="K25" s="21"/>
    </row>
    <row r="26" spans="1:11" ht="15.5" x14ac:dyDescent="0.35">
      <c r="A26" s="50" t="s">
        <v>794</v>
      </c>
      <c r="B26" s="22"/>
      <c r="C26" s="22"/>
      <c r="D26" s="22"/>
      <c r="E26" s="22"/>
      <c r="F26" s="22"/>
      <c r="G26" s="22"/>
      <c r="H26" s="22"/>
      <c r="I26" s="273"/>
      <c r="J26" s="21"/>
      <c r="K26" s="21"/>
    </row>
    <row r="27" spans="1:11" ht="15.5" x14ac:dyDescent="0.35">
      <c r="A27" s="50" t="s">
        <v>795</v>
      </c>
      <c r="B27" s="22"/>
      <c r="C27" s="22"/>
      <c r="D27" s="22"/>
      <c r="E27" s="22"/>
      <c r="F27" s="22"/>
      <c r="G27" s="22"/>
      <c r="H27" s="22"/>
      <c r="I27" s="273"/>
      <c r="J27" s="21"/>
      <c r="K27" s="21"/>
    </row>
    <row r="28" spans="1:11" ht="15.5" x14ac:dyDescent="0.35">
      <c r="A28" s="26" t="s">
        <v>100</v>
      </c>
      <c r="B28" s="107"/>
      <c r="C28" s="2"/>
      <c r="D28" s="2"/>
      <c r="E28" s="2"/>
      <c r="F28" s="2"/>
      <c r="G28" s="2"/>
      <c r="H28" s="2"/>
      <c r="I28" s="16"/>
      <c r="J28" s="21"/>
      <c r="K28" s="21"/>
    </row>
    <row r="29" spans="1:11" ht="15.5" x14ac:dyDescent="0.35">
      <c r="A29" s="26" t="s">
        <v>126</v>
      </c>
      <c r="B29" s="107"/>
      <c r="C29" s="2"/>
      <c r="D29" s="2"/>
      <c r="E29" s="2"/>
      <c r="F29" s="2"/>
      <c r="G29" s="2"/>
      <c r="H29" s="2"/>
      <c r="I29" s="16"/>
      <c r="J29" s="21"/>
      <c r="K29" s="21"/>
    </row>
    <row r="30" spans="1:11" ht="15.5" x14ac:dyDescent="0.35">
      <c r="A30" s="26" t="s">
        <v>796</v>
      </c>
      <c r="B30" s="107"/>
      <c r="C30" s="2"/>
      <c r="D30" s="2"/>
      <c r="E30" s="2"/>
      <c r="F30" s="2"/>
      <c r="G30" s="2"/>
      <c r="H30" s="2"/>
      <c r="I30" s="16"/>
      <c r="J30" s="21"/>
      <c r="K30" s="21"/>
    </row>
    <row r="31" spans="1:11" ht="15.5" x14ac:dyDescent="0.35">
      <c r="A31" s="26" t="s">
        <v>101</v>
      </c>
      <c r="B31" s="107"/>
      <c r="C31" s="2"/>
      <c r="D31" s="2"/>
      <c r="E31" s="2"/>
      <c r="F31" s="2"/>
      <c r="G31" s="2"/>
      <c r="H31" s="2"/>
      <c r="I31" s="16"/>
      <c r="J31" s="21"/>
      <c r="K31" s="21"/>
    </row>
    <row r="32" spans="1:11" ht="15.5" x14ac:dyDescent="0.35">
      <c r="A32" s="26" t="s">
        <v>797</v>
      </c>
      <c r="B32" s="107"/>
      <c r="C32" s="2"/>
      <c r="D32" s="2"/>
      <c r="E32" s="2"/>
      <c r="F32" s="2"/>
      <c r="G32" s="2"/>
      <c r="H32" s="2"/>
      <c r="I32" s="16"/>
      <c r="J32" s="21"/>
      <c r="K32" s="21"/>
    </row>
    <row r="33" spans="1:11" ht="15.5" x14ac:dyDescent="0.35">
      <c r="A33" s="26" t="s">
        <v>798</v>
      </c>
      <c r="B33" s="2"/>
      <c r="C33" s="2"/>
      <c r="D33" s="2"/>
      <c r="E33" s="2"/>
      <c r="F33" s="2"/>
      <c r="G33" s="2"/>
      <c r="H33" s="2"/>
      <c r="I33" s="16"/>
      <c r="J33" s="21"/>
      <c r="K33" s="21"/>
    </row>
    <row r="34" spans="1:11" ht="15.5" x14ac:dyDescent="0.35">
      <c r="A34" s="50" t="s">
        <v>102</v>
      </c>
      <c r="B34" s="2"/>
      <c r="C34" s="2"/>
      <c r="D34" s="2"/>
      <c r="E34" s="2"/>
      <c r="F34" s="2"/>
      <c r="G34" s="2"/>
      <c r="H34" s="2"/>
      <c r="I34" s="16"/>
      <c r="J34" s="21"/>
      <c r="K34" s="21"/>
    </row>
    <row r="35" spans="1:11" ht="16" thickBot="1" x14ac:dyDescent="0.4">
      <c r="A35" s="63" t="s">
        <v>103</v>
      </c>
      <c r="B35" s="17"/>
      <c r="C35" s="17"/>
      <c r="D35" s="17"/>
      <c r="E35" s="17"/>
      <c r="F35" s="17"/>
      <c r="G35" s="17"/>
      <c r="H35" s="17"/>
      <c r="I35" s="18"/>
      <c r="J35" s="21"/>
      <c r="K35" s="21"/>
    </row>
    <row r="36" spans="1:11" ht="15.5" x14ac:dyDescent="0.35">
      <c r="A36" s="462"/>
      <c r="B36" s="107"/>
      <c r="C36" s="2"/>
      <c r="D36" s="462"/>
      <c r="E36" s="462"/>
      <c r="F36" s="2"/>
      <c r="G36" s="2"/>
      <c r="H36" s="2"/>
      <c r="I36" s="21"/>
      <c r="J36" s="21"/>
      <c r="K36" s="21"/>
    </row>
    <row r="37" spans="1:11" ht="15.5" x14ac:dyDescent="0.35">
      <c r="A37" s="463" t="s">
        <v>799</v>
      </c>
      <c r="B37" s="464"/>
      <c r="C37" s="464"/>
      <c r="D37" s="464"/>
      <c r="E37" s="464"/>
      <c r="F37" s="464"/>
      <c r="G37" s="464"/>
      <c r="H37" s="464"/>
      <c r="I37" s="464"/>
      <c r="J37" s="21"/>
      <c r="K37" s="21"/>
    </row>
    <row r="38" spans="1:11" ht="15.5" x14ac:dyDescent="0.35">
      <c r="A38" s="464" t="s">
        <v>800</v>
      </c>
      <c r="B38" s="464"/>
      <c r="C38" s="464"/>
      <c r="D38" s="464"/>
      <c r="E38" s="464"/>
      <c r="F38" s="464"/>
      <c r="G38" s="464"/>
      <c r="H38" s="464"/>
      <c r="I38" s="464"/>
      <c r="J38" s="21"/>
      <c r="K38" s="21"/>
    </row>
    <row r="39" spans="1:11" ht="17.5" x14ac:dyDescent="0.35">
      <c r="A39" s="464" t="s">
        <v>801</v>
      </c>
      <c r="B39" s="464"/>
      <c r="C39" s="464"/>
      <c r="D39" s="464"/>
      <c r="E39" s="464"/>
      <c r="F39" s="464"/>
      <c r="G39" s="464"/>
      <c r="H39" s="464"/>
      <c r="I39" s="464"/>
      <c r="J39" s="21"/>
      <c r="K39" s="21"/>
    </row>
    <row r="40" spans="1:11" ht="17.5" x14ac:dyDescent="0.35">
      <c r="A40" s="464" t="s">
        <v>802</v>
      </c>
      <c r="B40" s="464"/>
      <c r="C40" s="464"/>
      <c r="D40" s="464"/>
      <c r="E40" s="464"/>
      <c r="F40" s="464"/>
      <c r="G40" s="464"/>
      <c r="H40" s="464"/>
      <c r="I40" s="464"/>
      <c r="J40" s="21"/>
      <c r="K40" s="21"/>
    </row>
    <row r="41" spans="1:11" ht="15.5" x14ac:dyDescent="0.35">
      <c r="A41" s="464" t="s">
        <v>803</v>
      </c>
      <c r="B41" s="464"/>
      <c r="C41" s="464"/>
      <c r="D41" s="464"/>
      <c r="E41" s="464"/>
      <c r="F41" s="464"/>
      <c r="G41" s="464"/>
      <c r="H41" s="464"/>
      <c r="I41" s="464"/>
      <c r="J41" s="21"/>
      <c r="K41" s="21"/>
    </row>
    <row r="42" spans="1:11" ht="17.5" x14ac:dyDescent="0.35">
      <c r="A42" s="464" t="s">
        <v>804</v>
      </c>
      <c r="B42" s="464"/>
      <c r="C42" s="464"/>
      <c r="D42" s="464"/>
      <c r="E42" s="464"/>
      <c r="F42" s="464"/>
      <c r="G42" s="464"/>
      <c r="H42" s="464"/>
      <c r="I42" s="464"/>
      <c r="J42" s="21"/>
      <c r="K42" s="21"/>
    </row>
    <row r="43" spans="1:11" ht="15.5" x14ac:dyDescent="0.35">
      <c r="A43" s="464"/>
      <c r="B43" s="464"/>
      <c r="C43" s="464"/>
      <c r="D43" s="464"/>
      <c r="E43" s="464"/>
      <c r="F43" s="464"/>
      <c r="G43" s="464"/>
      <c r="H43" s="464"/>
      <c r="I43" s="464"/>
      <c r="J43" s="21"/>
      <c r="K43" s="21"/>
    </row>
    <row r="44" spans="1:11" ht="16" thickBot="1" x14ac:dyDescent="0.4">
      <c r="A44" s="35"/>
      <c r="B44" s="35"/>
      <c r="C44" s="35"/>
      <c r="D44" s="35"/>
      <c r="E44" s="35"/>
      <c r="F44" s="35"/>
      <c r="G44" s="35"/>
      <c r="H44" s="35"/>
      <c r="I44" s="35"/>
      <c r="J44" s="21"/>
      <c r="K44" s="21"/>
    </row>
    <row r="45" spans="1:11" ht="18" thickBot="1" x14ac:dyDescent="0.4">
      <c r="A45" s="483" t="s">
        <v>805</v>
      </c>
      <c r="B45" s="484" t="s">
        <v>806</v>
      </c>
      <c r="C45" s="485" t="s">
        <v>807</v>
      </c>
      <c r="D45" s="486" t="s">
        <v>808</v>
      </c>
      <c r="E45" s="2"/>
      <c r="F45" s="2"/>
      <c r="G45" s="2"/>
      <c r="H45" s="2"/>
      <c r="I45" s="21"/>
      <c r="J45" s="21"/>
      <c r="K45" s="21"/>
    </row>
    <row r="46" spans="1:11" ht="15.5" x14ac:dyDescent="0.35">
      <c r="A46" s="465" t="s">
        <v>3533</v>
      </c>
      <c r="B46" s="466">
        <v>2015</v>
      </c>
      <c r="C46" s="492" t="str">
        <f t="shared" ref="C46:C81" si="0">CONCATENATE(A46,"_",B46)</f>
        <v>Statewide_Average_2015</v>
      </c>
      <c r="D46" s="467">
        <f>AVERAGE(D82,D118,D154,D190,D226,D262,D298,D334,D370,D406,D442,D478,D514,D550,D586,D622,D658,D694,D730,D766,D802,D838,D874,D910,D946,D982,D1018,D1054,D1090,D1126,D1162,D1198,D1234,D1270,D1306,D1342,D1378,D1414,D1450,D1486,D1522,D1558,D1594,D1630,D1666,D1702,D1738,D1774,D1810,D1846,D1882,D1918,D1954,D1990,D2026,D2062,D2098,D2134,D2170,D2206,D2242,D2278,D2314,D2350,D2386,D2422,D2458,D2494,D2530,D2566,D2602,D2638,D2674)</f>
        <v>521.03884777636722</v>
      </c>
      <c r="E46" s="2"/>
      <c r="F46" s="2"/>
      <c r="G46" s="2"/>
      <c r="H46" s="2"/>
      <c r="I46" s="21"/>
      <c r="J46" s="21"/>
      <c r="K46" s="21"/>
    </row>
    <row r="47" spans="1:11" ht="15.5" x14ac:dyDescent="0.35">
      <c r="A47" s="468" t="s">
        <v>3533</v>
      </c>
      <c r="B47" s="469">
        <v>2016</v>
      </c>
      <c r="C47" s="473" t="str">
        <f t="shared" si="0"/>
        <v>Statewide_Average_2016</v>
      </c>
      <c r="D47" s="471">
        <f t="shared" ref="D47:D81" si="1">AVERAGE(D83,D119,D155,D191,D227,D263,D299,D335,D371,D407,D443,D479,D515,D551,D587,D623,D659,D695,D731,D767,D803,D839,D875,D911,D947,D983,D1019,D1055,D1091,D1127,D1163,D1199,D1235,D1271,D1307,D1343,D1379,D1415,D1451,D1487,D1523,D1559,D1595,D1631,D1667,D1703,D1739,D1775,D1811,D1847,D1883,D1919,D1955,D1991,D2027,D2063,D2099,D2135,D2171,D2207,D2243,D2279,D2315,D2351,D2387,D2423,D2459,D2495,D2531,D2567,D2603,D2639,D2675)</f>
        <v>511.14639294144888</v>
      </c>
      <c r="E47" s="2"/>
      <c r="F47" s="2"/>
      <c r="G47" s="2"/>
      <c r="H47" s="2"/>
      <c r="I47" s="21"/>
      <c r="J47" s="21"/>
      <c r="K47" s="21"/>
    </row>
    <row r="48" spans="1:11" ht="15.5" x14ac:dyDescent="0.35">
      <c r="A48" s="468" t="s">
        <v>3533</v>
      </c>
      <c r="B48" s="473">
        <v>2017</v>
      </c>
      <c r="C48" s="473" t="str">
        <f t="shared" si="0"/>
        <v>Statewide_Average_2017</v>
      </c>
      <c r="D48" s="471">
        <f t="shared" si="1"/>
        <v>499.13740881447552</v>
      </c>
      <c r="E48" s="2"/>
      <c r="F48" s="2"/>
      <c r="G48" s="2"/>
      <c r="H48" s="2"/>
      <c r="I48" s="21"/>
      <c r="J48" s="21"/>
      <c r="K48" s="21"/>
    </row>
    <row r="49" spans="1:11" ht="15.5" x14ac:dyDescent="0.35">
      <c r="A49" s="468" t="s">
        <v>3533</v>
      </c>
      <c r="B49" s="473">
        <v>2018</v>
      </c>
      <c r="C49" s="473" t="str">
        <f t="shared" si="0"/>
        <v>Statewide_Average_2018</v>
      </c>
      <c r="D49" s="471">
        <f t="shared" si="1"/>
        <v>486.5623374140352</v>
      </c>
      <c r="E49" s="2"/>
      <c r="F49" s="2"/>
      <c r="G49" s="2"/>
      <c r="H49" s="2"/>
      <c r="I49" s="21"/>
      <c r="J49" s="21"/>
      <c r="K49" s="21"/>
    </row>
    <row r="50" spans="1:11" ht="15.5" x14ac:dyDescent="0.35">
      <c r="A50" s="468" t="s">
        <v>3533</v>
      </c>
      <c r="B50" s="473">
        <v>2019</v>
      </c>
      <c r="C50" s="473" t="str">
        <f t="shared" si="0"/>
        <v>Statewide_Average_2019</v>
      </c>
      <c r="D50" s="471">
        <f t="shared" si="1"/>
        <v>473.16845715118626</v>
      </c>
      <c r="E50" s="2"/>
      <c r="F50" s="2"/>
      <c r="G50" s="2"/>
      <c r="H50" s="2"/>
      <c r="I50" s="21"/>
      <c r="J50" s="21"/>
      <c r="K50" s="21"/>
    </row>
    <row r="51" spans="1:11" ht="15.5" x14ac:dyDescent="0.35">
      <c r="A51" s="468" t="s">
        <v>3533</v>
      </c>
      <c r="B51" s="473">
        <v>2020</v>
      </c>
      <c r="C51" s="473" t="str">
        <f t="shared" si="0"/>
        <v>Statewide_Average_2020</v>
      </c>
      <c r="D51" s="471">
        <f t="shared" si="1"/>
        <v>459.67625982305259</v>
      </c>
      <c r="E51" s="2"/>
      <c r="F51" s="2"/>
      <c r="G51" s="2"/>
      <c r="H51" s="2"/>
      <c r="I51" s="21"/>
      <c r="J51" s="21"/>
      <c r="K51" s="21"/>
    </row>
    <row r="52" spans="1:11" ht="15.5" x14ac:dyDescent="0.35">
      <c r="A52" s="468" t="s">
        <v>3533</v>
      </c>
      <c r="B52" s="473">
        <v>2021</v>
      </c>
      <c r="C52" s="473" t="str">
        <f t="shared" si="0"/>
        <v>Statewide_Average_2021</v>
      </c>
      <c r="D52" s="471">
        <f t="shared" si="1"/>
        <v>446.08236398848021</v>
      </c>
      <c r="E52" s="2"/>
      <c r="F52" s="2"/>
      <c r="G52" s="2"/>
      <c r="H52" s="2"/>
      <c r="I52" s="21"/>
      <c r="J52" s="21"/>
      <c r="K52" s="21"/>
    </row>
    <row r="53" spans="1:11" ht="15.5" x14ac:dyDescent="0.35">
      <c r="A53" s="468" t="s">
        <v>3533</v>
      </c>
      <c r="B53" s="473">
        <v>2022</v>
      </c>
      <c r="C53" s="473" t="str">
        <f t="shared" si="0"/>
        <v>Statewide_Average_2022</v>
      </c>
      <c r="D53" s="471">
        <f t="shared" si="1"/>
        <v>432.517240226392</v>
      </c>
      <c r="E53" s="2"/>
      <c r="F53" s="2"/>
      <c r="G53" s="2"/>
      <c r="H53" s="2"/>
      <c r="I53" s="21"/>
      <c r="J53" s="21"/>
      <c r="K53" s="21"/>
    </row>
    <row r="54" spans="1:11" ht="15.5" x14ac:dyDescent="0.35">
      <c r="A54" s="468" t="s">
        <v>3533</v>
      </c>
      <c r="B54" s="473">
        <v>2023</v>
      </c>
      <c r="C54" s="473" t="str">
        <f t="shared" si="0"/>
        <v>Statewide_Average_2023</v>
      </c>
      <c r="D54" s="471">
        <f t="shared" si="1"/>
        <v>419.06717021894366</v>
      </c>
      <c r="E54" s="2"/>
      <c r="F54" s="2"/>
      <c r="G54" s="2"/>
      <c r="H54" s="2"/>
      <c r="I54" s="21"/>
      <c r="J54" s="21"/>
      <c r="K54" s="21"/>
    </row>
    <row r="55" spans="1:11" ht="15.5" x14ac:dyDescent="0.35">
      <c r="A55" s="468" t="s">
        <v>3533</v>
      </c>
      <c r="B55" s="473">
        <v>2024</v>
      </c>
      <c r="C55" s="473" t="str">
        <f t="shared" si="0"/>
        <v>Statewide_Average_2024</v>
      </c>
      <c r="D55" s="471">
        <f t="shared" si="1"/>
        <v>405.9986262396053</v>
      </c>
      <c r="E55" s="2"/>
      <c r="F55" s="2"/>
      <c r="G55" s="2"/>
      <c r="H55" s="2"/>
      <c r="I55" s="21"/>
      <c r="J55" s="21"/>
      <c r="K55" s="21"/>
    </row>
    <row r="56" spans="1:11" ht="15.5" x14ac:dyDescent="0.35">
      <c r="A56" s="468" t="s">
        <v>3533</v>
      </c>
      <c r="B56" s="473">
        <v>2025</v>
      </c>
      <c r="C56" s="473" t="str">
        <f t="shared" si="0"/>
        <v>Statewide_Average_2025</v>
      </c>
      <c r="D56" s="471">
        <f t="shared" si="1"/>
        <v>392.92918288026317</v>
      </c>
      <c r="E56" s="2"/>
      <c r="F56" s="2"/>
      <c r="G56" s="2"/>
      <c r="H56" s="2"/>
      <c r="I56" s="21"/>
      <c r="J56" s="21"/>
      <c r="K56" s="21"/>
    </row>
    <row r="57" spans="1:11" ht="15.5" x14ac:dyDescent="0.35">
      <c r="A57" s="468" t="s">
        <v>3533</v>
      </c>
      <c r="B57" s="473">
        <v>2026</v>
      </c>
      <c r="C57" s="473" t="str">
        <f t="shared" si="0"/>
        <v>Statewide_Average_2026</v>
      </c>
      <c r="D57" s="471">
        <f t="shared" si="1"/>
        <v>381.07555471412701</v>
      </c>
      <c r="E57" s="2"/>
      <c r="F57" s="2"/>
      <c r="G57" s="2"/>
      <c r="H57" s="2"/>
      <c r="I57" s="21"/>
      <c r="J57" s="21"/>
      <c r="K57" s="21"/>
    </row>
    <row r="58" spans="1:11" ht="15.5" x14ac:dyDescent="0.35">
      <c r="A58" s="468" t="s">
        <v>3533</v>
      </c>
      <c r="B58" s="473">
        <v>2027</v>
      </c>
      <c r="C58" s="473" t="str">
        <f t="shared" si="0"/>
        <v>Statewide_Average_2027</v>
      </c>
      <c r="D58" s="471">
        <f t="shared" si="1"/>
        <v>370.12799598683341</v>
      </c>
      <c r="E58" s="2"/>
      <c r="F58" s="2"/>
      <c r="G58" s="2"/>
      <c r="H58" s="2"/>
      <c r="I58" s="21"/>
      <c r="J58" s="21"/>
      <c r="K58" s="21"/>
    </row>
    <row r="59" spans="1:11" ht="15.5" x14ac:dyDescent="0.35">
      <c r="A59" s="468" t="s">
        <v>3533</v>
      </c>
      <c r="B59" s="473">
        <v>2028</v>
      </c>
      <c r="C59" s="473" t="str">
        <f t="shared" si="0"/>
        <v>Statewide_Average_2028</v>
      </c>
      <c r="D59" s="471">
        <f t="shared" si="1"/>
        <v>360.23066128821483</v>
      </c>
      <c r="E59" s="2"/>
      <c r="F59" s="2"/>
      <c r="G59" s="2"/>
      <c r="H59" s="2"/>
      <c r="I59" s="21"/>
      <c r="J59" s="21"/>
      <c r="K59" s="21"/>
    </row>
    <row r="60" spans="1:11" ht="15.5" x14ac:dyDescent="0.35">
      <c r="A60" s="468" t="s">
        <v>3533</v>
      </c>
      <c r="B60" s="473">
        <v>2029</v>
      </c>
      <c r="C60" s="473" t="str">
        <f t="shared" si="0"/>
        <v>Statewide_Average_2029</v>
      </c>
      <c r="D60" s="471">
        <f t="shared" si="1"/>
        <v>351.30458125338788</v>
      </c>
      <c r="E60" s="2"/>
      <c r="F60" s="2"/>
      <c r="G60" s="2"/>
      <c r="H60" s="2"/>
      <c r="I60" s="21"/>
      <c r="J60" s="21"/>
      <c r="K60" s="21"/>
    </row>
    <row r="61" spans="1:11" ht="15.5" x14ac:dyDescent="0.35">
      <c r="A61" s="468" t="s">
        <v>3533</v>
      </c>
      <c r="B61" s="473">
        <v>2030</v>
      </c>
      <c r="C61" s="473" t="str">
        <f t="shared" si="0"/>
        <v>Statewide_Average_2030</v>
      </c>
      <c r="D61" s="471">
        <f t="shared" si="1"/>
        <v>343.30433053742246</v>
      </c>
      <c r="E61" s="2"/>
      <c r="F61" s="2"/>
      <c r="G61" s="2"/>
      <c r="H61" s="2"/>
      <c r="I61" s="21"/>
      <c r="J61" s="21"/>
      <c r="K61" s="21"/>
    </row>
    <row r="62" spans="1:11" ht="15.5" x14ac:dyDescent="0.35">
      <c r="A62" s="468" t="s">
        <v>3533</v>
      </c>
      <c r="B62" s="473">
        <v>2031</v>
      </c>
      <c r="C62" s="473" t="str">
        <f t="shared" si="0"/>
        <v>Statewide_Average_2031</v>
      </c>
      <c r="D62" s="471">
        <f t="shared" si="1"/>
        <v>336.23140867470903</v>
      </c>
      <c r="E62" s="2"/>
      <c r="F62" s="2"/>
      <c r="G62" s="2"/>
      <c r="H62" s="2"/>
      <c r="I62" s="21"/>
      <c r="J62" s="21"/>
      <c r="K62" s="21"/>
    </row>
    <row r="63" spans="1:11" ht="15.5" x14ac:dyDescent="0.35">
      <c r="A63" s="468" t="s">
        <v>3533</v>
      </c>
      <c r="B63" s="473">
        <v>2032</v>
      </c>
      <c r="C63" s="473" t="str">
        <f t="shared" si="0"/>
        <v>Statewide_Average_2032</v>
      </c>
      <c r="D63" s="471">
        <f t="shared" si="1"/>
        <v>329.89447103729276</v>
      </c>
      <c r="E63" s="2"/>
      <c r="F63" s="2"/>
      <c r="G63" s="2"/>
      <c r="H63" s="2"/>
      <c r="I63" s="21"/>
      <c r="J63" s="21"/>
      <c r="K63" s="21"/>
    </row>
    <row r="64" spans="1:11" ht="15.5" x14ac:dyDescent="0.35">
      <c r="A64" s="468" t="s">
        <v>3533</v>
      </c>
      <c r="B64" s="473">
        <v>2033</v>
      </c>
      <c r="C64" s="473" t="str">
        <f t="shared" si="0"/>
        <v>Statewide_Average_2033</v>
      </c>
      <c r="D64" s="471">
        <f t="shared" si="1"/>
        <v>324.29421701349747</v>
      </c>
      <c r="E64" s="2"/>
      <c r="F64" s="2"/>
      <c r="G64" s="2"/>
      <c r="H64" s="2"/>
      <c r="I64" s="21"/>
      <c r="J64" s="21"/>
      <c r="K64" s="21"/>
    </row>
    <row r="65" spans="1:11" ht="15.5" x14ac:dyDescent="0.35">
      <c r="A65" s="468" t="s">
        <v>3533</v>
      </c>
      <c r="B65" s="473">
        <v>2034</v>
      </c>
      <c r="C65" s="473" t="str">
        <f t="shared" si="0"/>
        <v>Statewide_Average_2034</v>
      </c>
      <c r="D65" s="471">
        <f t="shared" si="1"/>
        <v>319.3603864423286</v>
      </c>
      <c r="E65" s="2"/>
      <c r="F65" s="2"/>
      <c r="G65" s="2"/>
      <c r="H65" s="2"/>
      <c r="I65" s="21"/>
      <c r="J65" s="21"/>
      <c r="K65" s="21"/>
    </row>
    <row r="66" spans="1:11" ht="15.5" x14ac:dyDescent="0.35">
      <c r="A66" s="468" t="s">
        <v>3533</v>
      </c>
      <c r="B66" s="473">
        <v>2035</v>
      </c>
      <c r="C66" s="473" t="str">
        <f t="shared" si="0"/>
        <v>Statewide_Average_2035</v>
      </c>
      <c r="D66" s="471">
        <f t="shared" si="1"/>
        <v>315.04781788428255</v>
      </c>
      <c r="E66" s="2"/>
      <c r="F66" s="2"/>
      <c r="G66" s="2"/>
      <c r="H66" s="2"/>
      <c r="I66" s="21"/>
      <c r="J66" s="21"/>
      <c r="K66" s="21"/>
    </row>
    <row r="67" spans="1:11" ht="15.5" x14ac:dyDescent="0.35">
      <c r="A67" s="468" t="s">
        <v>3533</v>
      </c>
      <c r="B67" s="473">
        <v>2036</v>
      </c>
      <c r="C67" s="473" t="str">
        <f t="shared" si="0"/>
        <v>Statewide_Average_2036</v>
      </c>
      <c r="D67" s="471">
        <f t="shared" si="1"/>
        <v>311.37749146178027</v>
      </c>
      <c r="E67" s="2"/>
      <c r="F67" s="2"/>
      <c r="G67" s="2"/>
      <c r="H67" s="2"/>
      <c r="I67" s="21"/>
      <c r="J67" s="21"/>
      <c r="K67" s="21"/>
    </row>
    <row r="68" spans="1:11" ht="15.5" x14ac:dyDescent="0.35">
      <c r="A68" s="468" t="s">
        <v>3533</v>
      </c>
      <c r="B68" s="473">
        <v>2037</v>
      </c>
      <c r="C68" s="473" t="str">
        <f t="shared" si="0"/>
        <v>Statewide_Average_2037</v>
      </c>
      <c r="D68" s="471">
        <f t="shared" si="1"/>
        <v>308.15241102193721</v>
      </c>
      <c r="E68" s="2"/>
      <c r="F68" s="2"/>
      <c r="G68" s="2"/>
      <c r="H68" s="2"/>
      <c r="I68" s="21"/>
      <c r="J68" s="21"/>
      <c r="K68" s="21"/>
    </row>
    <row r="69" spans="1:11" ht="15.5" x14ac:dyDescent="0.35">
      <c r="A69" s="468" t="s">
        <v>3533</v>
      </c>
      <c r="B69" s="473">
        <v>2038</v>
      </c>
      <c r="C69" s="473" t="str">
        <f t="shared" si="0"/>
        <v>Statewide_Average_2038</v>
      </c>
      <c r="D69" s="471">
        <f t="shared" si="1"/>
        <v>305.39903748382631</v>
      </c>
      <c r="E69" s="2"/>
      <c r="F69" s="2"/>
      <c r="G69" s="2"/>
      <c r="H69" s="2"/>
      <c r="I69" s="21"/>
      <c r="J69" s="21"/>
      <c r="K69" s="21"/>
    </row>
    <row r="70" spans="1:11" ht="15.5" x14ac:dyDescent="0.35">
      <c r="A70" s="468" t="s">
        <v>3533</v>
      </c>
      <c r="B70" s="473">
        <v>2039</v>
      </c>
      <c r="C70" s="473" t="str">
        <f t="shared" si="0"/>
        <v>Statewide_Average_2039</v>
      </c>
      <c r="D70" s="471">
        <f t="shared" si="1"/>
        <v>303.04864158659569</v>
      </c>
      <c r="E70" s="2"/>
      <c r="F70" s="2"/>
      <c r="G70" s="2"/>
      <c r="H70" s="2"/>
      <c r="I70" s="21"/>
      <c r="J70" s="21"/>
      <c r="K70" s="21"/>
    </row>
    <row r="71" spans="1:11" ht="15.5" x14ac:dyDescent="0.35">
      <c r="A71" s="468" t="s">
        <v>3533</v>
      </c>
      <c r="B71" s="473">
        <v>2040</v>
      </c>
      <c r="C71" s="473" t="str">
        <f t="shared" si="0"/>
        <v>Statewide_Average_2040</v>
      </c>
      <c r="D71" s="471">
        <f t="shared" si="1"/>
        <v>301.05573610401035</v>
      </c>
      <c r="E71" s="2"/>
      <c r="F71" s="2"/>
      <c r="G71" s="2"/>
      <c r="H71" s="2"/>
      <c r="I71" s="21"/>
      <c r="J71" s="21"/>
      <c r="K71" s="21"/>
    </row>
    <row r="72" spans="1:11" ht="15.5" x14ac:dyDescent="0.35">
      <c r="A72" s="468" t="s">
        <v>3533</v>
      </c>
      <c r="B72" s="473">
        <v>2041</v>
      </c>
      <c r="C72" s="473" t="str">
        <f t="shared" si="0"/>
        <v>Statewide_Average_2041</v>
      </c>
      <c r="D72" s="471">
        <f t="shared" si="1"/>
        <v>299.3946936894734</v>
      </c>
      <c r="E72" s="2"/>
      <c r="F72" s="2"/>
      <c r="G72" s="2"/>
      <c r="H72" s="2"/>
      <c r="I72" s="21"/>
      <c r="J72" s="21"/>
      <c r="K72" s="21"/>
    </row>
    <row r="73" spans="1:11" ht="15.5" x14ac:dyDescent="0.35">
      <c r="A73" s="468" t="s">
        <v>3533</v>
      </c>
      <c r="B73" s="473">
        <v>2042</v>
      </c>
      <c r="C73" s="473" t="str">
        <f t="shared" si="0"/>
        <v>Statewide_Average_2042</v>
      </c>
      <c r="D73" s="471">
        <f t="shared" si="1"/>
        <v>297.98768363281937</v>
      </c>
      <c r="E73" s="2"/>
      <c r="F73" s="2"/>
      <c r="G73" s="2"/>
      <c r="H73" s="2"/>
      <c r="I73" s="21"/>
      <c r="J73" s="21"/>
      <c r="K73" s="21"/>
    </row>
    <row r="74" spans="1:11" ht="15.5" x14ac:dyDescent="0.35">
      <c r="A74" s="468" t="s">
        <v>3533</v>
      </c>
      <c r="B74" s="473">
        <v>2043</v>
      </c>
      <c r="C74" s="473" t="str">
        <f t="shared" si="0"/>
        <v>Statewide_Average_2043</v>
      </c>
      <c r="D74" s="471">
        <f t="shared" si="1"/>
        <v>296.8143716520994</v>
      </c>
      <c r="E74" s="2"/>
      <c r="F74" s="2"/>
      <c r="G74" s="2"/>
      <c r="H74" s="2"/>
      <c r="I74" s="21"/>
      <c r="J74" s="21"/>
      <c r="K74" s="21"/>
    </row>
    <row r="75" spans="1:11" ht="15.5" x14ac:dyDescent="0.35">
      <c r="A75" s="468" t="s">
        <v>3533</v>
      </c>
      <c r="B75" s="473">
        <v>2044</v>
      </c>
      <c r="C75" s="473" t="str">
        <f t="shared" si="0"/>
        <v>Statewide_Average_2044</v>
      </c>
      <c r="D75" s="471">
        <f t="shared" si="1"/>
        <v>295.82457683112233</v>
      </c>
      <c r="E75" s="2"/>
      <c r="F75" s="2"/>
      <c r="G75" s="2"/>
      <c r="H75" s="2"/>
      <c r="I75" s="21"/>
      <c r="J75" s="21"/>
      <c r="K75" s="21"/>
    </row>
    <row r="76" spans="1:11" ht="15.5" x14ac:dyDescent="0.35">
      <c r="A76" s="468" t="s">
        <v>3533</v>
      </c>
      <c r="B76" s="473">
        <v>2045</v>
      </c>
      <c r="C76" s="473" t="str">
        <f t="shared" si="0"/>
        <v>Statewide_Average_2045</v>
      </c>
      <c r="D76" s="471">
        <f t="shared" si="1"/>
        <v>294.97381898073456</v>
      </c>
      <c r="E76" s="2"/>
      <c r="F76" s="2"/>
      <c r="G76" s="2"/>
      <c r="H76" s="2"/>
      <c r="I76" s="21"/>
      <c r="J76" s="21"/>
      <c r="K76" s="21"/>
    </row>
    <row r="77" spans="1:11" ht="15.5" x14ac:dyDescent="0.35">
      <c r="A77" s="468" t="s">
        <v>3533</v>
      </c>
      <c r="B77" s="473">
        <v>2046</v>
      </c>
      <c r="C77" s="473" t="str">
        <f t="shared" si="0"/>
        <v>Statewide_Average_2046</v>
      </c>
      <c r="D77" s="471">
        <f t="shared" si="1"/>
        <v>294.255991736385</v>
      </c>
      <c r="E77" s="2"/>
      <c r="F77" s="2"/>
      <c r="G77" s="2"/>
      <c r="H77" s="2"/>
      <c r="I77" s="21"/>
      <c r="J77" s="21"/>
      <c r="K77" s="21"/>
    </row>
    <row r="78" spans="1:11" ht="15.5" x14ac:dyDescent="0.35">
      <c r="A78" s="468" t="s">
        <v>3533</v>
      </c>
      <c r="B78" s="473">
        <v>2047</v>
      </c>
      <c r="C78" s="473" t="str">
        <f t="shared" si="0"/>
        <v>Statewide_Average_2047</v>
      </c>
      <c r="D78" s="471">
        <f t="shared" si="1"/>
        <v>293.65350925718673</v>
      </c>
      <c r="E78" s="2"/>
      <c r="F78" s="2"/>
      <c r="G78" s="2"/>
      <c r="H78" s="2"/>
      <c r="I78" s="21"/>
      <c r="J78" s="21"/>
      <c r="K78" s="21"/>
    </row>
    <row r="79" spans="1:11" ht="15.5" x14ac:dyDescent="0.35">
      <c r="A79" s="468" t="s">
        <v>3533</v>
      </c>
      <c r="B79" s="473">
        <v>2048</v>
      </c>
      <c r="C79" s="473" t="str">
        <f t="shared" si="0"/>
        <v>Statewide_Average_2048</v>
      </c>
      <c r="D79" s="471">
        <f t="shared" si="1"/>
        <v>293.14715474316483</v>
      </c>
      <c r="E79" s="2"/>
      <c r="F79" s="2"/>
      <c r="G79" s="2"/>
      <c r="H79" s="2"/>
      <c r="I79" s="21"/>
      <c r="J79" s="21"/>
      <c r="K79" s="21"/>
    </row>
    <row r="80" spans="1:11" ht="15.5" x14ac:dyDescent="0.35">
      <c r="A80" s="468" t="s">
        <v>3533</v>
      </c>
      <c r="B80" s="473">
        <v>2049</v>
      </c>
      <c r="C80" s="473" t="str">
        <f t="shared" si="0"/>
        <v>Statewide_Average_2049</v>
      </c>
      <c r="D80" s="471">
        <f t="shared" si="1"/>
        <v>292.71711327948924</v>
      </c>
      <c r="E80" s="2"/>
      <c r="F80" s="2"/>
      <c r="G80" s="2"/>
      <c r="H80" s="2"/>
      <c r="I80" s="21"/>
      <c r="J80" s="21"/>
      <c r="K80" s="21"/>
    </row>
    <row r="81" spans="1:11" ht="16" thickBot="1" x14ac:dyDescent="0.4">
      <c r="A81" s="491" t="s">
        <v>3533</v>
      </c>
      <c r="B81" s="481">
        <v>2050</v>
      </c>
      <c r="C81" s="481" t="str">
        <f t="shared" si="0"/>
        <v>Statewide_Average_2050</v>
      </c>
      <c r="D81" s="493">
        <f t="shared" si="1"/>
        <v>292.36357125971233</v>
      </c>
      <c r="E81" s="2"/>
      <c r="F81" s="2"/>
      <c r="G81" s="2"/>
      <c r="H81" s="2"/>
      <c r="I81" s="21"/>
      <c r="J81" s="21"/>
      <c r="K81" s="21"/>
    </row>
    <row r="82" spans="1:11" ht="15.5" x14ac:dyDescent="0.35">
      <c r="A82" s="487" t="s">
        <v>809</v>
      </c>
      <c r="B82" s="488">
        <v>2015</v>
      </c>
      <c r="C82" s="489" t="s">
        <v>810</v>
      </c>
      <c r="D82" s="490">
        <v>487.93751476156308</v>
      </c>
      <c r="E82" s="2"/>
      <c r="F82" s="2"/>
      <c r="G82" s="2"/>
      <c r="H82" s="2"/>
      <c r="I82" s="21"/>
      <c r="J82" s="21"/>
      <c r="K82" s="21"/>
    </row>
    <row r="83" spans="1:11" ht="15.5" x14ac:dyDescent="0.35">
      <c r="A83" s="468" t="s">
        <v>809</v>
      </c>
      <c r="B83" s="469">
        <v>2016</v>
      </c>
      <c r="C83" s="470" t="s">
        <v>811</v>
      </c>
      <c r="D83" s="471">
        <v>477.76284825547918</v>
      </c>
      <c r="E83" s="2"/>
      <c r="F83" s="2"/>
      <c r="G83" s="2"/>
      <c r="H83" s="2"/>
      <c r="I83" s="21"/>
      <c r="J83" s="21"/>
      <c r="K83" s="21"/>
    </row>
    <row r="84" spans="1:11" ht="15.5" x14ac:dyDescent="0.35">
      <c r="A84" s="472" t="s">
        <v>809</v>
      </c>
      <c r="B84" s="473">
        <v>2017</v>
      </c>
      <c r="C84" s="473" t="str">
        <f t="shared" ref="C84:C117" si="2">CONCATENATE(A84,"_",B84)</f>
        <v>Alameda_2017</v>
      </c>
      <c r="D84" s="474">
        <v>467.03030045186233</v>
      </c>
      <c r="E84" s="2"/>
      <c r="F84" s="2"/>
      <c r="G84" s="2"/>
      <c r="H84" s="2"/>
      <c r="I84" s="21"/>
      <c r="J84" s="21"/>
      <c r="K84" s="21"/>
    </row>
    <row r="85" spans="1:11" ht="15.5" x14ac:dyDescent="0.35">
      <c r="A85" s="472" t="s">
        <v>809</v>
      </c>
      <c r="B85" s="473">
        <v>2018</v>
      </c>
      <c r="C85" s="473" t="str">
        <f t="shared" si="2"/>
        <v>Alameda_2018</v>
      </c>
      <c r="D85" s="474">
        <v>455.62736140406508</v>
      </c>
      <c r="E85" s="2"/>
      <c r="F85" s="2"/>
      <c r="G85" s="2"/>
      <c r="H85" s="2"/>
      <c r="I85" s="21"/>
      <c r="J85" s="21"/>
      <c r="K85" s="21"/>
    </row>
    <row r="86" spans="1:11" ht="15.5" x14ac:dyDescent="0.35">
      <c r="A86" s="472" t="s">
        <v>809</v>
      </c>
      <c r="B86" s="473">
        <v>2019</v>
      </c>
      <c r="C86" s="473" t="str">
        <f t="shared" si="2"/>
        <v>Alameda_2019</v>
      </c>
      <c r="D86" s="474">
        <v>443.84227907620419</v>
      </c>
      <c r="E86" s="2"/>
      <c r="F86" s="2"/>
      <c r="G86" s="2"/>
      <c r="H86" s="2"/>
      <c r="I86" s="21"/>
      <c r="J86" s="21"/>
      <c r="K86" s="21"/>
    </row>
    <row r="87" spans="1:11" ht="15.5" x14ac:dyDescent="0.35">
      <c r="A87" s="472" t="s">
        <v>809</v>
      </c>
      <c r="B87" s="473">
        <v>2020</v>
      </c>
      <c r="C87" s="473" t="str">
        <f t="shared" si="2"/>
        <v>Alameda_2020</v>
      </c>
      <c r="D87" s="474">
        <v>431.77205542285469</v>
      </c>
      <c r="E87" s="2"/>
      <c r="F87" s="2"/>
      <c r="G87" s="2"/>
      <c r="H87" s="2"/>
      <c r="I87" s="21"/>
      <c r="J87" s="21"/>
      <c r="K87" s="21"/>
    </row>
    <row r="88" spans="1:11" ht="15.5" x14ac:dyDescent="0.35">
      <c r="A88" s="472" t="s">
        <v>809</v>
      </c>
      <c r="B88" s="473">
        <v>2021</v>
      </c>
      <c r="C88" s="473" t="str">
        <f t="shared" si="2"/>
        <v>Alameda_2021</v>
      </c>
      <c r="D88" s="474">
        <v>419.50069212678727</v>
      </c>
      <c r="E88" s="2"/>
      <c r="F88" s="2"/>
      <c r="G88" s="2"/>
      <c r="H88" s="2"/>
      <c r="I88" s="21"/>
      <c r="J88" s="21"/>
      <c r="K88" s="21"/>
    </row>
    <row r="89" spans="1:11" ht="15.5" x14ac:dyDescent="0.35">
      <c r="A89" s="472" t="s">
        <v>809</v>
      </c>
      <c r="B89" s="473">
        <v>2022</v>
      </c>
      <c r="C89" s="473" t="str">
        <f t="shared" si="2"/>
        <v>Alameda_2022</v>
      </c>
      <c r="D89" s="474">
        <v>407.36763414912144</v>
      </c>
      <c r="E89" s="2"/>
      <c r="F89" s="2"/>
      <c r="G89" s="2"/>
      <c r="H89" s="2"/>
      <c r="I89" s="21"/>
      <c r="J89" s="21"/>
      <c r="K89" s="21"/>
    </row>
    <row r="90" spans="1:11" ht="15.5" x14ac:dyDescent="0.35">
      <c r="A90" s="472" t="s">
        <v>809</v>
      </c>
      <c r="B90" s="473">
        <v>2023</v>
      </c>
      <c r="C90" s="473" t="str">
        <f t="shared" si="2"/>
        <v>Alameda_2023</v>
      </c>
      <c r="D90" s="474">
        <v>395.26493168867819</v>
      </c>
      <c r="E90" s="2"/>
      <c r="F90" s="2"/>
      <c r="G90" s="2"/>
      <c r="H90" s="2"/>
      <c r="I90" s="21"/>
      <c r="J90" s="21"/>
      <c r="K90" s="21"/>
    </row>
    <row r="91" spans="1:11" ht="15.5" x14ac:dyDescent="0.35">
      <c r="A91" s="472" t="s">
        <v>809</v>
      </c>
      <c r="B91" s="473">
        <v>2024</v>
      </c>
      <c r="C91" s="473" t="str">
        <f t="shared" si="2"/>
        <v>Alameda_2024</v>
      </c>
      <c r="D91" s="474">
        <v>383.26005416902882</v>
      </c>
      <c r="E91" s="2"/>
      <c r="F91" s="2"/>
      <c r="G91" s="2"/>
      <c r="H91" s="2"/>
      <c r="I91" s="21"/>
      <c r="J91" s="21"/>
      <c r="K91" s="21"/>
    </row>
    <row r="92" spans="1:11" ht="15.5" x14ac:dyDescent="0.35">
      <c r="A92" s="472" t="s">
        <v>809</v>
      </c>
      <c r="B92" s="473">
        <v>2025</v>
      </c>
      <c r="C92" s="473" t="str">
        <f t="shared" si="2"/>
        <v>Alameda_2025</v>
      </c>
      <c r="D92" s="474">
        <v>371.35091022244626</v>
      </c>
      <c r="E92" s="2"/>
      <c r="F92" s="2"/>
      <c r="G92" s="2"/>
      <c r="H92" s="2"/>
      <c r="I92" s="21"/>
      <c r="J92" s="21"/>
      <c r="K92" s="21"/>
    </row>
    <row r="93" spans="1:11" ht="15.5" x14ac:dyDescent="0.35">
      <c r="A93" s="472" t="s">
        <v>809</v>
      </c>
      <c r="B93" s="473">
        <v>2026</v>
      </c>
      <c r="C93" s="473" t="str">
        <f t="shared" si="2"/>
        <v>Alameda_2026</v>
      </c>
      <c r="D93" s="474">
        <v>360.57983911695442</v>
      </c>
      <c r="E93" s="2"/>
      <c r="F93" s="2"/>
      <c r="G93" s="2"/>
      <c r="H93" s="2"/>
      <c r="I93" s="21"/>
      <c r="J93" s="21"/>
      <c r="K93" s="21"/>
    </row>
    <row r="94" spans="1:11" ht="15.5" x14ac:dyDescent="0.35">
      <c r="A94" s="472" t="s">
        <v>809</v>
      </c>
      <c r="B94" s="473">
        <v>2027</v>
      </c>
      <c r="C94" s="473" t="str">
        <f t="shared" si="2"/>
        <v>Alameda_2027</v>
      </c>
      <c r="D94" s="474">
        <v>350.79129290123603</v>
      </c>
      <c r="E94" s="2"/>
      <c r="F94" s="2"/>
      <c r="G94" s="2"/>
      <c r="H94" s="2"/>
      <c r="I94" s="21"/>
      <c r="J94" s="21"/>
      <c r="K94" s="21"/>
    </row>
    <row r="95" spans="1:11" ht="15.5" x14ac:dyDescent="0.35">
      <c r="A95" s="472" t="s">
        <v>809</v>
      </c>
      <c r="B95" s="473">
        <v>2028</v>
      </c>
      <c r="C95" s="473" t="str">
        <f t="shared" si="2"/>
        <v>Alameda_2028</v>
      </c>
      <c r="D95" s="474">
        <v>341.99810328057038</v>
      </c>
      <c r="E95" s="2"/>
      <c r="F95" s="2"/>
      <c r="G95" s="2"/>
      <c r="H95" s="2"/>
      <c r="I95" s="21"/>
      <c r="J95" s="21"/>
      <c r="K95" s="21"/>
    </row>
    <row r="96" spans="1:11" ht="15.5" x14ac:dyDescent="0.35">
      <c r="A96" s="472" t="s">
        <v>809</v>
      </c>
      <c r="B96" s="473">
        <v>2029</v>
      </c>
      <c r="C96" s="473" t="str">
        <f t="shared" si="2"/>
        <v>Alameda_2029</v>
      </c>
      <c r="D96" s="474">
        <v>334.12829308495498</v>
      </c>
      <c r="E96" s="2"/>
      <c r="F96" s="2"/>
      <c r="G96" s="2"/>
      <c r="H96" s="2"/>
      <c r="I96" s="21"/>
      <c r="J96" s="21"/>
      <c r="K96" s="21"/>
    </row>
    <row r="97" spans="1:11" ht="15.5" x14ac:dyDescent="0.35">
      <c r="A97" s="472" t="s">
        <v>809</v>
      </c>
      <c r="B97" s="473">
        <v>2030</v>
      </c>
      <c r="C97" s="473" t="str">
        <f t="shared" si="2"/>
        <v>Alameda_2030</v>
      </c>
      <c r="D97" s="474">
        <v>327.1369516471733</v>
      </c>
      <c r="E97" s="2"/>
      <c r="F97" s="2"/>
      <c r="G97" s="2"/>
      <c r="H97" s="2"/>
      <c r="I97" s="21"/>
      <c r="J97" s="21"/>
      <c r="K97" s="21"/>
    </row>
    <row r="98" spans="1:11" ht="15.5" x14ac:dyDescent="0.35">
      <c r="A98" s="472" t="s">
        <v>809</v>
      </c>
      <c r="B98" s="473">
        <v>2031</v>
      </c>
      <c r="C98" s="473" t="str">
        <f t="shared" si="2"/>
        <v>Alameda_2031</v>
      </c>
      <c r="D98" s="474">
        <v>320.94076564931839</v>
      </c>
      <c r="E98" s="2"/>
      <c r="F98" s="2"/>
      <c r="G98" s="2"/>
      <c r="H98" s="2"/>
      <c r="I98" s="21"/>
      <c r="J98" s="21"/>
      <c r="K98" s="21"/>
    </row>
    <row r="99" spans="1:11" ht="15.5" x14ac:dyDescent="0.35">
      <c r="A99" s="472" t="s">
        <v>809</v>
      </c>
      <c r="B99" s="473">
        <v>2032</v>
      </c>
      <c r="C99" s="473" t="str">
        <f t="shared" si="2"/>
        <v>Alameda_2032</v>
      </c>
      <c r="D99" s="474">
        <v>315.48345369828559</v>
      </c>
      <c r="E99" s="2"/>
      <c r="F99" s="2"/>
      <c r="G99" s="2"/>
      <c r="H99" s="2"/>
      <c r="I99" s="21"/>
      <c r="J99" s="21"/>
      <c r="K99" s="21"/>
    </row>
    <row r="100" spans="1:11" ht="15.5" x14ac:dyDescent="0.35">
      <c r="A100" s="472" t="s">
        <v>809</v>
      </c>
      <c r="B100" s="473">
        <v>2033</v>
      </c>
      <c r="C100" s="473" t="str">
        <f t="shared" si="2"/>
        <v>Alameda_2033</v>
      </c>
      <c r="D100" s="474">
        <v>310.71004957914056</v>
      </c>
      <c r="E100" s="2"/>
      <c r="F100" s="2"/>
      <c r="G100" s="2"/>
      <c r="H100" s="2"/>
      <c r="I100" s="21"/>
      <c r="J100" s="21"/>
      <c r="K100" s="21"/>
    </row>
    <row r="101" spans="1:11" ht="15.5" x14ac:dyDescent="0.35">
      <c r="A101" s="472" t="s">
        <v>809</v>
      </c>
      <c r="B101" s="473">
        <v>2034</v>
      </c>
      <c r="C101" s="473" t="str">
        <f t="shared" si="2"/>
        <v>Alameda_2034</v>
      </c>
      <c r="D101" s="474">
        <v>306.55084025239404</v>
      </c>
      <c r="E101" s="2"/>
      <c r="F101" s="2"/>
      <c r="G101" s="2"/>
      <c r="H101" s="2"/>
      <c r="I101" s="21"/>
      <c r="J101" s="21"/>
      <c r="K101" s="21"/>
    </row>
    <row r="102" spans="1:11" ht="15.5" x14ac:dyDescent="0.35">
      <c r="A102" s="472" t="s">
        <v>809</v>
      </c>
      <c r="B102" s="473">
        <v>2035</v>
      </c>
      <c r="C102" s="473" t="str">
        <f t="shared" si="2"/>
        <v>Alameda_2035</v>
      </c>
      <c r="D102" s="474">
        <v>302.95536958226086</v>
      </c>
      <c r="E102" s="2"/>
      <c r="F102" s="2"/>
      <c r="G102" s="2"/>
      <c r="H102" s="2"/>
      <c r="I102" s="21"/>
      <c r="J102" s="21"/>
      <c r="K102" s="21"/>
    </row>
    <row r="103" spans="1:11" ht="15.5" x14ac:dyDescent="0.35">
      <c r="A103" s="472" t="s">
        <v>809</v>
      </c>
      <c r="B103" s="473">
        <v>2036</v>
      </c>
      <c r="C103" s="473" t="str">
        <f t="shared" si="2"/>
        <v>Alameda_2036</v>
      </c>
      <c r="D103" s="474">
        <v>299.87192901792702</v>
      </c>
      <c r="E103" s="2"/>
      <c r="F103" s="2"/>
      <c r="G103" s="2"/>
      <c r="H103" s="2"/>
      <c r="I103" s="21"/>
      <c r="J103" s="21"/>
      <c r="K103" s="21"/>
    </row>
    <row r="104" spans="1:11" ht="15.5" x14ac:dyDescent="0.35">
      <c r="A104" s="472" t="s">
        <v>809</v>
      </c>
      <c r="B104" s="473">
        <v>2037</v>
      </c>
      <c r="C104" s="473" t="str">
        <f t="shared" si="2"/>
        <v>Alameda_2037</v>
      </c>
      <c r="D104" s="474">
        <v>297.2557684078426</v>
      </c>
      <c r="E104" s="2"/>
      <c r="F104" s="2"/>
      <c r="G104" s="2"/>
      <c r="H104" s="2"/>
      <c r="I104" s="21"/>
      <c r="J104" s="21"/>
      <c r="K104" s="21"/>
    </row>
    <row r="105" spans="1:11" ht="15.5" x14ac:dyDescent="0.35">
      <c r="A105" s="472" t="s">
        <v>809</v>
      </c>
      <c r="B105" s="473">
        <v>2038</v>
      </c>
      <c r="C105" s="473" t="str">
        <f t="shared" si="2"/>
        <v>Alameda_2038</v>
      </c>
      <c r="D105" s="474">
        <v>295.0575937700836</v>
      </c>
      <c r="E105" s="2"/>
      <c r="F105" s="2"/>
      <c r="G105" s="2"/>
      <c r="H105" s="2"/>
      <c r="I105" s="21"/>
      <c r="J105" s="21"/>
      <c r="K105" s="21"/>
    </row>
    <row r="106" spans="1:11" ht="15.5" x14ac:dyDescent="0.35">
      <c r="A106" s="472" t="s">
        <v>809</v>
      </c>
      <c r="B106" s="473">
        <v>2039</v>
      </c>
      <c r="C106" s="473" t="str">
        <f t="shared" si="2"/>
        <v>Alameda_2039</v>
      </c>
      <c r="D106" s="474">
        <v>293.22058154920029</v>
      </c>
      <c r="E106" s="2"/>
      <c r="F106" s="2"/>
      <c r="G106" s="2"/>
      <c r="H106" s="2"/>
      <c r="I106" s="21"/>
      <c r="J106" s="21"/>
      <c r="K106" s="21"/>
    </row>
    <row r="107" spans="1:11" ht="15.5" x14ac:dyDescent="0.35">
      <c r="A107" s="472" t="s">
        <v>809</v>
      </c>
      <c r="B107" s="473">
        <v>2040</v>
      </c>
      <c r="C107" s="473" t="str">
        <f t="shared" si="2"/>
        <v>Alameda_2040</v>
      </c>
      <c r="D107" s="474">
        <v>291.69235215118999</v>
      </c>
      <c r="E107" s="2"/>
      <c r="F107" s="2"/>
      <c r="G107" s="2"/>
      <c r="H107" s="2"/>
      <c r="I107" s="21"/>
      <c r="J107" s="21"/>
      <c r="K107" s="21"/>
    </row>
    <row r="108" spans="1:11" ht="15.5" x14ac:dyDescent="0.35">
      <c r="A108" s="472" t="s">
        <v>809</v>
      </c>
      <c r="B108" s="473">
        <v>2041</v>
      </c>
      <c r="C108" s="473" t="str">
        <f t="shared" si="2"/>
        <v>Alameda_2041</v>
      </c>
      <c r="D108" s="474">
        <v>290.44262000914728</v>
      </c>
      <c r="E108" s="2"/>
      <c r="F108" s="2"/>
      <c r="G108" s="2"/>
      <c r="H108" s="2"/>
      <c r="I108" s="21"/>
      <c r="J108" s="21"/>
      <c r="K108" s="21"/>
    </row>
    <row r="109" spans="1:11" ht="15.5" x14ac:dyDescent="0.35">
      <c r="A109" s="472" t="s">
        <v>809</v>
      </c>
      <c r="B109" s="473">
        <v>2042</v>
      </c>
      <c r="C109" s="473" t="str">
        <f t="shared" si="2"/>
        <v>Alameda_2042</v>
      </c>
      <c r="D109" s="474">
        <v>289.41342761976767</v>
      </c>
      <c r="E109" s="2"/>
      <c r="F109" s="2"/>
      <c r="G109" s="2"/>
      <c r="H109" s="2"/>
      <c r="I109" s="21"/>
      <c r="J109" s="21"/>
      <c r="K109" s="21"/>
    </row>
    <row r="110" spans="1:11" ht="15.5" x14ac:dyDescent="0.35">
      <c r="A110" s="472" t="s">
        <v>809</v>
      </c>
      <c r="B110" s="473">
        <v>2043</v>
      </c>
      <c r="C110" s="473" t="str">
        <f t="shared" si="2"/>
        <v>Alameda_2043</v>
      </c>
      <c r="D110" s="474">
        <v>288.57559007025668</v>
      </c>
      <c r="E110" s="2"/>
      <c r="F110" s="2"/>
      <c r="G110" s="2"/>
      <c r="H110" s="2"/>
      <c r="I110" s="21"/>
      <c r="J110" s="21"/>
      <c r="K110" s="21"/>
    </row>
    <row r="111" spans="1:11" ht="15.5" x14ac:dyDescent="0.35">
      <c r="A111" s="472" t="s">
        <v>809</v>
      </c>
      <c r="B111" s="473">
        <v>2044</v>
      </c>
      <c r="C111" s="473" t="str">
        <f t="shared" si="2"/>
        <v>Alameda_2044</v>
      </c>
      <c r="D111" s="474">
        <v>287.89070420164524</v>
      </c>
      <c r="E111" s="2"/>
      <c r="F111" s="2"/>
      <c r="G111" s="2"/>
      <c r="H111" s="2"/>
      <c r="I111" s="21"/>
      <c r="J111" s="21"/>
      <c r="K111" s="21"/>
    </row>
    <row r="112" spans="1:11" ht="15.5" x14ac:dyDescent="0.35">
      <c r="A112" s="472" t="s">
        <v>809</v>
      </c>
      <c r="B112" s="473">
        <v>2045</v>
      </c>
      <c r="C112" s="473" t="str">
        <f t="shared" si="2"/>
        <v>Alameda_2045</v>
      </c>
      <c r="D112" s="474">
        <v>287.3207549267708</v>
      </c>
      <c r="E112" s="2"/>
      <c r="F112" s="2"/>
      <c r="G112" s="2"/>
      <c r="H112" s="2"/>
      <c r="I112" s="21"/>
      <c r="J112" s="21"/>
      <c r="K112" s="21"/>
    </row>
    <row r="113" spans="1:11" ht="15.5" x14ac:dyDescent="0.35">
      <c r="A113" s="472" t="s">
        <v>809</v>
      </c>
      <c r="B113" s="473">
        <v>2046</v>
      </c>
      <c r="C113" s="473" t="str">
        <f t="shared" si="2"/>
        <v>Alameda_2046</v>
      </c>
      <c r="D113" s="474">
        <v>286.85812091392688</v>
      </c>
      <c r="E113" s="2"/>
      <c r="F113" s="2"/>
      <c r="G113" s="2"/>
      <c r="H113" s="2"/>
      <c r="I113" s="21"/>
      <c r="J113" s="21"/>
      <c r="K113" s="21"/>
    </row>
    <row r="114" spans="1:11" ht="15.5" x14ac:dyDescent="0.35">
      <c r="A114" s="472" t="s">
        <v>809</v>
      </c>
      <c r="B114" s="473">
        <v>2047</v>
      </c>
      <c r="C114" s="473" t="str">
        <f t="shared" si="2"/>
        <v>Alameda_2047</v>
      </c>
      <c r="D114" s="474">
        <v>286.48255249641699</v>
      </c>
      <c r="E114" s="2"/>
      <c r="F114" s="2"/>
      <c r="G114" s="2"/>
      <c r="H114" s="2"/>
      <c r="I114" s="21"/>
      <c r="J114" s="21"/>
      <c r="K114" s="21"/>
    </row>
    <row r="115" spans="1:11" ht="15.5" x14ac:dyDescent="0.35">
      <c r="A115" s="472" t="s">
        <v>809</v>
      </c>
      <c r="B115" s="473">
        <v>2048</v>
      </c>
      <c r="C115" s="473" t="str">
        <f t="shared" si="2"/>
        <v>Alameda_2048</v>
      </c>
      <c r="D115" s="474">
        <v>286.17651590734442</v>
      </c>
      <c r="E115" s="2"/>
      <c r="F115" s="2"/>
      <c r="G115" s="2"/>
      <c r="H115" s="2"/>
      <c r="I115" s="21"/>
      <c r="J115" s="21"/>
      <c r="K115" s="21"/>
    </row>
    <row r="116" spans="1:11" ht="15.5" x14ac:dyDescent="0.35">
      <c r="A116" s="472" t="s">
        <v>809</v>
      </c>
      <c r="B116" s="473">
        <v>2049</v>
      </c>
      <c r="C116" s="473" t="str">
        <f t="shared" si="2"/>
        <v>Alameda_2049</v>
      </c>
      <c r="D116" s="474">
        <v>285.92838905067737</v>
      </c>
      <c r="E116" s="2"/>
      <c r="F116" s="2"/>
      <c r="G116" s="2"/>
      <c r="H116" s="2"/>
      <c r="I116" s="21"/>
      <c r="J116" s="21"/>
      <c r="K116" s="21"/>
    </row>
    <row r="117" spans="1:11" ht="15.5" x14ac:dyDescent="0.35">
      <c r="A117" s="472" t="s">
        <v>809</v>
      </c>
      <c r="B117" s="473">
        <v>2050</v>
      </c>
      <c r="C117" s="473" t="str">
        <f t="shared" si="2"/>
        <v>Alameda_2050</v>
      </c>
      <c r="D117" s="474">
        <v>285.73092911248625</v>
      </c>
      <c r="E117" s="2"/>
      <c r="F117" s="2"/>
      <c r="G117" s="2"/>
      <c r="H117" s="2"/>
      <c r="I117" s="21"/>
      <c r="J117" s="21"/>
      <c r="K117" s="21"/>
    </row>
    <row r="118" spans="1:11" ht="15.5" x14ac:dyDescent="0.35">
      <c r="A118" s="468" t="s">
        <v>812</v>
      </c>
      <c r="B118" s="469">
        <v>2015</v>
      </c>
      <c r="C118" s="470" t="s">
        <v>813</v>
      </c>
      <c r="D118" s="471">
        <v>487.37700091243732</v>
      </c>
      <c r="E118" s="2"/>
      <c r="F118" s="2"/>
      <c r="G118" s="2"/>
      <c r="H118" s="2"/>
      <c r="I118" s="21"/>
      <c r="J118" s="21"/>
      <c r="K118" s="21"/>
    </row>
    <row r="119" spans="1:11" ht="15.5" x14ac:dyDescent="0.35">
      <c r="A119" s="468" t="s">
        <v>812</v>
      </c>
      <c r="B119" s="469">
        <v>2016</v>
      </c>
      <c r="C119" s="470" t="s">
        <v>814</v>
      </c>
      <c r="D119" s="471">
        <v>478.09134100049636</v>
      </c>
      <c r="E119" s="2"/>
      <c r="F119" s="2"/>
      <c r="G119" s="2"/>
      <c r="H119" s="2"/>
      <c r="I119" s="21"/>
      <c r="J119" s="21"/>
      <c r="K119" s="21"/>
    </row>
    <row r="120" spans="1:11" ht="15.5" x14ac:dyDescent="0.35">
      <c r="A120" s="472" t="s">
        <v>812</v>
      </c>
      <c r="B120" s="473">
        <v>2017</v>
      </c>
      <c r="C120" s="473" t="str">
        <f t="shared" ref="C120:C153" si="3">CONCATENATE(A120,"_",B120)</f>
        <v>Alpine_2017</v>
      </c>
      <c r="D120" s="474">
        <v>466.01502823131887</v>
      </c>
      <c r="E120" s="2"/>
      <c r="F120" s="2"/>
      <c r="G120" s="2"/>
      <c r="H120" s="2"/>
      <c r="I120" s="21"/>
      <c r="J120" s="21"/>
      <c r="K120" s="21"/>
    </row>
    <row r="121" spans="1:11" ht="15.5" x14ac:dyDescent="0.35">
      <c r="A121" s="472" t="s">
        <v>812</v>
      </c>
      <c r="B121" s="473">
        <v>2018</v>
      </c>
      <c r="C121" s="473" t="str">
        <f t="shared" si="3"/>
        <v>Alpine_2018</v>
      </c>
      <c r="D121" s="474">
        <v>453.82414004936891</v>
      </c>
      <c r="E121" s="2"/>
      <c r="F121" s="2"/>
      <c r="G121" s="2"/>
      <c r="H121" s="2"/>
      <c r="I121" s="21"/>
      <c r="J121" s="21"/>
      <c r="K121" s="21"/>
    </row>
    <row r="122" spans="1:11" ht="15.5" x14ac:dyDescent="0.35">
      <c r="A122" s="472" t="s">
        <v>812</v>
      </c>
      <c r="B122" s="473">
        <v>2019</v>
      </c>
      <c r="C122" s="473" t="str">
        <f t="shared" si="3"/>
        <v>Alpine_2019</v>
      </c>
      <c r="D122" s="474">
        <v>441.37401730966491</v>
      </c>
      <c r="E122" s="2"/>
      <c r="F122" s="2"/>
      <c r="G122" s="2"/>
      <c r="H122" s="2"/>
      <c r="I122" s="21"/>
      <c r="J122" s="21"/>
      <c r="K122" s="21"/>
    </row>
    <row r="123" spans="1:11" ht="15.5" x14ac:dyDescent="0.35">
      <c r="A123" s="472" t="s">
        <v>812</v>
      </c>
      <c r="B123" s="473">
        <v>2020</v>
      </c>
      <c r="C123" s="473" t="str">
        <f t="shared" si="3"/>
        <v>Alpine_2020</v>
      </c>
      <c r="D123" s="474">
        <v>428.61746901591988</v>
      </c>
      <c r="E123" s="2"/>
      <c r="F123" s="2"/>
      <c r="G123" s="2"/>
      <c r="H123" s="2"/>
      <c r="I123" s="21"/>
      <c r="J123" s="21"/>
      <c r="K123" s="21"/>
    </row>
    <row r="124" spans="1:11" ht="15.5" x14ac:dyDescent="0.35">
      <c r="A124" s="472" t="s">
        <v>812</v>
      </c>
      <c r="B124" s="473">
        <v>2021</v>
      </c>
      <c r="C124" s="473" t="str">
        <f t="shared" si="3"/>
        <v>Alpine_2021</v>
      </c>
      <c r="D124" s="474">
        <v>415.72234522094038</v>
      </c>
      <c r="E124" s="2"/>
      <c r="F124" s="2"/>
      <c r="G124" s="2"/>
      <c r="H124" s="2"/>
      <c r="I124" s="21"/>
      <c r="J124" s="21"/>
      <c r="K124" s="21"/>
    </row>
    <row r="125" spans="1:11" ht="15.5" x14ac:dyDescent="0.35">
      <c r="A125" s="472" t="s">
        <v>812</v>
      </c>
      <c r="B125" s="473">
        <v>2022</v>
      </c>
      <c r="C125" s="473" t="str">
        <f t="shared" si="3"/>
        <v>Alpine_2022</v>
      </c>
      <c r="D125" s="474">
        <v>403.02952006511555</v>
      </c>
      <c r="E125" s="2"/>
      <c r="F125" s="2"/>
      <c r="G125" s="2"/>
      <c r="H125" s="2"/>
      <c r="I125" s="21"/>
      <c r="J125" s="21"/>
      <c r="K125" s="21"/>
    </row>
    <row r="126" spans="1:11" ht="15.5" x14ac:dyDescent="0.35">
      <c r="A126" s="472" t="s">
        <v>812</v>
      </c>
      <c r="B126" s="473">
        <v>2023</v>
      </c>
      <c r="C126" s="473" t="str">
        <f t="shared" si="3"/>
        <v>Alpine_2023</v>
      </c>
      <c r="D126" s="474">
        <v>390.48963663606759</v>
      </c>
      <c r="E126" s="2"/>
      <c r="F126" s="2"/>
      <c r="G126" s="2"/>
      <c r="H126" s="2"/>
      <c r="I126" s="21"/>
      <c r="J126" s="21"/>
      <c r="K126" s="21"/>
    </row>
    <row r="127" spans="1:11" ht="15.5" x14ac:dyDescent="0.35">
      <c r="A127" s="472" t="s">
        <v>812</v>
      </c>
      <c r="B127" s="473">
        <v>2024</v>
      </c>
      <c r="C127" s="473" t="str">
        <f t="shared" si="3"/>
        <v>Alpine_2024</v>
      </c>
      <c r="D127" s="474">
        <v>378.23761118416047</v>
      </c>
      <c r="E127" s="2"/>
      <c r="F127" s="2"/>
      <c r="G127" s="2"/>
      <c r="H127" s="2"/>
      <c r="I127" s="21"/>
      <c r="J127" s="21"/>
      <c r="K127" s="21"/>
    </row>
    <row r="128" spans="1:11" ht="15.5" x14ac:dyDescent="0.35">
      <c r="A128" s="472" t="s">
        <v>812</v>
      </c>
      <c r="B128" s="473">
        <v>2025</v>
      </c>
      <c r="C128" s="473" t="str">
        <f t="shared" si="3"/>
        <v>Alpine_2025</v>
      </c>
      <c r="D128" s="474">
        <v>366.14916467105525</v>
      </c>
      <c r="E128" s="2"/>
      <c r="F128" s="2"/>
      <c r="G128" s="2"/>
      <c r="H128" s="2"/>
      <c r="I128" s="21"/>
      <c r="J128" s="21"/>
      <c r="K128" s="21"/>
    </row>
    <row r="129" spans="1:11" ht="15.5" x14ac:dyDescent="0.35">
      <c r="A129" s="472" t="s">
        <v>812</v>
      </c>
      <c r="B129" s="473">
        <v>2026</v>
      </c>
      <c r="C129" s="473" t="str">
        <f t="shared" si="3"/>
        <v>Alpine_2026</v>
      </c>
      <c r="D129" s="474">
        <v>355.2389736966993</v>
      </c>
      <c r="E129" s="2"/>
      <c r="F129" s="2"/>
      <c r="G129" s="2"/>
      <c r="H129" s="2"/>
      <c r="I129" s="21"/>
      <c r="J129" s="21"/>
      <c r="K129" s="21"/>
    </row>
    <row r="130" spans="1:11" ht="15.5" x14ac:dyDescent="0.35">
      <c r="A130" s="472" t="s">
        <v>812</v>
      </c>
      <c r="B130" s="473">
        <v>2027</v>
      </c>
      <c r="C130" s="473" t="str">
        <f t="shared" si="3"/>
        <v>Alpine_2027</v>
      </c>
      <c r="D130" s="474">
        <v>345.36747009540926</v>
      </c>
      <c r="E130" s="2"/>
      <c r="F130" s="2"/>
      <c r="G130" s="2"/>
      <c r="H130" s="2"/>
      <c r="I130" s="21"/>
      <c r="J130" s="21"/>
      <c r="K130" s="21"/>
    </row>
    <row r="131" spans="1:11" ht="15.5" x14ac:dyDescent="0.35">
      <c r="A131" s="472" t="s">
        <v>812</v>
      </c>
      <c r="B131" s="473">
        <v>2028</v>
      </c>
      <c r="C131" s="473" t="str">
        <f t="shared" si="3"/>
        <v>Alpine_2028</v>
      </c>
      <c r="D131" s="474">
        <v>336.52877755780838</v>
      </c>
      <c r="E131" s="2"/>
      <c r="F131" s="2"/>
      <c r="G131" s="2"/>
      <c r="H131" s="2"/>
      <c r="I131" s="21"/>
      <c r="J131" s="21"/>
      <c r="K131" s="21"/>
    </row>
    <row r="132" spans="1:11" ht="15.5" x14ac:dyDescent="0.35">
      <c r="A132" s="472" t="s">
        <v>812</v>
      </c>
      <c r="B132" s="473">
        <v>2029</v>
      </c>
      <c r="C132" s="473" t="str">
        <f t="shared" si="3"/>
        <v>Alpine_2029</v>
      </c>
      <c r="D132" s="474">
        <v>328.60447559963399</v>
      </c>
      <c r="E132" s="2"/>
      <c r="F132" s="2"/>
      <c r="G132" s="2"/>
      <c r="H132" s="2"/>
      <c r="I132" s="21"/>
      <c r="J132" s="21"/>
      <c r="K132" s="21"/>
    </row>
    <row r="133" spans="1:11" ht="15.5" x14ac:dyDescent="0.35">
      <c r="A133" s="472" t="s">
        <v>812</v>
      </c>
      <c r="B133" s="473">
        <v>2030</v>
      </c>
      <c r="C133" s="473" t="str">
        <f t="shared" si="3"/>
        <v>Alpine_2030</v>
      </c>
      <c r="D133" s="474">
        <v>321.56473408163328</v>
      </c>
      <c r="E133" s="2"/>
      <c r="F133" s="2"/>
      <c r="G133" s="2"/>
      <c r="H133" s="2"/>
      <c r="I133" s="21"/>
      <c r="J133" s="21"/>
      <c r="K133" s="21"/>
    </row>
    <row r="134" spans="1:11" ht="15.5" x14ac:dyDescent="0.35">
      <c r="A134" s="472" t="s">
        <v>812</v>
      </c>
      <c r="B134" s="473">
        <v>2031</v>
      </c>
      <c r="C134" s="473" t="str">
        <f t="shared" si="3"/>
        <v>Alpine_2031</v>
      </c>
      <c r="D134" s="474">
        <v>315.27360831705136</v>
      </c>
      <c r="E134" s="2"/>
      <c r="F134" s="2"/>
      <c r="G134" s="2"/>
      <c r="H134" s="2"/>
      <c r="I134" s="21"/>
      <c r="J134" s="21"/>
      <c r="K134" s="21"/>
    </row>
    <row r="135" spans="1:11" ht="15.5" x14ac:dyDescent="0.35">
      <c r="A135" s="472" t="s">
        <v>812</v>
      </c>
      <c r="B135" s="473">
        <v>2032</v>
      </c>
      <c r="C135" s="473" t="str">
        <f t="shared" si="3"/>
        <v>Alpine_2032</v>
      </c>
      <c r="D135" s="474">
        <v>309.74738873912952</v>
      </c>
      <c r="E135" s="2"/>
      <c r="F135" s="2"/>
      <c r="G135" s="2"/>
      <c r="H135" s="2"/>
      <c r="I135" s="21"/>
      <c r="J135" s="21"/>
      <c r="K135" s="21"/>
    </row>
    <row r="136" spans="1:11" ht="15.5" x14ac:dyDescent="0.35">
      <c r="A136" s="472" t="s">
        <v>812</v>
      </c>
      <c r="B136" s="473">
        <v>2033</v>
      </c>
      <c r="C136" s="473" t="str">
        <f t="shared" si="3"/>
        <v>Alpine_2033</v>
      </c>
      <c r="D136" s="474">
        <v>304.88564784848529</v>
      </c>
      <c r="E136" s="2"/>
      <c r="F136" s="2"/>
      <c r="G136" s="2"/>
      <c r="H136" s="2"/>
      <c r="I136" s="21"/>
      <c r="J136" s="21"/>
      <c r="K136" s="21"/>
    </row>
    <row r="137" spans="1:11" ht="15.5" x14ac:dyDescent="0.35">
      <c r="A137" s="472" t="s">
        <v>812</v>
      </c>
      <c r="B137" s="473">
        <v>2034</v>
      </c>
      <c r="C137" s="473" t="str">
        <f t="shared" si="3"/>
        <v>Alpine_2034</v>
      </c>
      <c r="D137" s="474">
        <v>300.63914877805814</v>
      </c>
      <c r="E137" s="2"/>
      <c r="F137" s="2"/>
      <c r="G137" s="2"/>
      <c r="H137" s="2"/>
      <c r="I137" s="21"/>
      <c r="J137" s="21"/>
      <c r="K137" s="21"/>
    </row>
    <row r="138" spans="1:11" ht="15.5" x14ac:dyDescent="0.35">
      <c r="A138" s="472" t="s">
        <v>812</v>
      </c>
      <c r="B138" s="473">
        <v>2035</v>
      </c>
      <c r="C138" s="473" t="str">
        <f t="shared" si="3"/>
        <v>Alpine_2035</v>
      </c>
      <c r="D138" s="474">
        <v>296.93718358071459</v>
      </c>
      <c r="E138" s="2"/>
      <c r="F138" s="2"/>
      <c r="G138" s="2"/>
      <c r="H138" s="2"/>
      <c r="I138" s="21"/>
      <c r="J138" s="21"/>
      <c r="K138" s="21"/>
    </row>
    <row r="139" spans="1:11" ht="15.5" x14ac:dyDescent="0.35">
      <c r="A139" s="472" t="s">
        <v>812</v>
      </c>
      <c r="B139" s="473">
        <v>2036</v>
      </c>
      <c r="C139" s="473" t="str">
        <f t="shared" si="3"/>
        <v>Alpine_2036</v>
      </c>
      <c r="D139" s="474">
        <v>293.75141568737575</v>
      </c>
      <c r="E139" s="2"/>
      <c r="F139" s="2"/>
      <c r="G139" s="2"/>
      <c r="H139" s="2"/>
      <c r="I139" s="21"/>
      <c r="J139" s="21"/>
      <c r="K139" s="21"/>
    </row>
    <row r="140" spans="1:11" ht="15.5" x14ac:dyDescent="0.35">
      <c r="A140" s="472" t="s">
        <v>812</v>
      </c>
      <c r="B140" s="473">
        <v>2037</v>
      </c>
      <c r="C140" s="473" t="str">
        <f t="shared" si="3"/>
        <v>Alpine_2037</v>
      </c>
      <c r="D140" s="474">
        <v>290.99872234917217</v>
      </c>
      <c r="E140" s="2"/>
      <c r="F140" s="2"/>
      <c r="G140" s="2"/>
      <c r="H140" s="2"/>
      <c r="I140" s="21"/>
      <c r="J140" s="21"/>
      <c r="K140" s="21"/>
    </row>
    <row r="141" spans="1:11" ht="15.5" x14ac:dyDescent="0.35">
      <c r="A141" s="472" t="s">
        <v>812</v>
      </c>
      <c r="B141" s="473">
        <v>2038</v>
      </c>
      <c r="C141" s="473" t="str">
        <f t="shared" si="3"/>
        <v>Alpine_2038</v>
      </c>
      <c r="D141" s="474">
        <v>288.70780692612618</v>
      </c>
      <c r="E141" s="2"/>
      <c r="F141" s="2"/>
      <c r="G141" s="2"/>
      <c r="H141" s="2"/>
      <c r="I141" s="21"/>
      <c r="J141" s="21"/>
      <c r="K141" s="21"/>
    </row>
    <row r="142" spans="1:11" ht="15.5" x14ac:dyDescent="0.35">
      <c r="A142" s="472" t="s">
        <v>812</v>
      </c>
      <c r="B142" s="473">
        <v>2039</v>
      </c>
      <c r="C142" s="473" t="str">
        <f t="shared" si="3"/>
        <v>Alpine_2039</v>
      </c>
      <c r="D142" s="474">
        <v>286.77348136441532</v>
      </c>
      <c r="E142" s="2"/>
      <c r="F142" s="2"/>
      <c r="G142" s="2"/>
      <c r="H142" s="2"/>
      <c r="I142" s="21"/>
      <c r="J142" s="21"/>
      <c r="K142" s="21"/>
    </row>
    <row r="143" spans="1:11" ht="15.5" x14ac:dyDescent="0.35">
      <c r="A143" s="472" t="s">
        <v>812</v>
      </c>
      <c r="B143" s="473">
        <v>2040</v>
      </c>
      <c r="C143" s="473" t="str">
        <f t="shared" si="3"/>
        <v>Alpine_2040</v>
      </c>
      <c r="D143" s="474">
        <v>285.15368773660782</v>
      </c>
      <c r="E143" s="2"/>
      <c r="F143" s="2"/>
      <c r="G143" s="2"/>
      <c r="H143" s="2"/>
      <c r="I143" s="21"/>
      <c r="J143" s="21"/>
      <c r="K143" s="21"/>
    </row>
    <row r="144" spans="1:11" ht="15.5" x14ac:dyDescent="0.35">
      <c r="A144" s="472" t="s">
        <v>812</v>
      </c>
      <c r="B144" s="473">
        <v>2041</v>
      </c>
      <c r="C144" s="473" t="str">
        <f t="shared" si="3"/>
        <v>Alpine_2041</v>
      </c>
      <c r="D144" s="474">
        <v>283.82470991579805</v>
      </c>
      <c r="E144" s="2"/>
      <c r="F144" s="2"/>
      <c r="G144" s="2"/>
      <c r="H144" s="2"/>
      <c r="I144" s="21"/>
      <c r="J144" s="21"/>
      <c r="K144" s="21"/>
    </row>
    <row r="145" spans="1:11" ht="15.5" x14ac:dyDescent="0.35">
      <c r="A145" s="472" t="s">
        <v>812</v>
      </c>
      <c r="B145" s="473">
        <v>2042</v>
      </c>
      <c r="C145" s="473" t="str">
        <f t="shared" si="3"/>
        <v>Alpine_2042</v>
      </c>
      <c r="D145" s="474">
        <v>282.71262982511269</v>
      </c>
      <c r="E145" s="2"/>
      <c r="F145" s="2"/>
      <c r="G145" s="2"/>
      <c r="H145" s="2"/>
      <c r="I145" s="21"/>
      <c r="J145" s="21"/>
      <c r="K145" s="21"/>
    </row>
    <row r="146" spans="1:11" ht="15.5" x14ac:dyDescent="0.35">
      <c r="A146" s="472" t="s">
        <v>812</v>
      </c>
      <c r="B146" s="473">
        <v>2043</v>
      </c>
      <c r="C146" s="473" t="str">
        <f t="shared" si="3"/>
        <v>Alpine_2043</v>
      </c>
      <c r="D146" s="474">
        <v>281.82334198861525</v>
      </c>
      <c r="E146" s="2"/>
      <c r="F146" s="2"/>
      <c r="G146" s="2"/>
      <c r="H146" s="2"/>
      <c r="I146" s="21"/>
      <c r="J146" s="21"/>
      <c r="K146" s="21"/>
    </row>
    <row r="147" spans="1:11" ht="15.5" x14ac:dyDescent="0.35">
      <c r="A147" s="472" t="s">
        <v>812</v>
      </c>
      <c r="B147" s="473">
        <v>2044</v>
      </c>
      <c r="C147" s="473" t="str">
        <f t="shared" si="3"/>
        <v>Alpine_2044</v>
      </c>
      <c r="D147" s="474">
        <v>281.05828647743891</v>
      </c>
      <c r="E147" s="2"/>
      <c r="F147" s="2"/>
      <c r="G147" s="2"/>
      <c r="H147" s="2"/>
      <c r="I147" s="21"/>
      <c r="J147" s="21"/>
      <c r="K147" s="21"/>
    </row>
    <row r="148" spans="1:11" ht="15.5" x14ac:dyDescent="0.35">
      <c r="A148" s="472" t="s">
        <v>812</v>
      </c>
      <c r="B148" s="473">
        <v>2045</v>
      </c>
      <c r="C148" s="473" t="str">
        <f t="shared" si="3"/>
        <v>Alpine_2045</v>
      </c>
      <c r="D148" s="474">
        <v>280.43539213087564</v>
      </c>
      <c r="E148" s="2"/>
      <c r="F148" s="2"/>
      <c r="G148" s="2"/>
      <c r="H148" s="2"/>
      <c r="I148" s="21"/>
      <c r="J148" s="21"/>
      <c r="K148" s="21"/>
    </row>
    <row r="149" spans="1:11" ht="15.5" x14ac:dyDescent="0.35">
      <c r="A149" s="472" t="s">
        <v>812</v>
      </c>
      <c r="B149" s="473">
        <v>2046</v>
      </c>
      <c r="C149" s="473" t="str">
        <f t="shared" si="3"/>
        <v>Alpine_2046</v>
      </c>
      <c r="D149" s="474">
        <v>279.94569132236563</v>
      </c>
      <c r="E149" s="2"/>
      <c r="F149" s="2"/>
      <c r="G149" s="2"/>
      <c r="H149" s="2"/>
      <c r="I149" s="21"/>
      <c r="J149" s="21"/>
      <c r="K149" s="21"/>
    </row>
    <row r="150" spans="1:11" ht="15.5" x14ac:dyDescent="0.35">
      <c r="A150" s="472" t="s">
        <v>812</v>
      </c>
      <c r="B150" s="473">
        <v>2047</v>
      </c>
      <c r="C150" s="473" t="str">
        <f t="shared" si="3"/>
        <v>Alpine_2047</v>
      </c>
      <c r="D150" s="474">
        <v>279.54460451645315</v>
      </c>
      <c r="E150" s="2"/>
      <c r="F150" s="2"/>
      <c r="G150" s="2"/>
      <c r="H150" s="2"/>
      <c r="I150" s="21"/>
      <c r="J150" s="21"/>
      <c r="K150" s="21"/>
    </row>
    <row r="151" spans="1:11" ht="15.5" x14ac:dyDescent="0.35">
      <c r="A151" s="472" t="s">
        <v>812</v>
      </c>
      <c r="B151" s="473">
        <v>2048</v>
      </c>
      <c r="C151" s="473" t="str">
        <f t="shared" si="3"/>
        <v>Alpine_2048</v>
      </c>
      <c r="D151" s="474">
        <v>279.25189491243066</v>
      </c>
      <c r="E151" s="2"/>
      <c r="F151" s="2"/>
      <c r="G151" s="2"/>
      <c r="H151" s="2"/>
      <c r="I151" s="21"/>
      <c r="J151" s="21"/>
      <c r="K151" s="21"/>
    </row>
    <row r="152" spans="1:11" ht="15.5" x14ac:dyDescent="0.35">
      <c r="A152" s="472" t="s">
        <v>812</v>
      </c>
      <c r="B152" s="473">
        <v>2049</v>
      </c>
      <c r="C152" s="473" t="str">
        <f t="shared" si="3"/>
        <v>Alpine_2049</v>
      </c>
      <c r="D152" s="474">
        <v>278.97073080401145</v>
      </c>
      <c r="E152" s="2"/>
      <c r="F152" s="2"/>
      <c r="G152" s="2"/>
      <c r="H152" s="2"/>
      <c r="I152" s="21"/>
      <c r="J152" s="21"/>
      <c r="K152" s="21"/>
    </row>
    <row r="153" spans="1:11" ht="15.5" x14ac:dyDescent="0.35">
      <c r="A153" s="472" t="s">
        <v>812</v>
      </c>
      <c r="B153" s="473">
        <v>2050</v>
      </c>
      <c r="C153" s="473" t="str">
        <f t="shared" si="3"/>
        <v>Alpine_2050</v>
      </c>
      <c r="D153" s="474">
        <v>278.78032608560034</v>
      </c>
      <c r="E153" s="2"/>
      <c r="F153" s="2"/>
      <c r="G153" s="2"/>
      <c r="H153" s="2"/>
      <c r="I153" s="21"/>
      <c r="J153" s="21"/>
      <c r="K153" s="21"/>
    </row>
    <row r="154" spans="1:11" ht="15.5" x14ac:dyDescent="0.35">
      <c r="A154" s="468" t="s">
        <v>815</v>
      </c>
      <c r="B154" s="469">
        <v>2015</v>
      </c>
      <c r="C154" s="470" t="s">
        <v>816</v>
      </c>
      <c r="D154" s="471">
        <v>507.37937937381997</v>
      </c>
      <c r="E154" s="2"/>
      <c r="F154" s="2"/>
      <c r="G154" s="2"/>
      <c r="H154" s="2"/>
      <c r="I154" s="21"/>
      <c r="J154" s="21"/>
      <c r="K154" s="21"/>
    </row>
    <row r="155" spans="1:11" ht="15.5" x14ac:dyDescent="0.35">
      <c r="A155" s="468" t="s">
        <v>815</v>
      </c>
      <c r="B155" s="469">
        <v>2016</v>
      </c>
      <c r="C155" s="470" t="s">
        <v>817</v>
      </c>
      <c r="D155" s="471">
        <v>499.31351821419059</v>
      </c>
      <c r="E155" s="2"/>
      <c r="F155" s="2"/>
      <c r="G155" s="2"/>
      <c r="H155" s="2"/>
      <c r="I155" s="21"/>
      <c r="J155" s="21"/>
      <c r="K155" s="21"/>
    </row>
    <row r="156" spans="1:11" ht="15.5" x14ac:dyDescent="0.35">
      <c r="A156" s="472" t="s">
        <v>815</v>
      </c>
      <c r="B156" s="473">
        <v>2017</v>
      </c>
      <c r="C156" s="473" t="str">
        <f t="shared" ref="C156:C189" si="4">CONCATENATE(A156,"_",B156)</f>
        <v>Amador_2017</v>
      </c>
      <c r="D156" s="474">
        <v>487.7105528621401</v>
      </c>
      <c r="E156" s="2"/>
      <c r="F156" s="2"/>
      <c r="G156" s="2"/>
      <c r="H156" s="2"/>
      <c r="I156" s="21"/>
      <c r="J156" s="21"/>
      <c r="K156" s="21"/>
    </row>
    <row r="157" spans="1:11" ht="15.5" x14ac:dyDescent="0.35">
      <c r="A157" s="472" t="s">
        <v>815</v>
      </c>
      <c r="B157" s="473">
        <v>2018</v>
      </c>
      <c r="C157" s="473" t="str">
        <f t="shared" si="4"/>
        <v>Amador_2018</v>
      </c>
      <c r="D157" s="474">
        <v>475.40541166182578</v>
      </c>
      <c r="E157" s="2"/>
      <c r="F157" s="2"/>
      <c r="G157" s="2"/>
      <c r="H157" s="2"/>
      <c r="I157" s="21"/>
      <c r="J157" s="21"/>
      <c r="K157" s="21"/>
    </row>
    <row r="158" spans="1:11" ht="15.5" x14ac:dyDescent="0.35">
      <c r="A158" s="472" t="s">
        <v>815</v>
      </c>
      <c r="B158" s="473">
        <v>2019</v>
      </c>
      <c r="C158" s="473" t="str">
        <f t="shared" si="4"/>
        <v>Amador_2019</v>
      </c>
      <c r="D158" s="474">
        <v>462.4291064188202</v>
      </c>
      <c r="E158" s="2"/>
      <c r="F158" s="2"/>
      <c r="G158" s="2"/>
      <c r="H158" s="2"/>
      <c r="I158" s="21"/>
      <c r="J158" s="21"/>
      <c r="K158" s="21"/>
    </row>
    <row r="159" spans="1:11" ht="15.5" x14ac:dyDescent="0.35">
      <c r="A159" s="472" t="s">
        <v>815</v>
      </c>
      <c r="B159" s="473">
        <v>2020</v>
      </c>
      <c r="C159" s="473" t="str">
        <f t="shared" si="4"/>
        <v>Amador_2020</v>
      </c>
      <c r="D159" s="474">
        <v>449.06933725771307</v>
      </c>
      <c r="E159" s="2"/>
      <c r="F159" s="2"/>
      <c r="G159" s="2"/>
      <c r="H159" s="2"/>
      <c r="I159" s="21"/>
      <c r="J159" s="21"/>
      <c r="K159" s="21"/>
    </row>
    <row r="160" spans="1:11" ht="15.5" x14ac:dyDescent="0.35">
      <c r="A160" s="472" t="s">
        <v>815</v>
      </c>
      <c r="B160" s="473">
        <v>2021</v>
      </c>
      <c r="C160" s="473" t="str">
        <f t="shared" si="4"/>
        <v>Amador_2021</v>
      </c>
      <c r="D160" s="474">
        <v>435.40560818203761</v>
      </c>
      <c r="E160" s="2"/>
      <c r="F160" s="2"/>
      <c r="G160" s="2"/>
      <c r="H160" s="2"/>
      <c r="I160" s="21"/>
      <c r="J160" s="21"/>
      <c r="K160" s="21"/>
    </row>
    <row r="161" spans="1:11" ht="15.5" x14ac:dyDescent="0.35">
      <c r="A161" s="472" t="s">
        <v>815</v>
      </c>
      <c r="B161" s="473">
        <v>2022</v>
      </c>
      <c r="C161" s="473" t="str">
        <f t="shared" si="4"/>
        <v>Amador_2022</v>
      </c>
      <c r="D161" s="474">
        <v>421.74327371205487</v>
      </c>
      <c r="E161" s="2"/>
      <c r="F161" s="2"/>
      <c r="G161" s="2"/>
      <c r="H161" s="2"/>
      <c r="I161" s="21"/>
      <c r="J161" s="21"/>
      <c r="K161" s="21"/>
    </row>
    <row r="162" spans="1:11" ht="15.5" x14ac:dyDescent="0.35">
      <c r="A162" s="472" t="s">
        <v>815</v>
      </c>
      <c r="B162" s="473">
        <v>2023</v>
      </c>
      <c r="C162" s="473" t="str">
        <f t="shared" si="4"/>
        <v>Amador_2023</v>
      </c>
      <c r="D162" s="474">
        <v>408.24386434235089</v>
      </c>
      <c r="E162" s="2"/>
      <c r="F162" s="2"/>
      <c r="G162" s="2"/>
      <c r="H162" s="2"/>
      <c r="I162" s="21"/>
      <c r="J162" s="21"/>
      <c r="K162" s="21"/>
    </row>
    <row r="163" spans="1:11" ht="15.5" x14ac:dyDescent="0.35">
      <c r="A163" s="472" t="s">
        <v>815</v>
      </c>
      <c r="B163" s="473">
        <v>2024</v>
      </c>
      <c r="C163" s="473" t="str">
        <f t="shared" si="4"/>
        <v>Amador_2024</v>
      </c>
      <c r="D163" s="474">
        <v>394.93322620927376</v>
      </c>
      <c r="E163" s="2"/>
      <c r="F163" s="2"/>
      <c r="G163" s="2"/>
      <c r="H163" s="2"/>
      <c r="I163" s="21"/>
      <c r="J163" s="21"/>
      <c r="K163" s="21"/>
    </row>
    <row r="164" spans="1:11" ht="15.5" x14ac:dyDescent="0.35">
      <c r="A164" s="472" t="s">
        <v>815</v>
      </c>
      <c r="B164" s="473">
        <v>2025</v>
      </c>
      <c r="C164" s="473" t="str">
        <f t="shared" si="4"/>
        <v>Amador_2025</v>
      </c>
      <c r="D164" s="474">
        <v>381.95102702431569</v>
      </c>
      <c r="E164" s="2"/>
      <c r="F164" s="2"/>
      <c r="G164" s="2"/>
      <c r="H164" s="2"/>
      <c r="I164" s="21"/>
      <c r="J164" s="21"/>
      <c r="K164" s="21"/>
    </row>
    <row r="165" spans="1:11" ht="15.5" x14ac:dyDescent="0.35">
      <c r="A165" s="472" t="s">
        <v>815</v>
      </c>
      <c r="B165" s="473">
        <v>2026</v>
      </c>
      <c r="C165" s="473" t="str">
        <f t="shared" si="4"/>
        <v>Amador_2026</v>
      </c>
      <c r="D165" s="474">
        <v>369.90201787098431</v>
      </c>
      <c r="E165" s="2"/>
      <c r="F165" s="2"/>
      <c r="G165" s="2"/>
      <c r="H165" s="2"/>
      <c r="I165" s="21"/>
      <c r="J165" s="21"/>
      <c r="K165" s="21"/>
    </row>
    <row r="166" spans="1:11" ht="15.5" x14ac:dyDescent="0.35">
      <c r="A166" s="472" t="s">
        <v>815</v>
      </c>
      <c r="B166" s="473">
        <v>2027</v>
      </c>
      <c r="C166" s="473" t="str">
        <f t="shared" si="4"/>
        <v>Amador_2027</v>
      </c>
      <c r="D166" s="474">
        <v>358.68670504701021</v>
      </c>
      <c r="E166" s="2"/>
      <c r="F166" s="2"/>
      <c r="G166" s="2"/>
      <c r="H166" s="2"/>
      <c r="I166" s="21"/>
      <c r="J166" s="21"/>
      <c r="K166" s="21"/>
    </row>
    <row r="167" spans="1:11" ht="15.5" x14ac:dyDescent="0.35">
      <c r="A167" s="472" t="s">
        <v>815</v>
      </c>
      <c r="B167" s="473">
        <v>2028</v>
      </c>
      <c r="C167" s="473" t="str">
        <f t="shared" si="4"/>
        <v>Amador_2028</v>
      </c>
      <c r="D167" s="474">
        <v>348.4095778878069</v>
      </c>
      <c r="E167" s="2"/>
      <c r="F167" s="2"/>
      <c r="G167" s="2"/>
      <c r="H167" s="2"/>
      <c r="I167" s="21"/>
      <c r="J167" s="21"/>
      <c r="K167" s="21"/>
    </row>
    <row r="168" spans="1:11" ht="15.5" x14ac:dyDescent="0.35">
      <c r="A168" s="472" t="s">
        <v>815</v>
      </c>
      <c r="B168" s="473">
        <v>2029</v>
      </c>
      <c r="C168" s="473" t="str">
        <f t="shared" si="4"/>
        <v>Amador_2029</v>
      </c>
      <c r="D168" s="474">
        <v>339.03825499496446</v>
      </c>
      <c r="E168" s="2"/>
      <c r="F168" s="2"/>
      <c r="G168" s="2"/>
      <c r="H168" s="2"/>
      <c r="I168" s="21"/>
      <c r="J168" s="21"/>
      <c r="K168" s="21"/>
    </row>
    <row r="169" spans="1:11" ht="15.5" x14ac:dyDescent="0.35">
      <c r="A169" s="472" t="s">
        <v>815</v>
      </c>
      <c r="B169" s="473">
        <v>2030</v>
      </c>
      <c r="C169" s="473" t="str">
        <f t="shared" si="4"/>
        <v>Amador_2030</v>
      </c>
      <c r="D169" s="474">
        <v>330.55479144930217</v>
      </c>
      <c r="E169" s="2"/>
      <c r="F169" s="2"/>
      <c r="G169" s="2"/>
      <c r="H169" s="2"/>
      <c r="I169" s="21"/>
      <c r="J169" s="21"/>
      <c r="K169" s="21"/>
    </row>
    <row r="170" spans="1:11" ht="15.5" x14ac:dyDescent="0.35">
      <c r="A170" s="472" t="s">
        <v>815</v>
      </c>
      <c r="B170" s="473">
        <v>2031</v>
      </c>
      <c r="C170" s="473" t="str">
        <f t="shared" si="4"/>
        <v>Amador_2031</v>
      </c>
      <c r="D170" s="474">
        <v>322.96710742575925</v>
      </c>
      <c r="E170" s="2"/>
      <c r="F170" s="2"/>
      <c r="G170" s="2"/>
      <c r="H170" s="2"/>
      <c r="I170" s="21"/>
      <c r="J170" s="21"/>
      <c r="K170" s="21"/>
    </row>
    <row r="171" spans="1:11" ht="15.5" x14ac:dyDescent="0.35">
      <c r="A171" s="472" t="s">
        <v>815</v>
      </c>
      <c r="B171" s="473">
        <v>2032</v>
      </c>
      <c r="C171" s="473" t="str">
        <f t="shared" si="4"/>
        <v>Amador_2032</v>
      </c>
      <c r="D171" s="474">
        <v>316.22225604219062</v>
      </c>
      <c r="E171" s="2"/>
      <c r="F171" s="2"/>
      <c r="G171" s="2"/>
      <c r="H171" s="2"/>
      <c r="I171" s="21"/>
      <c r="J171" s="21"/>
      <c r="K171" s="21"/>
    </row>
    <row r="172" spans="1:11" ht="15.5" x14ac:dyDescent="0.35">
      <c r="A172" s="472" t="s">
        <v>815</v>
      </c>
      <c r="B172" s="473">
        <v>2033</v>
      </c>
      <c r="C172" s="473" t="str">
        <f t="shared" si="4"/>
        <v>Amador_2033</v>
      </c>
      <c r="D172" s="474">
        <v>310.21593262861347</v>
      </c>
      <c r="E172" s="2"/>
      <c r="F172" s="2"/>
      <c r="G172" s="2"/>
      <c r="H172" s="2"/>
      <c r="I172" s="21"/>
      <c r="J172" s="21"/>
      <c r="K172" s="21"/>
    </row>
    <row r="173" spans="1:11" ht="15.5" x14ac:dyDescent="0.35">
      <c r="A173" s="472" t="s">
        <v>815</v>
      </c>
      <c r="B173" s="473">
        <v>2034</v>
      </c>
      <c r="C173" s="473" t="str">
        <f t="shared" si="4"/>
        <v>Amador_2034</v>
      </c>
      <c r="D173" s="474">
        <v>304.86957756828298</v>
      </c>
      <c r="E173" s="2"/>
      <c r="F173" s="2"/>
      <c r="G173" s="2"/>
      <c r="H173" s="2"/>
      <c r="I173" s="21"/>
      <c r="J173" s="21"/>
      <c r="K173" s="21"/>
    </row>
    <row r="174" spans="1:11" ht="15.5" x14ac:dyDescent="0.35">
      <c r="A174" s="472" t="s">
        <v>815</v>
      </c>
      <c r="B174" s="473">
        <v>2035</v>
      </c>
      <c r="C174" s="473" t="str">
        <f t="shared" si="4"/>
        <v>Amador_2035</v>
      </c>
      <c r="D174" s="474">
        <v>300.14256070863365</v>
      </c>
      <c r="E174" s="2"/>
      <c r="F174" s="2"/>
      <c r="G174" s="2"/>
      <c r="H174" s="2"/>
      <c r="I174" s="21"/>
      <c r="J174" s="21"/>
      <c r="K174" s="21"/>
    </row>
    <row r="175" spans="1:11" ht="15.5" x14ac:dyDescent="0.35">
      <c r="A175" s="472" t="s">
        <v>815</v>
      </c>
      <c r="B175" s="473">
        <v>2036</v>
      </c>
      <c r="C175" s="473" t="str">
        <f t="shared" si="4"/>
        <v>Amador_2036</v>
      </c>
      <c r="D175" s="474">
        <v>295.99676566296648</v>
      </c>
      <c r="E175" s="2"/>
      <c r="F175" s="2"/>
      <c r="G175" s="2"/>
      <c r="H175" s="2"/>
      <c r="I175" s="21"/>
      <c r="J175" s="21"/>
      <c r="K175" s="21"/>
    </row>
    <row r="176" spans="1:11" ht="15.5" x14ac:dyDescent="0.35">
      <c r="A176" s="472" t="s">
        <v>815</v>
      </c>
      <c r="B176" s="473">
        <v>2037</v>
      </c>
      <c r="C176" s="473" t="str">
        <f t="shared" si="4"/>
        <v>Amador_2037</v>
      </c>
      <c r="D176" s="474">
        <v>292.38084711993804</v>
      </c>
      <c r="E176" s="2"/>
      <c r="F176" s="2"/>
      <c r="G176" s="2"/>
      <c r="H176" s="2"/>
      <c r="I176" s="21"/>
      <c r="J176" s="21"/>
      <c r="K176" s="21"/>
    </row>
    <row r="177" spans="1:11" ht="15.5" x14ac:dyDescent="0.35">
      <c r="A177" s="472" t="s">
        <v>815</v>
      </c>
      <c r="B177" s="473">
        <v>2038</v>
      </c>
      <c r="C177" s="473" t="str">
        <f t="shared" si="4"/>
        <v>Amador_2038</v>
      </c>
      <c r="D177" s="474">
        <v>289.24804403940021</v>
      </c>
      <c r="E177" s="2"/>
      <c r="F177" s="2"/>
      <c r="G177" s="2"/>
      <c r="H177" s="2"/>
      <c r="I177" s="21"/>
      <c r="J177" s="21"/>
      <c r="K177" s="21"/>
    </row>
    <row r="178" spans="1:11" ht="15.5" x14ac:dyDescent="0.35">
      <c r="A178" s="472" t="s">
        <v>815</v>
      </c>
      <c r="B178" s="473">
        <v>2039</v>
      </c>
      <c r="C178" s="473" t="str">
        <f t="shared" si="4"/>
        <v>Amador_2039</v>
      </c>
      <c r="D178" s="474">
        <v>286.49334524235627</v>
      </c>
      <c r="E178" s="2"/>
      <c r="F178" s="2"/>
      <c r="G178" s="2"/>
      <c r="H178" s="2"/>
      <c r="I178" s="21"/>
      <c r="J178" s="21"/>
      <c r="K178" s="21"/>
    </row>
    <row r="179" spans="1:11" ht="15.5" x14ac:dyDescent="0.35">
      <c r="A179" s="472" t="s">
        <v>815</v>
      </c>
      <c r="B179" s="473">
        <v>2040</v>
      </c>
      <c r="C179" s="473" t="str">
        <f t="shared" si="4"/>
        <v>Amador_2040</v>
      </c>
      <c r="D179" s="474">
        <v>284.11010200249632</v>
      </c>
      <c r="E179" s="2"/>
      <c r="F179" s="2"/>
      <c r="G179" s="2"/>
      <c r="H179" s="2"/>
      <c r="I179" s="21"/>
      <c r="J179" s="21"/>
      <c r="K179" s="21"/>
    </row>
    <row r="180" spans="1:11" ht="15.5" x14ac:dyDescent="0.35">
      <c r="A180" s="472" t="s">
        <v>815</v>
      </c>
      <c r="B180" s="473">
        <v>2041</v>
      </c>
      <c r="C180" s="473" t="str">
        <f t="shared" si="4"/>
        <v>Amador_2041</v>
      </c>
      <c r="D180" s="474">
        <v>282.04524671205081</v>
      </c>
      <c r="E180" s="2"/>
      <c r="F180" s="2"/>
      <c r="G180" s="2"/>
      <c r="H180" s="2"/>
      <c r="I180" s="21"/>
      <c r="J180" s="21"/>
      <c r="K180" s="21"/>
    </row>
    <row r="181" spans="1:11" ht="15.5" x14ac:dyDescent="0.35">
      <c r="A181" s="472" t="s">
        <v>815</v>
      </c>
      <c r="B181" s="473">
        <v>2042</v>
      </c>
      <c r="C181" s="473" t="str">
        <f t="shared" si="4"/>
        <v>Amador_2042</v>
      </c>
      <c r="D181" s="474">
        <v>280.22253782375827</v>
      </c>
      <c r="E181" s="2"/>
      <c r="F181" s="2"/>
      <c r="G181" s="2"/>
      <c r="H181" s="2"/>
      <c r="I181" s="21"/>
      <c r="J181" s="21"/>
      <c r="K181" s="21"/>
    </row>
    <row r="182" spans="1:11" ht="15.5" x14ac:dyDescent="0.35">
      <c r="A182" s="472" t="s">
        <v>815</v>
      </c>
      <c r="B182" s="473">
        <v>2043</v>
      </c>
      <c r="C182" s="473" t="str">
        <f t="shared" si="4"/>
        <v>Amador_2043</v>
      </c>
      <c r="D182" s="474">
        <v>278.61310897113503</v>
      </c>
      <c r="E182" s="2"/>
      <c r="F182" s="2"/>
      <c r="G182" s="2"/>
      <c r="H182" s="2"/>
      <c r="I182" s="21"/>
      <c r="J182" s="21"/>
      <c r="K182" s="21"/>
    </row>
    <row r="183" spans="1:11" ht="15.5" x14ac:dyDescent="0.35">
      <c r="A183" s="472" t="s">
        <v>815</v>
      </c>
      <c r="B183" s="473">
        <v>2044</v>
      </c>
      <c r="C183" s="473" t="str">
        <f t="shared" si="4"/>
        <v>Amador_2044</v>
      </c>
      <c r="D183" s="474">
        <v>277.20812967429998</v>
      </c>
      <c r="E183" s="2"/>
      <c r="F183" s="2"/>
      <c r="G183" s="2"/>
      <c r="H183" s="2"/>
      <c r="I183" s="21"/>
      <c r="J183" s="21"/>
      <c r="K183" s="21"/>
    </row>
    <row r="184" spans="1:11" ht="15.5" x14ac:dyDescent="0.35">
      <c r="A184" s="472" t="s">
        <v>815</v>
      </c>
      <c r="B184" s="473">
        <v>2045</v>
      </c>
      <c r="C184" s="473" t="str">
        <f t="shared" si="4"/>
        <v>Amador_2045</v>
      </c>
      <c r="D184" s="474">
        <v>275.92611462185272</v>
      </c>
      <c r="E184" s="2"/>
      <c r="F184" s="2"/>
      <c r="G184" s="2"/>
      <c r="H184" s="2"/>
      <c r="I184" s="21"/>
      <c r="J184" s="21"/>
      <c r="K184" s="21"/>
    </row>
    <row r="185" spans="1:11" ht="15.5" x14ac:dyDescent="0.35">
      <c r="A185" s="472" t="s">
        <v>815</v>
      </c>
      <c r="B185" s="473">
        <v>2046</v>
      </c>
      <c r="C185" s="473" t="str">
        <f t="shared" si="4"/>
        <v>Amador_2046</v>
      </c>
      <c r="D185" s="474">
        <v>274.83106079727315</v>
      </c>
      <c r="E185" s="2"/>
      <c r="F185" s="2"/>
      <c r="G185" s="2"/>
      <c r="H185" s="2"/>
      <c r="I185" s="21"/>
      <c r="J185" s="21"/>
      <c r="K185" s="21"/>
    </row>
    <row r="186" spans="1:11" ht="15.5" x14ac:dyDescent="0.35">
      <c r="A186" s="472" t="s">
        <v>815</v>
      </c>
      <c r="B186" s="473">
        <v>2047</v>
      </c>
      <c r="C186" s="473" t="str">
        <f t="shared" si="4"/>
        <v>Amador_2047</v>
      </c>
      <c r="D186" s="474">
        <v>273.88428736217116</v>
      </c>
      <c r="E186" s="2"/>
      <c r="F186" s="2"/>
      <c r="G186" s="2"/>
      <c r="H186" s="2"/>
      <c r="I186" s="21"/>
      <c r="J186" s="21"/>
      <c r="K186" s="21"/>
    </row>
    <row r="187" spans="1:11" ht="15.5" x14ac:dyDescent="0.35">
      <c r="A187" s="472" t="s">
        <v>815</v>
      </c>
      <c r="B187" s="473">
        <v>2048</v>
      </c>
      <c r="C187" s="473" t="str">
        <f t="shared" si="4"/>
        <v>Amador_2048</v>
      </c>
      <c r="D187" s="474">
        <v>273.04847998854444</v>
      </c>
      <c r="E187" s="2"/>
      <c r="F187" s="2"/>
      <c r="G187" s="2"/>
      <c r="H187" s="2"/>
      <c r="I187" s="21"/>
      <c r="J187" s="21"/>
      <c r="K187" s="21"/>
    </row>
    <row r="188" spans="1:11" ht="15.5" x14ac:dyDescent="0.35">
      <c r="A188" s="472" t="s">
        <v>815</v>
      </c>
      <c r="B188" s="473">
        <v>2049</v>
      </c>
      <c r="C188" s="473" t="str">
        <f t="shared" si="4"/>
        <v>Amador_2049</v>
      </c>
      <c r="D188" s="474">
        <v>272.33673912857637</v>
      </c>
      <c r="E188" s="2"/>
      <c r="F188" s="2"/>
      <c r="G188" s="2"/>
      <c r="H188" s="2"/>
      <c r="I188" s="21"/>
      <c r="J188" s="21"/>
      <c r="K188" s="21"/>
    </row>
    <row r="189" spans="1:11" ht="15.5" x14ac:dyDescent="0.35">
      <c r="A189" s="472" t="s">
        <v>815</v>
      </c>
      <c r="B189" s="473">
        <v>2050</v>
      </c>
      <c r="C189" s="473" t="str">
        <f t="shared" si="4"/>
        <v>Amador_2050</v>
      </c>
      <c r="D189" s="474">
        <v>271.72134490006641</v>
      </c>
      <c r="E189" s="2"/>
      <c r="F189" s="2"/>
      <c r="G189" s="2"/>
      <c r="H189" s="2"/>
      <c r="I189" s="21"/>
      <c r="J189" s="21"/>
      <c r="K189" s="21"/>
    </row>
    <row r="190" spans="1:11" ht="15.5" x14ac:dyDescent="0.35">
      <c r="A190" s="468" t="s">
        <v>818</v>
      </c>
      <c r="B190" s="469">
        <v>2015</v>
      </c>
      <c r="C190" s="470" t="s">
        <v>819</v>
      </c>
      <c r="D190" s="471">
        <v>535.95984837211006</v>
      </c>
      <c r="E190" s="2"/>
      <c r="F190" s="2"/>
      <c r="G190" s="2"/>
      <c r="H190" s="2"/>
      <c r="I190" s="21"/>
      <c r="J190" s="21"/>
      <c r="K190" s="21"/>
    </row>
    <row r="191" spans="1:11" ht="15.5" x14ac:dyDescent="0.35">
      <c r="A191" s="468" t="s">
        <v>818</v>
      </c>
      <c r="B191" s="469">
        <v>2016</v>
      </c>
      <c r="C191" s="470" t="s">
        <v>820</v>
      </c>
      <c r="D191" s="471">
        <v>527.70784119660073</v>
      </c>
      <c r="E191" s="2"/>
      <c r="F191" s="2"/>
      <c r="G191" s="2"/>
      <c r="H191" s="2"/>
      <c r="I191" s="21"/>
      <c r="J191" s="21"/>
      <c r="K191" s="21"/>
    </row>
    <row r="192" spans="1:11" ht="15.5" x14ac:dyDescent="0.35">
      <c r="A192" s="472" t="s">
        <v>818</v>
      </c>
      <c r="B192" s="473">
        <v>2017</v>
      </c>
      <c r="C192" s="473" t="str">
        <f t="shared" ref="C192:C225" si="5">CONCATENATE(A192,"_",B192)</f>
        <v>Butte_2017</v>
      </c>
      <c r="D192" s="474">
        <v>514.50914293854748</v>
      </c>
      <c r="E192" s="2"/>
      <c r="F192" s="2"/>
      <c r="G192" s="2"/>
      <c r="H192" s="2"/>
      <c r="I192" s="21"/>
      <c r="J192" s="21"/>
      <c r="K192" s="21"/>
    </row>
    <row r="193" spans="1:11" ht="15.5" x14ac:dyDescent="0.35">
      <c r="A193" s="472" t="s">
        <v>818</v>
      </c>
      <c r="B193" s="473">
        <v>2018</v>
      </c>
      <c r="C193" s="473" t="str">
        <f t="shared" si="5"/>
        <v>Butte_2018</v>
      </c>
      <c r="D193" s="474">
        <v>500.50456981424884</v>
      </c>
      <c r="E193" s="2"/>
      <c r="F193" s="2"/>
      <c r="G193" s="2"/>
      <c r="H193" s="2"/>
      <c r="I193" s="21"/>
      <c r="J193" s="21"/>
      <c r="K193" s="21"/>
    </row>
    <row r="194" spans="1:11" ht="15.5" x14ac:dyDescent="0.35">
      <c r="A194" s="472" t="s">
        <v>818</v>
      </c>
      <c r="B194" s="473">
        <v>2019</v>
      </c>
      <c r="C194" s="473" t="str">
        <f t="shared" si="5"/>
        <v>Butte_2019</v>
      </c>
      <c r="D194" s="474">
        <v>485.86895880654231</v>
      </c>
      <c r="E194" s="2"/>
      <c r="F194" s="2"/>
      <c r="G194" s="2"/>
      <c r="H194" s="2"/>
      <c r="I194" s="21"/>
      <c r="J194" s="21"/>
      <c r="K194" s="21"/>
    </row>
    <row r="195" spans="1:11" ht="15.5" x14ac:dyDescent="0.35">
      <c r="A195" s="472" t="s">
        <v>818</v>
      </c>
      <c r="B195" s="473">
        <v>2020</v>
      </c>
      <c r="C195" s="473" t="str">
        <f t="shared" si="5"/>
        <v>Butte_2020</v>
      </c>
      <c r="D195" s="474">
        <v>470.98213588882794</v>
      </c>
      <c r="E195" s="2"/>
      <c r="F195" s="2"/>
      <c r="G195" s="2"/>
      <c r="H195" s="2"/>
      <c r="I195" s="21"/>
      <c r="J195" s="21"/>
      <c r="K195" s="21"/>
    </row>
    <row r="196" spans="1:11" ht="15.5" x14ac:dyDescent="0.35">
      <c r="A196" s="472" t="s">
        <v>818</v>
      </c>
      <c r="B196" s="473">
        <v>2021</v>
      </c>
      <c r="C196" s="473" t="str">
        <f t="shared" si="5"/>
        <v>Butte_2021</v>
      </c>
      <c r="D196" s="474">
        <v>456.5579177752262</v>
      </c>
      <c r="E196" s="2"/>
      <c r="F196" s="2"/>
      <c r="G196" s="2"/>
      <c r="H196" s="2"/>
      <c r="I196" s="21"/>
      <c r="J196" s="21"/>
      <c r="K196" s="21"/>
    </row>
    <row r="197" spans="1:11" ht="15.5" x14ac:dyDescent="0.35">
      <c r="A197" s="472" t="s">
        <v>818</v>
      </c>
      <c r="B197" s="473">
        <v>2022</v>
      </c>
      <c r="C197" s="473" t="str">
        <f t="shared" si="5"/>
        <v>Butte_2022</v>
      </c>
      <c r="D197" s="474">
        <v>441.62829785798453</v>
      </c>
      <c r="E197" s="2"/>
      <c r="F197" s="2"/>
      <c r="G197" s="2"/>
      <c r="H197" s="2"/>
      <c r="I197" s="21"/>
      <c r="J197" s="21"/>
      <c r="K197" s="21"/>
    </row>
    <row r="198" spans="1:11" ht="15.5" x14ac:dyDescent="0.35">
      <c r="A198" s="472" t="s">
        <v>818</v>
      </c>
      <c r="B198" s="473">
        <v>2023</v>
      </c>
      <c r="C198" s="473" t="str">
        <f t="shared" si="5"/>
        <v>Butte_2023</v>
      </c>
      <c r="D198" s="474">
        <v>426.9284240891173</v>
      </c>
      <c r="E198" s="2"/>
      <c r="F198" s="2"/>
      <c r="G198" s="2"/>
      <c r="H198" s="2"/>
      <c r="I198" s="21"/>
      <c r="J198" s="21"/>
      <c r="K198" s="21"/>
    </row>
    <row r="199" spans="1:11" ht="15.5" x14ac:dyDescent="0.35">
      <c r="A199" s="472" t="s">
        <v>818</v>
      </c>
      <c r="B199" s="473">
        <v>2024</v>
      </c>
      <c r="C199" s="473" t="str">
        <f t="shared" si="5"/>
        <v>Butte_2024</v>
      </c>
      <c r="D199" s="474">
        <v>412.49307113682318</v>
      </c>
      <c r="E199" s="2"/>
      <c r="F199" s="2"/>
      <c r="G199" s="2"/>
      <c r="H199" s="2"/>
      <c r="I199" s="21"/>
      <c r="J199" s="21"/>
      <c r="K199" s="21"/>
    </row>
    <row r="200" spans="1:11" ht="15.5" x14ac:dyDescent="0.35">
      <c r="A200" s="472" t="s">
        <v>818</v>
      </c>
      <c r="B200" s="473">
        <v>2025</v>
      </c>
      <c r="C200" s="473" t="str">
        <f t="shared" si="5"/>
        <v>Butte_2025</v>
      </c>
      <c r="D200" s="474">
        <v>398.42676344254522</v>
      </c>
      <c r="E200" s="2"/>
      <c r="F200" s="2"/>
      <c r="G200" s="2"/>
      <c r="H200" s="2"/>
      <c r="I200" s="21"/>
      <c r="J200" s="21"/>
      <c r="K200" s="21"/>
    </row>
    <row r="201" spans="1:11" ht="15.5" x14ac:dyDescent="0.35">
      <c r="A201" s="472" t="s">
        <v>818</v>
      </c>
      <c r="B201" s="473">
        <v>2026</v>
      </c>
      <c r="C201" s="473" t="str">
        <f t="shared" si="5"/>
        <v>Butte_2026</v>
      </c>
      <c r="D201" s="474">
        <v>385.47314685954052</v>
      </c>
      <c r="E201" s="2"/>
      <c r="F201" s="2"/>
      <c r="G201" s="2"/>
      <c r="H201" s="2"/>
      <c r="I201" s="21"/>
      <c r="J201" s="21"/>
      <c r="K201" s="21"/>
    </row>
    <row r="202" spans="1:11" ht="15.5" x14ac:dyDescent="0.35">
      <c r="A202" s="472" t="s">
        <v>818</v>
      </c>
      <c r="B202" s="473">
        <v>2027</v>
      </c>
      <c r="C202" s="473" t="str">
        <f t="shared" si="5"/>
        <v>Butte_2027</v>
      </c>
      <c r="D202" s="474">
        <v>373.53823821304263</v>
      </c>
      <c r="E202" s="2"/>
      <c r="F202" s="2"/>
      <c r="G202" s="2"/>
      <c r="H202" s="2"/>
      <c r="I202" s="21"/>
      <c r="J202" s="21"/>
      <c r="K202" s="21"/>
    </row>
    <row r="203" spans="1:11" ht="15.5" x14ac:dyDescent="0.35">
      <c r="A203" s="472" t="s">
        <v>818</v>
      </c>
      <c r="B203" s="473">
        <v>2028</v>
      </c>
      <c r="C203" s="473" t="str">
        <f t="shared" si="5"/>
        <v>Butte_2028</v>
      </c>
      <c r="D203" s="474">
        <v>362.73242249532632</v>
      </c>
      <c r="E203" s="2"/>
      <c r="F203" s="2"/>
      <c r="G203" s="2"/>
      <c r="H203" s="2"/>
      <c r="I203" s="21"/>
      <c r="J203" s="21"/>
      <c r="K203" s="21"/>
    </row>
    <row r="204" spans="1:11" ht="15.5" x14ac:dyDescent="0.35">
      <c r="A204" s="472" t="s">
        <v>818</v>
      </c>
      <c r="B204" s="473">
        <v>2029</v>
      </c>
      <c r="C204" s="473" t="str">
        <f t="shared" si="5"/>
        <v>Butte_2029</v>
      </c>
      <c r="D204" s="474">
        <v>352.97199176320248</v>
      </c>
      <c r="E204" s="2"/>
      <c r="F204" s="2"/>
      <c r="G204" s="2"/>
      <c r="H204" s="2"/>
      <c r="I204" s="21"/>
      <c r="J204" s="21"/>
      <c r="K204" s="21"/>
    </row>
    <row r="205" spans="1:11" ht="15.5" x14ac:dyDescent="0.35">
      <c r="A205" s="472" t="s">
        <v>818</v>
      </c>
      <c r="B205" s="473">
        <v>2030</v>
      </c>
      <c r="C205" s="473" t="str">
        <f t="shared" si="5"/>
        <v>Butte_2030</v>
      </c>
      <c r="D205" s="474">
        <v>344.23113697411435</v>
      </c>
      <c r="E205" s="2"/>
      <c r="F205" s="2"/>
      <c r="G205" s="2"/>
      <c r="H205" s="2"/>
      <c r="I205" s="21"/>
      <c r="J205" s="21"/>
      <c r="K205" s="21"/>
    </row>
    <row r="206" spans="1:11" ht="15.5" x14ac:dyDescent="0.35">
      <c r="A206" s="472" t="s">
        <v>818</v>
      </c>
      <c r="B206" s="473">
        <v>2031</v>
      </c>
      <c r="C206" s="473" t="str">
        <f t="shared" si="5"/>
        <v>Butte_2031</v>
      </c>
      <c r="D206" s="474">
        <v>336.42998722477063</v>
      </c>
      <c r="E206" s="2"/>
      <c r="F206" s="2"/>
      <c r="G206" s="2"/>
      <c r="H206" s="2"/>
      <c r="I206" s="21"/>
      <c r="J206" s="21"/>
      <c r="K206" s="21"/>
    </row>
    <row r="207" spans="1:11" ht="15.5" x14ac:dyDescent="0.35">
      <c r="A207" s="472" t="s">
        <v>818</v>
      </c>
      <c r="B207" s="473">
        <v>2032</v>
      </c>
      <c r="C207" s="473" t="str">
        <f t="shared" si="5"/>
        <v>Butte_2032</v>
      </c>
      <c r="D207" s="474">
        <v>329.52971884201833</v>
      </c>
      <c r="E207" s="2"/>
      <c r="F207" s="2"/>
      <c r="G207" s="2"/>
      <c r="H207" s="2"/>
      <c r="I207" s="21"/>
      <c r="J207" s="21"/>
      <c r="K207" s="21"/>
    </row>
    <row r="208" spans="1:11" ht="15.5" x14ac:dyDescent="0.35">
      <c r="A208" s="472" t="s">
        <v>818</v>
      </c>
      <c r="B208" s="473">
        <v>2033</v>
      </c>
      <c r="C208" s="473" t="str">
        <f t="shared" si="5"/>
        <v>Butte_2033</v>
      </c>
      <c r="D208" s="474">
        <v>323.4252185575852</v>
      </c>
      <c r="E208" s="2"/>
      <c r="F208" s="2"/>
      <c r="G208" s="2"/>
      <c r="H208" s="2"/>
      <c r="I208" s="21"/>
      <c r="J208" s="21"/>
      <c r="K208" s="21"/>
    </row>
    <row r="209" spans="1:11" ht="15.5" x14ac:dyDescent="0.35">
      <c r="A209" s="472" t="s">
        <v>818</v>
      </c>
      <c r="B209" s="473">
        <v>2034</v>
      </c>
      <c r="C209" s="473" t="str">
        <f t="shared" si="5"/>
        <v>Butte_2034</v>
      </c>
      <c r="D209" s="474">
        <v>318.05155513567883</v>
      </c>
      <c r="E209" s="2"/>
      <c r="F209" s="2"/>
      <c r="G209" s="2"/>
      <c r="H209" s="2"/>
      <c r="I209" s="21"/>
      <c r="J209" s="21"/>
      <c r="K209" s="21"/>
    </row>
    <row r="210" spans="1:11" ht="15.5" x14ac:dyDescent="0.35">
      <c r="A210" s="472" t="s">
        <v>818</v>
      </c>
      <c r="B210" s="473">
        <v>2035</v>
      </c>
      <c r="C210" s="473" t="str">
        <f t="shared" si="5"/>
        <v>Butte_2035</v>
      </c>
      <c r="D210" s="474">
        <v>313.37217410921056</v>
      </c>
      <c r="E210" s="2"/>
      <c r="F210" s="2"/>
      <c r="G210" s="2"/>
      <c r="H210" s="2"/>
      <c r="I210" s="21"/>
      <c r="J210" s="21"/>
      <c r="K210" s="21"/>
    </row>
    <row r="211" spans="1:11" ht="15.5" x14ac:dyDescent="0.35">
      <c r="A211" s="472" t="s">
        <v>818</v>
      </c>
      <c r="B211" s="473">
        <v>2036</v>
      </c>
      <c r="C211" s="473" t="str">
        <f t="shared" si="5"/>
        <v>Butte_2036</v>
      </c>
      <c r="D211" s="474">
        <v>309.3140644961469</v>
      </c>
      <c r="E211" s="2"/>
      <c r="F211" s="2"/>
      <c r="G211" s="2"/>
      <c r="H211" s="2"/>
      <c r="I211" s="21"/>
      <c r="J211" s="21"/>
      <c r="K211" s="21"/>
    </row>
    <row r="212" spans="1:11" ht="15.5" x14ac:dyDescent="0.35">
      <c r="A212" s="472" t="s">
        <v>818</v>
      </c>
      <c r="B212" s="473">
        <v>2037</v>
      </c>
      <c r="C212" s="473" t="str">
        <f t="shared" si="5"/>
        <v>Butte_2037</v>
      </c>
      <c r="D212" s="474">
        <v>305.83571697303915</v>
      </c>
      <c r="E212" s="2"/>
      <c r="F212" s="2"/>
      <c r="G212" s="2"/>
      <c r="H212" s="2"/>
      <c r="I212" s="21"/>
      <c r="J212" s="21"/>
      <c r="K212" s="21"/>
    </row>
    <row r="213" spans="1:11" ht="15.5" x14ac:dyDescent="0.35">
      <c r="A213" s="472" t="s">
        <v>818</v>
      </c>
      <c r="B213" s="473">
        <v>2038</v>
      </c>
      <c r="C213" s="473" t="str">
        <f t="shared" si="5"/>
        <v>Butte_2038</v>
      </c>
      <c r="D213" s="474">
        <v>302.87738425202912</v>
      </c>
      <c r="E213" s="2"/>
      <c r="F213" s="2"/>
      <c r="G213" s="2"/>
      <c r="H213" s="2"/>
      <c r="I213" s="21"/>
      <c r="J213" s="21"/>
      <c r="K213" s="21"/>
    </row>
    <row r="214" spans="1:11" ht="15.5" x14ac:dyDescent="0.35">
      <c r="A214" s="472" t="s">
        <v>818</v>
      </c>
      <c r="B214" s="473">
        <v>2039</v>
      </c>
      <c r="C214" s="473" t="str">
        <f t="shared" si="5"/>
        <v>Butte_2039</v>
      </c>
      <c r="D214" s="474">
        <v>300.34745694263711</v>
      </c>
      <c r="E214" s="2"/>
      <c r="F214" s="2"/>
      <c r="G214" s="2"/>
      <c r="H214" s="2"/>
      <c r="I214" s="21"/>
      <c r="J214" s="21"/>
      <c r="K214" s="21"/>
    </row>
    <row r="215" spans="1:11" ht="15.5" x14ac:dyDescent="0.35">
      <c r="A215" s="472" t="s">
        <v>818</v>
      </c>
      <c r="B215" s="473">
        <v>2040</v>
      </c>
      <c r="C215" s="473" t="str">
        <f t="shared" si="5"/>
        <v>Butte_2040</v>
      </c>
      <c r="D215" s="474">
        <v>298.21673751649593</v>
      </c>
      <c r="E215" s="2"/>
      <c r="F215" s="2"/>
      <c r="G215" s="2"/>
      <c r="H215" s="2"/>
      <c r="I215" s="21"/>
      <c r="J215" s="21"/>
      <c r="K215" s="21"/>
    </row>
    <row r="216" spans="1:11" ht="15.5" x14ac:dyDescent="0.35">
      <c r="A216" s="472" t="s">
        <v>818</v>
      </c>
      <c r="B216" s="473">
        <v>2041</v>
      </c>
      <c r="C216" s="473" t="str">
        <f t="shared" si="5"/>
        <v>Butte_2041</v>
      </c>
      <c r="D216" s="474">
        <v>296.43662774154478</v>
      </c>
      <c r="E216" s="2"/>
      <c r="F216" s="2"/>
      <c r="G216" s="2"/>
      <c r="H216" s="2"/>
      <c r="I216" s="21"/>
      <c r="J216" s="21"/>
      <c r="K216" s="21"/>
    </row>
    <row r="217" spans="1:11" ht="15.5" x14ac:dyDescent="0.35">
      <c r="A217" s="472" t="s">
        <v>818</v>
      </c>
      <c r="B217" s="473">
        <v>2042</v>
      </c>
      <c r="C217" s="473" t="str">
        <f t="shared" si="5"/>
        <v>Butte_2042</v>
      </c>
      <c r="D217" s="474">
        <v>294.92922559515188</v>
      </c>
      <c r="E217" s="2"/>
      <c r="F217" s="2"/>
      <c r="G217" s="2"/>
      <c r="H217" s="2"/>
      <c r="I217" s="21"/>
      <c r="J217" s="21"/>
      <c r="K217" s="21"/>
    </row>
    <row r="218" spans="1:11" ht="15.5" x14ac:dyDescent="0.35">
      <c r="A218" s="472" t="s">
        <v>818</v>
      </c>
      <c r="B218" s="473">
        <v>2043</v>
      </c>
      <c r="C218" s="473" t="str">
        <f t="shared" si="5"/>
        <v>Butte_2043</v>
      </c>
      <c r="D218" s="474">
        <v>293.67646975865773</v>
      </c>
      <c r="E218" s="2"/>
      <c r="F218" s="2"/>
      <c r="G218" s="2"/>
      <c r="H218" s="2"/>
      <c r="I218" s="21"/>
      <c r="J218" s="21"/>
      <c r="K218" s="21"/>
    </row>
    <row r="219" spans="1:11" ht="15.5" x14ac:dyDescent="0.35">
      <c r="A219" s="472" t="s">
        <v>818</v>
      </c>
      <c r="B219" s="473">
        <v>2044</v>
      </c>
      <c r="C219" s="473" t="str">
        <f t="shared" si="5"/>
        <v>Butte_2044</v>
      </c>
      <c r="D219" s="474">
        <v>292.61724146301827</v>
      </c>
      <c r="E219" s="2"/>
      <c r="F219" s="2"/>
      <c r="G219" s="2"/>
      <c r="H219" s="2"/>
      <c r="I219" s="21"/>
      <c r="J219" s="21"/>
      <c r="K219" s="21"/>
    </row>
    <row r="220" spans="1:11" ht="15.5" x14ac:dyDescent="0.35">
      <c r="A220" s="472" t="s">
        <v>818</v>
      </c>
      <c r="B220" s="473">
        <v>2045</v>
      </c>
      <c r="C220" s="473" t="str">
        <f t="shared" si="5"/>
        <v>Butte_2045</v>
      </c>
      <c r="D220" s="474">
        <v>291.72156530805267</v>
      </c>
      <c r="E220" s="2"/>
      <c r="F220" s="2"/>
      <c r="G220" s="2"/>
      <c r="H220" s="2"/>
      <c r="I220" s="21"/>
      <c r="J220" s="21"/>
      <c r="K220" s="21"/>
    </row>
    <row r="221" spans="1:11" ht="15.5" x14ac:dyDescent="0.35">
      <c r="A221" s="472" t="s">
        <v>818</v>
      </c>
      <c r="B221" s="473">
        <v>2046</v>
      </c>
      <c r="C221" s="473" t="str">
        <f t="shared" si="5"/>
        <v>Butte_2046</v>
      </c>
      <c r="D221" s="474">
        <v>290.96543908182645</v>
      </c>
      <c r="E221" s="2"/>
      <c r="F221" s="2"/>
      <c r="G221" s="2"/>
      <c r="H221" s="2"/>
      <c r="I221" s="21"/>
      <c r="J221" s="21"/>
      <c r="K221" s="21"/>
    </row>
    <row r="222" spans="1:11" ht="15.5" x14ac:dyDescent="0.35">
      <c r="A222" s="472" t="s">
        <v>818</v>
      </c>
      <c r="B222" s="473">
        <v>2047</v>
      </c>
      <c r="C222" s="473" t="str">
        <f t="shared" si="5"/>
        <v>Butte_2047</v>
      </c>
      <c r="D222" s="474">
        <v>290.33567092922016</v>
      </c>
      <c r="E222" s="2"/>
      <c r="F222" s="2"/>
      <c r="G222" s="2"/>
      <c r="H222" s="2"/>
      <c r="I222" s="21"/>
      <c r="J222" s="21"/>
      <c r="K222" s="21"/>
    </row>
    <row r="223" spans="1:11" ht="15.5" x14ac:dyDescent="0.35">
      <c r="A223" s="472" t="s">
        <v>818</v>
      </c>
      <c r="B223" s="473">
        <v>2048</v>
      </c>
      <c r="C223" s="473" t="str">
        <f t="shared" si="5"/>
        <v>Butte_2048</v>
      </c>
      <c r="D223" s="474">
        <v>289.8092291930185</v>
      </c>
      <c r="E223" s="2"/>
      <c r="F223" s="2"/>
      <c r="G223" s="2"/>
      <c r="H223" s="2"/>
      <c r="I223" s="21"/>
      <c r="J223" s="21"/>
      <c r="K223" s="21"/>
    </row>
    <row r="224" spans="1:11" ht="15.5" x14ac:dyDescent="0.35">
      <c r="A224" s="472" t="s">
        <v>818</v>
      </c>
      <c r="B224" s="473">
        <v>2049</v>
      </c>
      <c r="C224" s="473" t="str">
        <f t="shared" si="5"/>
        <v>Butte_2049</v>
      </c>
      <c r="D224" s="474">
        <v>289.35727829314499</v>
      </c>
      <c r="E224" s="2"/>
      <c r="F224" s="2"/>
      <c r="G224" s="2"/>
      <c r="H224" s="2"/>
      <c r="I224" s="21"/>
      <c r="J224" s="21"/>
      <c r="K224" s="21"/>
    </row>
    <row r="225" spans="1:11" ht="15.5" x14ac:dyDescent="0.35">
      <c r="A225" s="472" t="s">
        <v>818</v>
      </c>
      <c r="B225" s="473">
        <v>2050</v>
      </c>
      <c r="C225" s="473" t="str">
        <f t="shared" si="5"/>
        <v>Butte_2050</v>
      </c>
      <c r="D225" s="474">
        <v>288.99636001683075</v>
      </c>
      <c r="E225" s="2"/>
      <c r="F225" s="2"/>
      <c r="G225" s="2"/>
      <c r="H225" s="2"/>
      <c r="I225" s="21"/>
      <c r="J225" s="21"/>
      <c r="K225" s="21"/>
    </row>
    <row r="226" spans="1:11" ht="15.5" x14ac:dyDescent="0.35">
      <c r="A226" s="468" t="s">
        <v>821</v>
      </c>
      <c r="B226" s="469">
        <v>2015</v>
      </c>
      <c r="C226" s="470" t="s">
        <v>822</v>
      </c>
      <c r="D226" s="471">
        <v>538.05743908235843</v>
      </c>
      <c r="E226" s="2"/>
      <c r="F226" s="2"/>
      <c r="G226" s="2"/>
      <c r="H226" s="2"/>
      <c r="I226" s="21"/>
      <c r="J226" s="21"/>
      <c r="K226" s="21"/>
    </row>
    <row r="227" spans="1:11" ht="15.5" x14ac:dyDescent="0.35">
      <c r="A227" s="468" t="s">
        <v>821</v>
      </c>
      <c r="B227" s="469">
        <v>2016</v>
      </c>
      <c r="C227" s="470" t="s">
        <v>823</v>
      </c>
      <c r="D227" s="471">
        <v>530.59494830313793</v>
      </c>
      <c r="E227" s="2"/>
      <c r="F227" s="2"/>
      <c r="G227" s="2"/>
      <c r="H227" s="2"/>
      <c r="I227" s="21"/>
      <c r="J227" s="21"/>
      <c r="K227" s="21"/>
    </row>
    <row r="228" spans="1:11" ht="15.5" x14ac:dyDescent="0.35">
      <c r="A228" s="472" t="s">
        <v>821</v>
      </c>
      <c r="B228" s="473">
        <v>2017</v>
      </c>
      <c r="C228" s="473" t="str">
        <f t="shared" ref="C228:C261" si="6">CONCATENATE(A228,"_",B228)</f>
        <v>Calaveras_2017</v>
      </c>
      <c r="D228" s="474">
        <v>518.50977007876224</v>
      </c>
      <c r="E228" s="2"/>
      <c r="F228" s="2"/>
      <c r="G228" s="2"/>
      <c r="H228" s="2"/>
      <c r="I228" s="21"/>
      <c r="J228" s="21"/>
      <c r="K228" s="21"/>
    </row>
    <row r="229" spans="1:11" ht="15.5" x14ac:dyDescent="0.35">
      <c r="A229" s="472" t="s">
        <v>821</v>
      </c>
      <c r="B229" s="473">
        <v>2018</v>
      </c>
      <c r="C229" s="473" t="str">
        <f t="shared" si="6"/>
        <v>Calaveras_2018</v>
      </c>
      <c r="D229" s="474">
        <v>505.5949235328913</v>
      </c>
      <c r="E229" s="2"/>
      <c r="F229" s="2"/>
      <c r="G229" s="2"/>
      <c r="H229" s="2"/>
      <c r="I229" s="21"/>
      <c r="J229" s="21"/>
      <c r="K229" s="21"/>
    </row>
    <row r="230" spans="1:11" ht="15.5" x14ac:dyDescent="0.35">
      <c r="A230" s="472" t="s">
        <v>821</v>
      </c>
      <c r="B230" s="473">
        <v>2019</v>
      </c>
      <c r="C230" s="473" t="str">
        <f t="shared" si="6"/>
        <v>Calaveras_2019</v>
      </c>
      <c r="D230" s="474">
        <v>492.01793697522066</v>
      </c>
      <c r="E230" s="2"/>
      <c r="F230" s="2"/>
      <c r="G230" s="2"/>
      <c r="H230" s="2"/>
      <c r="I230" s="21"/>
      <c r="J230" s="21"/>
      <c r="K230" s="21"/>
    </row>
    <row r="231" spans="1:11" ht="15.5" x14ac:dyDescent="0.35">
      <c r="A231" s="472" t="s">
        <v>821</v>
      </c>
      <c r="B231" s="473">
        <v>2020</v>
      </c>
      <c r="C231" s="473" t="str">
        <f t="shared" si="6"/>
        <v>Calaveras_2020</v>
      </c>
      <c r="D231" s="474">
        <v>478.04949049158495</v>
      </c>
      <c r="E231" s="2"/>
      <c r="F231" s="2"/>
      <c r="G231" s="2"/>
      <c r="H231" s="2"/>
      <c r="I231" s="21"/>
      <c r="J231" s="21"/>
      <c r="K231" s="21"/>
    </row>
    <row r="232" spans="1:11" ht="15.5" x14ac:dyDescent="0.35">
      <c r="A232" s="472" t="s">
        <v>821</v>
      </c>
      <c r="B232" s="473">
        <v>2021</v>
      </c>
      <c r="C232" s="473" t="str">
        <f t="shared" si="6"/>
        <v>Calaveras_2021</v>
      </c>
      <c r="D232" s="474">
        <v>463.66840719523259</v>
      </c>
      <c r="E232" s="2"/>
      <c r="F232" s="2"/>
      <c r="G232" s="2"/>
      <c r="H232" s="2"/>
      <c r="I232" s="21"/>
      <c r="J232" s="21"/>
      <c r="K232" s="21"/>
    </row>
    <row r="233" spans="1:11" ht="15.5" x14ac:dyDescent="0.35">
      <c r="A233" s="472" t="s">
        <v>821</v>
      </c>
      <c r="B233" s="473">
        <v>2022</v>
      </c>
      <c r="C233" s="473" t="str">
        <f t="shared" si="6"/>
        <v>Calaveras_2022</v>
      </c>
      <c r="D233" s="474">
        <v>449.37185850030846</v>
      </c>
      <c r="E233" s="2"/>
      <c r="F233" s="2"/>
      <c r="G233" s="2"/>
      <c r="H233" s="2"/>
      <c r="I233" s="21"/>
      <c r="J233" s="21"/>
      <c r="K233" s="21"/>
    </row>
    <row r="234" spans="1:11" ht="15.5" x14ac:dyDescent="0.35">
      <c r="A234" s="472" t="s">
        <v>821</v>
      </c>
      <c r="B234" s="473">
        <v>2023</v>
      </c>
      <c r="C234" s="473" t="str">
        <f t="shared" si="6"/>
        <v>Calaveras_2023</v>
      </c>
      <c r="D234" s="474">
        <v>435.08069514562322</v>
      </c>
      <c r="E234" s="2"/>
      <c r="F234" s="2"/>
      <c r="G234" s="2"/>
      <c r="H234" s="2"/>
      <c r="I234" s="21"/>
      <c r="J234" s="21"/>
      <c r="K234" s="21"/>
    </row>
    <row r="235" spans="1:11" ht="15.5" x14ac:dyDescent="0.35">
      <c r="A235" s="472" t="s">
        <v>821</v>
      </c>
      <c r="B235" s="473">
        <v>2024</v>
      </c>
      <c r="C235" s="473" t="str">
        <f t="shared" si="6"/>
        <v>Calaveras_2024</v>
      </c>
      <c r="D235" s="474">
        <v>420.89852028964657</v>
      </c>
      <c r="E235" s="2"/>
      <c r="F235" s="2"/>
      <c r="G235" s="2"/>
      <c r="H235" s="2"/>
      <c r="I235" s="21"/>
      <c r="J235" s="21"/>
      <c r="K235" s="21"/>
    </row>
    <row r="236" spans="1:11" ht="15.5" x14ac:dyDescent="0.35">
      <c r="A236" s="472" t="s">
        <v>821</v>
      </c>
      <c r="B236" s="473">
        <v>2025</v>
      </c>
      <c r="C236" s="473" t="str">
        <f t="shared" si="6"/>
        <v>Calaveras_2025</v>
      </c>
      <c r="D236" s="474">
        <v>407.03815865223282</v>
      </c>
      <c r="E236" s="2"/>
      <c r="F236" s="2"/>
      <c r="G236" s="2"/>
      <c r="H236" s="2"/>
      <c r="I236" s="21"/>
      <c r="J236" s="21"/>
      <c r="K236" s="21"/>
    </row>
    <row r="237" spans="1:11" ht="15.5" x14ac:dyDescent="0.35">
      <c r="A237" s="472" t="s">
        <v>821</v>
      </c>
      <c r="B237" s="473">
        <v>2026</v>
      </c>
      <c r="C237" s="473" t="str">
        <f t="shared" si="6"/>
        <v>Calaveras_2026</v>
      </c>
      <c r="D237" s="474">
        <v>394.18374949468301</v>
      </c>
      <c r="E237" s="2"/>
      <c r="F237" s="2"/>
      <c r="G237" s="2"/>
      <c r="H237" s="2"/>
      <c r="I237" s="21"/>
      <c r="J237" s="21"/>
      <c r="K237" s="21"/>
    </row>
    <row r="238" spans="1:11" ht="15.5" x14ac:dyDescent="0.35">
      <c r="A238" s="472" t="s">
        <v>821</v>
      </c>
      <c r="B238" s="473">
        <v>2027</v>
      </c>
      <c r="C238" s="473" t="str">
        <f t="shared" si="6"/>
        <v>Calaveras_2027</v>
      </c>
      <c r="D238" s="474">
        <v>382.18008234302647</v>
      </c>
      <c r="E238" s="2"/>
      <c r="F238" s="2"/>
      <c r="G238" s="2"/>
      <c r="H238" s="2"/>
      <c r="I238" s="21"/>
      <c r="J238" s="21"/>
      <c r="K238" s="21"/>
    </row>
    <row r="239" spans="1:11" ht="15.5" x14ac:dyDescent="0.35">
      <c r="A239" s="472" t="s">
        <v>821</v>
      </c>
      <c r="B239" s="473">
        <v>2028</v>
      </c>
      <c r="C239" s="473" t="str">
        <f t="shared" si="6"/>
        <v>Calaveras_2028</v>
      </c>
      <c r="D239" s="474">
        <v>371.21485650523425</v>
      </c>
      <c r="E239" s="2"/>
      <c r="F239" s="2"/>
      <c r="G239" s="2"/>
      <c r="H239" s="2"/>
      <c r="I239" s="21"/>
      <c r="J239" s="21"/>
      <c r="K239" s="21"/>
    </row>
    <row r="240" spans="1:11" ht="15.5" x14ac:dyDescent="0.35">
      <c r="A240" s="472" t="s">
        <v>821</v>
      </c>
      <c r="B240" s="473">
        <v>2029</v>
      </c>
      <c r="C240" s="473" t="str">
        <f t="shared" si="6"/>
        <v>Calaveras_2029</v>
      </c>
      <c r="D240" s="474">
        <v>361.20727983516122</v>
      </c>
      <c r="E240" s="2"/>
      <c r="F240" s="2"/>
      <c r="G240" s="2"/>
      <c r="H240" s="2"/>
      <c r="I240" s="21"/>
      <c r="J240" s="21"/>
      <c r="K240" s="21"/>
    </row>
    <row r="241" spans="1:11" ht="15.5" x14ac:dyDescent="0.35">
      <c r="A241" s="472" t="s">
        <v>821</v>
      </c>
      <c r="B241" s="473">
        <v>2030</v>
      </c>
      <c r="C241" s="473" t="str">
        <f t="shared" si="6"/>
        <v>Calaveras_2030</v>
      </c>
      <c r="D241" s="474">
        <v>352.10223056665967</v>
      </c>
      <c r="E241" s="2"/>
      <c r="F241" s="2"/>
      <c r="G241" s="2"/>
      <c r="H241" s="2"/>
      <c r="I241" s="21"/>
      <c r="J241" s="21"/>
      <c r="K241" s="21"/>
    </row>
    <row r="242" spans="1:11" ht="15.5" x14ac:dyDescent="0.35">
      <c r="A242" s="472" t="s">
        <v>821</v>
      </c>
      <c r="B242" s="473">
        <v>2031</v>
      </c>
      <c r="C242" s="473" t="str">
        <f t="shared" si="6"/>
        <v>Calaveras_2031</v>
      </c>
      <c r="D242" s="474">
        <v>343.86418026755541</v>
      </c>
      <c r="E242" s="2"/>
      <c r="F242" s="2"/>
      <c r="G242" s="2"/>
      <c r="H242" s="2"/>
      <c r="I242" s="21"/>
      <c r="J242" s="21"/>
      <c r="K242" s="21"/>
    </row>
    <row r="243" spans="1:11" ht="15.5" x14ac:dyDescent="0.35">
      <c r="A243" s="472" t="s">
        <v>821</v>
      </c>
      <c r="B243" s="473">
        <v>2032</v>
      </c>
      <c r="C243" s="473" t="str">
        <f t="shared" si="6"/>
        <v>Calaveras_2032</v>
      </c>
      <c r="D243" s="474">
        <v>336.49934039653431</v>
      </c>
      <c r="E243" s="2"/>
      <c r="F243" s="2"/>
      <c r="G243" s="2"/>
      <c r="H243" s="2"/>
      <c r="I243" s="21"/>
      <c r="J243" s="21"/>
      <c r="K243" s="21"/>
    </row>
    <row r="244" spans="1:11" ht="15.5" x14ac:dyDescent="0.35">
      <c r="A244" s="472" t="s">
        <v>821</v>
      </c>
      <c r="B244" s="473">
        <v>2033</v>
      </c>
      <c r="C244" s="473" t="str">
        <f t="shared" si="6"/>
        <v>Calaveras_2033</v>
      </c>
      <c r="D244" s="474">
        <v>329.96861423253171</v>
      </c>
      <c r="E244" s="2"/>
      <c r="F244" s="2"/>
      <c r="G244" s="2"/>
      <c r="H244" s="2"/>
      <c r="I244" s="21"/>
      <c r="J244" s="21"/>
      <c r="K244" s="21"/>
    </row>
    <row r="245" spans="1:11" ht="15.5" x14ac:dyDescent="0.35">
      <c r="A245" s="472" t="s">
        <v>821</v>
      </c>
      <c r="B245" s="473">
        <v>2034</v>
      </c>
      <c r="C245" s="473" t="str">
        <f t="shared" si="6"/>
        <v>Calaveras_2034</v>
      </c>
      <c r="D245" s="474">
        <v>324.13817766346654</v>
      </c>
      <c r="E245" s="2"/>
      <c r="F245" s="2"/>
      <c r="G245" s="2"/>
      <c r="H245" s="2"/>
      <c r="I245" s="21"/>
      <c r="J245" s="21"/>
      <c r="K245" s="21"/>
    </row>
    <row r="246" spans="1:11" ht="15.5" x14ac:dyDescent="0.35">
      <c r="A246" s="472" t="s">
        <v>821</v>
      </c>
      <c r="B246" s="473">
        <v>2035</v>
      </c>
      <c r="C246" s="473" t="str">
        <f t="shared" si="6"/>
        <v>Calaveras_2035</v>
      </c>
      <c r="D246" s="474">
        <v>319.02474562785017</v>
      </c>
      <c r="E246" s="2"/>
      <c r="F246" s="2"/>
      <c r="G246" s="2"/>
      <c r="H246" s="2"/>
      <c r="I246" s="21"/>
      <c r="J246" s="21"/>
      <c r="K246" s="21"/>
    </row>
    <row r="247" spans="1:11" ht="15.5" x14ac:dyDescent="0.35">
      <c r="A247" s="472" t="s">
        <v>821</v>
      </c>
      <c r="B247" s="473">
        <v>2036</v>
      </c>
      <c r="C247" s="473" t="str">
        <f t="shared" si="6"/>
        <v>Calaveras_2036</v>
      </c>
      <c r="D247" s="474">
        <v>314.49944449897714</v>
      </c>
      <c r="E247" s="2"/>
      <c r="F247" s="2"/>
      <c r="G247" s="2"/>
      <c r="H247" s="2"/>
      <c r="I247" s="21"/>
      <c r="J247" s="21"/>
      <c r="K247" s="21"/>
    </row>
    <row r="248" spans="1:11" ht="15.5" x14ac:dyDescent="0.35">
      <c r="A248" s="472" t="s">
        <v>821</v>
      </c>
      <c r="B248" s="473">
        <v>2037</v>
      </c>
      <c r="C248" s="473" t="str">
        <f t="shared" si="6"/>
        <v>Calaveras_2037</v>
      </c>
      <c r="D248" s="474">
        <v>310.56073073228544</v>
      </c>
      <c r="E248" s="2"/>
      <c r="F248" s="2"/>
      <c r="G248" s="2"/>
      <c r="H248" s="2"/>
      <c r="I248" s="21"/>
      <c r="J248" s="21"/>
      <c r="K248" s="21"/>
    </row>
    <row r="249" spans="1:11" ht="15.5" x14ac:dyDescent="0.35">
      <c r="A249" s="472" t="s">
        <v>821</v>
      </c>
      <c r="B249" s="473">
        <v>2038</v>
      </c>
      <c r="C249" s="473" t="str">
        <f t="shared" si="6"/>
        <v>Calaveras_2038</v>
      </c>
      <c r="D249" s="474">
        <v>307.13875662134666</v>
      </c>
      <c r="E249" s="2"/>
      <c r="F249" s="2"/>
      <c r="G249" s="2"/>
      <c r="H249" s="2"/>
      <c r="I249" s="21"/>
      <c r="J249" s="21"/>
      <c r="K249" s="21"/>
    </row>
    <row r="250" spans="1:11" ht="15.5" x14ac:dyDescent="0.35">
      <c r="A250" s="472" t="s">
        <v>821</v>
      </c>
      <c r="B250" s="473">
        <v>2039</v>
      </c>
      <c r="C250" s="473" t="str">
        <f t="shared" si="6"/>
        <v>Calaveras_2039</v>
      </c>
      <c r="D250" s="474">
        <v>304.13792119850541</v>
      </c>
      <c r="E250" s="2"/>
      <c r="F250" s="2"/>
      <c r="G250" s="2"/>
      <c r="H250" s="2"/>
      <c r="I250" s="21"/>
      <c r="J250" s="21"/>
      <c r="K250" s="21"/>
    </row>
    <row r="251" spans="1:11" ht="15.5" x14ac:dyDescent="0.35">
      <c r="A251" s="472" t="s">
        <v>821</v>
      </c>
      <c r="B251" s="473">
        <v>2040</v>
      </c>
      <c r="C251" s="473" t="str">
        <f t="shared" si="6"/>
        <v>Calaveras_2040</v>
      </c>
      <c r="D251" s="474">
        <v>301.48990961998226</v>
      </c>
      <c r="E251" s="2"/>
      <c r="F251" s="2"/>
      <c r="G251" s="2"/>
      <c r="H251" s="2"/>
      <c r="I251" s="21"/>
      <c r="J251" s="21"/>
      <c r="K251" s="21"/>
    </row>
    <row r="252" spans="1:11" ht="15.5" x14ac:dyDescent="0.35">
      <c r="A252" s="472" t="s">
        <v>821</v>
      </c>
      <c r="B252" s="473">
        <v>2041</v>
      </c>
      <c r="C252" s="473" t="str">
        <f t="shared" si="6"/>
        <v>Calaveras_2041</v>
      </c>
      <c r="D252" s="474">
        <v>299.21524660339082</v>
      </c>
      <c r="E252" s="2"/>
      <c r="F252" s="2"/>
      <c r="G252" s="2"/>
      <c r="H252" s="2"/>
      <c r="I252" s="21"/>
      <c r="J252" s="21"/>
      <c r="K252" s="21"/>
    </row>
    <row r="253" spans="1:11" ht="15.5" x14ac:dyDescent="0.35">
      <c r="A253" s="472" t="s">
        <v>821</v>
      </c>
      <c r="B253" s="473">
        <v>2042</v>
      </c>
      <c r="C253" s="473" t="str">
        <f t="shared" si="6"/>
        <v>Calaveras_2042</v>
      </c>
      <c r="D253" s="474">
        <v>297.18729952487985</v>
      </c>
      <c r="E253" s="2"/>
      <c r="F253" s="2"/>
      <c r="G253" s="2"/>
      <c r="H253" s="2"/>
      <c r="I253" s="21"/>
      <c r="J253" s="21"/>
      <c r="K253" s="21"/>
    </row>
    <row r="254" spans="1:11" ht="15.5" x14ac:dyDescent="0.35">
      <c r="A254" s="472" t="s">
        <v>821</v>
      </c>
      <c r="B254" s="473">
        <v>2043</v>
      </c>
      <c r="C254" s="473" t="str">
        <f t="shared" si="6"/>
        <v>Calaveras_2043</v>
      </c>
      <c r="D254" s="474">
        <v>295.42165108700794</v>
      </c>
      <c r="E254" s="2"/>
      <c r="F254" s="2"/>
      <c r="G254" s="2"/>
      <c r="H254" s="2"/>
      <c r="I254" s="21"/>
      <c r="J254" s="21"/>
      <c r="K254" s="21"/>
    </row>
    <row r="255" spans="1:11" ht="15.5" x14ac:dyDescent="0.35">
      <c r="A255" s="472" t="s">
        <v>821</v>
      </c>
      <c r="B255" s="473">
        <v>2044</v>
      </c>
      <c r="C255" s="473" t="str">
        <f t="shared" si="6"/>
        <v>Calaveras_2044</v>
      </c>
      <c r="D255" s="474">
        <v>293.8680525416122</v>
      </c>
      <c r="E255" s="2"/>
      <c r="F255" s="2"/>
      <c r="G255" s="2"/>
      <c r="H255" s="2"/>
      <c r="I255" s="21"/>
      <c r="J255" s="21"/>
      <c r="K255" s="21"/>
    </row>
    <row r="256" spans="1:11" ht="15.5" x14ac:dyDescent="0.35">
      <c r="A256" s="472" t="s">
        <v>821</v>
      </c>
      <c r="B256" s="473">
        <v>2045</v>
      </c>
      <c r="C256" s="473" t="str">
        <f t="shared" si="6"/>
        <v>Calaveras_2045</v>
      </c>
      <c r="D256" s="474">
        <v>292.48086946597698</v>
      </c>
      <c r="E256" s="2"/>
      <c r="F256" s="2"/>
      <c r="G256" s="2"/>
      <c r="H256" s="2"/>
      <c r="I256" s="21"/>
      <c r="J256" s="21"/>
      <c r="K256" s="21"/>
    </row>
    <row r="257" spans="1:11" ht="15.5" x14ac:dyDescent="0.35">
      <c r="A257" s="472" t="s">
        <v>821</v>
      </c>
      <c r="B257" s="473">
        <v>2046</v>
      </c>
      <c r="C257" s="473" t="str">
        <f t="shared" si="6"/>
        <v>Calaveras_2046</v>
      </c>
      <c r="D257" s="474">
        <v>291.2448966953765</v>
      </c>
      <c r="E257" s="2"/>
      <c r="F257" s="2"/>
      <c r="G257" s="2"/>
      <c r="H257" s="2"/>
      <c r="I257" s="21"/>
      <c r="J257" s="21"/>
      <c r="K257" s="21"/>
    </row>
    <row r="258" spans="1:11" ht="15.5" x14ac:dyDescent="0.35">
      <c r="A258" s="472" t="s">
        <v>821</v>
      </c>
      <c r="B258" s="473">
        <v>2047</v>
      </c>
      <c r="C258" s="473" t="str">
        <f t="shared" si="6"/>
        <v>Calaveras_2047</v>
      </c>
      <c r="D258" s="474">
        <v>290.19994329139985</v>
      </c>
      <c r="E258" s="2"/>
      <c r="F258" s="2"/>
      <c r="G258" s="2"/>
      <c r="H258" s="2"/>
      <c r="I258" s="21"/>
      <c r="J258" s="21"/>
      <c r="K258" s="21"/>
    </row>
    <row r="259" spans="1:11" ht="15.5" x14ac:dyDescent="0.35">
      <c r="A259" s="472" t="s">
        <v>821</v>
      </c>
      <c r="B259" s="473">
        <v>2048</v>
      </c>
      <c r="C259" s="473" t="str">
        <f t="shared" si="6"/>
        <v>Calaveras_2048</v>
      </c>
      <c r="D259" s="474">
        <v>289.27619719013774</v>
      </c>
      <c r="E259" s="2"/>
      <c r="F259" s="2"/>
      <c r="G259" s="2"/>
      <c r="H259" s="2"/>
      <c r="I259" s="21"/>
      <c r="J259" s="21"/>
      <c r="K259" s="21"/>
    </row>
    <row r="260" spans="1:11" ht="15.5" x14ac:dyDescent="0.35">
      <c r="A260" s="472" t="s">
        <v>821</v>
      </c>
      <c r="B260" s="473">
        <v>2049</v>
      </c>
      <c r="C260" s="473" t="str">
        <f t="shared" si="6"/>
        <v>Calaveras_2049</v>
      </c>
      <c r="D260" s="474">
        <v>288.49203366807672</v>
      </c>
      <c r="E260" s="2"/>
      <c r="F260" s="2"/>
      <c r="G260" s="2"/>
      <c r="H260" s="2"/>
      <c r="I260" s="21"/>
      <c r="J260" s="21"/>
      <c r="K260" s="21"/>
    </row>
    <row r="261" spans="1:11" ht="15.5" x14ac:dyDescent="0.35">
      <c r="A261" s="472" t="s">
        <v>821</v>
      </c>
      <c r="B261" s="473">
        <v>2050</v>
      </c>
      <c r="C261" s="473" t="str">
        <f t="shared" si="6"/>
        <v>Calaveras_2050</v>
      </c>
      <c r="D261" s="474">
        <v>287.79174369287642</v>
      </c>
      <c r="E261" s="2"/>
      <c r="F261" s="2"/>
      <c r="G261" s="2"/>
      <c r="H261" s="2"/>
      <c r="I261" s="21"/>
      <c r="J261" s="21"/>
      <c r="K261" s="21"/>
    </row>
    <row r="262" spans="1:11" ht="15.5" x14ac:dyDescent="0.35">
      <c r="A262" s="468" t="s">
        <v>824</v>
      </c>
      <c r="B262" s="469">
        <v>2015</v>
      </c>
      <c r="C262" s="470" t="s">
        <v>825</v>
      </c>
      <c r="D262" s="471">
        <v>517.28360483111078</v>
      </c>
      <c r="E262" s="2"/>
      <c r="F262" s="2"/>
      <c r="G262" s="2"/>
      <c r="H262" s="2"/>
      <c r="I262" s="21"/>
      <c r="J262" s="21"/>
      <c r="K262" s="21"/>
    </row>
    <row r="263" spans="1:11" ht="15.5" x14ac:dyDescent="0.35">
      <c r="A263" s="468" t="s">
        <v>824</v>
      </c>
      <c r="B263" s="469">
        <v>2016</v>
      </c>
      <c r="C263" s="470" t="s">
        <v>826</v>
      </c>
      <c r="D263" s="471">
        <v>506.76510066260994</v>
      </c>
      <c r="E263" s="2"/>
      <c r="F263" s="2"/>
      <c r="G263" s="2"/>
      <c r="H263" s="2"/>
      <c r="I263" s="21"/>
      <c r="J263" s="21"/>
      <c r="K263" s="21"/>
    </row>
    <row r="264" spans="1:11" ht="15.5" x14ac:dyDescent="0.35">
      <c r="A264" s="472" t="s">
        <v>824</v>
      </c>
      <c r="B264" s="473">
        <v>2017</v>
      </c>
      <c r="C264" s="473" t="str">
        <f t="shared" ref="C264:C297" si="7">CONCATENATE(A264,"_",B264)</f>
        <v>Colusa_2017</v>
      </c>
      <c r="D264" s="474">
        <v>494.1114643303959</v>
      </c>
      <c r="E264" s="2"/>
      <c r="F264" s="2"/>
      <c r="G264" s="2"/>
      <c r="H264" s="2"/>
      <c r="I264" s="21"/>
      <c r="J264" s="21"/>
      <c r="K264" s="21"/>
    </row>
    <row r="265" spans="1:11" ht="15.5" x14ac:dyDescent="0.35">
      <c r="A265" s="472" t="s">
        <v>824</v>
      </c>
      <c r="B265" s="473">
        <v>2018</v>
      </c>
      <c r="C265" s="473" t="str">
        <f t="shared" si="7"/>
        <v>Colusa_2018</v>
      </c>
      <c r="D265" s="474">
        <v>480.61844733660587</v>
      </c>
      <c r="E265" s="2"/>
      <c r="F265" s="2"/>
      <c r="G265" s="2"/>
      <c r="H265" s="2"/>
      <c r="I265" s="21"/>
      <c r="J265" s="21"/>
      <c r="K265" s="21"/>
    </row>
    <row r="266" spans="1:11" ht="15.5" x14ac:dyDescent="0.35">
      <c r="A266" s="472" t="s">
        <v>824</v>
      </c>
      <c r="B266" s="473">
        <v>2019</v>
      </c>
      <c r="C266" s="473" t="str">
        <f t="shared" si="7"/>
        <v>Colusa_2019</v>
      </c>
      <c r="D266" s="474">
        <v>466.68529191539989</v>
      </c>
      <c r="E266" s="2"/>
      <c r="F266" s="2"/>
      <c r="G266" s="2"/>
      <c r="H266" s="2"/>
      <c r="I266" s="21"/>
      <c r="J266" s="21"/>
      <c r="K266" s="21"/>
    </row>
    <row r="267" spans="1:11" ht="15.5" x14ac:dyDescent="0.35">
      <c r="A267" s="472" t="s">
        <v>824</v>
      </c>
      <c r="B267" s="473">
        <v>2020</v>
      </c>
      <c r="C267" s="473" t="str">
        <f t="shared" si="7"/>
        <v>Colusa_2020</v>
      </c>
      <c r="D267" s="474">
        <v>452.57488585248387</v>
      </c>
      <c r="E267" s="2"/>
      <c r="F267" s="2"/>
      <c r="G267" s="2"/>
      <c r="H267" s="2"/>
      <c r="I267" s="21"/>
      <c r="J267" s="21"/>
      <c r="K267" s="21"/>
    </row>
    <row r="268" spans="1:11" ht="15.5" x14ac:dyDescent="0.35">
      <c r="A268" s="472" t="s">
        <v>824</v>
      </c>
      <c r="B268" s="473">
        <v>2021</v>
      </c>
      <c r="C268" s="473" t="str">
        <f t="shared" si="7"/>
        <v>Colusa_2021</v>
      </c>
      <c r="D268" s="474">
        <v>438.4363286261306</v>
      </c>
      <c r="E268" s="2"/>
      <c r="F268" s="2"/>
      <c r="G268" s="2"/>
      <c r="H268" s="2"/>
      <c r="I268" s="21"/>
      <c r="J268" s="21"/>
      <c r="K268" s="21"/>
    </row>
    <row r="269" spans="1:11" ht="15.5" x14ac:dyDescent="0.35">
      <c r="A269" s="472" t="s">
        <v>824</v>
      </c>
      <c r="B269" s="473">
        <v>2022</v>
      </c>
      <c r="C269" s="473" t="str">
        <f t="shared" si="7"/>
        <v>Colusa_2022</v>
      </c>
      <c r="D269" s="474">
        <v>424.5892574538787</v>
      </c>
      <c r="E269" s="2"/>
      <c r="F269" s="2"/>
      <c r="G269" s="2"/>
      <c r="H269" s="2"/>
      <c r="I269" s="21"/>
      <c r="J269" s="21"/>
      <c r="K269" s="21"/>
    </row>
    <row r="270" spans="1:11" ht="15.5" x14ac:dyDescent="0.35">
      <c r="A270" s="472" t="s">
        <v>824</v>
      </c>
      <c r="B270" s="473">
        <v>2023</v>
      </c>
      <c r="C270" s="473" t="str">
        <f t="shared" si="7"/>
        <v>Colusa_2023</v>
      </c>
      <c r="D270" s="474">
        <v>410.96888406354105</v>
      </c>
      <c r="E270" s="2"/>
      <c r="F270" s="2"/>
      <c r="G270" s="2"/>
      <c r="H270" s="2"/>
      <c r="I270" s="21"/>
      <c r="J270" s="21"/>
      <c r="K270" s="21"/>
    </row>
    <row r="271" spans="1:11" ht="15.5" x14ac:dyDescent="0.35">
      <c r="A271" s="472" t="s">
        <v>824</v>
      </c>
      <c r="B271" s="473">
        <v>2024</v>
      </c>
      <c r="C271" s="473" t="str">
        <f t="shared" si="7"/>
        <v>Colusa_2024</v>
      </c>
      <c r="D271" s="474">
        <v>397.62225632626667</v>
      </c>
      <c r="E271" s="2"/>
      <c r="F271" s="2"/>
      <c r="G271" s="2"/>
      <c r="H271" s="2"/>
      <c r="I271" s="21"/>
      <c r="J271" s="21"/>
      <c r="K271" s="21"/>
    </row>
    <row r="272" spans="1:11" ht="15.5" x14ac:dyDescent="0.35">
      <c r="A272" s="472" t="s">
        <v>824</v>
      </c>
      <c r="B272" s="473">
        <v>2025</v>
      </c>
      <c r="C272" s="473" t="str">
        <f t="shared" si="7"/>
        <v>Colusa_2025</v>
      </c>
      <c r="D272" s="474">
        <v>384.53102979928912</v>
      </c>
      <c r="E272" s="2"/>
      <c r="F272" s="2"/>
      <c r="G272" s="2"/>
      <c r="H272" s="2"/>
      <c r="I272" s="21"/>
      <c r="J272" s="21"/>
      <c r="K272" s="21"/>
    </row>
    <row r="273" spans="1:11" ht="15.5" x14ac:dyDescent="0.35">
      <c r="A273" s="472" t="s">
        <v>824</v>
      </c>
      <c r="B273" s="473">
        <v>2026</v>
      </c>
      <c r="C273" s="473" t="str">
        <f t="shared" si="7"/>
        <v>Colusa_2026</v>
      </c>
      <c r="D273" s="474">
        <v>372.67445056106493</v>
      </c>
      <c r="E273" s="2"/>
      <c r="F273" s="2"/>
      <c r="G273" s="2"/>
      <c r="H273" s="2"/>
      <c r="I273" s="21"/>
      <c r="J273" s="21"/>
      <c r="K273" s="21"/>
    </row>
    <row r="274" spans="1:11" ht="15.5" x14ac:dyDescent="0.35">
      <c r="A274" s="472" t="s">
        <v>824</v>
      </c>
      <c r="B274" s="473">
        <v>2027</v>
      </c>
      <c r="C274" s="473" t="str">
        <f t="shared" si="7"/>
        <v>Colusa_2027</v>
      </c>
      <c r="D274" s="474">
        <v>361.90610043324642</v>
      </c>
      <c r="E274" s="2"/>
      <c r="F274" s="2"/>
      <c r="G274" s="2"/>
      <c r="H274" s="2"/>
      <c r="I274" s="21"/>
      <c r="J274" s="21"/>
      <c r="K274" s="21"/>
    </row>
    <row r="275" spans="1:11" ht="15.5" x14ac:dyDescent="0.35">
      <c r="A275" s="472" t="s">
        <v>824</v>
      </c>
      <c r="B275" s="473">
        <v>2028</v>
      </c>
      <c r="C275" s="473" t="str">
        <f t="shared" si="7"/>
        <v>Colusa_2028</v>
      </c>
      <c r="D275" s="474">
        <v>352.26495015717956</v>
      </c>
      <c r="E275" s="2"/>
      <c r="F275" s="2"/>
      <c r="G275" s="2"/>
      <c r="H275" s="2"/>
      <c r="I275" s="21"/>
      <c r="J275" s="21"/>
      <c r="K275" s="21"/>
    </row>
    <row r="276" spans="1:11" ht="15.5" x14ac:dyDescent="0.35">
      <c r="A276" s="472" t="s">
        <v>824</v>
      </c>
      <c r="B276" s="473">
        <v>2029</v>
      </c>
      <c r="C276" s="473" t="str">
        <f t="shared" si="7"/>
        <v>Colusa_2029</v>
      </c>
      <c r="D276" s="474">
        <v>343.64740152486223</v>
      </c>
      <c r="E276" s="2"/>
      <c r="F276" s="2"/>
      <c r="G276" s="2"/>
      <c r="H276" s="2"/>
      <c r="I276" s="21"/>
      <c r="J276" s="21"/>
      <c r="K276" s="21"/>
    </row>
    <row r="277" spans="1:11" ht="15.5" x14ac:dyDescent="0.35">
      <c r="A277" s="472" t="s">
        <v>824</v>
      </c>
      <c r="B277" s="473">
        <v>2030</v>
      </c>
      <c r="C277" s="473" t="str">
        <f t="shared" si="7"/>
        <v>Colusa_2030</v>
      </c>
      <c r="D277" s="474">
        <v>335.98146308753451</v>
      </c>
      <c r="E277" s="2"/>
      <c r="F277" s="2"/>
      <c r="G277" s="2"/>
      <c r="H277" s="2"/>
      <c r="I277" s="21"/>
      <c r="J277" s="21"/>
      <c r="K277" s="21"/>
    </row>
    <row r="278" spans="1:11" ht="15.5" x14ac:dyDescent="0.35">
      <c r="A278" s="472" t="s">
        <v>824</v>
      </c>
      <c r="B278" s="473">
        <v>2031</v>
      </c>
      <c r="C278" s="473" t="str">
        <f t="shared" si="7"/>
        <v>Colusa_2031</v>
      </c>
      <c r="D278" s="474">
        <v>329.20510384703999</v>
      </c>
      <c r="E278" s="2"/>
      <c r="F278" s="2"/>
      <c r="G278" s="2"/>
      <c r="H278" s="2"/>
      <c r="I278" s="21"/>
      <c r="J278" s="21"/>
      <c r="K278" s="21"/>
    </row>
    <row r="279" spans="1:11" ht="15.5" x14ac:dyDescent="0.35">
      <c r="A279" s="472" t="s">
        <v>824</v>
      </c>
      <c r="B279" s="473">
        <v>2032</v>
      </c>
      <c r="C279" s="473" t="str">
        <f t="shared" si="7"/>
        <v>Colusa_2032</v>
      </c>
      <c r="D279" s="474">
        <v>323.21585259988092</v>
      </c>
      <c r="E279" s="2"/>
      <c r="F279" s="2"/>
      <c r="G279" s="2"/>
      <c r="H279" s="2"/>
      <c r="I279" s="21"/>
      <c r="J279" s="21"/>
      <c r="K279" s="21"/>
    </row>
    <row r="280" spans="1:11" ht="15.5" x14ac:dyDescent="0.35">
      <c r="A280" s="472" t="s">
        <v>824</v>
      </c>
      <c r="B280" s="473">
        <v>2033</v>
      </c>
      <c r="C280" s="473" t="str">
        <f t="shared" si="7"/>
        <v>Colusa_2033</v>
      </c>
      <c r="D280" s="474">
        <v>317.94387827908292</v>
      </c>
      <c r="E280" s="2"/>
      <c r="F280" s="2"/>
      <c r="G280" s="2"/>
      <c r="H280" s="2"/>
      <c r="I280" s="21"/>
      <c r="J280" s="21"/>
      <c r="K280" s="21"/>
    </row>
    <row r="281" spans="1:11" ht="15.5" x14ac:dyDescent="0.35">
      <c r="A281" s="472" t="s">
        <v>824</v>
      </c>
      <c r="B281" s="473">
        <v>2034</v>
      </c>
      <c r="C281" s="473" t="str">
        <f t="shared" si="7"/>
        <v>Colusa_2034</v>
      </c>
      <c r="D281" s="474">
        <v>313.32671006533536</v>
      </c>
      <c r="E281" s="2"/>
      <c r="F281" s="2"/>
      <c r="G281" s="2"/>
      <c r="H281" s="2"/>
      <c r="I281" s="21"/>
      <c r="J281" s="21"/>
      <c r="K281" s="21"/>
    </row>
    <row r="282" spans="1:11" ht="15.5" x14ac:dyDescent="0.35">
      <c r="A282" s="472" t="s">
        <v>824</v>
      </c>
      <c r="B282" s="473">
        <v>2035</v>
      </c>
      <c r="C282" s="473" t="str">
        <f t="shared" si="7"/>
        <v>Colusa_2035</v>
      </c>
      <c r="D282" s="474">
        <v>309.31669586311421</v>
      </c>
      <c r="E282" s="2"/>
      <c r="F282" s="2"/>
      <c r="G282" s="2"/>
      <c r="H282" s="2"/>
      <c r="I282" s="21"/>
      <c r="J282" s="21"/>
      <c r="K282" s="21"/>
    </row>
    <row r="283" spans="1:11" ht="15.5" x14ac:dyDescent="0.35">
      <c r="A283" s="472" t="s">
        <v>824</v>
      </c>
      <c r="B283" s="473">
        <v>2036</v>
      </c>
      <c r="C283" s="473" t="str">
        <f t="shared" si="7"/>
        <v>Colusa_2036</v>
      </c>
      <c r="D283" s="474">
        <v>305.84612009390719</v>
      </c>
      <c r="E283" s="2"/>
      <c r="F283" s="2"/>
      <c r="G283" s="2"/>
      <c r="H283" s="2"/>
      <c r="I283" s="21"/>
      <c r="J283" s="21"/>
      <c r="K283" s="21"/>
    </row>
    <row r="284" spans="1:11" ht="15.5" x14ac:dyDescent="0.35">
      <c r="A284" s="472" t="s">
        <v>824</v>
      </c>
      <c r="B284" s="473">
        <v>2037</v>
      </c>
      <c r="C284" s="473" t="str">
        <f t="shared" si="7"/>
        <v>Colusa_2037</v>
      </c>
      <c r="D284" s="474">
        <v>302.87592126956247</v>
      </c>
      <c r="E284" s="2"/>
      <c r="F284" s="2"/>
      <c r="G284" s="2"/>
      <c r="H284" s="2"/>
      <c r="I284" s="21"/>
      <c r="J284" s="21"/>
      <c r="K284" s="21"/>
    </row>
    <row r="285" spans="1:11" ht="15.5" x14ac:dyDescent="0.35">
      <c r="A285" s="472" t="s">
        <v>824</v>
      </c>
      <c r="B285" s="473">
        <v>2038</v>
      </c>
      <c r="C285" s="473" t="str">
        <f t="shared" si="7"/>
        <v>Colusa_2038</v>
      </c>
      <c r="D285" s="474">
        <v>300.35245986842085</v>
      </c>
      <c r="E285" s="2"/>
      <c r="F285" s="2"/>
      <c r="G285" s="2"/>
      <c r="H285" s="2"/>
      <c r="I285" s="21"/>
      <c r="J285" s="21"/>
      <c r="K285" s="21"/>
    </row>
    <row r="286" spans="1:11" ht="15.5" x14ac:dyDescent="0.35">
      <c r="A286" s="472" t="s">
        <v>824</v>
      </c>
      <c r="B286" s="473">
        <v>2039</v>
      </c>
      <c r="C286" s="473" t="str">
        <f t="shared" si="7"/>
        <v>Colusa_2039</v>
      </c>
      <c r="D286" s="474">
        <v>298.22227677104729</v>
      </c>
      <c r="E286" s="2"/>
      <c r="F286" s="2"/>
      <c r="G286" s="2"/>
      <c r="H286" s="2"/>
      <c r="I286" s="21"/>
      <c r="J286" s="21"/>
      <c r="K286" s="21"/>
    </row>
    <row r="287" spans="1:11" ht="15.5" x14ac:dyDescent="0.35">
      <c r="A287" s="472" t="s">
        <v>824</v>
      </c>
      <c r="B287" s="473">
        <v>2040</v>
      </c>
      <c r="C287" s="473" t="str">
        <f t="shared" si="7"/>
        <v>Colusa_2040</v>
      </c>
      <c r="D287" s="474">
        <v>296.42767452054079</v>
      </c>
      <c r="E287" s="2"/>
      <c r="F287" s="2"/>
      <c r="G287" s="2"/>
      <c r="H287" s="2"/>
      <c r="I287" s="21"/>
      <c r="J287" s="21"/>
      <c r="K287" s="21"/>
    </row>
    <row r="288" spans="1:11" ht="15.5" x14ac:dyDescent="0.35">
      <c r="A288" s="472" t="s">
        <v>824</v>
      </c>
      <c r="B288" s="473">
        <v>2041</v>
      </c>
      <c r="C288" s="473" t="str">
        <f t="shared" si="7"/>
        <v>Colusa_2041</v>
      </c>
      <c r="D288" s="474">
        <v>294.95099431398432</v>
      </c>
      <c r="E288" s="2"/>
      <c r="F288" s="2"/>
      <c r="G288" s="2"/>
      <c r="H288" s="2"/>
      <c r="I288" s="21"/>
      <c r="J288" s="21"/>
      <c r="K288" s="21"/>
    </row>
    <row r="289" spans="1:11" ht="15.5" x14ac:dyDescent="0.35">
      <c r="A289" s="472" t="s">
        <v>824</v>
      </c>
      <c r="B289" s="473">
        <v>2042</v>
      </c>
      <c r="C289" s="473" t="str">
        <f t="shared" si="7"/>
        <v>Colusa_2042</v>
      </c>
      <c r="D289" s="474">
        <v>293.72506245233757</v>
      </c>
      <c r="E289" s="2"/>
      <c r="F289" s="2"/>
      <c r="G289" s="2"/>
      <c r="H289" s="2"/>
      <c r="I289" s="21"/>
      <c r="J289" s="21"/>
      <c r="K289" s="21"/>
    </row>
    <row r="290" spans="1:11" ht="15.5" x14ac:dyDescent="0.35">
      <c r="A290" s="472" t="s">
        <v>824</v>
      </c>
      <c r="B290" s="473">
        <v>2043</v>
      </c>
      <c r="C290" s="473" t="str">
        <f t="shared" si="7"/>
        <v>Colusa_2043</v>
      </c>
      <c r="D290" s="474">
        <v>292.72447189963879</v>
      </c>
      <c r="E290" s="2"/>
      <c r="F290" s="2"/>
      <c r="G290" s="2"/>
      <c r="H290" s="2"/>
      <c r="I290" s="21"/>
      <c r="J290" s="21"/>
      <c r="K290" s="21"/>
    </row>
    <row r="291" spans="1:11" ht="15.5" x14ac:dyDescent="0.35">
      <c r="A291" s="472" t="s">
        <v>824</v>
      </c>
      <c r="B291" s="473">
        <v>2044</v>
      </c>
      <c r="C291" s="473" t="str">
        <f t="shared" si="7"/>
        <v>Colusa_2044</v>
      </c>
      <c r="D291" s="474">
        <v>291.89558709236019</v>
      </c>
      <c r="E291" s="2"/>
      <c r="F291" s="2"/>
      <c r="G291" s="2"/>
      <c r="H291" s="2"/>
      <c r="I291" s="21"/>
      <c r="J291" s="21"/>
      <c r="K291" s="21"/>
    </row>
    <row r="292" spans="1:11" ht="15.5" x14ac:dyDescent="0.35">
      <c r="A292" s="472" t="s">
        <v>824</v>
      </c>
      <c r="B292" s="473">
        <v>2045</v>
      </c>
      <c r="C292" s="473" t="str">
        <f t="shared" si="7"/>
        <v>Colusa_2045</v>
      </c>
      <c r="D292" s="474">
        <v>291.19495583412811</v>
      </c>
      <c r="E292" s="2"/>
      <c r="F292" s="2"/>
      <c r="G292" s="2"/>
      <c r="H292" s="2"/>
      <c r="I292" s="21"/>
      <c r="J292" s="21"/>
      <c r="K292" s="21"/>
    </row>
    <row r="293" spans="1:11" ht="15.5" x14ac:dyDescent="0.35">
      <c r="A293" s="472" t="s">
        <v>824</v>
      </c>
      <c r="B293" s="473">
        <v>2046</v>
      </c>
      <c r="C293" s="473" t="str">
        <f t="shared" si="7"/>
        <v>Colusa_2046</v>
      </c>
      <c r="D293" s="474">
        <v>290.62048136861614</v>
      </c>
      <c r="E293" s="2"/>
      <c r="F293" s="2"/>
      <c r="G293" s="2"/>
      <c r="H293" s="2"/>
      <c r="I293" s="21"/>
      <c r="J293" s="21"/>
      <c r="K293" s="21"/>
    </row>
    <row r="294" spans="1:11" ht="15.5" x14ac:dyDescent="0.35">
      <c r="A294" s="472" t="s">
        <v>824</v>
      </c>
      <c r="B294" s="473">
        <v>2047</v>
      </c>
      <c r="C294" s="473" t="str">
        <f t="shared" si="7"/>
        <v>Colusa_2047</v>
      </c>
      <c r="D294" s="474">
        <v>290.14598998959588</v>
      </c>
      <c r="E294" s="2"/>
      <c r="F294" s="2"/>
      <c r="G294" s="2"/>
      <c r="H294" s="2"/>
      <c r="I294" s="21"/>
      <c r="J294" s="21"/>
      <c r="K294" s="21"/>
    </row>
    <row r="295" spans="1:11" ht="15.5" x14ac:dyDescent="0.35">
      <c r="A295" s="472" t="s">
        <v>824</v>
      </c>
      <c r="B295" s="473">
        <v>2048</v>
      </c>
      <c r="C295" s="473" t="str">
        <f t="shared" si="7"/>
        <v>Colusa_2048</v>
      </c>
      <c r="D295" s="474">
        <v>289.75616390515449</v>
      </c>
      <c r="E295" s="2"/>
      <c r="F295" s="2"/>
      <c r="G295" s="2"/>
      <c r="H295" s="2"/>
      <c r="I295" s="21"/>
      <c r="J295" s="21"/>
      <c r="K295" s="21"/>
    </row>
    <row r="296" spans="1:11" ht="15.5" x14ac:dyDescent="0.35">
      <c r="A296" s="472" t="s">
        <v>824</v>
      </c>
      <c r="B296" s="473">
        <v>2049</v>
      </c>
      <c r="C296" s="473" t="str">
        <f t="shared" si="7"/>
        <v>Colusa_2049</v>
      </c>
      <c r="D296" s="474">
        <v>289.42877433262782</v>
      </c>
      <c r="E296" s="2"/>
      <c r="F296" s="2"/>
      <c r="G296" s="2"/>
      <c r="H296" s="2"/>
      <c r="I296" s="21"/>
      <c r="J296" s="21"/>
      <c r="K296" s="21"/>
    </row>
    <row r="297" spans="1:11" ht="15.5" x14ac:dyDescent="0.35">
      <c r="A297" s="472" t="s">
        <v>824</v>
      </c>
      <c r="B297" s="473">
        <v>2050</v>
      </c>
      <c r="C297" s="473" t="str">
        <f t="shared" si="7"/>
        <v>Colusa_2050</v>
      </c>
      <c r="D297" s="474">
        <v>289.16408392812673</v>
      </c>
      <c r="E297" s="2"/>
      <c r="F297" s="2"/>
      <c r="G297" s="2"/>
      <c r="H297" s="2"/>
      <c r="I297" s="21"/>
      <c r="J297" s="21"/>
      <c r="K297" s="21"/>
    </row>
    <row r="298" spans="1:11" ht="15.5" x14ac:dyDescent="0.35">
      <c r="A298" s="468" t="s">
        <v>827</v>
      </c>
      <c r="B298" s="469">
        <v>2015</v>
      </c>
      <c r="C298" s="470" t="s">
        <v>828</v>
      </c>
      <c r="D298" s="471">
        <v>494.26544839605759</v>
      </c>
      <c r="E298" s="2"/>
      <c r="F298" s="2"/>
      <c r="G298" s="2"/>
      <c r="H298" s="2"/>
      <c r="I298" s="21"/>
      <c r="J298" s="21"/>
      <c r="K298" s="21"/>
    </row>
    <row r="299" spans="1:11" ht="15.5" x14ac:dyDescent="0.35">
      <c r="A299" s="468" t="s">
        <v>827</v>
      </c>
      <c r="B299" s="469">
        <v>2016</v>
      </c>
      <c r="C299" s="470" t="s">
        <v>829</v>
      </c>
      <c r="D299" s="471">
        <v>484.26850215430125</v>
      </c>
      <c r="E299" s="2"/>
      <c r="F299" s="2"/>
      <c r="G299" s="2"/>
      <c r="H299" s="2"/>
      <c r="I299" s="21"/>
      <c r="J299" s="21"/>
      <c r="K299" s="21"/>
    </row>
    <row r="300" spans="1:11" ht="15.5" x14ac:dyDescent="0.35">
      <c r="A300" s="472" t="s">
        <v>827</v>
      </c>
      <c r="B300" s="473">
        <v>2017</v>
      </c>
      <c r="C300" s="473" t="str">
        <f t="shared" ref="C300:C333" si="8">CONCATENATE(A300,"_",B300)</f>
        <v>Contra Costa_2017</v>
      </c>
      <c r="D300" s="474">
        <v>473.23433308659872</v>
      </c>
      <c r="E300" s="2"/>
      <c r="F300" s="2"/>
      <c r="G300" s="2"/>
      <c r="H300" s="2"/>
      <c r="I300" s="21"/>
      <c r="J300" s="21"/>
      <c r="K300" s="21"/>
    </row>
    <row r="301" spans="1:11" ht="15.5" x14ac:dyDescent="0.35">
      <c r="A301" s="472" t="s">
        <v>827</v>
      </c>
      <c r="B301" s="473">
        <v>2018</v>
      </c>
      <c r="C301" s="473" t="str">
        <f t="shared" si="8"/>
        <v>Contra Costa_2018</v>
      </c>
      <c r="D301" s="474">
        <v>461.38507395322711</v>
      </c>
      <c r="E301" s="2"/>
      <c r="F301" s="2"/>
      <c r="G301" s="2"/>
      <c r="H301" s="2"/>
      <c r="I301" s="21"/>
      <c r="J301" s="21"/>
      <c r="K301" s="21"/>
    </row>
    <row r="302" spans="1:11" ht="15.5" x14ac:dyDescent="0.35">
      <c r="A302" s="472" t="s">
        <v>827</v>
      </c>
      <c r="B302" s="473">
        <v>2019</v>
      </c>
      <c r="C302" s="473" t="str">
        <f t="shared" si="8"/>
        <v>Contra Costa_2019</v>
      </c>
      <c r="D302" s="474">
        <v>449.09697710099556</v>
      </c>
      <c r="E302" s="2"/>
      <c r="F302" s="2"/>
      <c r="G302" s="2"/>
      <c r="H302" s="2"/>
      <c r="I302" s="21"/>
      <c r="J302" s="21"/>
      <c r="K302" s="21"/>
    </row>
    <row r="303" spans="1:11" ht="15.5" x14ac:dyDescent="0.35">
      <c r="A303" s="472" t="s">
        <v>827</v>
      </c>
      <c r="B303" s="473">
        <v>2020</v>
      </c>
      <c r="C303" s="473" t="str">
        <f t="shared" si="8"/>
        <v>Contra Costa_2020</v>
      </c>
      <c r="D303" s="474">
        <v>436.49534494579518</v>
      </c>
      <c r="E303" s="2"/>
      <c r="F303" s="2"/>
      <c r="G303" s="2"/>
      <c r="H303" s="2"/>
      <c r="I303" s="21"/>
      <c r="J303" s="21"/>
      <c r="K303" s="21"/>
    </row>
    <row r="304" spans="1:11" ht="15.5" x14ac:dyDescent="0.35">
      <c r="A304" s="472" t="s">
        <v>827</v>
      </c>
      <c r="B304" s="473">
        <v>2021</v>
      </c>
      <c r="C304" s="473" t="str">
        <f t="shared" si="8"/>
        <v>Contra Costa_2021</v>
      </c>
      <c r="D304" s="474">
        <v>423.69454705200491</v>
      </c>
      <c r="E304" s="2"/>
      <c r="F304" s="2"/>
      <c r="G304" s="2"/>
      <c r="H304" s="2"/>
      <c r="I304" s="21"/>
      <c r="J304" s="21"/>
      <c r="K304" s="21"/>
    </row>
    <row r="305" spans="1:11" ht="15.5" x14ac:dyDescent="0.35">
      <c r="A305" s="472" t="s">
        <v>827</v>
      </c>
      <c r="B305" s="473">
        <v>2022</v>
      </c>
      <c r="C305" s="473" t="str">
        <f t="shared" si="8"/>
        <v>Contra Costa_2022</v>
      </c>
      <c r="D305" s="474">
        <v>411.01709579976477</v>
      </c>
      <c r="E305" s="2"/>
      <c r="F305" s="2"/>
      <c r="G305" s="2"/>
      <c r="H305" s="2"/>
      <c r="I305" s="21"/>
      <c r="J305" s="21"/>
      <c r="K305" s="21"/>
    </row>
    <row r="306" spans="1:11" ht="15.5" x14ac:dyDescent="0.35">
      <c r="A306" s="472" t="s">
        <v>827</v>
      </c>
      <c r="B306" s="473">
        <v>2023</v>
      </c>
      <c r="C306" s="473" t="str">
        <f t="shared" si="8"/>
        <v>Contra Costa_2023</v>
      </c>
      <c r="D306" s="474">
        <v>398.4076009738647</v>
      </c>
      <c r="E306" s="2"/>
      <c r="F306" s="2"/>
      <c r="G306" s="2"/>
      <c r="H306" s="2"/>
      <c r="I306" s="21"/>
      <c r="J306" s="21"/>
      <c r="K306" s="21"/>
    </row>
    <row r="307" spans="1:11" ht="15.5" x14ac:dyDescent="0.35">
      <c r="A307" s="472" t="s">
        <v>827</v>
      </c>
      <c r="B307" s="473">
        <v>2024</v>
      </c>
      <c r="C307" s="473" t="str">
        <f t="shared" si="8"/>
        <v>Contra Costa_2024</v>
      </c>
      <c r="D307" s="474">
        <v>385.92004350412913</v>
      </c>
      <c r="E307" s="2"/>
      <c r="F307" s="2"/>
      <c r="G307" s="2"/>
      <c r="H307" s="2"/>
      <c r="I307" s="21"/>
      <c r="J307" s="21"/>
      <c r="K307" s="21"/>
    </row>
    <row r="308" spans="1:11" ht="15.5" x14ac:dyDescent="0.35">
      <c r="A308" s="472" t="s">
        <v>827</v>
      </c>
      <c r="B308" s="473">
        <v>2025</v>
      </c>
      <c r="C308" s="473" t="str">
        <f t="shared" si="8"/>
        <v>Contra Costa_2025</v>
      </c>
      <c r="D308" s="474">
        <v>373.5588133502597</v>
      </c>
      <c r="E308" s="2"/>
      <c r="F308" s="2"/>
      <c r="G308" s="2"/>
      <c r="H308" s="2"/>
      <c r="I308" s="21"/>
      <c r="J308" s="21"/>
      <c r="K308" s="21"/>
    </row>
    <row r="309" spans="1:11" ht="15.5" x14ac:dyDescent="0.35">
      <c r="A309" s="472" t="s">
        <v>827</v>
      </c>
      <c r="B309" s="473">
        <v>2026</v>
      </c>
      <c r="C309" s="473" t="str">
        <f t="shared" si="8"/>
        <v>Contra Costa_2026</v>
      </c>
      <c r="D309" s="474">
        <v>362.30165004465425</v>
      </c>
      <c r="E309" s="2"/>
      <c r="F309" s="2"/>
      <c r="G309" s="2"/>
      <c r="H309" s="2"/>
      <c r="I309" s="21"/>
      <c r="J309" s="21"/>
      <c r="K309" s="21"/>
    </row>
    <row r="310" spans="1:11" ht="15.5" x14ac:dyDescent="0.35">
      <c r="A310" s="472" t="s">
        <v>827</v>
      </c>
      <c r="B310" s="473">
        <v>2027</v>
      </c>
      <c r="C310" s="473" t="str">
        <f t="shared" si="8"/>
        <v>Contra Costa_2027</v>
      </c>
      <c r="D310" s="474">
        <v>352.02495962781398</v>
      </c>
      <c r="E310" s="2"/>
      <c r="F310" s="2"/>
      <c r="G310" s="2"/>
      <c r="H310" s="2"/>
      <c r="I310" s="21"/>
      <c r="J310" s="21"/>
      <c r="K310" s="21"/>
    </row>
    <row r="311" spans="1:11" ht="15.5" x14ac:dyDescent="0.35">
      <c r="A311" s="472" t="s">
        <v>827</v>
      </c>
      <c r="B311" s="473">
        <v>2028</v>
      </c>
      <c r="C311" s="473" t="str">
        <f t="shared" si="8"/>
        <v>Contra Costa_2028</v>
      </c>
      <c r="D311" s="474">
        <v>342.77941112784265</v>
      </c>
      <c r="E311" s="2"/>
      <c r="F311" s="2"/>
      <c r="G311" s="2"/>
      <c r="H311" s="2"/>
      <c r="I311" s="21"/>
      <c r="J311" s="21"/>
      <c r="K311" s="21"/>
    </row>
    <row r="312" spans="1:11" ht="15.5" x14ac:dyDescent="0.35">
      <c r="A312" s="472" t="s">
        <v>827</v>
      </c>
      <c r="B312" s="473">
        <v>2029</v>
      </c>
      <c r="C312" s="473" t="str">
        <f t="shared" si="8"/>
        <v>Contra Costa_2029</v>
      </c>
      <c r="D312" s="474">
        <v>334.50836953257431</v>
      </c>
      <c r="E312" s="2"/>
      <c r="F312" s="2"/>
      <c r="G312" s="2"/>
      <c r="H312" s="2"/>
      <c r="I312" s="21"/>
      <c r="J312" s="21"/>
      <c r="K312" s="21"/>
    </row>
    <row r="313" spans="1:11" ht="15.5" x14ac:dyDescent="0.35">
      <c r="A313" s="472" t="s">
        <v>827</v>
      </c>
      <c r="B313" s="473">
        <v>2030</v>
      </c>
      <c r="C313" s="473" t="str">
        <f t="shared" si="8"/>
        <v>Contra Costa_2030</v>
      </c>
      <c r="D313" s="474">
        <v>327.15683120262725</v>
      </c>
      <c r="E313" s="2"/>
      <c r="F313" s="2"/>
      <c r="G313" s="2"/>
      <c r="H313" s="2"/>
      <c r="I313" s="21"/>
      <c r="J313" s="21"/>
      <c r="K313" s="21"/>
    </row>
    <row r="314" spans="1:11" ht="15.5" x14ac:dyDescent="0.35">
      <c r="A314" s="472" t="s">
        <v>827</v>
      </c>
      <c r="B314" s="473">
        <v>2031</v>
      </c>
      <c r="C314" s="473" t="str">
        <f t="shared" si="8"/>
        <v>Contra Costa_2031</v>
      </c>
      <c r="D314" s="474">
        <v>320.64829348436746</v>
      </c>
      <c r="E314" s="2"/>
      <c r="F314" s="2"/>
      <c r="G314" s="2"/>
      <c r="H314" s="2"/>
      <c r="I314" s="21"/>
      <c r="J314" s="21"/>
      <c r="K314" s="21"/>
    </row>
    <row r="315" spans="1:11" ht="15.5" x14ac:dyDescent="0.35">
      <c r="A315" s="472" t="s">
        <v>827</v>
      </c>
      <c r="B315" s="473">
        <v>2032</v>
      </c>
      <c r="C315" s="473" t="str">
        <f t="shared" si="8"/>
        <v>Contra Costa_2032</v>
      </c>
      <c r="D315" s="474">
        <v>314.91995704107171</v>
      </c>
      <c r="E315" s="2"/>
      <c r="F315" s="2"/>
      <c r="G315" s="2"/>
      <c r="H315" s="2"/>
      <c r="I315" s="21"/>
      <c r="J315" s="21"/>
      <c r="K315" s="21"/>
    </row>
    <row r="316" spans="1:11" ht="15.5" x14ac:dyDescent="0.35">
      <c r="A316" s="472" t="s">
        <v>827</v>
      </c>
      <c r="B316" s="473">
        <v>2033</v>
      </c>
      <c r="C316" s="473" t="str">
        <f t="shared" si="8"/>
        <v>Contra Costa_2033</v>
      </c>
      <c r="D316" s="474">
        <v>309.91003333100429</v>
      </c>
      <c r="E316" s="2"/>
      <c r="F316" s="2"/>
      <c r="G316" s="2"/>
      <c r="H316" s="2"/>
      <c r="I316" s="21"/>
      <c r="J316" s="21"/>
      <c r="K316" s="21"/>
    </row>
    <row r="317" spans="1:11" ht="15.5" x14ac:dyDescent="0.35">
      <c r="A317" s="472" t="s">
        <v>827</v>
      </c>
      <c r="B317" s="473">
        <v>2034</v>
      </c>
      <c r="C317" s="473" t="str">
        <f t="shared" si="8"/>
        <v>Contra Costa_2034</v>
      </c>
      <c r="D317" s="474">
        <v>305.54729404270108</v>
      </c>
      <c r="E317" s="2"/>
      <c r="F317" s="2"/>
      <c r="G317" s="2"/>
      <c r="H317" s="2"/>
      <c r="I317" s="21"/>
      <c r="J317" s="21"/>
      <c r="K317" s="21"/>
    </row>
    <row r="318" spans="1:11" ht="15.5" x14ac:dyDescent="0.35">
      <c r="A318" s="472" t="s">
        <v>827</v>
      </c>
      <c r="B318" s="473">
        <v>2035</v>
      </c>
      <c r="C318" s="473" t="str">
        <f t="shared" si="8"/>
        <v>Contra Costa_2035</v>
      </c>
      <c r="D318" s="474">
        <v>301.7795143138207</v>
      </c>
      <c r="E318" s="2"/>
      <c r="F318" s="2"/>
      <c r="G318" s="2"/>
      <c r="H318" s="2"/>
      <c r="I318" s="21"/>
      <c r="J318" s="21"/>
      <c r="K318" s="21"/>
    </row>
    <row r="319" spans="1:11" ht="15.5" x14ac:dyDescent="0.35">
      <c r="A319" s="472" t="s">
        <v>827</v>
      </c>
      <c r="B319" s="473">
        <v>2036</v>
      </c>
      <c r="C319" s="473" t="str">
        <f t="shared" si="8"/>
        <v>Contra Costa_2036</v>
      </c>
      <c r="D319" s="474">
        <v>298.55417899015561</v>
      </c>
      <c r="E319" s="2"/>
      <c r="F319" s="2"/>
      <c r="G319" s="2"/>
      <c r="H319" s="2"/>
      <c r="I319" s="21"/>
      <c r="J319" s="21"/>
      <c r="K319" s="21"/>
    </row>
    <row r="320" spans="1:11" ht="15.5" x14ac:dyDescent="0.35">
      <c r="A320" s="472" t="s">
        <v>827</v>
      </c>
      <c r="B320" s="473">
        <v>2037</v>
      </c>
      <c r="C320" s="473" t="str">
        <f t="shared" si="8"/>
        <v>Contra Costa_2037</v>
      </c>
      <c r="D320" s="474">
        <v>295.81863905461535</v>
      </c>
      <c r="E320" s="2"/>
      <c r="F320" s="2"/>
      <c r="G320" s="2"/>
      <c r="H320" s="2"/>
      <c r="I320" s="21"/>
      <c r="J320" s="21"/>
      <c r="K320" s="21"/>
    </row>
    <row r="321" spans="1:11" ht="15.5" x14ac:dyDescent="0.35">
      <c r="A321" s="472" t="s">
        <v>827</v>
      </c>
      <c r="B321" s="473">
        <v>2038</v>
      </c>
      <c r="C321" s="473" t="str">
        <f t="shared" si="8"/>
        <v>Contra Costa_2038</v>
      </c>
      <c r="D321" s="474">
        <v>293.52167936909945</v>
      </c>
      <c r="E321" s="2"/>
      <c r="F321" s="2"/>
      <c r="G321" s="2"/>
      <c r="H321" s="2"/>
      <c r="I321" s="21"/>
      <c r="J321" s="21"/>
      <c r="K321" s="21"/>
    </row>
    <row r="322" spans="1:11" ht="15.5" x14ac:dyDescent="0.35">
      <c r="A322" s="472" t="s">
        <v>827</v>
      </c>
      <c r="B322" s="473">
        <v>2039</v>
      </c>
      <c r="C322" s="473" t="str">
        <f t="shared" si="8"/>
        <v>Contra Costa_2039</v>
      </c>
      <c r="D322" s="474">
        <v>291.6009774765563</v>
      </c>
      <c r="E322" s="2"/>
      <c r="F322" s="2"/>
      <c r="G322" s="2"/>
      <c r="H322" s="2"/>
      <c r="I322" s="21"/>
      <c r="J322" s="21"/>
      <c r="K322" s="21"/>
    </row>
    <row r="323" spans="1:11" ht="15.5" x14ac:dyDescent="0.35">
      <c r="A323" s="472" t="s">
        <v>827</v>
      </c>
      <c r="B323" s="473">
        <v>2040</v>
      </c>
      <c r="C323" s="473" t="str">
        <f t="shared" si="8"/>
        <v>Contra Costa_2040</v>
      </c>
      <c r="D323" s="474">
        <v>290.00459148168341</v>
      </c>
      <c r="E323" s="2"/>
      <c r="F323" s="2"/>
      <c r="G323" s="2"/>
      <c r="H323" s="2"/>
      <c r="I323" s="21"/>
      <c r="J323" s="21"/>
      <c r="K323" s="21"/>
    </row>
    <row r="324" spans="1:11" ht="15.5" x14ac:dyDescent="0.35">
      <c r="A324" s="472" t="s">
        <v>827</v>
      </c>
      <c r="B324" s="473">
        <v>2041</v>
      </c>
      <c r="C324" s="473" t="str">
        <f t="shared" si="8"/>
        <v>Contra Costa_2041</v>
      </c>
      <c r="D324" s="474">
        <v>288.70017668656811</v>
      </c>
      <c r="E324" s="2"/>
      <c r="F324" s="2"/>
      <c r="G324" s="2"/>
      <c r="H324" s="2"/>
      <c r="I324" s="21"/>
      <c r="J324" s="21"/>
      <c r="K324" s="21"/>
    </row>
    <row r="325" spans="1:11" ht="15.5" x14ac:dyDescent="0.35">
      <c r="A325" s="472" t="s">
        <v>827</v>
      </c>
      <c r="B325" s="473">
        <v>2042</v>
      </c>
      <c r="C325" s="473" t="str">
        <f t="shared" si="8"/>
        <v>Contra Costa_2042</v>
      </c>
      <c r="D325" s="474">
        <v>287.62284347636694</v>
      </c>
      <c r="E325" s="2"/>
      <c r="F325" s="2"/>
      <c r="G325" s="2"/>
      <c r="H325" s="2"/>
      <c r="I325" s="21"/>
      <c r="J325" s="21"/>
      <c r="K325" s="21"/>
    </row>
    <row r="326" spans="1:11" ht="15.5" x14ac:dyDescent="0.35">
      <c r="A326" s="472" t="s">
        <v>827</v>
      </c>
      <c r="B326" s="473">
        <v>2043</v>
      </c>
      <c r="C326" s="473" t="str">
        <f t="shared" si="8"/>
        <v>Contra Costa_2043</v>
      </c>
      <c r="D326" s="474">
        <v>286.7457077701261</v>
      </c>
      <c r="E326" s="2"/>
      <c r="F326" s="2"/>
      <c r="G326" s="2"/>
      <c r="H326" s="2"/>
      <c r="I326" s="21"/>
      <c r="J326" s="21"/>
      <c r="K326" s="21"/>
    </row>
    <row r="327" spans="1:11" ht="15.5" x14ac:dyDescent="0.35">
      <c r="A327" s="472" t="s">
        <v>827</v>
      </c>
      <c r="B327" s="473">
        <v>2044</v>
      </c>
      <c r="C327" s="473" t="str">
        <f t="shared" si="8"/>
        <v>Contra Costa_2044</v>
      </c>
      <c r="D327" s="474">
        <v>286.02490861131258</v>
      </c>
      <c r="E327" s="2"/>
      <c r="F327" s="2"/>
      <c r="G327" s="2"/>
      <c r="H327" s="2"/>
      <c r="I327" s="21"/>
      <c r="J327" s="21"/>
      <c r="K327" s="21"/>
    </row>
    <row r="328" spans="1:11" ht="15.5" x14ac:dyDescent="0.35">
      <c r="A328" s="472" t="s">
        <v>827</v>
      </c>
      <c r="B328" s="473">
        <v>2045</v>
      </c>
      <c r="C328" s="473" t="str">
        <f t="shared" si="8"/>
        <v>Contra Costa_2045</v>
      </c>
      <c r="D328" s="474">
        <v>285.42234683131062</v>
      </c>
      <c r="E328" s="2"/>
      <c r="F328" s="2"/>
      <c r="G328" s="2"/>
      <c r="H328" s="2"/>
      <c r="I328" s="21"/>
      <c r="J328" s="21"/>
      <c r="K328" s="21"/>
    </row>
    <row r="329" spans="1:11" ht="15.5" x14ac:dyDescent="0.35">
      <c r="A329" s="472" t="s">
        <v>827</v>
      </c>
      <c r="B329" s="473">
        <v>2046</v>
      </c>
      <c r="C329" s="473" t="str">
        <f t="shared" si="8"/>
        <v>Contra Costa_2046</v>
      </c>
      <c r="D329" s="474">
        <v>284.92056102602032</v>
      </c>
      <c r="E329" s="2"/>
      <c r="F329" s="2"/>
      <c r="G329" s="2"/>
      <c r="H329" s="2"/>
      <c r="I329" s="21"/>
      <c r="J329" s="21"/>
      <c r="K329" s="21"/>
    </row>
    <row r="330" spans="1:11" ht="15.5" x14ac:dyDescent="0.35">
      <c r="A330" s="472" t="s">
        <v>827</v>
      </c>
      <c r="B330" s="473">
        <v>2047</v>
      </c>
      <c r="C330" s="473" t="str">
        <f t="shared" si="8"/>
        <v>Contra Costa_2047</v>
      </c>
      <c r="D330" s="474">
        <v>284.50286509787958</v>
      </c>
      <c r="E330" s="2"/>
      <c r="F330" s="2"/>
      <c r="G330" s="2"/>
      <c r="H330" s="2"/>
      <c r="I330" s="21"/>
      <c r="J330" s="21"/>
      <c r="K330" s="21"/>
    </row>
    <row r="331" spans="1:11" ht="15.5" x14ac:dyDescent="0.35">
      <c r="A331" s="472" t="s">
        <v>827</v>
      </c>
      <c r="B331" s="473">
        <v>2048</v>
      </c>
      <c r="C331" s="473" t="str">
        <f t="shared" si="8"/>
        <v>Contra Costa_2048</v>
      </c>
      <c r="D331" s="474">
        <v>284.16227471042993</v>
      </c>
      <c r="E331" s="2"/>
      <c r="F331" s="2"/>
      <c r="G331" s="2"/>
      <c r="H331" s="2"/>
      <c r="I331" s="21"/>
      <c r="J331" s="21"/>
      <c r="K331" s="21"/>
    </row>
    <row r="332" spans="1:11" ht="15.5" x14ac:dyDescent="0.35">
      <c r="A332" s="472" t="s">
        <v>827</v>
      </c>
      <c r="B332" s="473">
        <v>2049</v>
      </c>
      <c r="C332" s="473" t="str">
        <f t="shared" si="8"/>
        <v>Contra Costa_2049</v>
      </c>
      <c r="D332" s="474">
        <v>283.8757349977314</v>
      </c>
      <c r="E332" s="2"/>
      <c r="F332" s="2"/>
      <c r="G332" s="2"/>
      <c r="H332" s="2"/>
      <c r="I332" s="21"/>
      <c r="J332" s="21"/>
      <c r="K332" s="21"/>
    </row>
    <row r="333" spans="1:11" ht="15.5" x14ac:dyDescent="0.35">
      <c r="A333" s="472" t="s">
        <v>827</v>
      </c>
      <c r="B333" s="473">
        <v>2050</v>
      </c>
      <c r="C333" s="473" t="str">
        <f t="shared" si="8"/>
        <v>Contra Costa_2050</v>
      </c>
      <c r="D333" s="474">
        <v>283.65058789839952</v>
      </c>
      <c r="E333" s="2"/>
      <c r="F333" s="2"/>
      <c r="G333" s="2"/>
      <c r="H333" s="2"/>
      <c r="I333" s="21"/>
      <c r="J333" s="21"/>
      <c r="K333" s="21"/>
    </row>
    <row r="334" spans="1:11" ht="15.5" x14ac:dyDescent="0.35">
      <c r="A334" s="468" t="s">
        <v>830</v>
      </c>
      <c r="B334" s="469">
        <v>2015</v>
      </c>
      <c r="C334" s="470" t="s">
        <v>831</v>
      </c>
      <c r="D334" s="471">
        <v>545.23731075670412</v>
      </c>
      <c r="E334" s="2"/>
      <c r="F334" s="2"/>
      <c r="G334" s="2"/>
      <c r="H334" s="2"/>
      <c r="I334" s="21"/>
      <c r="J334" s="21"/>
      <c r="K334" s="21"/>
    </row>
    <row r="335" spans="1:11" ht="15.5" x14ac:dyDescent="0.35">
      <c r="A335" s="468" t="s">
        <v>830</v>
      </c>
      <c r="B335" s="469">
        <v>2016</v>
      </c>
      <c r="C335" s="470" t="s">
        <v>832</v>
      </c>
      <c r="D335" s="471">
        <v>536.18352614124535</v>
      </c>
      <c r="E335" s="2"/>
      <c r="F335" s="2"/>
      <c r="G335" s="2"/>
      <c r="H335" s="2"/>
      <c r="I335" s="21"/>
      <c r="J335" s="21"/>
      <c r="K335" s="21"/>
    </row>
    <row r="336" spans="1:11" ht="15.5" x14ac:dyDescent="0.35">
      <c r="A336" s="472" t="s">
        <v>830</v>
      </c>
      <c r="B336" s="473">
        <v>2017</v>
      </c>
      <c r="C336" s="473" t="str">
        <f t="shared" ref="C336:C369" si="9">CONCATENATE(A336,"_",B336)</f>
        <v>Del Norte_2017</v>
      </c>
      <c r="D336" s="474">
        <v>525.6446471229923</v>
      </c>
      <c r="E336" s="2"/>
      <c r="F336" s="2"/>
      <c r="G336" s="2"/>
      <c r="H336" s="2"/>
      <c r="I336" s="21"/>
      <c r="J336" s="21"/>
      <c r="K336" s="21"/>
    </row>
    <row r="337" spans="1:11" ht="15.5" x14ac:dyDescent="0.35">
      <c r="A337" s="472" t="s">
        <v>830</v>
      </c>
      <c r="B337" s="473">
        <v>2018</v>
      </c>
      <c r="C337" s="473" t="str">
        <f t="shared" si="9"/>
        <v>Del Norte_2018</v>
      </c>
      <c r="D337" s="474">
        <v>514.43274665044555</v>
      </c>
      <c r="E337" s="2"/>
      <c r="F337" s="2"/>
      <c r="G337" s="2"/>
      <c r="H337" s="2"/>
      <c r="I337" s="21"/>
      <c r="J337" s="21"/>
      <c r="K337" s="21"/>
    </row>
    <row r="338" spans="1:11" ht="15.5" x14ac:dyDescent="0.35">
      <c r="A338" s="472" t="s">
        <v>830</v>
      </c>
      <c r="B338" s="473">
        <v>2019</v>
      </c>
      <c r="C338" s="473" t="str">
        <f t="shared" si="9"/>
        <v>Del Norte_2019</v>
      </c>
      <c r="D338" s="474">
        <v>502.26211835512714</v>
      </c>
      <c r="E338" s="2"/>
      <c r="F338" s="2"/>
      <c r="G338" s="2"/>
      <c r="H338" s="2"/>
      <c r="I338" s="21"/>
      <c r="J338" s="21"/>
      <c r="K338" s="21"/>
    </row>
    <row r="339" spans="1:11" ht="15.5" x14ac:dyDescent="0.35">
      <c r="A339" s="472" t="s">
        <v>830</v>
      </c>
      <c r="B339" s="473">
        <v>2020</v>
      </c>
      <c r="C339" s="473" t="str">
        <f t="shared" si="9"/>
        <v>Del Norte_2020</v>
      </c>
      <c r="D339" s="474">
        <v>489.48325911688369</v>
      </c>
      <c r="E339" s="2"/>
      <c r="F339" s="2"/>
      <c r="G339" s="2"/>
      <c r="H339" s="2"/>
      <c r="I339" s="21"/>
      <c r="J339" s="21"/>
      <c r="K339" s="21"/>
    </row>
    <row r="340" spans="1:11" ht="15.5" x14ac:dyDescent="0.35">
      <c r="A340" s="472" t="s">
        <v>830</v>
      </c>
      <c r="B340" s="473">
        <v>2021</v>
      </c>
      <c r="C340" s="473" t="str">
        <f t="shared" si="9"/>
        <v>Del Norte_2021</v>
      </c>
      <c r="D340" s="474">
        <v>476.16134928264273</v>
      </c>
      <c r="E340" s="2"/>
      <c r="F340" s="2"/>
      <c r="G340" s="2"/>
      <c r="H340" s="2"/>
      <c r="I340" s="21"/>
      <c r="J340" s="21"/>
      <c r="K340" s="21"/>
    </row>
    <row r="341" spans="1:11" ht="15.5" x14ac:dyDescent="0.35">
      <c r="A341" s="472" t="s">
        <v>830</v>
      </c>
      <c r="B341" s="473">
        <v>2022</v>
      </c>
      <c r="C341" s="473" t="str">
        <f t="shared" si="9"/>
        <v>Del Norte_2022</v>
      </c>
      <c r="D341" s="474">
        <v>462.67931135312665</v>
      </c>
      <c r="E341" s="2"/>
      <c r="F341" s="2"/>
      <c r="G341" s="2"/>
      <c r="H341" s="2"/>
      <c r="I341" s="21"/>
      <c r="J341" s="21"/>
      <c r="K341" s="21"/>
    </row>
    <row r="342" spans="1:11" ht="15.5" x14ac:dyDescent="0.35">
      <c r="A342" s="472" t="s">
        <v>830</v>
      </c>
      <c r="B342" s="473">
        <v>2023</v>
      </c>
      <c r="C342" s="473" t="str">
        <f t="shared" si="9"/>
        <v>Del Norte_2023</v>
      </c>
      <c r="D342" s="474">
        <v>449.02608587231009</v>
      </c>
      <c r="E342" s="2"/>
      <c r="F342" s="2"/>
      <c r="G342" s="2"/>
      <c r="H342" s="2"/>
      <c r="I342" s="21"/>
      <c r="J342" s="21"/>
      <c r="K342" s="21"/>
    </row>
    <row r="343" spans="1:11" ht="15.5" x14ac:dyDescent="0.35">
      <c r="A343" s="472" t="s">
        <v>830</v>
      </c>
      <c r="B343" s="473">
        <v>2024</v>
      </c>
      <c r="C343" s="473" t="str">
        <f t="shared" si="9"/>
        <v>Del Norte_2024</v>
      </c>
      <c r="D343" s="474">
        <v>435.31774238973429</v>
      </c>
      <c r="E343" s="2"/>
      <c r="F343" s="2"/>
      <c r="G343" s="2"/>
      <c r="H343" s="2"/>
      <c r="I343" s="21"/>
      <c r="J343" s="21"/>
      <c r="K343" s="21"/>
    </row>
    <row r="344" spans="1:11" ht="15.5" x14ac:dyDescent="0.35">
      <c r="A344" s="472" t="s">
        <v>830</v>
      </c>
      <c r="B344" s="473">
        <v>2025</v>
      </c>
      <c r="C344" s="473" t="str">
        <f t="shared" si="9"/>
        <v>Del Norte_2025</v>
      </c>
      <c r="D344" s="474">
        <v>421.62549017754998</v>
      </c>
      <c r="E344" s="2"/>
      <c r="F344" s="2"/>
      <c r="G344" s="2"/>
      <c r="H344" s="2"/>
      <c r="I344" s="21"/>
      <c r="J344" s="21"/>
      <c r="K344" s="21"/>
    </row>
    <row r="345" spans="1:11" ht="15.5" x14ac:dyDescent="0.35">
      <c r="A345" s="472" t="s">
        <v>830</v>
      </c>
      <c r="B345" s="473">
        <v>2026</v>
      </c>
      <c r="C345" s="473" t="str">
        <f t="shared" si="9"/>
        <v>Del Norte_2026</v>
      </c>
      <c r="D345" s="474">
        <v>408.76101604535529</v>
      </c>
      <c r="E345" s="2"/>
      <c r="F345" s="2"/>
      <c r="G345" s="2"/>
      <c r="H345" s="2"/>
      <c r="I345" s="21"/>
      <c r="J345" s="21"/>
      <c r="K345" s="21"/>
    </row>
    <row r="346" spans="1:11" ht="15.5" x14ac:dyDescent="0.35">
      <c r="A346" s="472" t="s">
        <v>830</v>
      </c>
      <c r="B346" s="473">
        <v>2027</v>
      </c>
      <c r="C346" s="473" t="str">
        <f t="shared" si="9"/>
        <v>Del Norte_2027</v>
      </c>
      <c r="D346" s="474">
        <v>396.65833570803858</v>
      </c>
      <c r="E346" s="2"/>
      <c r="F346" s="2"/>
      <c r="G346" s="2"/>
      <c r="H346" s="2"/>
      <c r="I346" s="21"/>
      <c r="J346" s="21"/>
      <c r="K346" s="21"/>
    </row>
    <row r="347" spans="1:11" ht="15.5" x14ac:dyDescent="0.35">
      <c r="A347" s="472" t="s">
        <v>830</v>
      </c>
      <c r="B347" s="473">
        <v>2028</v>
      </c>
      <c r="C347" s="473" t="str">
        <f t="shared" si="9"/>
        <v>Del Norte_2028</v>
      </c>
      <c r="D347" s="474">
        <v>385.43841341169832</v>
      </c>
      <c r="E347" s="2"/>
      <c r="F347" s="2"/>
      <c r="G347" s="2"/>
      <c r="H347" s="2"/>
      <c r="I347" s="21"/>
      <c r="J347" s="21"/>
      <c r="K347" s="21"/>
    </row>
    <row r="348" spans="1:11" ht="15.5" x14ac:dyDescent="0.35">
      <c r="A348" s="472" t="s">
        <v>830</v>
      </c>
      <c r="B348" s="473">
        <v>2029</v>
      </c>
      <c r="C348" s="473" t="str">
        <f t="shared" si="9"/>
        <v>Del Norte_2029</v>
      </c>
      <c r="D348" s="474">
        <v>375.07970421183745</v>
      </c>
      <c r="E348" s="2"/>
      <c r="F348" s="2"/>
      <c r="G348" s="2"/>
      <c r="H348" s="2"/>
      <c r="I348" s="21"/>
      <c r="J348" s="21"/>
      <c r="K348" s="21"/>
    </row>
    <row r="349" spans="1:11" ht="15.5" x14ac:dyDescent="0.35">
      <c r="A349" s="472" t="s">
        <v>830</v>
      </c>
      <c r="B349" s="473">
        <v>2030</v>
      </c>
      <c r="C349" s="473" t="str">
        <f t="shared" si="9"/>
        <v>Del Norte_2030</v>
      </c>
      <c r="D349" s="474">
        <v>365.5582475597883</v>
      </c>
      <c r="E349" s="2"/>
      <c r="F349" s="2"/>
      <c r="G349" s="2"/>
      <c r="H349" s="2"/>
      <c r="I349" s="21"/>
      <c r="J349" s="21"/>
      <c r="K349" s="21"/>
    </row>
    <row r="350" spans="1:11" ht="15.5" x14ac:dyDescent="0.35">
      <c r="A350" s="472" t="s">
        <v>830</v>
      </c>
      <c r="B350" s="473">
        <v>2031</v>
      </c>
      <c r="C350" s="473" t="str">
        <f t="shared" si="9"/>
        <v>Del Norte_2031</v>
      </c>
      <c r="D350" s="474">
        <v>356.86633247277956</v>
      </c>
      <c r="E350" s="2"/>
      <c r="F350" s="2"/>
      <c r="G350" s="2"/>
      <c r="H350" s="2"/>
      <c r="I350" s="21"/>
      <c r="J350" s="21"/>
      <c r="K350" s="21"/>
    </row>
    <row r="351" spans="1:11" ht="15.5" x14ac:dyDescent="0.35">
      <c r="A351" s="472" t="s">
        <v>830</v>
      </c>
      <c r="B351" s="473">
        <v>2032</v>
      </c>
      <c r="C351" s="473" t="str">
        <f t="shared" si="9"/>
        <v>Del Norte_2032</v>
      </c>
      <c r="D351" s="474">
        <v>348.98668095794591</v>
      </c>
      <c r="E351" s="2"/>
      <c r="F351" s="2"/>
      <c r="G351" s="2"/>
      <c r="H351" s="2"/>
      <c r="I351" s="21"/>
      <c r="J351" s="21"/>
      <c r="K351" s="21"/>
    </row>
    <row r="352" spans="1:11" ht="15.5" x14ac:dyDescent="0.35">
      <c r="A352" s="472" t="s">
        <v>830</v>
      </c>
      <c r="B352" s="473">
        <v>2033</v>
      </c>
      <c r="C352" s="473" t="str">
        <f t="shared" si="9"/>
        <v>Del Norte_2033</v>
      </c>
      <c r="D352" s="474">
        <v>341.900074506755</v>
      </c>
      <c r="E352" s="2"/>
      <c r="F352" s="2"/>
      <c r="G352" s="2"/>
      <c r="H352" s="2"/>
      <c r="I352" s="21"/>
      <c r="J352" s="21"/>
      <c r="K352" s="21"/>
    </row>
    <row r="353" spans="1:11" ht="15.5" x14ac:dyDescent="0.35">
      <c r="A353" s="472" t="s">
        <v>830</v>
      </c>
      <c r="B353" s="473">
        <v>2034</v>
      </c>
      <c r="C353" s="473" t="str">
        <f t="shared" si="9"/>
        <v>Del Norte_2034</v>
      </c>
      <c r="D353" s="474">
        <v>335.51510776760341</v>
      </c>
      <c r="E353" s="2"/>
      <c r="F353" s="2"/>
      <c r="G353" s="2"/>
      <c r="H353" s="2"/>
      <c r="I353" s="21"/>
      <c r="J353" s="21"/>
      <c r="K353" s="21"/>
    </row>
    <row r="354" spans="1:11" ht="15.5" x14ac:dyDescent="0.35">
      <c r="A354" s="472" t="s">
        <v>830</v>
      </c>
      <c r="B354" s="473">
        <v>2035</v>
      </c>
      <c r="C354" s="473" t="str">
        <f t="shared" si="9"/>
        <v>Del Norte_2035</v>
      </c>
      <c r="D354" s="474">
        <v>329.82129704591307</v>
      </c>
      <c r="E354" s="2"/>
      <c r="F354" s="2"/>
      <c r="G354" s="2"/>
      <c r="H354" s="2"/>
      <c r="I354" s="21"/>
      <c r="J354" s="21"/>
      <c r="K354" s="21"/>
    </row>
    <row r="355" spans="1:11" ht="15.5" x14ac:dyDescent="0.35">
      <c r="A355" s="472" t="s">
        <v>830</v>
      </c>
      <c r="B355" s="473">
        <v>2036</v>
      </c>
      <c r="C355" s="473" t="str">
        <f t="shared" si="9"/>
        <v>Del Norte_2036</v>
      </c>
      <c r="D355" s="474">
        <v>324.77222106857892</v>
      </c>
      <c r="E355" s="2"/>
      <c r="F355" s="2"/>
      <c r="G355" s="2"/>
      <c r="H355" s="2"/>
      <c r="I355" s="21"/>
      <c r="J355" s="21"/>
      <c r="K355" s="21"/>
    </row>
    <row r="356" spans="1:11" ht="15.5" x14ac:dyDescent="0.35">
      <c r="A356" s="472" t="s">
        <v>830</v>
      </c>
      <c r="B356" s="473">
        <v>2037</v>
      </c>
      <c r="C356" s="473" t="str">
        <f t="shared" si="9"/>
        <v>Del Norte_2037</v>
      </c>
      <c r="D356" s="474">
        <v>320.35670719314112</v>
      </c>
      <c r="E356" s="2"/>
      <c r="F356" s="2"/>
      <c r="G356" s="2"/>
      <c r="H356" s="2"/>
      <c r="I356" s="21"/>
      <c r="J356" s="21"/>
      <c r="K356" s="21"/>
    </row>
    <row r="357" spans="1:11" ht="15.5" x14ac:dyDescent="0.35">
      <c r="A357" s="472" t="s">
        <v>830</v>
      </c>
      <c r="B357" s="473">
        <v>2038</v>
      </c>
      <c r="C357" s="473" t="str">
        <f t="shared" si="9"/>
        <v>Del Norte_2038</v>
      </c>
      <c r="D357" s="474">
        <v>316.4765264679142</v>
      </c>
      <c r="E357" s="2"/>
      <c r="F357" s="2"/>
      <c r="G357" s="2"/>
      <c r="H357" s="2"/>
      <c r="I357" s="21"/>
      <c r="J357" s="21"/>
      <c r="K357" s="21"/>
    </row>
    <row r="358" spans="1:11" ht="15.5" x14ac:dyDescent="0.35">
      <c r="A358" s="472" t="s">
        <v>830</v>
      </c>
      <c r="B358" s="473">
        <v>2039</v>
      </c>
      <c r="C358" s="473" t="str">
        <f t="shared" si="9"/>
        <v>Del Norte_2039</v>
      </c>
      <c r="D358" s="474">
        <v>313.13158866948811</v>
      </c>
      <c r="E358" s="2"/>
      <c r="F358" s="2"/>
      <c r="G358" s="2"/>
      <c r="H358" s="2"/>
      <c r="I358" s="21"/>
      <c r="J358" s="21"/>
      <c r="K358" s="21"/>
    </row>
    <row r="359" spans="1:11" ht="15.5" x14ac:dyDescent="0.35">
      <c r="A359" s="472" t="s">
        <v>830</v>
      </c>
      <c r="B359" s="473">
        <v>2040</v>
      </c>
      <c r="C359" s="473" t="str">
        <f t="shared" si="9"/>
        <v>Del Norte_2040</v>
      </c>
      <c r="D359" s="474">
        <v>310.21456922730277</v>
      </c>
      <c r="E359" s="2"/>
      <c r="F359" s="2"/>
      <c r="G359" s="2"/>
      <c r="H359" s="2"/>
      <c r="I359" s="21"/>
      <c r="J359" s="21"/>
      <c r="K359" s="21"/>
    </row>
    <row r="360" spans="1:11" ht="15.5" x14ac:dyDescent="0.35">
      <c r="A360" s="472" t="s">
        <v>830</v>
      </c>
      <c r="B360" s="473">
        <v>2041</v>
      </c>
      <c r="C360" s="473" t="str">
        <f t="shared" si="9"/>
        <v>Del Norte_2041</v>
      </c>
      <c r="D360" s="474">
        <v>307.7477908295113</v>
      </c>
      <c r="E360" s="2"/>
      <c r="F360" s="2"/>
      <c r="G360" s="2"/>
      <c r="H360" s="2"/>
      <c r="I360" s="21"/>
      <c r="J360" s="21"/>
      <c r="K360" s="21"/>
    </row>
    <row r="361" spans="1:11" ht="15.5" x14ac:dyDescent="0.35">
      <c r="A361" s="472" t="s">
        <v>830</v>
      </c>
      <c r="B361" s="473">
        <v>2042</v>
      </c>
      <c r="C361" s="473" t="str">
        <f t="shared" si="9"/>
        <v>Del Norte_2042</v>
      </c>
      <c r="D361" s="474">
        <v>305.64414509899143</v>
      </c>
      <c r="E361" s="2"/>
      <c r="F361" s="2"/>
      <c r="G361" s="2"/>
      <c r="H361" s="2"/>
      <c r="I361" s="21"/>
      <c r="J361" s="21"/>
      <c r="K361" s="21"/>
    </row>
    <row r="362" spans="1:11" ht="15.5" x14ac:dyDescent="0.35">
      <c r="A362" s="472" t="s">
        <v>830</v>
      </c>
      <c r="B362" s="473">
        <v>2043</v>
      </c>
      <c r="C362" s="473" t="str">
        <f t="shared" si="9"/>
        <v>Del Norte_2043</v>
      </c>
      <c r="D362" s="474">
        <v>303.80907248731808</v>
      </c>
      <c r="E362" s="2"/>
      <c r="F362" s="2"/>
      <c r="G362" s="2"/>
      <c r="H362" s="2"/>
      <c r="I362" s="21"/>
      <c r="J362" s="21"/>
      <c r="K362" s="21"/>
    </row>
    <row r="363" spans="1:11" ht="15.5" x14ac:dyDescent="0.35">
      <c r="A363" s="472" t="s">
        <v>830</v>
      </c>
      <c r="B363" s="473">
        <v>2044</v>
      </c>
      <c r="C363" s="473" t="str">
        <f t="shared" si="9"/>
        <v>Del Norte_2044</v>
      </c>
      <c r="D363" s="474">
        <v>302.26756348784897</v>
      </c>
      <c r="E363" s="2"/>
      <c r="F363" s="2"/>
      <c r="G363" s="2"/>
      <c r="H363" s="2"/>
      <c r="I363" s="21"/>
      <c r="J363" s="21"/>
      <c r="K363" s="21"/>
    </row>
    <row r="364" spans="1:11" ht="15.5" x14ac:dyDescent="0.35">
      <c r="A364" s="472" t="s">
        <v>830</v>
      </c>
      <c r="B364" s="473">
        <v>2045</v>
      </c>
      <c r="C364" s="473" t="str">
        <f t="shared" si="9"/>
        <v>Del Norte_2045</v>
      </c>
      <c r="D364" s="474">
        <v>300.88189116069105</v>
      </c>
      <c r="E364" s="2"/>
      <c r="F364" s="2"/>
      <c r="G364" s="2"/>
      <c r="H364" s="2"/>
      <c r="I364" s="21"/>
      <c r="J364" s="21"/>
      <c r="K364" s="21"/>
    </row>
    <row r="365" spans="1:11" ht="15.5" x14ac:dyDescent="0.35">
      <c r="A365" s="472" t="s">
        <v>830</v>
      </c>
      <c r="B365" s="473">
        <v>2046</v>
      </c>
      <c r="C365" s="473" t="str">
        <f t="shared" si="9"/>
        <v>Del Norte_2046</v>
      </c>
      <c r="D365" s="474">
        <v>299.7277376909625</v>
      </c>
      <c r="E365" s="2"/>
      <c r="F365" s="2"/>
      <c r="G365" s="2"/>
      <c r="H365" s="2"/>
      <c r="I365" s="21"/>
      <c r="J365" s="21"/>
      <c r="K365" s="21"/>
    </row>
    <row r="366" spans="1:11" ht="15.5" x14ac:dyDescent="0.35">
      <c r="A366" s="472" t="s">
        <v>830</v>
      </c>
      <c r="B366" s="473">
        <v>2047</v>
      </c>
      <c r="C366" s="473" t="str">
        <f t="shared" si="9"/>
        <v>Del Norte_2047</v>
      </c>
      <c r="D366" s="474">
        <v>298.73533873715536</v>
      </c>
      <c r="E366" s="2"/>
      <c r="F366" s="2"/>
      <c r="G366" s="2"/>
      <c r="H366" s="2"/>
      <c r="I366" s="21"/>
      <c r="J366" s="21"/>
      <c r="K366" s="21"/>
    </row>
    <row r="367" spans="1:11" ht="15.5" x14ac:dyDescent="0.35">
      <c r="A367" s="472" t="s">
        <v>830</v>
      </c>
      <c r="B367" s="473">
        <v>2048</v>
      </c>
      <c r="C367" s="473" t="str">
        <f t="shared" si="9"/>
        <v>Del Norte_2048</v>
      </c>
      <c r="D367" s="474">
        <v>297.85760415495179</v>
      </c>
      <c r="E367" s="2"/>
      <c r="F367" s="2"/>
      <c r="G367" s="2"/>
      <c r="H367" s="2"/>
      <c r="I367" s="21"/>
      <c r="J367" s="21"/>
      <c r="K367" s="21"/>
    </row>
    <row r="368" spans="1:11" ht="15.5" x14ac:dyDescent="0.35">
      <c r="A368" s="472" t="s">
        <v>830</v>
      </c>
      <c r="B368" s="473">
        <v>2049</v>
      </c>
      <c r="C368" s="473" t="str">
        <f t="shared" si="9"/>
        <v>Del Norte_2049</v>
      </c>
      <c r="D368" s="474">
        <v>297.119539597337</v>
      </c>
      <c r="E368" s="2"/>
      <c r="F368" s="2"/>
      <c r="G368" s="2"/>
      <c r="H368" s="2"/>
      <c r="I368" s="21"/>
      <c r="J368" s="21"/>
      <c r="K368" s="21"/>
    </row>
    <row r="369" spans="1:11" ht="15.5" x14ac:dyDescent="0.35">
      <c r="A369" s="472" t="s">
        <v>830</v>
      </c>
      <c r="B369" s="473">
        <v>2050</v>
      </c>
      <c r="C369" s="473" t="str">
        <f t="shared" si="9"/>
        <v>Del Norte_2050</v>
      </c>
      <c r="D369" s="474">
        <v>296.49181496043059</v>
      </c>
      <c r="E369" s="2"/>
      <c r="F369" s="2"/>
      <c r="G369" s="2"/>
      <c r="H369" s="2"/>
      <c r="I369" s="21"/>
      <c r="J369" s="21"/>
      <c r="K369" s="21"/>
    </row>
    <row r="370" spans="1:11" ht="15.5" x14ac:dyDescent="0.35">
      <c r="A370" s="468" t="s">
        <v>833</v>
      </c>
      <c r="B370" s="469">
        <v>2015</v>
      </c>
      <c r="C370" s="470" t="s">
        <v>834</v>
      </c>
      <c r="D370" s="471">
        <v>526.49357057482064</v>
      </c>
      <c r="E370" s="2"/>
      <c r="F370" s="2"/>
      <c r="G370" s="2"/>
      <c r="H370" s="2"/>
      <c r="I370" s="21"/>
      <c r="J370" s="21"/>
      <c r="K370" s="21"/>
    </row>
    <row r="371" spans="1:11" ht="15.5" x14ac:dyDescent="0.35">
      <c r="A371" s="468" t="s">
        <v>833</v>
      </c>
      <c r="B371" s="469">
        <v>2016</v>
      </c>
      <c r="C371" s="470" t="s">
        <v>835</v>
      </c>
      <c r="D371" s="471">
        <v>516.60949711735736</v>
      </c>
      <c r="E371" s="2"/>
      <c r="F371" s="2"/>
      <c r="G371" s="2"/>
      <c r="H371" s="2"/>
      <c r="I371" s="21"/>
      <c r="J371" s="21"/>
      <c r="K371" s="21"/>
    </row>
    <row r="372" spans="1:11" ht="15.5" x14ac:dyDescent="0.35">
      <c r="A372" s="472" t="s">
        <v>833</v>
      </c>
      <c r="B372" s="473">
        <v>2017</v>
      </c>
      <c r="C372" s="473" t="str">
        <f t="shared" ref="C372:C405" si="10">CONCATENATE(A372,"_",B372)</f>
        <v>El Dorado_2017</v>
      </c>
      <c r="D372" s="474">
        <v>504.4340032448759</v>
      </c>
      <c r="E372" s="2"/>
      <c r="F372" s="2"/>
      <c r="G372" s="2"/>
      <c r="H372" s="2"/>
      <c r="I372" s="21"/>
      <c r="J372" s="21"/>
      <c r="K372" s="21"/>
    </row>
    <row r="373" spans="1:11" ht="15.5" x14ac:dyDescent="0.35">
      <c r="A373" s="472" t="s">
        <v>833</v>
      </c>
      <c r="B373" s="473">
        <v>2018</v>
      </c>
      <c r="C373" s="473" t="str">
        <f t="shared" si="10"/>
        <v>El Dorado_2018</v>
      </c>
      <c r="D373" s="474">
        <v>491.48292714280961</v>
      </c>
      <c r="E373" s="2"/>
      <c r="F373" s="2"/>
      <c r="G373" s="2"/>
      <c r="H373" s="2"/>
      <c r="I373" s="21"/>
      <c r="J373" s="21"/>
      <c r="K373" s="21"/>
    </row>
    <row r="374" spans="1:11" ht="15.5" x14ac:dyDescent="0.35">
      <c r="A374" s="472" t="s">
        <v>833</v>
      </c>
      <c r="B374" s="473">
        <v>2019</v>
      </c>
      <c r="C374" s="473" t="str">
        <f t="shared" si="10"/>
        <v>El Dorado_2019</v>
      </c>
      <c r="D374" s="474">
        <v>474.72988458574628</v>
      </c>
      <c r="E374" s="2"/>
      <c r="F374" s="2"/>
      <c r="G374" s="2"/>
      <c r="H374" s="2"/>
      <c r="I374" s="21"/>
      <c r="J374" s="21"/>
      <c r="K374" s="21"/>
    </row>
    <row r="375" spans="1:11" ht="15.5" x14ac:dyDescent="0.35">
      <c r="A375" s="472" t="s">
        <v>833</v>
      </c>
      <c r="B375" s="473">
        <v>2020</v>
      </c>
      <c r="C375" s="473" t="str">
        <f t="shared" si="10"/>
        <v>El Dorado_2020</v>
      </c>
      <c r="D375" s="474">
        <v>461.12902177984205</v>
      </c>
      <c r="E375" s="2"/>
      <c r="F375" s="2"/>
      <c r="G375" s="2"/>
      <c r="H375" s="2"/>
      <c r="I375" s="21"/>
      <c r="J375" s="21"/>
      <c r="K375" s="21"/>
    </row>
    <row r="376" spans="1:11" ht="15.5" x14ac:dyDescent="0.35">
      <c r="A376" s="472" t="s">
        <v>833</v>
      </c>
      <c r="B376" s="473">
        <v>2021</v>
      </c>
      <c r="C376" s="473" t="str">
        <f t="shared" si="10"/>
        <v>El Dorado_2021</v>
      </c>
      <c r="D376" s="474">
        <v>447.38495335481463</v>
      </c>
      <c r="E376" s="2"/>
      <c r="F376" s="2"/>
      <c r="G376" s="2"/>
      <c r="H376" s="2"/>
      <c r="I376" s="21"/>
      <c r="J376" s="21"/>
      <c r="K376" s="21"/>
    </row>
    <row r="377" spans="1:11" ht="15.5" x14ac:dyDescent="0.35">
      <c r="A377" s="472" t="s">
        <v>833</v>
      </c>
      <c r="B377" s="473">
        <v>2022</v>
      </c>
      <c r="C377" s="473" t="str">
        <f t="shared" si="10"/>
        <v>El Dorado_2022</v>
      </c>
      <c r="D377" s="474">
        <v>433.79158465691631</v>
      </c>
      <c r="E377" s="2"/>
      <c r="F377" s="2"/>
      <c r="G377" s="2"/>
      <c r="H377" s="2"/>
      <c r="I377" s="21"/>
      <c r="J377" s="21"/>
      <c r="K377" s="21"/>
    </row>
    <row r="378" spans="1:11" ht="15.5" x14ac:dyDescent="0.35">
      <c r="A378" s="472" t="s">
        <v>833</v>
      </c>
      <c r="B378" s="473">
        <v>2023</v>
      </c>
      <c r="C378" s="473" t="str">
        <f t="shared" si="10"/>
        <v>El Dorado_2023</v>
      </c>
      <c r="D378" s="474">
        <v>420.30238480518273</v>
      </c>
      <c r="E378" s="2"/>
      <c r="F378" s="2"/>
      <c r="G378" s="2"/>
      <c r="H378" s="2"/>
      <c r="I378" s="21"/>
      <c r="J378" s="21"/>
      <c r="K378" s="21"/>
    </row>
    <row r="379" spans="1:11" ht="15.5" x14ac:dyDescent="0.35">
      <c r="A379" s="472" t="s">
        <v>833</v>
      </c>
      <c r="B379" s="473">
        <v>2024</v>
      </c>
      <c r="C379" s="473" t="str">
        <f t="shared" si="10"/>
        <v>El Dorado_2024</v>
      </c>
      <c r="D379" s="474">
        <v>406.99756073933958</v>
      </c>
      <c r="E379" s="2"/>
      <c r="F379" s="2"/>
      <c r="G379" s="2"/>
      <c r="H379" s="2"/>
      <c r="I379" s="21"/>
      <c r="J379" s="21"/>
      <c r="K379" s="21"/>
    </row>
    <row r="380" spans="1:11" ht="15.5" x14ac:dyDescent="0.35">
      <c r="A380" s="472" t="s">
        <v>833</v>
      </c>
      <c r="B380" s="473">
        <v>2025</v>
      </c>
      <c r="C380" s="473" t="str">
        <f t="shared" si="10"/>
        <v>El Dorado_2025</v>
      </c>
      <c r="D380" s="474">
        <v>393.89511255991766</v>
      </c>
      <c r="E380" s="2"/>
      <c r="F380" s="2"/>
      <c r="G380" s="2"/>
      <c r="H380" s="2"/>
      <c r="I380" s="21"/>
      <c r="J380" s="21"/>
      <c r="K380" s="21"/>
    </row>
    <row r="381" spans="1:11" ht="15.5" x14ac:dyDescent="0.35">
      <c r="A381" s="472" t="s">
        <v>833</v>
      </c>
      <c r="B381" s="473">
        <v>2026</v>
      </c>
      <c r="C381" s="473" t="str">
        <f t="shared" si="10"/>
        <v>El Dorado_2026</v>
      </c>
      <c r="D381" s="474">
        <v>381.84989865658576</v>
      </c>
      <c r="E381" s="2"/>
      <c r="F381" s="2"/>
      <c r="G381" s="2"/>
      <c r="H381" s="2"/>
      <c r="I381" s="21"/>
      <c r="J381" s="21"/>
      <c r="K381" s="21"/>
    </row>
    <row r="382" spans="1:11" ht="15.5" x14ac:dyDescent="0.35">
      <c r="A382" s="472" t="s">
        <v>833</v>
      </c>
      <c r="B382" s="473">
        <v>2027</v>
      </c>
      <c r="C382" s="473" t="str">
        <f t="shared" si="10"/>
        <v>El Dorado_2027</v>
      </c>
      <c r="D382" s="474">
        <v>370.76676941539046</v>
      </c>
      <c r="E382" s="2"/>
      <c r="F382" s="2"/>
      <c r="G382" s="2"/>
      <c r="H382" s="2"/>
      <c r="I382" s="21"/>
      <c r="J382" s="21"/>
      <c r="K382" s="21"/>
    </row>
    <row r="383" spans="1:11" ht="15.5" x14ac:dyDescent="0.35">
      <c r="A383" s="472" t="s">
        <v>833</v>
      </c>
      <c r="B383" s="473">
        <v>2028</v>
      </c>
      <c r="C383" s="473" t="str">
        <f t="shared" si="10"/>
        <v>El Dorado_2028</v>
      </c>
      <c r="D383" s="474">
        <v>360.71704549071904</v>
      </c>
      <c r="E383" s="2"/>
      <c r="F383" s="2"/>
      <c r="G383" s="2"/>
      <c r="H383" s="2"/>
      <c r="I383" s="21"/>
      <c r="J383" s="21"/>
      <c r="K383" s="21"/>
    </row>
    <row r="384" spans="1:11" ht="15.5" x14ac:dyDescent="0.35">
      <c r="A384" s="472" t="s">
        <v>833</v>
      </c>
      <c r="B384" s="473">
        <v>2029</v>
      </c>
      <c r="C384" s="473" t="str">
        <f t="shared" si="10"/>
        <v>El Dorado_2029</v>
      </c>
      <c r="D384" s="474">
        <v>351.65403860322095</v>
      </c>
      <c r="E384" s="2"/>
      <c r="F384" s="2"/>
      <c r="G384" s="2"/>
      <c r="H384" s="2"/>
      <c r="I384" s="21"/>
      <c r="J384" s="21"/>
      <c r="K384" s="21"/>
    </row>
    <row r="385" spans="1:11" ht="15.5" x14ac:dyDescent="0.35">
      <c r="A385" s="472" t="s">
        <v>833</v>
      </c>
      <c r="B385" s="473">
        <v>2030</v>
      </c>
      <c r="C385" s="473" t="str">
        <f t="shared" si="10"/>
        <v>El Dorado_2030</v>
      </c>
      <c r="D385" s="474">
        <v>343.51706464766534</v>
      </c>
      <c r="E385" s="2"/>
      <c r="F385" s="2"/>
      <c r="G385" s="2"/>
      <c r="H385" s="2"/>
      <c r="I385" s="21"/>
      <c r="J385" s="21"/>
      <c r="K385" s="21"/>
    </row>
    <row r="386" spans="1:11" ht="15.5" x14ac:dyDescent="0.35">
      <c r="A386" s="472" t="s">
        <v>833</v>
      </c>
      <c r="B386" s="473">
        <v>2031</v>
      </c>
      <c r="C386" s="473" t="str">
        <f t="shared" si="10"/>
        <v>El Dorado_2031</v>
      </c>
      <c r="D386" s="474">
        <v>336.26487307177234</v>
      </c>
      <c r="E386" s="2"/>
      <c r="F386" s="2"/>
      <c r="G386" s="2"/>
      <c r="H386" s="2"/>
      <c r="I386" s="21"/>
      <c r="J386" s="21"/>
      <c r="K386" s="21"/>
    </row>
    <row r="387" spans="1:11" ht="15.5" x14ac:dyDescent="0.35">
      <c r="A387" s="472" t="s">
        <v>833</v>
      </c>
      <c r="B387" s="473">
        <v>2032</v>
      </c>
      <c r="C387" s="473" t="str">
        <f t="shared" si="10"/>
        <v>El Dorado_2032</v>
      </c>
      <c r="D387" s="474">
        <v>329.84440758883403</v>
      </c>
      <c r="E387" s="2"/>
      <c r="F387" s="2"/>
      <c r="G387" s="2"/>
      <c r="H387" s="2"/>
      <c r="I387" s="21"/>
      <c r="J387" s="21"/>
      <c r="K387" s="21"/>
    </row>
    <row r="388" spans="1:11" ht="15.5" x14ac:dyDescent="0.35">
      <c r="A388" s="472" t="s">
        <v>833</v>
      </c>
      <c r="B388" s="473">
        <v>2033</v>
      </c>
      <c r="C388" s="473" t="str">
        <f t="shared" si="10"/>
        <v>El Dorado_2033</v>
      </c>
      <c r="D388" s="474">
        <v>324.18678533842296</v>
      </c>
      <c r="E388" s="2"/>
      <c r="F388" s="2"/>
      <c r="G388" s="2"/>
      <c r="H388" s="2"/>
      <c r="I388" s="21"/>
      <c r="J388" s="21"/>
      <c r="K388" s="21"/>
    </row>
    <row r="389" spans="1:11" ht="15.5" x14ac:dyDescent="0.35">
      <c r="A389" s="472" t="s">
        <v>833</v>
      </c>
      <c r="B389" s="473">
        <v>2034</v>
      </c>
      <c r="C389" s="473" t="str">
        <f t="shared" si="10"/>
        <v>El Dorado_2034</v>
      </c>
      <c r="D389" s="474">
        <v>319.23292259945066</v>
      </c>
      <c r="E389" s="2"/>
      <c r="F389" s="2"/>
      <c r="G389" s="2"/>
      <c r="H389" s="2"/>
      <c r="I389" s="21"/>
      <c r="J389" s="21"/>
      <c r="K389" s="21"/>
    </row>
    <row r="390" spans="1:11" ht="15.5" x14ac:dyDescent="0.35">
      <c r="A390" s="472" t="s">
        <v>833</v>
      </c>
      <c r="B390" s="473">
        <v>2035</v>
      </c>
      <c r="C390" s="473" t="str">
        <f t="shared" si="10"/>
        <v>El Dorado_2035</v>
      </c>
      <c r="D390" s="474">
        <v>314.90220175087791</v>
      </c>
      <c r="E390" s="2"/>
      <c r="F390" s="2"/>
      <c r="G390" s="2"/>
      <c r="H390" s="2"/>
      <c r="I390" s="21"/>
      <c r="J390" s="21"/>
      <c r="K390" s="21"/>
    </row>
    <row r="391" spans="1:11" ht="15.5" x14ac:dyDescent="0.35">
      <c r="A391" s="472" t="s">
        <v>833</v>
      </c>
      <c r="B391" s="473">
        <v>2036</v>
      </c>
      <c r="C391" s="473" t="str">
        <f t="shared" si="10"/>
        <v>El Dorado_2036</v>
      </c>
      <c r="D391" s="474">
        <v>311.16885405078051</v>
      </c>
      <c r="E391" s="2"/>
      <c r="F391" s="2"/>
      <c r="G391" s="2"/>
      <c r="H391" s="2"/>
      <c r="I391" s="21"/>
      <c r="J391" s="21"/>
      <c r="K391" s="21"/>
    </row>
    <row r="392" spans="1:11" ht="15.5" x14ac:dyDescent="0.35">
      <c r="A392" s="472" t="s">
        <v>833</v>
      </c>
      <c r="B392" s="473">
        <v>2037</v>
      </c>
      <c r="C392" s="473" t="str">
        <f t="shared" si="10"/>
        <v>El Dorado_2037</v>
      </c>
      <c r="D392" s="474">
        <v>307.96017846641507</v>
      </c>
      <c r="E392" s="2"/>
      <c r="F392" s="2"/>
      <c r="G392" s="2"/>
      <c r="H392" s="2"/>
      <c r="I392" s="21"/>
      <c r="J392" s="21"/>
      <c r="K392" s="21"/>
    </row>
    <row r="393" spans="1:11" ht="15.5" x14ac:dyDescent="0.35">
      <c r="A393" s="472" t="s">
        <v>833</v>
      </c>
      <c r="B393" s="473">
        <v>2038</v>
      </c>
      <c r="C393" s="473" t="str">
        <f t="shared" si="10"/>
        <v>El Dorado_2038</v>
      </c>
      <c r="D393" s="474">
        <v>305.22644497960368</v>
      </c>
      <c r="E393" s="2"/>
      <c r="F393" s="2"/>
      <c r="G393" s="2"/>
      <c r="H393" s="2"/>
      <c r="I393" s="21"/>
      <c r="J393" s="21"/>
      <c r="K393" s="21"/>
    </row>
    <row r="394" spans="1:11" ht="15.5" x14ac:dyDescent="0.35">
      <c r="A394" s="472" t="s">
        <v>833</v>
      </c>
      <c r="B394" s="473">
        <v>2039</v>
      </c>
      <c r="C394" s="473" t="str">
        <f t="shared" si="10"/>
        <v>El Dorado_2039</v>
      </c>
      <c r="D394" s="474">
        <v>302.88747099419413</v>
      </c>
      <c r="E394" s="2"/>
      <c r="F394" s="2"/>
      <c r="G394" s="2"/>
      <c r="H394" s="2"/>
      <c r="I394" s="21"/>
      <c r="J394" s="21"/>
      <c r="K394" s="21"/>
    </row>
    <row r="395" spans="1:11" ht="15.5" x14ac:dyDescent="0.35">
      <c r="A395" s="472" t="s">
        <v>833</v>
      </c>
      <c r="B395" s="473">
        <v>2040</v>
      </c>
      <c r="C395" s="473" t="str">
        <f t="shared" si="10"/>
        <v>El Dorado_2040</v>
      </c>
      <c r="D395" s="474">
        <v>300.89297717782847</v>
      </c>
      <c r="E395" s="2"/>
      <c r="F395" s="2"/>
      <c r="G395" s="2"/>
      <c r="H395" s="2"/>
      <c r="I395" s="21"/>
      <c r="J395" s="21"/>
      <c r="K395" s="21"/>
    </row>
    <row r="396" spans="1:11" ht="15.5" x14ac:dyDescent="0.35">
      <c r="A396" s="472" t="s">
        <v>833</v>
      </c>
      <c r="B396" s="473">
        <v>2041</v>
      </c>
      <c r="C396" s="473" t="str">
        <f t="shared" si="10"/>
        <v>El Dorado_2041</v>
      </c>
      <c r="D396" s="474">
        <v>299.2128498695543</v>
      </c>
      <c r="E396" s="2"/>
      <c r="F396" s="2"/>
      <c r="G396" s="2"/>
      <c r="H396" s="2"/>
      <c r="I396" s="21"/>
      <c r="J396" s="21"/>
      <c r="K396" s="21"/>
    </row>
    <row r="397" spans="1:11" ht="15.5" x14ac:dyDescent="0.35">
      <c r="A397" s="472" t="s">
        <v>833</v>
      </c>
      <c r="B397" s="473">
        <v>2042</v>
      </c>
      <c r="C397" s="473" t="str">
        <f t="shared" si="10"/>
        <v>El Dorado_2042</v>
      </c>
      <c r="D397" s="474">
        <v>297.77834628704119</v>
      </c>
      <c r="E397" s="2"/>
      <c r="F397" s="2"/>
      <c r="G397" s="2"/>
      <c r="H397" s="2"/>
      <c r="I397" s="21"/>
      <c r="J397" s="21"/>
      <c r="K397" s="21"/>
    </row>
    <row r="398" spans="1:11" ht="15.5" x14ac:dyDescent="0.35">
      <c r="A398" s="472" t="s">
        <v>833</v>
      </c>
      <c r="B398" s="473">
        <v>2043</v>
      </c>
      <c r="C398" s="473" t="str">
        <f t="shared" si="10"/>
        <v>El Dorado_2043</v>
      </c>
      <c r="D398" s="474">
        <v>296.5703618733221</v>
      </c>
      <c r="E398" s="2"/>
      <c r="F398" s="2"/>
      <c r="G398" s="2"/>
      <c r="H398" s="2"/>
      <c r="I398" s="21"/>
      <c r="J398" s="21"/>
      <c r="K398" s="21"/>
    </row>
    <row r="399" spans="1:11" ht="15.5" x14ac:dyDescent="0.35">
      <c r="A399" s="472" t="s">
        <v>833</v>
      </c>
      <c r="B399" s="473">
        <v>2044</v>
      </c>
      <c r="C399" s="473" t="str">
        <f t="shared" si="10"/>
        <v>El Dorado_2044</v>
      </c>
      <c r="D399" s="474">
        <v>295.5385026117271</v>
      </c>
      <c r="E399" s="2"/>
      <c r="F399" s="2"/>
      <c r="G399" s="2"/>
      <c r="H399" s="2"/>
      <c r="I399" s="21"/>
      <c r="J399" s="21"/>
      <c r="K399" s="21"/>
    </row>
    <row r="400" spans="1:11" ht="15.5" x14ac:dyDescent="0.35">
      <c r="A400" s="472" t="s">
        <v>833</v>
      </c>
      <c r="B400" s="473">
        <v>2045</v>
      </c>
      <c r="C400" s="473" t="str">
        <f t="shared" si="10"/>
        <v>El Dorado_2045</v>
      </c>
      <c r="D400" s="474">
        <v>294.6382125788366</v>
      </c>
      <c r="E400" s="2"/>
      <c r="F400" s="2"/>
      <c r="G400" s="2"/>
      <c r="H400" s="2"/>
      <c r="I400" s="21"/>
      <c r="J400" s="21"/>
      <c r="K400" s="21"/>
    </row>
    <row r="401" spans="1:11" ht="15.5" x14ac:dyDescent="0.35">
      <c r="A401" s="472" t="s">
        <v>833</v>
      </c>
      <c r="B401" s="473">
        <v>2046</v>
      </c>
      <c r="C401" s="473" t="str">
        <f t="shared" si="10"/>
        <v>El Dorado_2046</v>
      </c>
      <c r="D401" s="474">
        <v>293.86461365133039</v>
      </c>
      <c r="E401" s="2"/>
      <c r="F401" s="2"/>
      <c r="G401" s="2"/>
      <c r="H401" s="2"/>
      <c r="I401" s="21"/>
      <c r="J401" s="21"/>
      <c r="K401" s="21"/>
    </row>
    <row r="402" spans="1:11" ht="15.5" x14ac:dyDescent="0.35">
      <c r="A402" s="472" t="s">
        <v>833</v>
      </c>
      <c r="B402" s="473">
        <v>2047</v>
      </c>
      <c r="C402" s="473" t="str">
        <f t="shared" si="10"/>
        <v>El Dorado_2047</v>
      </c>
      <c r="D402" s="474">
        <v>293.20935287182448</v>
      </c>
      <c r="E402" s="2"/>
      <c r="F402" s="2"/>
      <c r="G402" s="2"/>
      <c r="H402" s="2"/>
      <c r="I402" s="21"/>
      <c r="J402" s="21"/>
      <c r="K402" s="21"/>
    </row>
    <row r="403" spans="1:11" ht="15.5" x14ac:dyDescent="0.35">
      <c r="A403" s="472" t="s">
        <v>833</v>
      </c>
      <c r="B403" s="473">
        <v>2048</v>
      </c>
      <c r="C403" s="473" t="str">
        <f t="shared" si="10"/>
        <v>El Dorado_2048</v>
      </c>
      <c r="D403" s="474">
        <v>292.66044654398416</v>
      </c>
      <c r="E403" s="2"/>
      <c r="F403" s="2"/>
      <c r="G403" s="2"/>
      <c r="H403" s="2"/>
      <c r="I403" s="21"/>
      <c r="J403" s="21"/>
      <c r="K403" s="21"/>
    </row>
    <row r="404" spans="1:11" ht="15.5" x14ac:dyDescent="0.35">
      <c r="A404" s="472" t="s">
        <v>833</v>
      </c>
      <c r="B404" s="473">
        <v>2049</v>
      </c>
      <c r="C404" s="473" t="str">
        <f t="shared" si="10"/>
        <v>El Dorado_2049</v>
      </c>
      <c r="D404" s="474">
        <v>292.1823696896281</v>
      </c>
      <c r="E404" s="2"/>
      <c r="F404" s="2"/>
      <c r="G404" s="2"/>
      <c r="H404" s="2"/>
      <c r="I404" s="21"/>
      <c r="J404" s="21"/>
      <c r="K404" s="21"/>
    </row>
    <row r="405" spans="1:11" ht="15.5" x14ac:dyDescent="0.35">
      <c r="A405" s="472" t="s">
        <v>833</v>
      </c>
      <c r="B405" s="473">
        <v>2050</v>
      </c>
      <c r="C405" s="473" t="str">
        <f t="shared" si="10"/>
        <v>El Dorado_2050</v>
      </c>
      <c r="D405" s="474">
        <v>291.77648220515459</v>
      </c>
      <c r="E405" s="2"/>
      <c r="F405" s="2"/>
      <c r="G405" s="2"/>
      <c r="H405" s="2"/>
      <c r="I405" s="21"/>
      <c r="J405" s="21"/>
      <c r="K405" s="21"/>
    </row>
    <row r="406" spans="1:11" ht="15.5" x14ac:dyDescent="0.35">
      <c r="A406" s="468" t="s">
        <v>836</v>
      </c>
      <c r="B406" s="469">
        <v>2015</v>
      </c>
      <c r="C406" s="470" t="s">
        <v>837</v>
      </c>
      <c r="D406" s="471">
        <v>514.50301852094663</v>
      </c>
      <c r="E406" s="2"/>
      <c r="F406" s="2"/>
      <c r="G406" s="2"/>
      <c r="H406" s="2"/>
      <c r="I406" s="21"/>
      <c r="J406" s="21"/>
      <c r="K406" s="21"/>
    </row>
    <row r="407" spans="1:11" ht="15.5" x14ac:dyDescent="0.35">
      <c r="A407" s="468" t="s">
        <v>836</v>
      </c>
      <c r="B407" s="469">
        <v>2016</v>
      </c>
      <c r="C407" s="470" t="s">
        <v>838</v>
      </c>
      <c r="D407" s="471">
        <v>503.77516814939753</v>
      </c>
      <c r="E407" s="2"/>
      <c r="F407" s="2"/>
      <c r="G407" s="2"/>
      <c r="H407" s="2"/>
      <c r="I407" s="21"/>
      <c r="J407" s="21"/>
      <c r="K407" s="21"/>
    </row>
    <row r="408" spans="1:11" ht="15.5" x14ac:dyDescent="0.35">
      <c r="A408" s="472" t="s">
        <v>836</v>
      </c>
      <c r="B408" s="473">
        <v>2017</v>
      </c>
      <c r="C408" s="473" t="str">
        <f t="shared" ref="C408:C441" si="11">CONCATENATE(A408,"_",B408)</f>
        <v>Fresno_2017</v>
      </c>
      <c r="D408" s="474">
        <v>491.62716138546148</v>
      </c>
      <c r="E408" s="2"/>
      <c r="F408" s="2"/>
      <c r="G408" s="2"/>
      <c r="H408" s="2"/>
      <c r="I408" s="21"/>
      <c r="J408" s="21"/>
      <c r="K408" s="21"/>
    </row>
    <row r="409" spans="1:11" ht="15.5" x14ac:dyDescent="0.35">
      <c r="A409" s="472" t="s">
        <v>836</v>
      </c>
      <c r="B409" s="473">
        <v>2018</v>
      </c>
      <c r="C409" s="473" t="str">
        <f t="shared" si="11"/>
        <v>Fresno_2018</v>
      </c>
      <c r="D409" s="474">
        <v>479.30022167529728</v>
      </c>
      <c r="E409" s="2"/>
      <c r="F409" s="2"/>
      <c r="G409" s="2"/>
      <c r="H409" s="2"/>
      <c r="I409" s="21"/>
      <c r="J409" s="21"/>
      <c r="K409" s="21"/>
    </row>
    <row r="410" spans="1:11" ht="15.5" x14ac:dyDescent="0.35">
      <c r="A410" s="472" t="s">
        <v>836</v>
      </c>
      <c r="B410" s="473">
        <v>2019</v>
      </c>
      <c r="C410" s="473" t="str">
        <f t="shared" si="11"/>
        <v>Fresno_2019</v>
      </c>
      <c r="D410" s="474">
        <v>465.81103466956313</v>
      </c>
      <c r="E410" s="2"/>
      <c r="F410" s="2"/>
      <c r="G410" s="2"/>
      <c r="H410" s="2"/>
      <c r="I410" s="21"/>
      <c r="J410" s="21"/>
      <c r="K410" s="21"/>
    </row>
    <row r="411" spans="1:11" ht="15.5" x14ac:dyDescent="0.35">
      <c r="A411" s="472" t="s">
        <v>836</v>
      </c>
      <c r="B411" s="473">
        <v>2020</v>
      </c>
      <c r="C411" s="473" t="str">
        <f t="shared" si="11"/>
        <v>Fresno_2020</v>
      </c>
      <c r="D411" s="474">
        <v>452.08739974650803</v>
      </c>
      <c r="E411" s="2"/>
      <c r="F411" s="2"/>
      <c r="G411" s="2"/>
      <c r="H411" s="2"/>
      <c r="I411" s="21"/>
      <c r="J411" s="21"/>
      <c r="K411" s="21"/>
    </row>
    <row r="412" spans="1:11" ht="15.5" x14ac:dyDescent="0.35">
      <c r="A412" s="472" t="s">
        <v>836</v>
      </c>
      <c r="B412" s="473">
        <v>2021</v>
      </c>
      <c r="C412" s="473" t="str">
        <f t="shared" si="11"/>
        <v>Fresno_2021</v>
      </c>
      <c r="D412" s="474">
        <v>438.26474817603417</v>
      </c>
      <c r="E412" s="2"/>
      <c r="F412" s="2"/>
      <c r="G412" s="2"/>
      <c r="H412" s="2"/>
      <c r="I412" s="21"/>
      <c r="J412" s="21"/>
      <c r="K412" s="21"/>
    </row>
    <row r="413" spans="1:11" ht="15.5" x14ac:dyDescent="0.35">
      <c r="A413" s="472" t="s">
        <v>836</v>
      </c>
      <c r="B413" s="473">
        <v>2022</v>
      </c>
      <c r="C413" s="473" t="str">
        <f t="shared" si="11"/>
        <v>Fresno_2022</v>
      </c>
      <c r="D413" s="474">
        <v>424.63898153605061</v>
      </c>
      <c r="E413" s="2"/>
      <c r="F413" s="2"/>
      <c r="G413" s="2"/>
      <c r="H413" s="2"/>
      <c r="I413" s="21"/>
      <c r="J413" s="21"/>
      <c r="K413" s="21"/>
    </row>
    <row r="414" spans="1:11" ht="15.5" x14ac:dyDescent="0.35">
      <c r="A414" s="472" t="s">
        <v>836</v>
      </c>
      <c r="B414" s="473">
        <v>2023</v>
      </c>
      <c r="C414" s="473" t="str">
        <f t="shared" si="11"/>
        <v>Fresno_2023</v>
      </c>
      <c r="D414" s="474">
        <v>411.16714755638191</v>
      </c>
      <c r="E414" s="2"/>
      <c r="F414" s="2"/>
      <c r="G414" s="2"/>
      <c r="H414" s="2"/>
      <c r="I414" s="21"/>
      <c r="J414" s="21"/>
      <c r="K414" s="21"/>
    </row>
    <row r="415" spans="1:11" ht="15.5" x14ac:dyDescent="0.35">
      <c r="A415" s="472" t="s">
        <v>836</v>
      </c>
      <c r="B415" s="473">
        <v>2024</v>
      </c>
      <c r="C415" s="473" t="str">
        <f t="shared" si="11"/>
        <v>Fresno_2024</v>
      </c>
      <c r="D415" s="474">
        <v>397.84090304047612</v>
      </c>
      <c r="E415" s="2"/>
      <c r="F415" s="2"/>
      <c r="G415" s="2"/>
      <c r="H415" s="2"/>
      <c r="I415" s="21"/>
      <c r="J415" s="21"/>
      <c r="K415" s="21"/>
    </row>
    <row r="416" spans="1:11" ht="15.5" x14ac:dyDescent="0.35">
      <c r="A416" s="472" t="s">
        <v>836</v>
      </c>
      <c r="B416" s="473">
        <v>2025</v>
      </c>
      <c r="C416" s="473" t="str">
        <f t="shared" si="11"/>
        <v>Fresno_2025</v>
      </c>
      <c r="D416" s="474">
        <v>384.81487850678326</v>
      </c>
      <c r="E416" s="2"/>
      <c r="F416" s="2"/>
      <c r="G416" s="2"/>
      <c r="H416" s="2"/>
      <c r="I416" s="21"/>
      <c r="J416" s="21"/>
      <c r="K416" s="21"/>
    </row>
    <row r="417" spans="1:11" ht="15.5" x14ac:dyDescent="0.35">
      <c r="A417" s="472" t="s">
        <v>836</v>
      </c>
      <c r="B417" s="473">
        <v>2026</v>
      </c>
      <c r="C417" s="473" t="str">
        <f t="shared" si="11"/>
        <v>Fresno_2026</v>
      </c>
      <c r="D417" s="474">
        <v>373.76226542496607</v>
      </c>
      <c r="E417" s="2"/>
      <c r="F417" s="2"/>
      <c r="G417" s="2"/>
      <c r="H417" s="2"/>
      <c r="I417" s="21"/>
      <c r="J417" s="21"/>
      <c r="K417" s="21"/>
    </row>
    <row r="418" spans="1:11" ht="15.5" x14ac:dyDescent="0.35">
      <c r="A418" s="472" t="s">
        <v>836</v>
      </c>
      <c r="B418" s="473">
        <v>2027</v>
      </c>
      <c r="C418" s="473" t="str">
        <f t="shared" si="11"/>
        <v>Fresno_2027</v>
      </c>
      <c r="D418" s="474">
        <v>362.78170194741909</v>
      </c>
      <c r="E418" s="2"/>
      <c r="F418" s="2"/>
      <c r="G418" s="2"/>
      <c r="H418" s="2"/>
      <c r="I418" s="21"/>
      <c r="J418" s="21"/>
      <c r="K418" s="21"/>
    </row>
    <row r="419" spans="1:11" ht="15.5" x14ac:dyDescent="0.35">
      <c r="A419" s="472" t="s">
        <v>836</v>
      </c>
      <c r="B419" s="473">
        <v>2028</v>
      </c>
      <c r="C419" s="473" t="str">
        <f t="shared" si="11"/>
        <v>Fresno_2028</v>
      </c>
      <c r="D419" s="474">
        <v>352.87758144190121</v>
      </c>
      <c r="E419" s="2"/>
      <c r="F419" s="2"/>
      <c r="G419" s="2"/>
      <c r="H419" s="2"/>
      <c r="I419" s="21"/>
      <c r="J419" s="21"/>
      <c r="K419" s="21"/>
    </row>
    <row r="420" spans="1:11" ht="15.5" x14ac:dyDescent="0.35">
      <c r="A420" s="472" t="s">
        <v>836</v>
      </c>
      <c r="B420" s="473">
        <v>2029</v>
      </c>
      <c r="C420" s="473" t="str">
        <f t="shared" si="11"/>
        <v>Fresno_2029</v>
      </c>
      <c r="D420" s="474">
        <v>343.98070208102359</v>
      </c>
      <c r="E420" s="2"/>
      <c r="F420" s="2"/>
      <c r="G420" s="2"/>
      <c r="H420" s="2"/>
      <c r="I420" s="21"/>
      <c r="J420" s="21"/>
      <c r="K420" s="21"/>
    </row>
    <row r="421" spans="1:11" ht="15.5" x14ac:dyDescent="0.35">
      <c r="A421" s="472" t="s">
        <v>836</v>
      </c>
      <c r="B421" s="473">
        <v>2030</v>
      </c>
      <c r="C421" s="473" t="str">
        <f t="shared" si="11"/>
        <v>Fresno_2030</v>
      </c>
      <c r="D421" s="474">
        <v>336.03242620508485</v>
      </c>
      <c r="E421" s="2"/>
      <c r="F421" s="2"/>
      <c r="G421" s="2"/>
      <c r="H421" s="2"/>
      <c r="I421" s="21"/>
      <c r="J421" s="21"/>
      <c r="K421" s="21"/>
    </row>
    <row r="422" spans="1:11" ht="15.5" x14ac:dyDescent="0.35">
      <c r="A422" s="472" t="s">
        <v>836</v>
      </c>
      <c r="B422" s="473">
        <v>2031</v>
      </c>
      <c r="C422" s="473" t="str">
        <f t="shared" si="11"/>
        <v>Fresno_2031</v>
      </c>
      <c r="D422" s="474">
        <v>328.97465916980553</v>
      </c>
      <c r="E422" s="2"/>
      <c r="F422" s="2"/>
      <c r="G422" s="2"/>
      <c r="H422" s="2"/>
      <c r="I422" s="21"/>
      <c r="J422" s="21"/>
      <c r="K422" s="21"/>
    </row>
    <row r="423" spans="1:11" ht="15.5" x14ac:dyDescent="0.35">
      <c r="A423" s="472" t="s">
        <v>836</v>
      </c>
      <c r="B423" s="473">
        <v>2032</v>
      </c>
      <c r="C423" s="473" t="str">
        <f t="shared" si="11"/>
        <v>Fresno_2032</v>
      </c>
      <c r="D423" s="474">
        <v>322.73841969866504</v>
      </c>
      <c r="E423" s="2"/>
      <c r="F423" s="2"/>
      <c r="G423" s="2"/>
      <c r="H423" s="2"/>
      <c r="I423" s="21"/>
      <c r="J423" s="21"/>
      <c r="K423" s="21"/>
    </row>
    <row r="424" spans="1:11" ht="15.5" x14ac:dyDescent="0.35">
      <c r="A424" s="472" t="s">
        <v>836</v>
      </c>
      <c r="B424" s="473">
        <v>2033</v>
      </c>
      <c r="C424" s="473" t="str">
        <f t="shared" si="11"/>
        <v>Fresno_2033</v>
      </c>
      <c r="D424" s="474">
        <v>317.25006776635621</v>
      </c>
      <c r="E424" s="2"/>
      <c r="F424" s="2"/>
      <c r="G424" s="2"/>
      <c r="H424" s="2"/>
      <c r="I424" s="21"/>
      <c r="J424" s="21"/>
      <c r="K424" s="21"/>
    </row>
    <row r="425" spans="1:11" ht="15.5" x14ac:dyDescent="0.35">
      <c r="A425" s="472" t="s">
        <v>836</v>
      </c>
      <c r="B425" s="473">
        <v>2034</v>
      </c>
      <c r="C425" s="473" t="str">
        <f t="shared" si="11"/>
        <v>Fresno_2034</v>
      </c>
      <c r="D425" s="474">
        <v>312.45537270593309</v>
      </c>
      <c r="E425" s="2"/>
      <c r="F425" s="2"/>
      <c r="G425" s="2"/>
      <c r="H425" s="2"/>
      <c r="I425" s="21"/>
      <c r="J425" s="21"/>
      <c r="K425" s="21"/>
    </row>
    <row r="426" spans="1:11" ht="15.5" x14ac:dyDescent="0.35">
      <c r="A426" s="472" t="s">
        <v>836</v>
      </c>
      <c r="B426" s="473">
        <v>2035</v>
      </c>
      <c r="C426" s="473" t="str">
        <f t="shared" si="11"/>
        <v>Fresno_2035</v>
      </c>
      <c r="D426" s="474">
        <v>308.29325895978246</v>
      </c>
      <c r="E426" s="2"/>
      <c r="F426" s="2"/>
      <c r="G426" s="2"/>
      <c r="H426" s="2"/>
      <c r="I426" s="21"/>
      <c r="J426" s="21"/>
      <c r="K426" s="21"/>
    </row>
    <row r="427" spans="1:11" ht="15.5" x14ac:dyDescent="0.35">
      <c r="A427" s="472" t="s">
        <v>836</v>
      </c>
      <c r="B427" s="473">
        <v>2036</v>
      </c>
      <c r="C427" s="473" t="str">
        <f t="shared" si="11"/>
        <v>Fresno_2036</v>
      </c>
      <c r="D427" s="474">
        <v>304.69862299270295</v>
      </c>
      <c r="E427" s="2"/>
      <c r="F427" s="2"/>
      <c r="G427" s="2"/>
      <c r="H427" s="2"/>
      <c r="I427" s="21"/>
      <c r="J427" s="21"/>
      <c r="K427" s="21"/>
    </row>
    <row r="428" spans="1:11" ht="15.5" x14ac:dyDescent="0.35">
      <c r="A428" s="472" t="s">
        <v>836</v>
      </c>
      <c r="B428" s="473">
        <v>2037</v>
      </c>
      <c r="C428" s="473" t="str">
        <f t="shared" si="11"/>
        <v>Fresno_2037</v>
      </c>
      <c r="D428" s="474">
        <v>301.63047929566977</v>
      </c>
      <c r="E428" s="2"/>
      <c r="F428" s="2"/>
      <c r="G428" s="2"/>
      <c r="H428" s="2"/>
      <c r="I428" s="21"/>
      <c r="J428" s="21"/>
      <c r="K428" s="21"/>
    </row>
    <row r="429" spans="1:11" ht="15.5" x14ac:dyDescent="0.35">
      <c r="A429" s="472" t="s">
        <v>836</v>
      </c>
      <c r="B429" s="473">
        <v>2038</v>
      </c>
      <c r="C429" s="473" t="str">
        <f t="shared" si="11"/>
        <v>Fresno_2038</v>
      </c>
      <c r="D429" s="474">
        <v>299.03438580993532</v>
      </c>
      <c r="E429" s="2"/>
      <c r="F429" s="2"/>
      <c r="G429" s="2"/>
      <c r="H429" s="2"/>
      <c r="I429" s="21"/>
      <c r="J429" s="21"/>
      <c r="K429" s="21"/>
    </row>
    <row r="430" spans="1:11" ht="15.5" x14ac:dyDescent="0.35">
      <c r="A430" s="472" t="s">
        <v>836</v>
      </c>
      <c r="B430" s="473">
        <v>2039</v>
      </c>
      <c r="C430" s="473" t="str">
        <f t="shared" si="11"/>
        <v>Fresno_2039</v>
      </c>
      <c r="D430" s="474">
        <v>296.85083415166611</v>
      </c>
      <c r="E430" s="2"/>
      <c r="F430" s="2"/>
      <c r="G430" s="2"/>
      <c r="H430" s="2"/>
      <c r="I430" s="21"/>
      <c r="J430" s="21"/>
      <c r="K430" s="21"/>
    </row>
    <row r="431" spans="1:11" ht="15.5" x14ac:dyDescent="0.35">
      <c r="A431" s="472" t="s">
        <v>836</v>
      </c>
      <c r="B431" s="473">
        <v>2040</v>
      </c>
      <c r="C431" s="473" t="str">
        <f t="shared" si="11"/>
        <v>Fresno_2040</v>
      </c>
      <c r="D431" s="474">
        <v>295.02957035017738</v>
      </c>
      <c r="E431" s="2"/>
      <c r="F431" s="2"/>
      <c r="G431" s="2"/>
      <c r="H431" s="2"/>
      <c r="I431" s="21"/>
      <c r="J431" s="21"/>
      <c r="K431" s="21"/>
    </row>
    <row r="432" spans="1:11" ht="15.5" x14ac:dyDescent="0.35">
      <c r="A432" s="472" t="s">
        <v>836</v>
      </c>
      <c r="B432" s="473">
        <v>2041</v>
      </c>
      <c r="C432" s="473" t="str">
        <f t="shared" si="11"/>
        <v>Fresno_2041</v>
      </c>
      <c r="D432" s="474">
        <v>293.53761829624943</v>
      </c>
      <c r="E432" s="2"/>
      <c r="F432" s="2"/>
      <c r="G432" s="2"/>
      <c r="H432" s="2"/>
      <c r="I432" s="21"/>
      <c r="J432" s="21"/>
      <c r="K432" s="21"/>
    </row>
    <row r="433" spans="1:11" ht="15.5" x14ac:dyDescent="0.35">
      <c r="A433" s="472" t="s">
        <v>836</v>
      </c>
      <c r="B433" s="473">
        <v>2042</v>
      </c>
      <c r="C433" s="473" t="str">
        <f t="shared" si="11"/>
        <v>Fresno_2042</v>
      </c>
      <c r="D433" s="474">
        <v>292.30551774042982</v>
      </c>
      <c r="E433" s="2"/>
      <c r="F433" s="2"/>
      <c r="G433" s="2"/>
      <c r="H433" s="2"/>
      <c r="I433" s="21"/>
      <c r="J433" s="21"/>
      <c r="K433" s="21"/>
    </row>
    <row r="434" spans="1:11" ht="15.5" x14ac:dyDescent="0.35">
      <c r="A434" s="472" t="s">
        <v>836</v>
      </c>
      <c r="B434" s="473">
        <v>2043</v>
      </c>
      <c r="C434" s="473" t="str">
        <f t="shared" si="11"/>
        <v>Fresno_2043</v>
      </c>
      <c r="D434" s="474">
        <v>291.30251946266969</v>
      </c>
      <c r="E434" s="2"/>
      <c r="F434" s="2"/>
      <c r="G434" s="2"/>
      <c r="H434" s="2"/>
      <c r="I434" s="21"/>
      <c r="J434" s="21"/>
      <c r="K434" s="21"/>
    </row>
    <row r="435" spans="1:11" ht="15.5" x14ac:dyDescent="0.35">
      <c r="A435" s="472" t="s">
        <v>836</v>
      </c>
      <c r="B435" s="473">
        <v>2044</v>
      </c>
      <c r="C435" s="473" t="str">
        <f t="shared" si="11"/>
        <v>Fresno_2044</v>
      </c>
      <c r="D435" s="474">
        <v>290.4794608102012</v>
      </c>
      <c r="E435" s="2"/>
      <c r="F435" s="2"/>
      <c r="G435" s="2"/>
      <c r="H435" s="2"/>
      <c r="I435" s="21"/>
      <c r="J435" s="21"/>
      <c r="K435" s="21"/>
    </row>
    <row r="436" spans="1:11" ht="15.5" x14ac:dyDescent="0.35">
      <c r="A436" s="472" t="s">
        <v>836</v>
      </c>
      <c r="B436" s="473">
        <v>2045</v>
      </c>
      <c r="C436" s="473" t="str">
        <f t="shared" si="11"/>
        <v>Fresno_2045</v>
      </c>
      <c r="D436" s="474">
        <v>289.79614662297888</v>
      </c>
      <c r="E436" s="2"/>
      <c r="F436" s="2"/>
      <c r="G436" s="2"/>
      <c r="H436" s="2"/>
      <c r="I436" s="21"/>
      <c r="J436" s="21"/>
      <c r="K436" s="21"/>
    </row>
    <row r="437" spans="1:11" ht="15.5" x14ac:dyDescent="0.35">
      <c r="A437" s="472" t="s">
        <v>836</v>
      </c>
      <c r="B437" s="473">
        <v>2046</v>
      </c>
      <c r="C437" s="473" t="str">
        <f t="shared" si="11"/>
        <v>Fresno_2046</v>
      </c>
      <c r="D437" s="474">
        <v>289.2384212116865</v>
      </c>
      <c r="E437" s="2"/>
      <c r="F437" s="2"/>
      <c r="G437" s="2"/>
      <c r="H437" s="2"/>
      <c r="I437" s="21"/>
      <c r="J437" s="21"/>
      <c r="K437" s="21"/>
    </row>
    <row r="438" spans="1:11" ht="15.5" x14ac:dyDescent="0.35">
      <c r="A438" s="472" t="s">
        <v>836</v>
      </c>
      <c r="B438" s="473">
        <v>2047</v>
      </c>
      <c r="C438" s="473" t="str">
        <f t="shared" si="11"/>
        <v>Fresno_2047</v>
      </c>
      <c r="D438" s="474">
        <v>288.78295599076324</v>
      </c>
      <c r="E438" s="2"/>
      <c r="F438" s="2"/>
      <c r="G438" s="2"/>
      <c r="H438" s="2"/>
      <c r="I438" s="21"/>
      <c r="J438" s="21"/>
      <c r="K438" s="21"/>
    </row>
    <row r="439" spans="1:11" ht="15.5" x14ac:dyDescent="0.35">
      <c r="A439" s="472" t="s">
        <v>836</v>
      </c>
      <c r="B439" s="473">
        <v>2048</v>
      </c>
      <c r="C439" s="473" t="str">
        <f t="shared" si="11"/>
        <v>Fresno_2048</v>
      </c>
      <c r="D439" s="474">
        <v>288.41051535982103</v>
      </c>
      <c r="E439" s="2"/>
      <c r="F439" s="2"/>
      <c r="G439" s="2"/>
      <c r="H439" s="2"/>
      <c r="I439" s="21"/>
      <c r="J439" s="21"/>
      <c r="K439" s="21"/>
    </row>
    <row r="440" spans="1:11" ht="15.5" x14ac:dyDescent="0.35">
      <c r="A440" s="472" t="s">
        <v>836</v>
      </c>
      <c r="B440" s="473">
        <v>2049</v>
      </c>
      <c r="C440" s="473" t="str">
        <f t="shared" si="11"/>
        <v>Fresno_2049</v>
      </c>
      <c r="D440" s="474">
        <v>288.10529407259304</v>
      </c>
      <c r="E440" s="2"/>
      <c r="F440" s="2"/>
      <c r="G440" s="2"/>
      <c r="H440" s="2"/>
      <c r="I440" s="21"/>
      <c r="J440" s="21"/>
      <c r="K440" s="21"/>
    </row>
    <row r="441" spans="1:11" ht="15.5" x14ac:dyDescent="0.35">
      <c r="A441" s="472" t="s">
        <v>836</v>
      </c>
      <c r="B441" s="473">
        <v>2050</v>
      </c>
      <c r="C441" s="473" t="str">
        <f t="shared" si="11"/>
        <v>Fresno_2050</v>
      </c>
      <c r="D441" s="474">
        <v>287.85905397521009</v>
      </c>
      <c r="E441" s="2"/>
      <c r="F441" s="2"/>
      <c r="G441" s="2"/>
      <c r="H441" s="2"/>
      <c r="I441" s="21"/>
      <c r="J441" s="21"/>
      <c r="K441" s="21"/>
    </row>
    <row r="442" spans="1:11" ht="15.5" x14ac:dyDescent="0.35">
      <c r="A442" s="468" t="s">
        <v>839</v>
      </c>
      <c r="B442" s="469">
        <v>2015</v>
      </c>
      <c r="C442" s="470" t="s">
        <v>840</v>
      </c>
      <c r="D442" s="471">
        <v>527.89876608447332</v>
      </c>
      <c r="E442" s="2"/>
      <c r="F442" s="2"/>
      <c r="G442" s="2"/>
      <c r="H442" s="2"/>
      <c r="I442" s="21"/>
      <c r="J442" s="21"/>
      <c r="K442" s="21"/>
    </row>
    <row r="443" spans="1:11" ht="15.5" x14ac:dyDescent="0.35">
      <c r="A443" s="468" t="s">
        <v>839</v>
      </c>
      <c r="B443" s="469">
        <v>2016</v>
      </c>
      <c r="C443" s="470" t="s">
        <v>841</v>
      </c>
      <c r="D443" s="471">
        <v>517.58047119055925</v>
      </c>
      <c r="E443" s="2"/>
      <c r="F443" s="2"/>
      <c r="G443" s="2"/>
      <c r="H443" s="2"/>
      <c r="I443" s="21"/>
      <c r="J443" s="21"/>
      <c r="K443" s="21"/>
    </row>
    <row r="444" spans="1:11" ht="15.5" x14ac:dyDescent="0.35">
      <c r="A444" s="472" t="s">
        <v>839</v>
      </c>
      <c r="B444" s="473">
        <v>2017</v>
      </c>
      <c r="C444" s="473" t="str">
        <f t="shared" ref="C444:C507" si="12">CONCATENATE(A444,"_",B444)</f>
        <v>Glenn_2017</v>
      </c>
      <c r="D444" s="474">
        <v>504.29764149710775</v>
      </c>
      <c r="E444" s="2"/>
      <c r="F444" s="2"/>
      <c r="G444" s="2"/>
      <c r="H444" s="2"/>
      <c r="I444" s="21"/>
      <c r="J444" s="21"/>
      <c r="K444" s="21"/>
    </row>
    <row r="445" spans="1:11" ht="15.5" x14ac:dyDescent="0.35">
      <c r="A445" s="472" t="s">
        <v>839</v>
      </c>
      <c r="B445" s="473">
        <v>2018</v>
      </c>
      <c r="C445" s="473" t="str">
        <f t="shared" si="12"/>
        <v>Glenn_2018</v>
      </c>
      <c r="D445" s="474">
        <v>490.34124047800009</v>
      </c>
      <c r="E445" s="2"/>
      <c r="F445" s="2"/>
      <c r="G445" s="2"/>
      <c r="H445" s="2"/>
      <c r="I445" s="21"/>
      <c r="J445" s="21"/>
      <c r="K445" s="21"/>
    </row>
    <row r="446" spans="1:11" ht="15.5" x14ac:dyDescent="0.35">
      <c r="A446" s="472" t="s">
        <v>839</v>
      </c>
      <c r="B446" s="473">
        <v>2019</v>
      </c>
      <c r="C446" s="473" t="str">
        <f t="shared" si="12"/>
        <v>Glenn_2019</v>
      </c>
      <c r="D446" s="474">
        <v>475.91136945569508</v>
      </c>
      <c r="E446" s="2"/>
      <c r="F446" s="2"/>
      <c r="G446" s="2"/>
      <c r="H446" s="2"/>
      <c r="I446" s="21"/>
      <c r="J446" s="21"/>
      <c r="K446" s="21"/>
    </row>
    <row r="447" spans="1:11" ht="15.5" x14ac:dyDescent="0.35">
      <c r="A447" s="472" t="s">
        <v>839</v>
      </c>
      <c r="B447" s="473">
        <v>2020</v>
      </c>
      <c r="C447" s="473" t="str">
        <f t="shared" si="12"/>
        <v>Glenn_2020</v>
      </c>
      <c r="D447" s="474">
        <v>461.28589750347601</v>
      </c>
      <c r="E447" s="2"/>
      <c r="F447" s="2"/>
      <c r="G447" s="2"/>
      <c r="H447" s="2"/>
      <c r="I447" s="21"/>
      <c r="J447" s="21"/>
      <c r="K447" s="21"/>
    </row>
    <row r="448" spans="1:11" ht="15.5" x14ac:dyDescent="0.35">
      <c r="A448" s="472" t="s">
        <v>839</v>
      </c>
      <c r="B448" s="473">
        <v>2021</v>
      </c>
      <c r="C448" s="473" t="str">
        <f t="shared" si="12"/>
        <v>Glenn_2021</v>
      </c>
      <c r="D448" s="474">
        <v>446.56778868459185</v>
      </c>
      <c r="E448" s="2"/>
      <c r="F448" s="2"/>
      <c r="G448" s="2"/>
      <c r="H448" s="2"/>
      <c r="I448" s="21"/>
      <c r="J448" s="21"/>
      <c r="K448" s="21"/>
    </row>
    <row r="449" spans="1:11" ht="15.5" x14ac:dyDescent="0.35">
      <c r="A449" s="472" t="s">
        <v>839</v>
      </c>
      <c r="B449" s="473">
        <v>2022</v>
      </c>
      <c r="C449" s="473" t="str">
        <f t="shared" si="12"/>
        <v>Glenn_2022</v>
      </c>
      <c r="D449" s="474">
        <v>432.15737962956393</v>
      </c>
      <c r="E449" s="2"/>
      <c r="F449" s="2"/>
      <c r="G449" s="2"/>
      <c r="H449" s="2"/>
      <c r="I449" s="21"/>
      <c r="J449" s="21"/>
      <c r="K449" s="21"/>
    </row>
    <row r="450" spans="1:11" ht="15.5" x14ac:dyDescent="0.35">
      <c r="A450" s="472" t="s">
        <v>839</v>
      </c>
      <c r="B450" s="473">
        <v>2023</v>
      </c>
      <c r="C450" s="473" t="str">
        <f t="shared" si="12"/>
        <v>Glenn_2023</v>
      </c>
      <c r="D450" s="474">
        <v>417.99344200181497</v>
      </c>
      <c r="E450" s="2"/>
      <c r="F450" s="2"/>
      <c r="G450" s="2"/>
      <c r="H450" s="2"/>
      <c r="I450" s="21"/>
      <c r="J450" s="21"/>
      <c r="K450" s="21"/>
    </row>
    <row r="451" spans="1:11" ht="15.5" x14ac:dyDescent="0.35">
      <c r="A451" s="472" t="s">
        <v>839</v>
      </c>
      <c r="B451" s="473">
        <v>2024</v>
      </c>
      <c r="C451" s="473" t="str">
        <f t="shared" si="12"/>
        <v>Glenn_2024</v>
      </c>
      <c r="D451" s="474">
        <v>404.13920340448249</v>
      </c>
      <c r="E451" s="2"/>
      <c r="F451" s="2"/>
      <c r="G451" s="2"/>
      <c r="H451" s="2"/>
      <c r="I451" s="21"/>
      <c r="J451" s="21"/>
      <c r="K451" s="21"/>
    </row>
    <row r="452" spans="1:11" ht="15.5" x14ac:dyDescent="0.35">
      <c r="A452" s="472" t="s">
        <v>839</v>
      </c>
      <c r="B452" s="473">
        <v>2025</v>
      </c>
      <c r="C452" s="473" t="str">
        <f t="shared" si="12"/>
        <v>Glenn_2025</v>
      </c>
      <c r="D452" s="474">
        <v>390.59795779616036</v>
      </c>
      <c r="E452" s="2"/>
      <c r="F452" s="2"/>
      <c r="G452" s="2"/>
      <c r="H452" s="2"/>
      <c r="I452" s="21"/>
      <c r="J452" s="21"/>
      <c r="K452" s="21"/>
    </row>
    <row r="453" spans="1:11" ht="15.5" x14ac:dyDescent="0.35">
      <c r="A453" s="472" t="s">
        <v>839</v>
      </c>
      <c r="B453" s="473">
        <v>2026</v>
      </c>
      <c r="C453" s="473" t="str">
        <f t="shared" si="12"/>
        <v>Glenn_2026</v>
      </c>
      <c r="D453" s="474">
        <v>378.30084748863305</v>
      </c>
      <c r="E453" s="2"/>
      <c r="F453" s="2"/>
      <c r="G453" s="2"/>
      <c r="H453" s="2"/>
      <c r="I453" s="21"/>
      <c r="J453" s="21"/>
      <c r="K453" s="21"/>
    </row>
    <row r="454" spans="1:11" ht="15.5" x14ac:dyDescent="0.35">
      <c r="A454" s="472" t="s">
        <v>839</v>
      </c>
      <c r="B454" s="473">
        <v>2027</v>
      </c>
      <c r="C454" s="473" t="str">
        <f t="shared" si="12"/>
        <v>Glenn_2027</v>
      </c>
      <c r="D454" s="474">
        <v>367.10851840878064</v>
      </c>
      <c r="E454" s="2"/>
      <c r="F454" s="2"/>
      <c r="G454" s="2"/>
      <c r="H454" s="2"/>
      <c r="I454" s="21"/>
      <c r="J454" s="21"/>
      <c r="K454" s="21"/>
    </row>
    <row r="455" spans="1:11" ht="15.5" x14ac:dyDescent="0.35">
      <c r="A455" s="472" t="s">
        <v>839</v>
      </c>
      <c r="B455" s="473">
        <v>2028</v>
      </c>
      <c r="C455" s="473" t="str">
        <f t="shared" si="12"/>
        <v>Glenn_2028</v>
      </c>
      <c r="D455" s="474">
        <v>357.0739516737591</v>
      </c>
      <c r="E455" s="2"/>
      <c r="F455" s="2"/>
      <c r="G455" s="2"/>
      <c r="H455" s="2"/>
      <c r="I455" s="21"/>
      <c r="J455" s="21"/>
      <c r="K455" s="21"/>
    </row>
    <row r="456" spans="1:11" ht="15.5" x14ac:dyDescent="0.35">
      <c r="A456" s="472" t="s">
        <v>839</v>
      </c>
      <c r="B456" s="473">
        <v>2029</v>
      </c>
      <c r="C456" s="473" t="str">
        <f t="shared" si="12"/>
        <v>Glenn_2029</v>
      </c>
      <c r="D456" s="474">
        <v>348.09784549801373</v>
      </c>
      <c r="E456" s="2"/>
      <c r="F456" s="2"/>
      <c r="G456" s="2"/>
      <c r="H456" s="2"/>
      <c r="I456" s="21"/>
      <c r="J456" s="21"/>
      <c r="K456" s="21"/>
    </row>
    <row r="457" spans="1:11" ht="15.5" x14ac:dyDescent="0.35">
      <c r="A457" s="472" t="s">
        <v>839</v>
      </c>
      <c r="B457" s="473">
        <v>2030</v>
      </c>
      <c r="C457" s="473" t="str">
        <f t="shared" si="12"/>
        <v>Glenn_2030</v>
      </c>
      <c r="D457" s="474">
        <v>340.12543133377187</v>
      </c>
      <c r="E457" s="2"/>
      <c r="F457" s="2"/>
      <c r="G457" s="2"/>
      <c r="H457" s="2"/>
      <c r="I457" s="21"/>
      <c r="J457" s="21"/>
      <c r="K457" s="21"/>
    </row>
    <row r="458" spans="1:11" ht="15.5" x14ac:dyDescent="0.35">
      <c r="A458" s="472" t="s">
        <v>839</v>
      </c>
      <c r="B458" s="473">
        <v>2031</v>
      </c>
      <c r="C458" s="473" t="str">
        <f t="shared" si="12"/>
        <v>Glenn_2031</v>
      </c>
      <c r="D458" s="474">
        <v>333.07292591306515</v>
      </c>
      <c r="E458" s="2"/>
      <c r="F458" s="2"/>
      <c r="G458" s="2"/>
      <c r="H458" s="2"/>
      <c r="I458" s="21"/>
      <c r="J458" s="21"/>
      <c r="K458" s="21"/>
    </row>
    <row r="459" spans="1:11" ht="15.5" x14ac:dyDescent="0.35">
      <c r="A459" s="472" t="s">
        <v>839</v>
      </c>
      <c r="B459" s="473">
        <v>2032</v>
      </c>
      <c r="C459" s="473" t="str">
        <f t="shared" si="12"/>
        <v>Glenn_2032</v>
      </c>
      <c r="D459" s="474">
        <v>326.85436732840321</v>
      </c>
      <c r="E459" s="2"/>
      <c r="F459" s="2"/>
      <c r="G459" s="2"/>
      <c r="H459" s="2"/>
      <c r="I459" s="21"/>
      <c r="J459" s="21"/>
      <c r="K459" s="21"/>
    </row>
    <row r="460" spans="1:11" ht="15.5" x14ac:dyDescent="0.35">
      <c r="A460" s="472" t="s">
        <v>839</v>
      </c>
      <c r="B460" s="473">
        <v>2033</v>
      </c>
      <c r="C460" s="473" t="str">
        <f t="shared" si="12"/>
        <v>Glenn_2033</v>
      </c>
      <c r="D460" s="474">
        <v>321.41008371242208</v>
      </c>
      <c r="E460" s="2"/>
      <c r="F460" s="2"/>
      <c r="G460" s="2"/>
      <c r="H460" s="2"/>
      <c r="I460" s="21"/>
      <c r="J460" s="21"/>
      <c r="K460" s="21"/>
    </row>
    <row r="461" spans="1:11" ht="15.5" x14ac:dyDescent="0.35">
      <c r="A461" s="472" t="s">
        <v>839</v>
      </c>
      <c r="B461" s="473">
        <v>2034</v>
      </c>
      <c r="C461" s="473" t="str">
        <f t="shared" si="12"/>
        <v>Glenn_2034</v>
      </c>
      <c r="D461" s="474">
        <v>316.64945340846253</v>
      </c>
      <c r="E461" s="2"/>
      <c r="F461" s="2"/>
      <c r="G461" s="2"/>
      <c r="H461" s="2"/>
      <c r="I461" s="21"/>
      <c r="J461" s="21"/>
      <c r="K461" s="21"/>
    </row>
    <row r="462" spans="1:11" ht="15.5" x14ac:dyDescent="0.35">
      <c r="A462" s="472" t="s">
        <v>839</v>
      </c>
      <c r="B462" s="473">
        <v>2035</v>
      </c>
      <c r="C462" s="473" t="str">
        <f t="shared" si="12"/>
        <v>Glenn_2035</v>
      </c>
      <c r="D462" s="474">
        <v>312.52565400907082</v>
      </c>
      <c r="E462" s="2"/>
      <c r="F462" s="2"/>
      <c r="G462" s="2"/>
      <c r="H462" s="2"/>
      <c r="I462" s="21"/>
      <c r="J462" s="21"/>
      <c r="K462" s="21"/>
    </row>
    <row r="463" spans="1:11" ht="15.5" x14ac:dyDescent="0.35">
      <c r="A463" s="472" t="s">
        <v>839</v>
      </c>
      <c r="B463" s="473">
        <v>2036</v>
      </c>
      <c r="C463" s="473" t="str">
        <f t="shared" si="12"/>
        <v>Glenn_2036</v>
      </c>
      <c r="D463" s="474">
        <v>308.96097581072877</v>
      </c>
      <c r="E463" s="2"/>
      <c r="F463" s="2"/>
      <c r="G463" s="2"/>
      <c r="H463" s="2"/>
      <c r="I463" s="21"/>
      <c r="J463" s="21"/>
      <c r="K463" s="21"/>
    </row>
    <row r="464" spans="1:11" ht="15.5" x14ac:dyDescent="0.35">
      <c r="A464" s="472" t="s">
        <v>839</v>
      </c>
      <c r="B464" s="473">
        <v>2037</v>
      </c>
      <c r="C464" s="473" t="str">
        <f t="shared" si="12"/>
        <v>Glenn_2037</v>
      </c>
      <c r="D464" s="474">
        <v>305.91197528798915</v>
      </c>
      <c r="E464" s="2"/>
      <c r="F464" s="2"/>
      <c r="G464" s="2"/>
      <c r="H464" s="2"/>
      <c r="I464" s="21"/>
      <c r="J464" s="21"/>
      <c r="K464" s="21"/>
    </row>
    <row r="465" spans="1:11" ht="15.5" x14ac:dyDescent="0.35">
      <c r="A465" s="472" t="s">
        <v>839</v>
      </c>
      <c r="B465" s="473">
        <v>2038</v>
      </c>
      <c r="C465" s="473" t="str">
        <f t="shared" si="12"/>
        <v>Glenn_2038</v>
      </c>
      <c r="D465" s="474">
        <v>303.33144860591625</v>
      </c>
      <c r="E465" s="2"/>
      <c r="F465" s="2"/>
      <c r="G465" s="2"/>
      <c r="H465" s="2"/>
      <c r="I465" s="21"/>
      <c r="J465" s="21"/>
      <c r="K465" s="21"/>
    </row>
    <row r="466" spans="1:11" ht="15.5" x14ac:dyDescent="0.35">
      <c r="A466" s="472" t="s">
        <v>839</v>
      </c>
      <c r="B466" s="473">
        <v>2039</v>
      </c>
      <c r="C466" s="473" t="str">
        <f t="shared" si="12"/>
        <v>Glenn_2039</v>
      </c>
      <c r="D466" s="474">
        <v>301.14531906795736</v>
      </c>
      <c r="E466" s="2"/>
      <c r="F466" s="2"/>
      <c r="G466" s="2"/>
      <c r="H466" s="2"/>
      <c r="I466" s="21"/>
      <c r="J466" s="21"/>
      <c r="K466" s="21"/>
    </row>
    <row r="467" spans="1:11" ht="15.5" x14ac:dyDescent="0.35">
      <c r="A467" s="472" t="s">
        <v>839</v>
      </c>
      <c r="B467" s="473">
        <v>2040</v>
      </c>
      <c r="C467" s="473" t="str">
        <f t="shared" si="12"/>
        <v>Glenn_2040</v>
      </c>
      <c r="D467" s="474">
        <v>299.32007256838284</v>
      </c>
      <c r="E467" s="2"/>
      <c r="F467" s="2"/>
      <c r="G467" s="2"/>
      <c r="H467" s="2"/>
      <c r="I467" s="21"/>
      <c r="J467" s="21"/>
      <c r="K467" s="21"/>
    </row>
    <row r="468" spans="1:11" ht="15.5" x14ac:dyDescent="0.35">
      <c r="A468" s="472" t="s">
        <v>839</v>
      </c>
      <c r="B468" s="473">
        <v>2041</v>
      </c>
      <c r="C468" s="473" t="str">
        <f t="shared" si="12"/>
        <v>Glenn_2041</v>
      </c>
      <c r="D468" s="474">
        <v>297.81446298032466</v>
      </c>
      <c r="E468" s="2"/>
      <c r="F468" s="2"/>
      <c r="G468" s="2"/>
      <c r="H468" s="2"/>
      <c r="I468" s="21"/>
      <c r="J468" s="21"/>
      <c r="K468" s="21"/>
    </row>
    <row r="469" spans="1:11" ht="15.5" x14ac:dyDescent="0.35">
      <c r="A469" s="472" t="s">
        <v>839</v>
      </c>
      <c r="B469" s="473">
        <v>2042</v>
      </c>
      <c r="C469" s="473" t="str">
        <f t="shared" si="12"/>
        <v>Glenn_2042</v>
      </c>
      <c r="D469" s="474">
        <v>296.56528894299532</v>
      </c>
      <c r="E469" s="2"/>
      <c r="F469" s="2"/>
      <c r="G469" s="2"/>
      <c r="H469" s="2"/>
      <c r="I469" s="21"/>
      <c r="J469" s="21"/>
      <c r="K469" s="21"/>
    </row>
    <row r="470" spans="1:11" ht="15.5" x14ac:dyDescent="0.35">
      <c r="A470" s="472" t="s">
        <v>839</v>
      </c>
      <c r="B470" s="473">
        <v>2043</v>
      </c>
      <c r="C470" s="473" t="str">
        <f t="shared" si="12"/>
        <v>Glenn_2043</v>
      </c>
      <c r="D470" s="474">
        <v>295.54252329798959</v>
      </c>
      <c r="E470" s="2"/>
      <c r="F470" s="2"/>
      <c r="G470" s="2"/>
      <c r="H470" s="2"/>
      <c r="I470" s="21"/>
      <c r="J470" s="21"/>
      <c r="K470" s="21"/>
    </row>
    <row r="471" spans="1:11" ht="15.5" x14ac:dyDescent="0.35">
      <c r="A471" s="472" t="s">
        <v>839</v>
      </c>
      <c r="B471" s="473">
        <v>2044</v>
      </c>
      <c r="C471" s="473" t="str">
        <f t="shared" si="12"/>
        <v>Glenn_2044</v>
      </c>
      <c r="D471" s="474">
        <v>294.70446092031227</v>
      </c>
      <c r="E471" s="2"/>
      <c r="F471" s="2"/>
      <c r="G471" s="2"/>
      <c r="H471" s="2"/>
      <c r="I471" s="21"/>
      <c r="J471" s="21"/>
      <c r="K471" s="21"/>
    </row>
    <row r="472" spans="1:11" ht="15.5" x14ac:dyDescent="0.35">
      <c r="A472" s="472" t="s">
        <v>839</v>
      </c>
      <c r="B472" s="473">
        <v>2045</v>
      </c>
      <c r="C472" s="473" t="str">
        <f t="shared" si="12"/>
        <v>Glenn_2045</v>
      </c>
      <c r="D472" s="474">
        <v>294.00653951677975</v>
      </c>
      <c r="E472" s="2"/>
      <c r="F472" s="2"/>
      <c r="G472" s="2"/>
      <c r="H472" s="2"/>
      <c r="I472" s="21"/>
      <c r="J472" s="21"/>
      <c r="K472" s="21"/>
    </row>
    <row r="473" spans="1:11" ht="15.5" x14ac:dyDescent="0.35">
      <c r="A473" s="472" t="s">
        <v>839</v>
      </c>
      <c r="B473" s="473">
        <v>2046</v>
      </c>
      <c r="C473" s="473" t="str">
        <f t="shared" si="12"/>
        <v>Glenn_2046</v>
      </c>
      <c r="D473" s="474">
        <v>293.43400339118506</v>
      </c>
      <c r="E473" s="2"/>
      <c r="F473" s="2"/>
      <c r="G473" s="2"/>
      <c r="H473" s="2"/>
      <c r="I473" s="21"/>
      <c r="J473" s="21"/>
      <c r="K473" s="21"/>
    </row>
    <row r="474" spans="1:11" ht="15.5" x14ac:dyDescent="0.35">
      <c r="A474" s="472" t="s">
        <v>839</v>
      </c>
      <c r="B474" s="473">
        <v>2047</v>
      </c>
      <c r="C474" s="473" t="str">
        <f t="shared" si="12"/>
        <v>Glenn_2047</v>
      </c>
      <c r="D474" s="474">
        <v>292.96363216999407</v>
      </c>
      <c r="E474" s="2"/>
      <c r="F474" s="2"/>
      <c r="G474" s="2"/>
      <c r="H474" s="2"/>
      <c r="I474" s="21"/>
      <c r="J474" s="21"/>
      <c r="K474" s="21"/>
    </row>
    <row r="475" spans="1:11" ht="15.5" x14ac:dyDescent="0.35">
      <c r="A475" s="472" t="s">
        <v>839</v>
      </c>
      <c r="B475" s="473">
        <v>2048</v>
      </c>
      <c r="C475" s="473" t="str">
        <f t="shared" si="12"/>
        <v>Glenn_2048</v>
      </c>
      <c r="D475" s="474">
        <v>292.58052012900134</v>
      </c>
      <c r="E475" s="2"/>
      <c r="F475" s="2"/>
      <c r="G475" s="2"/>
      <c r="H475" s="2"/>
      <c r="I475" s="21"/>
      <c r="J475" s="21"/>
      <c r="K475" s="21"/>
    </row>
    <row r="476" spans="1:11" ht="15.5" x14ac:dyDescent="0.35">
      <c r="A476" s="472" t="s">
        <v>839</v>
      </c>
      <c r="B476" s="473">
        <v>2049</v>
      </c>
      <c r="C476" s="473" t="str">
        <f t="shared" si="12"/>
        <v>Glenn_2049</v>
      </c>
      <c r="D476" s="474">
        <v>292.26471216133791</v>
      </c>
      <c r="E476" s="2"/>
      <c r="F476" s="2"/>
      <c r="G476" s="2"/>
      <c r="H476" s="2"/>
      <c r="I476" s="21"/>
      <c r="J476" s="21"/>
      <c r="K476" s="21"/>
    </row>
    <row r="477" spans="1:11" ht="15.5" x14ac:dyDescent="0.35">
      <c r="A477" s="472" t="s">
        <v>839</v>
      </c>
      <c r="B477" s="473">
        <v>2050</v>
      </c>
      <c r="C477" s="473" t="str">
        <f t="shared" si="12"/>
        <v>Glenn_2050</v>
      </c>
      <c r="D477" s="474">
        <v>292.01621084805362</v>
      </c>
      <c r="E477" s="2"/>
      <c r="F477" s="2"/>
      <c r="G477" s="2"/>
      <c r="H477" s="2"/>
      <c r="I477" s="21"/>
      <c r="J477" s="21"/>
      <c r="K477" s="21"/>
    </row>
    <row r="478" spans="1:11" ht="15.5" x14ac:dyDescent="0.35">
      <c r="A478" s="475" t="s">
        <v>842</v>
      </c>
      <c r="B478" s="476">
        <v>2015</v>
      </c>
      <c r="C478" s="476" t="str">
        <f t="shared" si="12"/>
        <v>Great Basin Valley_2015</v>
      </c>
      <c r="D478" s="471">
        <v>527.83008145773044</v>
      </c>
      <c r="E478" s="2"/>
      <c r="F478" s="2"/>
      <c r="G478" s="2"/>
      <c r="H478" s="2"/>
      <c r="I478" s="21"/>
      <c r="J478" s="21"/>
      <c r="K478" s="21"/>
    </row>
    <row r="479" spans="1:11" ht="15.5" x14ac:dyDescent="0.35">
      <c r="A479" s="475" t="s">
        <v>842</v>
      </c>
      <c r="B479" s="476">
        <v>2016</v>
      </c>
      <c r="C479" s="476" t="str">
        <f t="shared" si="12"/>
        <v>Great Basin Valley_2016</v>
      </c>
      <c r="D479" s="471">
        <v>517.14757065570552</v>
      </c>
      <c r="E479" s="2"/>
      <c r="F479" s="2"/>
      <c r="G479" s="2"/>
      <c r="H479" s="2"/>
      <c r="I479" s="21"/>
      <c r="J479" s="21"/>
      <c r="K479" s="21"/>
    </row>
    <row r="480" spans="1:11" ht="15.5" x14ac:dyDescent="0.35">
      <c r="A480" s="477" t="s">
        <v>842</v>
      </c>
      <c r="B480" s="478">
        <v>2017</v>
      </c>
      <c r="C480" s="478" t="str">
        <f t="shared" si="12"/>
        <v>Great Basin Valley_2017</v>
      </c>
      <c r="D480" s="474">
        <v>504.53252155960962</v>
      </c>
      <c r="E480" s="2"/>
      <c r="F480" s="2"/>
      <c r="G480" s="2"/>
      <c r="H480" s="2"/>
      <c r="I480" s="21"/>
      <c r="J480" s="21"/>
      <c r="K480" s="21"/>
    </row>
    <row r="481" spans="1:11" ht="15.5" x14ac:dyDescent="0.35">
      <c r="A481" s="477" t="s">
        <v>842</v>
      </c>
      <c r="B481" s="478">
        <v>2018</v>
      </c>
      <c r="C481" s="478" t="str">
        <f t="shared" si="12"/>
        <v>Great Basin Valley_2018</v>
      </c>
      <c r="D481" s="474">
        <v>491.53140968750813</v>
      </c>
      <c r="E481" s="2"/>
      <c r="F481" s="2"/>
      <c r="G481" s="2"/>
      <c r="H481" s="2"/>
      <c r="I481" s="21"/>
      <c r="J481" s="21"/>
      <c r="K481" s="21"/>
    </row>
    <row r="482" spans="1:11" ht="15.5" x14ac:dyDescent="0.35">
      <c r="A482" s="477" t="s">
        <v>842</v>
      </c>
      <c r="B482" s="478">
        <v>2019</v>
      </c>
      <c r="C482" s="478" t="str">
        <f t="shared" si="12"/>
        <v>Great Basin Valley_2019</v>
      </c>
      <c r="D482" s="474">
        <v>478.07804988744761</v>
      </c>
      <c r="E482" s="2"/>
      <c r="F482" s="2"/>
      <c r="G482" s="2"/>
      <c r="H482" s="2"/>
      <c r="I482" s="21"/>
      <c r="J482" s="21"/>
      <c r="K482" s="21"/>
    </row>
    <row r="483" spans="1:11" ht="15.5" x14ac:dyDescent="0.35">
      <c r="A483" s="477" t="s">
        <v>842</v>
      </c>
      <c r="B483" s="478">
        <v>2020</v>
      </c>
      <c r="C483" s="478" t="str">
        <f t="shared" si="12"/>
        <v>Great Basin Valley_2020</v>
      </c>
      <c r="D483" s="474">
        <v>464.38212365547503</v>
      </c>
      <c r="E483" s="2"/>
      <c r="F483" s="2"/>
      <c r="G483" s="2"/>
      <c r="H483" s="2"/>
      <c r="I483" s="21"/>
      <c r="J483" s="21"/>
      <c r="K483" s="21"/>
    </row>
    <row r="484" spans="1:11" ht="15.5" x14ac:dyDescent="0.35">
      <c r="A484" s="477" t="s">
        <v>842</v>
      </c>
      <c r="B484" s="478">
        <v>2021</v>
      </c>
      <c r="C484" s="478" t="str">
        <f t="shared" si="12"/>
        <v>Great Basin Valley_2021</v>
      </c>
      <c r="D484" s="474">
        <v>450.49017859638565</v>
      </c>
      <c r="E484" s="2"/>
      <c r="F484" s="2"/>
      <c r="G484" s="2"/>
      <c r="H484" s="2"/>
      <c r="I484" s="21"/>
      <c r="J484" s="21"/>
      <c r="K484" s="21"/>
    </row>
    <row r="485" spans="1:11" ht="15.5" x14ac:dyDescent="0.35">
      <c r="A485" s="477" t="s">
        <v>842</v>
      </c>
      <c r="B485" s="478">
        <v>2022</v>
      </c>
      <c r="C485" s="478" t="str">
        <f t="shared" si="12"/>
        <v>Great Basin Valley_2022</v>
      </c>
      <c r="D485" s="474">
        <v>436.76425002961383</v>
      </c>
      <c r="E485" s="2"/>
      <c r="F485" s="2"/>
      <c r="G485" s="2"/>
      <c r="H485" s="2"/>
      <c r="I485" s="21"/>
      <c r="J485" s="21"/>
      <c r="K485" s="21"/>
    </row>
    <row r="486" spans="1:11" ht="15.5" x14ac:dyDescent="0.35">
      <c r="A486" s="477" t="s">
        <v>842</v>
      </c>
      <c r="B486" s="478">
        <v>2023</v>
      </c>
      <c r="C486" s="478" t="str">
        <f t="shared" si="12"/>
        <v>Great Basin Valley_2023</v>
      </c>
      <c r="D486" s="474">
        <v>423.2100813132534</v>
      </c>
      <c r="E486" s="2"/>
      <c r="F486" s="2"/>
      <c r="G486" s="2"/>
      <c r="H486" s="2"/>
      <c r="I486" s="21"/>
      <c r="J486" s="21"/>
      <c r="K486" s="21"/>
    </row>
    <row r="487" spans="1:11" ht="15.5" x14ac:dyDescent="0.35">
      <c r="A487" s="477" t="s">
        <v>842</v>
      </c>
      <c r="B487" s="478">
        <v>2024</v>
      </c>
      <c r="C487" s="478" t="str">
        <f t="shared" si="12"/>
        <v>Great Basin Valley_2024</v>
      </c>
      <c r="D487" s="474">
        <v>409.83807873234878</v>
      </c>
      <c r="E487" s="2"/>
      <c r="F487" s="2"/>
      <c r="G487" s="2"/>
      <c r="H487" s="2"/>
      <c r="I487" s="21"/>
      <c r="J487" s="21"/>
      <c r="K487" s="21"/>
    </row>
    <row r="488" spans="1:11" ht="15.5" x14ac:dyDescent="0.35">
      <c r="A488" s="477" t="s">
        <v>842</v>
      </c>
      <c r="B488" s="478">
        <v>2025</v>
      </c>
      <c r="C488" s="478" t="str">
        <f t="shared" si="12"/>
        <v>Great Basin Valley_2025</v>
      </c>
      <c r="D488" s="474">
        <v>396.70193001890442</v>
      </c>
      <c r="E488" s="2"/>
      <c r="F488" s="2"/>
      <c r="G488" s="2"/>
      <c r="H488" s="2"/>
      <c r="I488" s="21"/>
      <c r="J488" s="21"/>
      <c r="K488" s="21"/>
    </row>
    <row r="489" spans="1:11" ht="15.5" x14ac:dyDescent="0.35">
      <c r="A489" s="477" t="s">
        <v>842</v>
      </c>
      <c r="B489" s="478">
        <v>2026</v>
      </c>
      <c r="C489" s="478" t="str">
        <f t="shared" si="12"/>
        <v>Great Basin Valley_2026</v>
      </c>
      <c r="D489" s="474">
        <v>384.80604948052343</v>
      </c>
      <c r="E489" s="2"/>
      <c r="F489" s="2"/>
      <c r="G489" s="2"/>
      <c r="H489" s="2"/>
      <c r="I489" s="21"/>
      <c r="J489" s="21"/>
      <c r="K489" s="21"/>
    </row>
    <row r="490" spans="1:11" ht="15.5" x14ac:dyDescent="0.35">
      <c r="A490" s="477" t="s">
        <v>842</v>
      </c>
      <c r="B490" s="478">
        <v>2027</v>
      </c>
      <c r="C490" s="478" t="str">
        <f t="shared" si="12"/>
        <v>Great Basin Valley_2027</v>
      </c>
      <c r="D490" s="474">
        <v>373.95612736225547</v>
      </c>
      <c r="E490" s="2"/>
      <c r="F490" s="2"/>
      <c r="G490" s="2"/>
      <c r="H490" s="2"/>
      <c r="I490" s="21"/>
      <c r="J490" s="21"/>
      <c r="K490" s="21"/>
    </row>
    <row r="491" spans="1:11" ht="15.5" x14ac:dyDescent="0.35">
      <c r="A491" s="477" t="s">
        <v>842</v>
      </c>
      <c r="B491" s="478">
        <v>2028</v>
      </c>
      <c r="C491" s="478" t="str">
        <f t="shared" si="12"/>
        <v>Great Basin Valley_2028</v>
      </c>
      <c r="D491" s="474">
        <v>364.18970339124297</v>
      </c>
      <c r="E491" s="2"/>
      <c r="F491" s="2"/>
      <c r="G491" s="2"/>
      <c r="H491" s="2"/>
      <c r="I491" s="21"/>
      <c r="J491" s="21"/>
      <c r="K491" s="21"/>
    </row>
    <row r="492" spans="1:11" ht="15.5" x14ac:dyDescent="0.35">
      <c r="A492" s="477" t="s">
        <v>842</v>
      </c>
      <c r="B492" s="478">
        <v>2029</v>
      </c>
      <c r="C492" s="478" t="str">
        <f t="shared" si="12"/>
        <v>Great Basin Valley_2029</v>
      </c>
      <c r="D492" s="474">
        <v>355.39520506460184</v>
      </c>
      <c r="E492" s="2"/>
      <c r="F492" s="2"/>
      <c r="G492" s="2"/>
      <c r="H492" s="2"/>
      <c r="I492" s="21"/>
      <c r="J492" s="21"/>
      <c r="K492" s="21"/>
    </row>
    <row r="493" spans="1:11" ht="15.5" x14ac:dyDescent="0.35">
      <c r="A493" s="477" t="s">
        <v>842</v>
      </c>
      <c r="B493" s="478">
        <v>2030</v>
      </c>
      <c r="C493" s="478" t="str">
        <f t="shared" si="12"/>
        <v>Great Basin Valley_2030</v>
      </c>
      <c r="D493" s="474">
        <v>347.54222272778759</v>
      </c>
      <c r="E493" s="2"/>
      <c r="F493" s="2"/>
      <c r="G493" s="2"/>
      <c r="H493" s="2"/>
      <c r="I493" s="21"/>
      <c r="J493" s="21"/>
      <c r="K493" s="21"/>
    </row>
    <row r="494" spans="1:11" ht="15.5" x14ac:dyDescent="0.35">
      <c r="A494" s="477" t="s">
        <v>842</v>
      </c>
      <c r="B494" s="478">
        <v>2031</v>
      </c>
      <c r="C494" s="478" t="str">
        <f t="shared" si="12"/>
        <v>Great Basin Valley_2031</v>
      </c>
      <c r="D494" s="474">
        <v>340.54329585346341</v>
      </c>
      <c r="E494" s="2"/>
      <c r="F494" s="2"/>
      <c r="G494" s="2"/>
      <c r="H494" s="2"/>
      <c r="I494" s="21"/>
      <c r="J494" s="21"/>
      <c r="K494" s="21"/>
    </row>
    <row r="495" spans="1:11" ht="15.5" x14ac:dyDescent="0.35">
      <c r="A495" s="477" t="s">
        <v>842</v>
      </c>
      <c r="B495" s="478">
        <v>2032</v>
      </c>
      <c r="C495" s="478" t="str">
        <f t="shared" si="12"/>
        <v>Great Basin Valley_2032</v>
      </c>
      <c r="D495" s="474">
        <v>334.33453960761159</v>
      </c>
      <c r="E495" s="2"/>
      <c r="F495" s="2"/>
      <c r="G495" s="2"/>
      <c r="H495" s="2"/>
      <c r="I495" s="21"/>
      <c r="J495" s="21"/>
      <c r="K495" s="21"/>
    </row>
    <row r="496" spans="1:11" ht="15.5" x14ac:dyDescent="0.35">
      <c r="A496" s="477" t="s">
        <v>842</v>
      </c>
      <c r="B496" s="478">
        <v>2033</v>
      </c>
      <c r="C496" s="478" t="str">
        <f t="shared" si="12"/>
        <v>Great Basin Valley_2033</v>
      </c>
      <c r="D496" s="474">
        <v>328.85657740029131</v>
      </c>
      <c r="E496" s="2"/>
      <c r="F496" s="2"/>
      <c r="G496" s="2"/>
      <c r="H496" s="2"/>
      <c r="I496" s="21"/>
      <c r="J496" s="21"/>
      <c r="K496" s="21"/>
    </row>
    <row r="497" spans="1:11" ht="15.5" x14ac:dyDescent="0.35">
      <c r="A497" s="477" t="s">
        <v>842</v>
      </c>
      <c r="B497" s="478">
        <v>2034</v>
      </c>
      <c r="C497" s="478" t="str">
        <f t="shared" si="12"/>
        <v>Great Basin Valley_2034</v>
      </c>
      <c r="D497" s="474">
        <v>324.04463830736478</v>
      </c>
      <c r="E497" s="2"/>
      <c r="F497" s="2"/>
      <c r="G497" s="2"/>
      <c r="H497" s="2"/>
      <c r="I497" s="21"/>
      <c r="J497" s="21"/>
      <c r="K497" s="21"/>
    </row>
    <row r="498" spans="1:11" ht="15.5" x14ac:dyDescent="0.35">
      <c r="A498" s="477" t="s">
        <v>842</v>
      </c>
      <c r="B498" s="478">
        <v>2035</v>
      </c>
      <c r="C498" s="478" t="str">
        <f t="shared" si="12"/>
        <v>Great Basin Valley_2035</v>
      </c>
      <c r="D498" s="474">
        <v>319.85681493538578</v>
      </c>
      <c r="E498" s="2"/>
      <c r="F498" s="2"/>
      <c r="G498" s="2"/>
      <c r="H498" s="2"/>
      <c r="I498" s="21"/>
      <c r="J498" s="21"/>
      <c r="K498" s="21"/>
    </row>
    <row r="499" spans="1:11" ht="15.5" x14ac:dyDescent="0.35">
      <c r="A499" s="477" t="s">
        <v>842</v>
      </c>
      <c r="B499" s="478">
        <v>2036</v>
      </c>
      <c r="C499" s="478" t="str">
        <f t="shared" si="12"/>
        <v>Great Basin Valley_2036</v>
      </c>
      <c r="D499" s="474">
        <v>316.22985307791072</v>
      </c>
      <c r="E499" s="2"/>
      <c r="F499" s="2"/>
      <c r="G499" s="2"/>
      <c r="H499" s="2"/>
      <c r="I499" s="21"/>
      <c r="J499" s="21"/>
      <c r="K499" s="21"/>
    </row>
    <row r="500" spans="1:11" ht="15.5" x14ac:dyDescent="0.35">
      <c r="A500" s="477" t="s">
        <v>842</v>
      </c>
      <c r="B500" s="478">
        <v>2037</v>
      </c>
      <c r="C500" s="478" t="str">
        <f t="shared" si="12"/>
        <v>Great Basin Valley_2037</v>
      </c>
      <c r="D500" s="474">
        <v>313.11469299764366</v>
      </c>
      <c r="E500" s="2"/>
      <c r="F500" s="2"/>
      <c r="G500" s="2"/>
      <c r="H500" s="2"/>
      <c r="I500" s="21"/>
      <c r="J500" s="21"/>
      <c r="K500" s="21"/>
    </row>
    <row r="501" spans="1:11" ht="15.5" x14ac:dyDescent="0.35">
      <c r="A501" s="477" t="s">
        <v>842</v>
      </c>
      <c r="B501" s="478">
        <v>2038</v>
      </c>
      <c r="C501" s="478" t="str">
        <f t="shared" si="12"/>
        <v>Great Basin Valley_2038</v>
      </c>
      <c r="D501" s="474">
        <v>310.46335335223216</v>
      </c>
      <c r="E501" s="2"/>
      <c r="F501" s="2"/>
      <c r="G501" s="2"/>
      <c r="H501" s="2"/>
      <c r="I501" s="21"/>
      <c r="J501" s="21"/>
      <c r="K501" s="21"/>
    </row>
    <row r="502" spans="1:11" ht="15.5" x14ac:dyDescent="0.35">
      <c r="A502" s="477" t="s">
        <v>842</v>
      </c>
      <c r="B502" s="478">
        <v>2039</v>
      </c>
      <c r="C502" s="478" t="str">
        <f t="shared" si="12"/>
        <v>Great Basin Valley_2039</v>
      </c>
      <c r="D502" s="474">
        <v>308.21182461888731</v>
      </c>
      <c r="E502" s="2"/>
      <c r="F502" s="2"/>
      <c r="G502" s="2"/>
      <c r="H502" s="2"/>
      <c r="I502" s="21"/>
      <c r="J502" s="21"/>
      <c r="K502" s="21"/>
    </row>
    <row r="503" spans="1:11" ht="15.5" x14ac:dyDescent="0.35">
      <c r="A503" s="477" t="s">
        <v>842</v>
      </c>
      <c r="B503" s="478">
        <v>2040</v>
      </c>
      <c r="C503" s="478" t="str">
        <f t="shared" si="12"/>
        <v>Great Basin Valley_2040</v>
      </c>
      <c r="D503" s="474">
        <v>306.31237653325024</v>
      </c>
      <c r="E503" s="2"/>
      <c r="F503" s="2"/>
      <c r="G503" s="2"/>
      <c r="H503" s="2"/>
      <c r="I503" s="21"/>
      <c r="J503" s="21"/>
      <c r="K503" s="21"/>
    </row>
    <row r="504" spans="1:11" ht="15.5" x14ac:dyDescent="0.35">
      <c r="A504" s="477" t="s">
        <v>842</v>
      </c>
      <c r="B504" s="478">
        <v>2041</v>
      </c>
      <c r="C504" s="478" t="str">
        <f t="shared" si="12"/>
        <v>Great Basin Valley_2041</v>
      </c>
      <c r="D504" s="474">
        <v>304.72564510762953</v>
      </c>
      <c r="E504" s="2"/>
      <c r="F504" s="2"/>
      <c r="G504" s="2"/>
      <c r="H504" s="2"/>
      <c r="I504" s="21"/>
      <c r="J504" s="21"/>
      <c r="K504" s="21"/>
    </row>
    <row r="505" spans="1:11" ht="15.5" x14ac:dyDescent="0.35">
      <c r="A505" s="477" t="s">
        <v>842</v>
      </c>
      <c r="B505" s="478">
        <v>2042</v>
      </c>
      <c r="C505" s="478" t="str">
        <f t="shared" si="12"/>
        <v>Great Basin Valley_2042</v>
      </c>
      <c r="D505" s="474">
        <v>303.38971416598224</v>
      </c>
      <c r="E505" s="2"/>
      <c r="F505" s="2"/>
      <c r="G505" s="2"/>
      <c r="H505" s="2"/>
      <c r="I505" s="21"/>
      <c r="J505" s="21"/>
      <c r="K505" s="21"/>
    </row>
    <row r="506" spans="1:11" ht="15.5" x14ac:dyDescent="0.35">
      <c r="A506" s="477" t="s">
        <v>842</v>
      </c>
      <c r="B506" s="478">
        <v>2043</v>
      </c>
      <c r="C506" s="478" t="str">
        <f t="shared" si="12"/>
        <v>Great Basin Valley_2043</v>
      </c>
      <c r="D506" s="474">
        <v>302.28153820715653</v>
      </c>
      <c r="E506" s="2"/>
      <c r="F506" s="2"/>
      <c r="G506" s="2"/>
      <c r="H506" s="2"/>
      <c r="I506" s="21"/>
      <c r="J506" s="21"/>
      <c r="K506" s="21"/>
    </row>
    <row r="507" spans="1:11" ht="15.5" x14ac:dyDescent="0.35">
      <c r="A507" s="477" t="s">
        <v>842</v>
      </c>
      <c r="B507" s="478">
        <v>2044</v>
      </c>
      <c r="C507" s="478" t="str">
        <f t="shared" si="12"/>
        <v>Great Basin Valley_2044</v>
      </c>
      <c r="D507" s="474">
        <v>301.34776435389131</v>
      </c>
      <c r="E507" s="2"/>
      <c r="F507" s="2"/>
      <c r="G507" s="2"/>
      <c r="H507" s="2"/>
      <c r="I507" s="21"/>
      <c r="J507" s="21"/>
      <c r="K507" s="21"/>
    </row>
    <row r="508" spans="1:11" ht="15.5" x14ac:dyDescent="0.35">
      <c r="A508" s="477" t="s">
        <v>842</v>
      </c>
      <c r="B508" s="478">
        <v>2045</v>
      </c>
      <c r="C508" s="478" t="str">
        <f t="shared" ref="C508:C513" si="13">CONCATENATE(A508,"_",B508)</f>
        <v>Great Basin Valley_2045</v>
      </c>
      <c r="D508" s="474">
        <v>300.55579355150229</v>
      </c>
      <c r="E508" s="2"/>
      <c r="F508" s="2"/>
      <c r="G508" s="2"/>
      <c r="H508" s="2"/>
      <c r="I508" s="21"/>
      <c r="J508" s="21"/>
      <c r="K508" s="21"/>
    </row>
    <row r="509" spans="1:11" ht="15.5" x14ac:dyDescent="0.35">
      <c r="A509" s="477" t="s">
        <v>842</v>
      </c>
      <c r="B509" s="478">
        <v>2046</v>
      </c>
      <c r="C509" s="478" t="str">
        <f t="shared" si="13"/>
        <v>Great Basin Valley_2046</v>
      </c>
      <c r="D509" s="474">
        <v>299.8918030995427</v>
      </c>
      <c r="E509" s="2"/>
      <c r="F509" s="2"/>
      <c r="G509" s="2"/>
      <c r="H509" s="2"/>
      <c r="I509" s="21"/>
      <c r="J509" s="21"/>
      <c r="K509" s="21"/>
    </row>
    <row r="510" spans="1:11" ht="15.5" x14ac:dyDescent="0.35">
      <c r="A510" s="477" t="s">
        <v>842</v>
      </c>
      <c r="B510" s="478">
        <v>2047</v>
      </c>
      <c r="C510" s="478" t="str">
        <f t="shared" si="13"/>
        <v>Great Basin Valley_2047</v>
      </c>
      <c r="D510" s="474">
        <v>299.33873972979006</v>
      </c>
      <c r="E510" s="2"/>
      <c r="F510" s="2"/>
      <c r="G510" s="2"/>
      <c r="H510" s="2"/>
      <c r="I510" s="21"/>
      <c r="J510" s="21"/>
      <c r="K510" s="21"/>
    </row>
    <row r="511" spans="1:11" ht="15.5" x14ac:dyDescent="0.35">
      <c r="A511" s="477" t="s">
        <v>842</v>
      </c>
      <c r="B511" s="478">
        <v>2048</v>
      </c>
      <c r="C511" s="478" t="str">
        <f t="shared" si="13"/>
        <v>Great Basin Valley_2048</v>
      </c>
      <c r="D511" s="474">
        <v>298.88235383476257</v>
      </c>
      <c r="E511" s="2"/>
      <c r="F511" s="2"/>
      <c r="G511" s="2"/>
      <c r="H511" s="2"/>
      <c r="I511" s="21"/>
      <c r="J511" s="21"/>
      <c r="K511" s="21"/>
    </row>
    <row r="512" spans="1:11" ht="15.5" x14ac:dyDescent="0.35">
      <c r="A512" s="477" t="s">
        <v>842</v>
      </c>
      <c r="B512" s="478">
        <v>2049</v>
      </c>
      <c r="C512" s="478" t="str">
        <f t="shared" si="13"/>
        <v>Great Basin Valley_2049</v>
      </c>
      <c r="D512" s="474">
        <v>298.48788488197152</v>
      </c>
      <c r="E512" s="2"/>
      <c r="F512" s="2"/>
      <c r="G512" s="2"/>
      <c r="H512" s="2"/>
      <c r="I512" s="21"/>
      <c r="J512" s="21"/>
      <c r="K512" s="21"/>
    </row>
    <row r="513" spans="1:11" ht="15.5" x14ac:dyDescent="0.35">
      <c r="A513" s="477" t="s">
        <v>842</v>
      </c>
      <c r="B513" s="478">
        <v>2050</v>
      </c>
      <c r="C513" s="478" t="str">
        <f t="shared" si="13"/>
        <v>Great Basin Valley_2050</v>
      </c>
      <c r="D513" s="474">
        <v>298.18886332387905</v>
      </c>
      <c r="E513" s="2"/>
      <c r="F513" s="2"/>
      <c r="G513" s="2"/>
      <c r="H513" s="2"/>
      <c r="I513" s="21"/>
      <c r="J513" s="21"/>
      <c r="K513" s="21"/>
    </row>
    <row r="514" spans="1:11" ht="15.5" x14ac:dyDescent="0.35">
      <c r="A514" s="468" t="s">
        <v>843</v>
      </c>
      <c r="B514" s="469">
        <v>2015</v>
      </c>
      <c r="C514" s="470" t="s">
        <v>844</v>
      </c>
      <c r="D514" s="471">
        <v>518.68455752316027</v>
      </c>
      <c r="E514" s="2"/>
      <c r="F514" s="2"/>
      <c r="G514" s="2"/>
      <c r="H514" s="2"/>
      <c r="I514" s="21"/>
      <c r="J514" s="21"/>
      <c r="K514" s="21"/>
    </row>
    <row r="515" spans="1:11" ht="15.5" x14ac:dyDescent="0.35">
      <c r="A515" s="468" t="s">
        <v>843</v>
      </c>
      <c r="B515" s="469">
        <v>2016</v>
      </c>
      <c r="C515" s="470" t="s">
        <v>845</v>
      </c>
      <c r="D515" s="471">
        <v>510.37543981164345</v>
      </c>
      <c r="E515" s="2"/>
      <c r="F515" s="2"/>
      <c r="G515" s="2"/>
      <c r="H515" s="2"/>
      <c r="I515" s="21"/>
      <c r="J515" s="21"/>
      <c r="K515" s="21"/>
    </row>
    <row r="516" spans="1:11" ht="15.5" x14ac:dyDescent="0.35">
      <c r="A516" s="472" t="s">
        <v>843</v>
      </c>
      <c r="B516" s="473">
        <v>2017</v>
      </c>
      <c r="C516" s="473" t="str">
        <f t="shared" ref="C516:C549" si="14">CONCATENATE(A516,"_",B516)</f>
        <v>Humboldt_2017</v>
      </c>
      <c r="D516" s="474">
        <v>499.92322749115658</v>
      </c>
      <c r="E516" s="2"/>
      <c r="F516" s="2"/>
      <c r="G516" s="2"/>
      <c r="H516" s="2"/>
      <c r="I516" s="21"/>
      <c r="J516" s="21"/>
      <c r="K516" s="21"/>
    </row>
    <row r="517" spans="1:11" ht="15.5" x14ac:dyDescent="0.35">
      <c r="A517" s="472" t="s">
        <v>843</v>
      </c>
      <c r="B517" s="473">
        <v>2018</v>
      </c>
      <c r="C517" s="473" t="str">
        <f t="shared" si="14"/>
        <v>Humboldt_2018</v>
      </c>
      <c r="D517" s="474">
        <v>488.61714183892639</v>
      </c>
      <c r="E517" s="2"/>
      <c r="F517" s="2"/>
      <c r="G517" s="2"/>
      <c r="H517" s="2"/>
      <c r="I517" s="21"/>
      <c r="J517" s="21"/>
      <c r="K517" s="21"/>
    </row>
    <row r="518" spans="1:11" ht="15.5" x14ac:dyDescent="0.35">
      <c r="A518" s="472" t="s">
        <v>843</v>
      </c>
      <c r="B518" s="473">
        <v>2019</v>
      </c>
      <c r="C518" s="473" t="str">
        <f t="shared" si="14"/>
        <v>Humboldt_2019</v>
      </c>
      <c r="D518" s="474">
        <v>476.53465105120301</v>
      </c>
      <c r="E518" s="2"/>
      <c r="F518" s="2"/>
      <c r="G518" s="2"/>
      <c r="H518" s="2"/>
      <c r="I518" s="21"/>
      <c r="J518" s="21"/>
      <c r="K518" s="21"/>
    </row>
    <row r="519" spans="1:11" ht="15.5" x14ac:dyDescent="0.35">
      <c r="A519" s="472" t="s">
        <v>843</v>
      </c>
      <c r="B519" s="473">
        <v>2020</v>
      </c>
      <c r="C519" s="473" t="str">
        <f t="shared" si="14"/>
        <v>Humboldt_2020</v>
      </c>
      <c r="D519" s="474">
        <v>463.91918801514356</v>
      </c>
      <c r="E519" s="2"/>
      <c r="F519" s="2"/>
      <c r="G519" s="2"/>
      <c r="H519" s="2"/>
      <c r="I519" s="21"/>
      <c r="J519" s="21"/>
      <c r="K519" s="21"/>
    </row>
    <row r="520" spans="1:11" ht="15.5" x14ac:dyDescent="0.35">
      <c r="A520" s="472" t="s">
        <v>843</v>
      </c>
      <c r="B520" s="473">
        <v>2021</v>
      </c>
      <c r="C520" s="473" t="str">
        <f t="shared" si="14"/>
        <v>Humboldt_2021</v>
      </c>
      <c r="D520" s="474">
        <v>450.88438602176433</v>
      </c>
      <c r="E520" s="2"/>
      <c r="F520" s="2"/>
      <c r="G520" s="2"/>
      <c r="H520" s="2"/>
      <c r="I520" s="21"/>
      <c r="J520" s="21"/>
      <c r="K520" s="21"/>
    </row>
    <row r="521" spans="1:11" ht="15.5" x14ac:dyDescent="0.35">
      <c r="A521" s="472" t="s">
        <v>843</v>
      </c>
      <c r="B521" s="473">
        <v>2022</v>
      </c>
      <c r="C521" s="473" t="str">
        <f t="shared" si="14"/>
        <v>Humboldt_2022</v>
      </c>
      <c r="D521" s="474">
        <v>437.81296387081591</v>
      </c>
      <c r="E521" s="2"/>
      <c r="F521" s="2"/>
      <c r="G521" s="2"/>
      <c r="H521" s="2"/>
      <c r="I521" s="21"/>
      <c r="J521" s="21"/>
      <c r="K521" s="21"/>
    </row>
    <row r="522" spans="1:11" ht="15.5" x14ac:dyDescent="0.35">
      <c r="A522" s="472" t="s">
        <v>843</v>
      </c>
      <c r="B522" s="473">
        <v>2023</v>
      </c>
      <c r="C522" s="473" t="str">
        <f t="shared" si="14"/>
        <v>Humboldt_2023</v>
      </c>
      <c r="D522" s="474">
        <v>424.71334583588066</v>
      </c>
      <c r="E522" s="2"/>
      <c r="F522" s="2"/>
      <c r="G522" s="2"/>
      <c r="H522" s="2"/>
      <c r="I522" s="21"/>
      <c r="J522" s="21"/>
      <c r="K522" s="21"/>
    </row>
    <row r="523" spans="1:11" ht="15.5" x14ac:dyDescent="0.35">
      <c r="A523" s="472" t="s">
        <v>843</v>
      </c>
      <c r="B523" s="473">
        <v>2024</v>
      </c>
      <c r="C523" s="473" t="str">
        <f t="shared" si="14"/>
        <v>Humboldt_2024</v>
      </c>
      <c r="D523" s="474">
        <v>411.70002880068489</v>
      </c>
      <c r="E523" s="2"/>
      <c r="F523" s="2"/>
      <c r="G523" s="2"/>
      <c r="H523" s="2"/>
      <c r="I523" s="21"/>
      <c r="J523" s="21"/>
      <c r="K523" s="21"/>
    </row>
    <row r="524" spans="1:11" ht="15.5" x14ac:dyDescent="0.35">
      <c r="A524" s="472" t="s">
        <v>843</v>
      </c>
      <c r="B524" s="473">
        <v>2025</v>
      </c>
      <c r="C524" s="473" t="str">
        <f t="shared" si="14"/>
        <v>Humboldt_2025</v>
      </c>
      <c r="D524" s="474">
        <v>398.87655144789829</v>
      </c>
      <c r="E524" s="2"/>
      <c r="F524" s="2"/>
      <c r="G524" s="2"/>
      <c r="H524" s="2"/>
      <c r="I524" s="21"/>
      <c r="J524" s="21"/>
      <c r="K524" s="21"/>
    </row>
    <row r="525" spans="1:11" ht="15.5" x14ac:dyDescent="0.35">
      <c r="A525" s="472" t="s">
        <v>843</v>
      </c>
      <c r="B525" s="473">
        <v>2026</v>
      </c>
      <c r="C525" s="473" t="str">
        <f t="shared" si="14"/>
        <v>Humboldt_2026</v>
      </c>
      <c r="D525" s="474">
        <v>386.91586567643014</v>
      </c>
      <c r="E525" s="2"/>
      <c r="F525" s="2"/>
      <c r="G525" s="2"/>
      <c r="H525" s="2"/>
      <c r="I525" s="21"/>
      <c r="J525" s="21"/>
      <c r="K525" s="21"/>
    </row>
    <row r="526" spans="1:11" ht="15.5" x14ac:dyDescent="0.35">
      <c r="A526" s="472" t="s">
        <v>843</v>
      </c>
      <c r="B526" s="473">
        <v>2027</v>
      </c>
      <c r="C526" s="473" t="str">
        <f t="shared" si="14"/>
        <v>Humboldt_2027</v>
      </c>
      <c r="D526" s="474">
        <v>375.73751521343513</v>
      </c>
      <c r="E526" s="2"/>
      <c r="F526" s="2"/>
      <c r="G526" s="2"/>
      <c r="H526" s="2"/>
      <c r="I526" s="21"/>
      <c r="J526" s="21"/>
      <c r="K526" s="21"/>
    </row>
    <row r="527" spans="1:11" ht="15.5" x14ac:dyDescent="0.35">
      <c r="A527" s="472" t="s">
        <v>843</v>
      </c>
      <c r="B527" s="473">
        <v>2028</v>
      </c>
      <c r="C527" s="473" t="str">
        <f t="shared" si="14"/>
        <v>Humboldt_2028</v>
      </c>
      <c r="D527" s="474">
        <v>365.43155357239505</v>
      </c>
      <c r="E527" s="2"/>
      <c r="F527" s="2"/>
      <c r="G527" s="2"/>
      <c r="H527" s="2"/>
      <c r="I527" s="21"/>
      <c r="J527" s="21"/>
      <c r="K527" s="21"/>
    </row>
    <row r="528" spans="1:11" ht="15.5" x14ac:dyDescent="0.35">
      <c r="A528" s="472" t="s">
        <v>843</v>
      </c>
      <c r="B528" s="473">
        <v>2029</v>
      </c>
      <c r="C528" s="473" t="str">
        <f t="shared" si="14"/>
        <v>Humboldt_2029</v>
      </c>
      <c r="D528" s="474">
        <v>356.00619819427334</v>
      </c>
      <c r="E528" s="2"/>
      <c r="F528" s="2"/>
      <c r="G528" s="2"/>
      <c r="H528" s="2"/>
      <c r="I528" s="21"/>
      <c r="J528" s="21"/>
      <c r="K528" s="21"/>
    </row>
    <row r="529" spans="1:11" ht="15.5" x14ac:dyDescent="0.35">
      <c r="A529" s="472" t="s">
        <v>843</v>
      </c>
      <c r="B529" s="473">
        <v>2030</v>
      </c>
      <c r="C529" s="473" t="str">
        <f t="shared" si="14"/>
        <v>Humboldt_2030</v>
      </c>
      <c r="D529" s="474">
        <v>347.38656841835439</v>
      </c>
      <c r="E529" s="2"/>
      <c r="F529" s="2"/>
      <c r="G529" s="2"/>
      <c r="H529" s="2"/>
      <c r="I529" s="21"/>
      <c r="J529" s="21"/>
      <c r="K529" s="21"/>
    </row>
    <row r="530" spans="1:11" ht="15.5" x14ac:dyDescent="0.35">
      <c r="A530" s="472" t="s">
        <v>843</v>
      </c>
      <c r="B530" s="473">
        <v>2031</v>
      </c>
      <c r="C530" s="473" t="str">
        <f t="shared" si="14"/>
        <v>Humboldt_2031</v>
      </c>
      <c r="D530" s="474">
        <v>339.56305670735924</v>
      </c>
      <c r="E530" s="2"/>
      <c r="F530" s="2"/>
      <c r="G530" s="2"/>
      <c r="H530" s="2"/>
      <c r="I530" s="21"/>
      <c r="J530" s="21"/>
      <c r="K530" s="21"/>
    </row>
    <row r="531" spans="1:11" ht="15.5" x14ac:dyDescent="0.35">
      <c r="A531" s="472" t="s">
        <v>843</v>
      </c>
      <c r="B531" s="473">
        <v>2032</v>
      </c>
      <c r="C531" s="473" t="str">
        <f t="shared" si="14"/>
        <v>Humboldt_2032</v>
      </c>
      <c r="D531" s="474">
        <v>332.48594195196512</v>
      </c>
      <c r="E531" s="2"/>
      <c r="F531" s="2"/>
      <c r="G531" s="2"/>
      <c r="H531" s="2"/>
      <c r="I531" s="21"/>
      <c r="J531" s="21"/>
      <c r="K531" s="21"/>
    </row>
    <row r="532" spans="1:11" ht="15.5" x14ac:dyDescent="0.35">
      <c r="A532" s="472" t="s">
        <v>843</v>
      </c>
      <c r="B532" s="473">
        <v>2033</v>
      </c>
      <c r="C532" s="473" t="str">
        <f t="shared" si="14"/>
        <v>Humboldt_2033</v>
      </c>
      <c r="D532" s="474">
        <v>326.14675681491957</v>
      </c>
      <c r="E532" s="2"/>
      <c r="F532" s="2"/>
      <c r="G532" s="2"/>
      <c r="H532" s="2"/>
      <c r="I532" s="21"/>
      <c r="J532" s="21"/>
      <c r="K532" s="21"/>
    </row>
    <row r="533" spans="1:11" ht="15.5" x14ac:dyDescent="0.35">
      <c r="A533" s="472" t="s">
        <v>843</v>
      </c>
      <c r="B533" s="473">
        <v>2034</v>
      </c>
      <c r="C533" s="473" t="str">
        <f t="shared" si="14"/>
        <v>Humboldt_2034</v>
      </c>
      <c r="D533" s="474">
        <v>320.44016419600769</v>
      </c>
      <c r="E533" s="2"/>
      <c r="F533" s="2"/>
      <c r="G533" s="2"/>
      <c r="H533" s="2"/>
      <c r="I533" s="21"/>
      <c r="J533" s="21"/>
      <c r="K533" s="21"/>
    </row>
    <row r="534" spans="1:11" ht="15.5" x14ac:dyDescent="0.35">
      <c r="A534" s="472" t="s">
        <v>843</v>
      </c>
      <c r="B534" s="473">
        <v>2035</v>
      </c>
      <c r="C534" s="473" t="str">
        <f t="shared" si="14"/>
        <v>Humboldt_2035</v>
      </c>
      <c r="D534" s="474">
        <v>315.37777200181461</v>
      </c>
      <c r="E534" s="2"/>
      <c r="F534" s="2"/>
      <c r="G534" s="2"/>
      <c r="H534" s="2"/>
      <c r="I534" s="21"/>
      <c r="J534" s="21"/>
      <c r="K534" s="21"/>
    </row>
    <row r="535" spans="1:11" ht="15.5" x14ac:dyDescent="0.35">
      <c r="A535" s="472" t="s">
        <v>843</v>
      </c>
      <c r="B535" s="473">
        <v>2036</v>
      </c>
      <c r="C535" s="473" t="str">
        <f t="shared" si="14"/>
        <v>Humboldt_2036</v>
      </c>
      <c r="D535" s="474">
        <v>310.87881086919981</v>
      </c>
      <c r="E535" s="2"/>
      <c r="F535" s="2"/>
      <c r="G535" s="2"/>
      <c r="H535" s="2"/>
      <c r="I535" s="21"/>
      <c r="J535" s="21"/>
      <c r="K535" s="21"/>
    </row>
    <row r="536" spans="1:11" ht="15.5" x14ac:dyDescent="0.35">
      <c r="A536" s="472" t="s">
        <v>843</v>
      </c>
      <c r="B536" s="473">
        <v>2037</v>
      </c>
      <c r="C536" s="473" t="str">
        <f t="shared" si="14"/>
        <v>Humboldt_2037</v>
      </c>
      <c r="D536" s="474">
        <v>306.9529021557218</v>
      </c>
      <c r="E536" s="2"/>
      <c r="F536" s="2"/>
      <c r="G536" s="2"/>
      <c r="H536" s="2"/>
      <c r="I536" s="21"/>
      <c r="J536" s="21"/>
      <c r="K536" s="21"/>
    </row>
    <row r="537" spans="1:11" ht="15.5" x14ac:dyDescent="0.35">
      <c r="A537" s="472" t="s">
        <v>843</v>
      </c>
      <c r="B537" s="473">
        <v>2038</v>
      </c>
      <c r="C537" s="473" t="str">
        <f t="shared" si="14"/>
        <v>Humboldt_2038</v>
      </c>
      <c r="D537" s="474">
        <v>303.51679447536128</v>
      </c>
      <c r="E537" s="2"/>
      <c r="F537" s="2"/>
      <c r="G537" s="2"/>
      <c r="H537" s="2"/>
      <c r="I537" s="21"/>
      <c r="J537" s="21"/>
      <c r="K537" s="21"/>
    </row>
    <row r="538" spans="1:11" ht="15.5" x14ac:dyDescent="0.35">
      <c r="A538" s="472" t="s">
        <v>843</v>
      </c>
      <c r="B538" s="473">
        <v>2039</v>
      </c>
      <c r="C538" s="473" t="str">
        <f t="shared" si="14"/>
        <v>Humboldt_2039</v>
      </c>
      <c r="D538" s="474">
        <v>300.52709242169692</v>
      </c>
      <c r="E538" s="2"/>
      <c r="F538" s="2"/>
      <c r="G538" s="2"/>
      <c r="H538" s="2"/>
      <c r="I538" s="21"/>
      <c r="J538" s="21"/>
      <c r="K538" s="21"/>
    </row>
    <row r="539" spans="1:11" ht="15.5" x14ac:dyDescent="0.35">
      <c r="A539" s="472" t="s">
        <v>843</v>
      </c>
      <c r="B539" s="473">
        <v>2040</v>
      </c>
      <c r="C539" s="473" t="str">
        <f t="shared" si="14"/>
        <v>Humboldt_2040</v>
      </c>
      <c r="D539" s="474">
        <v>297.94462656881279</v>
      </c>
      <c r="E539" s="2"/>
      <c r="F539" s="2"/>
      <c r="G539" s="2"/>
      <c r="H539" s="2"/>
      <c r="I539" s="21"/>
      <c r="J539" s="21"/>
      <c r="K539" s="21"/>
    </row>
    <row r="540" spans="1:11" ht="15.5" x14ac:dyDescent="0.35">
      <c r="A540" s="472" t="s">
        <v>843</v>
      </c>
      <c r="B540" s="473">
        <v>2041</v>
      </c>
      <c r="C540" s="473" t="str">
        <f t="shared" si="14"/>
        <v>Humboldt_2041</v>
      </c>
      <c r="D540" s="474">
        <v>295.73335579006539</v>
      </c>
      <c r="E540" s="2"/>
      <c r="F540" s="2"/>
      <c r="G540" s="2"/>
      <c r="H540" s="2"/>
      <c r="I540" s="21"/>
      <c r="J540" s="21"/>
      <c r="K540" s="21"/>
    </row>
    <row r="541" spans="1:11" ht="15.5" x14ac:dyDescent="0.35">
      <c r="A541" s="472" t="s">
        <v>843</v>
      </c>
      <c r="B541" s="473">
        <v>2042</v>
      </c>
      <c r="C541" s="473" t="str">
        <f t="shared" si="14"/>
        <v>Humboldt_2042</v>
      </c>
      <c r="D541" s="474">
        <v>293.80604327458343</v>
      </c>
      <c r="E541" s="2"/>
      <c r="F541" s="2"/>
      <c r="G541" s="2"/>
      <c r="H541" s="2"/>
      <c r="I541" s="21"/>
      <c r="J541" s="21"/>
      <c r="K541" s="21"/>
    </row>
    <row r="542" spans="1:11" ht="15.5" x14ac:dyDescent="0.35">
      <c r="A542" s="472" t="s">
        <v>843</v>
      </c>
      <c r="B542" s="473">
        <v>2043</v>
      </c>
      <c r="C542" s="473" t="str">
        <f t="shared" si="14"/>
        <v>Humboldt_2043</v>
      </c>
      <c r="D542" s="474">
        <v>292.17699987810965</v>
      </c>
      <c r="E542" s="2"/>
      <c r="F542" s="2"/>
      <c r="G542" s="2"/>
      <c r="H542" s="2"/>
      <c r="I542" s="21"/>
      <c r="J542" s="21"/>
      <c r="K542" s="21"/>
    </row>
    <row r="543" spans="1:11" ht="15.5" x14ac:dyDescent="0.35">
      <c r="A543" s="472" t="s">
        <v>843</v>
      </c>
      <c r="B543" s="473">
        <v>2044</v>
      </c>
      <c r="C543" s="473" t="str">
        <f t="shared" si="14"/>
        <v>Humboldt_2044</v>
      </c>
      <c r="D543" s="474">
        <v>290.78666141772186</v>
      </c>
      <c r="E543" s="2"/>
      <c r="F543" s="2"/>
      <c r="G543" s="2"/>
      <c r="H543" s="2"/>
      <c r="I543" s="21"/>
      <c r="J543" s="21"/>
      <c r="K543" s="21"/>
    </row>
    <row r="544" spans="1:11" ht="15.5" x14ac:dyDescent="0.35">
      <c r="A544" s="472" t="s">
        <v>843</v>
      </c>
      <c r="B544" s="473">
        <v>2045</v>
      </c>
      <c r="C544" s="473" t="str">
        <f t="shared" si="14"/>
        <v>Humboldt_2045</v>
      </c>
      <c r="D544" s="474">
        <v>289.55604395614642</v>
      </c>
      <c r="E544" s="2"/>
      <c r="F544" s="2"/>
      <c r="G544" s="2"/>
      <c r="H544" s="2"/>
      <c r="I544" s="21"/>
      <c r="J544" s="21"/>
      <c r="K544" s="21"/>
    </row>
    <row r="545" spans="1:11" ht="15.5" x14ac:dyDescent="0.35">
      <c r="A545" s="472" t="s">
        <v>843</v>
      </c>
      <c r="B545" s="473">
        <v>2046</v>
      </c>
      <c r="C545" s="473" t="str">
        <f t="shared" si="14"/>
        <v>Humboldt_2046</v>
      </c>
      <c r="D545" s="474">
        <v>288.51787069775338</v>
      </c>
      <c r="E545" s="2"/>
      <c r="F545" s="2"/>
      <c r="G545" s="2"/>
      <c r="H545" s="2"/>
      <c r="I545" s="21"/>
      <c r="J545" s="21"/>
      <c r="K545" s="21"/>
    </row>
    <row r="546" spans="1:11" ht="15.5" x14ac:dyDescent="0.35">
      <c r="A546" s="472" t="s">
        <v>843</v>
      </c>
      <c r="B546" s="473">
        <v>2047</v>
      </c>
      <c r="C546" s="473" t="str">
        <f t="shared" si="14"/>
        <v>Humboldt_2047</v>
      </c>
      <c r="D546" s="474">
        <v>287.61909711231471</v>
      </c>
      <c r="E546" s="2"/>
      <c r="F546" s="2"/>
      <c r="G546" s="2"/>
      <c r="H546" s="2"/>
      <c r="I546" s="21"/>
      <c r="J546" s="21"/>
      <c r="K546" s="21"/>
    </row>
    <row r="547" spans="1:11" ht="15.5" x14ac:dyDescent="0.35">
      <c r="A547" s="472" t="s">
        <v>843</v>
      </c>
      <c r="B547" s="473">
        <v>2048</v>
      </c>
      <c r="C547" s="473" t="str">
        <f t="shared" si="14"/>
        <v>Humboldt_2048</v>
      </c>
      <c r="D547" s="474">
        <v>286.8433773759275</v>
      </c>
      <c r="E547" s="2"/>
      <c r="F547" s="2"/>
      <c r="G547" s="2"/>
      <c r="H547" s="2"/>
      <c r="I547" s="21"/>
      <c r="J547" s="21"/>
      <c r="K547" s="21"/>
    </row>
    <row r="548" spans="1:11" ht="15.5" x14ac:dyDescent="0.35">
      <c r="A548" s="472" t="s">
        <v>843</v>
      </c>
      <c r="B548" s="473">
        <v>2049</v>
      </c>
      <c r="C548" s="473" t="str">
        <f t="shared" si="14"/>
        <v>Humboldt_2049</v>
      </c>
      <c r="D548" s="474">
        <v>286.16943480805656</v>
      </c>
      <c r="E548" s="2"/>
      <c r="F548" s="2"/>
      <c r="G548" s="2"/>
      <c r="H548" s="2"/>
      <c r="I548" s="21"/>
      <c r="J548" s="21"/>
      <c r="K548" s="21"/>
    </row>
    <row r="549" spans="1:11" ht="15.5" x14ac:dyDescent="0.35">
      <c r="A549" s="472" t="s">
        <v>843</v>
      </c>
      <c r="B549" s="473">
        <v>2050</v>
      </c>
      <c r="C549" s="473" t="str">
        <f t="shared" si="14"/>
        <v>Humboldt_2050</v>
      </c>
      <c r="D549" s="474">
        <v>285.60817775047991</v>
      </c>
      <c r="E549" s="2"/>
      <c r="F549" s="2"/>
      <c r="G549" s="2"/>
      <c r="H549" s="2"/>
      <c r="I549" s="21"/>
      <c r="J549" s="21"/>
      <c r="K549" s="21"/>
    </row>
    <row r="550" spans="1:11" ht="15.5" x14ac:dyDescent="0.35">
      <c r="A550" s="468" t="s">
        <v>846</v>
      </c>
      <c r="B550" s="469">
        <v>2015</v>
      </c>
      <c r="C550" s="470" t="s">
        <v>847</v>
      </c>
      <c r="D550" s="471">
        <v>517.6463979260003</v>
      </c>
      <c r="E550" s="2"/>
      <c r="F550" s="2"/>
      <c r="G550" s="2"/>
      <c r="H550" s="2"/>
      <c r="I550" s="21"/>
      <c r="J550" s="21"/>
      <c r="K550" s="21"/>
    </row>
    <row r="551" spans="1:11" ht="15.5" x14ac:dyDescent="0.35">
      <c r="A551" s="468" t="s">
        <v>846</v>
      </c>
      <c r="B551" s="469">
        <v>2016</v>
      </c>
      <c r="C551" s="470" t="s">
        <v>848</v>
      </c>
      <c r="D551" s="471">
        <v>507.29363028123021</v>
      </c>
      <c r="E551" s="2"/>
      <c r="F551" s="2"/>
      <c r="G551" s="2"/>
      <c r="H551" s="2"/>
      <c r="I551" s="21"/>
      <c r="J551" s="21"/>
      <c r="K551" s="21"/>
    </row>
    <row r="552" spans="1:11" ht="15.5" x14ac:dyDescent="0.35">
      <c r="A552" s="472" t="s">
        <v>846</v>
      </c>
      <c r="B552" s="473">
        <v>2017</v>
      </c>
      <c r="C552" s="473" t="str">
        <f t="shared" ref="C552:C585" si="15">CONCATENATE(A552,"_",B552)</f>
        <v>Imperial_2017</v>
      </c>
      <c r="D552" s="474">
        <v>495.02058101446505</v>
      </c>
      <c r="E552" s="2"/>
      <c r="F552" s="2"/>
      <c r="G552" s="2"/>
      <c r="H552" s="2"/>
      <c r="I552" s="21"/>
      <c r="J552" s="21"/>
      <c r="K552" s="21"/>
    </row>
    <row r="553" spans="1:11" ht="15.5" x14ac:dyDescent="0.35">
      <c r="A553" s="472" t="s">
        <v>846</v>
      </c>
      <c r="B553" s="473">
        <v>2018</v>
      </c>
      <c r="C553" s="473" t="str">
        <f t="shared" si="15"/>
        <v>Imperial_2018</v>
      </c>
      <c r="D553" s="474">
        <v>481.90581703896891</v>
      </c>
      <c r="E553" s="2"/>
      <c r="F553" s="2"/>
      <c r="G553" s="2"/>
      <c r="H553" s="2"/>
      <c r="I553" s="21"/>
      <c r="J553" s="21"/>
      <c r="K553" s="21"/>
    </row>
    <row r="554" spans="1:11" ht="15.5" x14ac:dyDescent="0.35">
      <c r="A554" s="472" t="s">
        <v>846</v>
      </c>
      <c r="B554" s="473">
        <v>2019</v>
      </c>
      <c r="C554" s="473" t="str">
        <f t="shared" si="15"/>
        <v>Imperial_2019</v>
      </c>
      <c r="D554" s="474">
        <v>467.91938968577341</v>
      </c>
      <c r="E554" s="2"/>
      <c r="F554" s="2"/>
      <c r="G554" s="2"/>
      <c r="H554" s="2"/>
      <c r="I554" s="21"/>
      <c r="J554" s="21"/>
      <c r="K554" s="21"/>
    </row>
    <row r="555" spans="1:11" ht="15.5" x14ac:dyDescent="0.35">
      <c r="A555" s="472" t="s">
        <v>846</v>
      </c>
      <c r="B555" s="473">
        <v>2020</v>
      </c>
      <c r="C555" s="473" t="str">
        <f t="shared" si="15"/>
        <v>Imperial_2020</v>
      </c>
      <c r="D555" s="474">
        <v>454.34623696921125</v>
      </c>
      <c r="E555" s="2"/>
      <c r="F555" s="2"/>
      <c r="G555" s="2"/>
      <c r="H555" s="2"/>
      <c r="I555" s="21"/>
      <c r="J555" s="21"/>
      <c r="K555" s="21"/>
    </row>
    <row r="556" spans="1:11" ht="15.5" x14ac:dyDescent="0.35">
      <c r="A556" s="472" t="s">
        <v>846</v>
      </c>
      <c r="B556" s="473">
        <v>2021</v>
      </c>
      <c r="C556" s="473" t="str">
        <f t="shared" si="15"/>
        <v>Imperial_2021</v>
      </c>
      <c r="D556" s="474">
        <v>440.29536959085772</v>
      </c>
      <c r="E556" s="2"/>
      <c r="F556" s="2"/>
      <c r="G556" s="2"/>
      <c r="H556" s="2"/>
      <c r="I556" s="21"/>
      <c r="J556" s="21"/>
      <c r="K556" s="21"/>
    </row>
    <row r="557" spans="1:11" ht="15.5" x14ac:dyDescent="0.35">
      <c r="A557" s="472" t="s">
        <v>846</v>
      </c>
      <c r="B557" s="473">
        <v>2022</v>
      </c>
      <c r="C557" s="473" t="str">
        <f t="shared" si="15"/>
        <v>Imperial_2022</v>
      </c>
      <c r="D557" s="474">
        <v>426.74041747221662</v>
      </c>
      <c r="E557" s="2"/>
      <c r="F557" s="2"/>
      <c r="G557" s="2"/>
      <c r="H557" s="2"/>
      <c r="I557" s="21"/>
      <c r="J557" s="21"/>
      <c r="K557" s="21"/>
    </row>
    <row r="558" spans="1:11" ht="15.5" x14ac:dyDescent="0.35">
      <c r="A558" s="472" t="s">
        <v>846</v>
      </c>
      <c r="B558" s="473">
        <v>2023</v>
      </c>
      <c r="C558" s="473" t="str">
        <f t="shared" si="15"/>
        <v>Imperial_2023</v>
      </c>
      <c r="D558" s="474">
        <v>413.36882506019651</v>
      </c>
      <c r="E558" s="2"/>
      <c r="F558" s="2"/>
      <c r="G558" s="2"/>
      <c r="H558" s="2"/>
      <c r="I558" s="21"/>
      <c r="J558" s="21"/>
      <c r="K558" s="21"/>
    </row>
    <row r="559" spans="1:11" ht="15.5" x14ac:dyDescent="0.35">
      <c r="A559" s="472" t="s">
        <v>846</v>
      </c>
      <c r="B559" s="473">
        <v>2024</v>
      </c>
      <c r="C559" s="473" t="str">
        <f t="shared" si="15"/>
        <v>Imperial_2024</v>
      </c>
      <c r="D559" s="474">
        <v>401.58997525354147</v>
      </c>
      <c r="E559" s="2"/>
      <c r="F559" s="2"/>
      <c r="G559" s="2"/>
      <c r="H559" s="2"/>
      <c r="I559" s="21"/>
      <c r="J559" s="21"/>
      <c r="K559" s="21"/>
    </row>
    <row r="560" spans="1:11" ht="15.5" x14ac:dyDescent="0.35">
      <c r="A560" s="472" t="s">
        <v>846</v>
      </c>
      <c r="B560" s="473">
        <v>2025</v>
      </c>
      <c r="C560" s="473" t="str">
        <f t="shared" si="15"/>
        <v>Imperial_2025</v>
      </c>
      <c r="D560" s="474">
        <v>388.6374576606683</v>
      </c>
      <c r="E560" s="2"/>
      <c r="F560" s="2"/>
      <c r="G560" s="2"/>
      <c r="H560" s="2"/>
      <c r="I560" s="21"/>
      <c r="J560" s="21"/>
      <c r="K560" s="21"/>
    </row>
    <row r="561" spans="1:11" ht="15.5" x14ac:dyDescent="0.35">
      <c r="A561" s="472" t="s">
        <v>846</v>
      </c>
      <c r="B561" s="473">
        <v>2026</v>
      </c>
      <c r="C561" s="473" t="str">
        <f t="shared" si="15"/>
        <v>Imperial_2026</v>
      </c>
      <c r="D561" s="474">
        <v>376.92587450738307</v>
      </c>
      <c r="E561" s="2"/>
      <c r="F561" s="2"/>
      <c r="G561" s="2"/>
      <c r="H561" s="2"/>
      <c r="I561" s="21"/>
      <c r="J561" s="21"/>
      <c r="K561" s="21"/>
    </row>
    <row r="562" spans="1:11" ht="15.5" x14ac:dyDescent="0.35">
      <c r="A562" s="472" t="s">
        <v>846</v>
      </c>
      <c r="B562" s="473">
        <v>2027</v>
      </c>
      <c r="C562" s="473" t="str">
        <f t="shared" si="15"/>
        <v>Imperial_2027</v>
      </c>
      <c r="D562" s="474">
        <v>366.30291253211709</v>
      </c>
      <c r="E562" s="2"/>
      <c r="F562" s="2"/>
      <c r="G562" s="2"/>
      <c r="H562" s="2"/>
      <c r="I562" s="21"/>
      <c r="J562" s="21"/>
      <c r="K562" s="21"/>
    </row>
    <row r="563" spans="1:11" ht="15.5" x14ac:dyDescent="0.35">
      <c r="A563" s="472" t="s">
        <v>846</v>
      </c>
      <c r="B563" s="473">
        <v>2028</v>
      </c>
      <c r="C563" s="473" t="str">
        <f t="shared" si="15"/>
        <v>Imperial_2028</v>
      </c>
      <c r="D563" s="474">
        <v>356.78729710834028</v>
      </c>
      <c r="E563" s="2"/>
      <c r="F563" s="2"/>
      <c r="G563" s="2"/>
      <c r="H563" s="2"/>
      <c r="I563" s="21"/>
      <c r="J563" s="21"/>
      <c r="K563" s="21"/>
    </row>
    <row r="564" spans="1:11" ht="15.5" x14ac:dyDescent="0.35">
      <c r="A564" s="472" t="s">
        <v>846</v>
      </c>
      <c r="B564" s="473">
        <v>2029</v>
      </c>
      <c r="C564" s="473" t="str">
        <f t="shared" si="15"/>
        <v>Imperial_2029</v>
      </c>
      <c r="D564" s="474">
        <v>348.23608468746801</v>
      </c>
      <c r="E564" s="2"/>
      <c r="F564" s="2"/>
      <c r="G564" s="2"/>
      <c r="H564" s="2"/>
      <c r="I564" s="21"/>
      <c r="J564" s="21"/>
      <c r="K564" s="21"/>
    </row>
    <row r="565" spans="1:11" ht="15.5" x14ac:dyDescent="0.35">
      <c r="A565" s="472" t="s">
        <v>846</v>
      </c>
      <c r="B565" s="473">
        <v>2030</v>
      </c>
      <c r="C565" s="473" t="str">
        <f t="shared" si="15"/>
        <v>Imperial_2030</v>
      </c>
      <c r="D565" s="474">
        <v>340.61281951248338</v>
      </c>
      <c r="E565" s="2"/>
      <c r="F565" s="2"/>
      <c r="G565" s="2"/>
      <c r="H565" s="2"/>
      <c r="I565" s="21"/>
      <c r="J565" s="21"/>
      <c r="K565" s="21"/>
    </row>
    <row r="566" spans="1:11" ht="15.5" x14ac:dyDescent="0.35">
      <c r="A566" s="472" t="s">
        <v>846</v>
      </c>
      <c r="B566" s="473">
        <v>2031</v>
      </c>
      <c r="C566" s="473" t="str">
        <f t="shared" si="15"/>
        <v>Imperial_2031</v>
      </c>
      <c r="D566" s="474">
        <v>333.89714146456026</v>
      </c>
      <c r="E566" s="2"/>
      <c r="F566" s="2"/>
      <c r="G566" s="2"/>
      <c r="H566" s="2"/>
      <c r="I566" s="21"/>
      <c r="J566" s="21"/>
      <c r="K566" s="21"/>
    </row>
    <row r="567" spans="1:11" ht="15.5" x14ac:dyDescent="0.35">
      <c r="A567" s="472" t="s">
        <v>846</v>
      </c>
      <c r="B567" s="473">
        <v>2032</v>
      </c>
      <c r="C567" s="473" t="str">
        <f t="shared" si="15"/>
        <v>Imperial_2032</v>
      </c>
      <c r="D567" s="474">
        <v>327.8890132974837</v>
      </c>
      <c r="E567" s="2"/>
      <c r="F567" s="2"/>
      <c r="G567" s="2"/>
      <c r="H567" s="2"/>
      <c r="I567" s="21"/>
      <c r="J567" s="21"/>
      <c r="K567" s="21"/>
    </row>
    <row r="568" spans="1:11" ht="15.5" x14ac:dyDescent="0.35">
      <c r="A568" s="472" t="s">
        <v>846</v>
      </c>
      <c r="B568" s="473">
        <v>2033</v>
      </c>
      <c r="C568" s="473" t="str">
        <f t="shared" si="15"/>
        <v>Imperial_2033</v>
      </c>
      <c r="D568" s="474">
        <v>322.58236207568808</v>
      </c>
      <c r="E568" s="2"/>
      <c r="F568" s="2"/>
      <c r="G568" s="2"/>
      <c r="H568" s="2"/>
      <c r="I568" s="21"/>
      <c r="J568" s="21"/>
      <c r="K568" s="21"/>
    </row>
    <row r="569" spans="1:11" ht="15.5" x14ac:dyDescent="0.35">
      <c r="A569" s="472" t="s">
        <v>846</v>
      </c>
      <c r="B569" s="473">
        <v>2034</v>
      </c>
      <c r="C569" s="473" t="str">
        <f t="shared" si="15"/>
        <v>Imperial_2034</v>
      </c>
      <c r="D569" s="474">
        <v>317.89242215299703</v>
      </c>
      <c r="E569" s="2"/>
      <c r="F569" s="2"/>
      <c r="G569" s="2"/>
      <c r="H569" s="2"/>
      <c r="I569" s="21"/>
      <c r="J569" s="21"/>
      <c r="K569" s="21"/>
    </row>
    <row r="570" spans="1:11" ht="15.5" x14ac:dyDescent="0.35">
      <c r="A570" s="472" t="s">
        <v>846</v>
      </c>
      <c r="B570" s="473">
        <v>2035</v>
      </c>
      <c r="C570" s="473" t="str">
        <f t="shared" si="15"/>
        <v>Imperial_2035</v>
      </c>
      <c r="D570" s="474">
        <v>313.79318423564428</v>
      </c>
      <c r="E570" s="2"/>
      <c r="F570" s="2"/>
      <c r="G570" s="2"/>
      <c r="H570" s="2"/>
      <c r="I570" s="21"/>
      <c r="J570" s="21"/>
      <c r="K570" s="21"/>
    </row>
    <row r="571" spans="1:11" ht="15.5" x14ac:dyDescent="0.35">
      <c r="A571" s="472" t="s">
        <v>846</v>
      </c>
      <c r="B571" s="473">
        <v>2036</v>
      </c>
      <c r="C571" s="473" t="str">
        <f t="shared" si="15"/>
        <v>Imperial_2036</v>
      </c>
      <c r="D571" s="474">
        <v>310.21874840914171</v>
      </c>
      <c r="E571" s="2"/>
      <c r="F571" s="2"/>
      <c r="G571" s="2"/>
      <c r="H571" s="2"/>
      <c r="I571" s="21"/>
      <c r="J571" s="21"/>
      <c r="K571" s="21"/>
    </row>
    <row r="572" spans="1:11" ht="15.5" x14ac:dyDescent="0.35">
      <c r="A572" s="472" t="s">
        <v>846</v>
      </c>
      <c r="B572" s="473">
        <v>2037</v>
      </c>
      <c r="C572" s="473" t="str">
        <f t="shared" si="15"/>
        <v>Imperial_2037</v>
      </c>
      <c r="D572" s="474">
        <v>307.13892250944394</v>
      </c>
      <c r="E572" s="2"/>
      <c r="F572" s="2"/>
      <c r="G572" s="2"/>
      <c r="H572" s="2"/>
      <c r="I572" s="21"/>
      <c r="J572" s="21"/>
      <c r="K572" s="21"/>
    </row>
    <row r="573" spans="1:11" ht="15.5" x14ac:dyDescent="0.35">
      <c r="A573" s="472" t="s">
        <v>846</v>
      </c>
      <c r="B573" s="473">
        <v>2038</v>
      </c>
      <c r="C573" s="473" t="str">
        <f t="shared" si="15"/>
        <v>Imperial_2038</v>
      </c>
      <c r="D573" s="474">
        <v>304.49839074104619</v>
      </c>
      <c r="E573" s="2"/>
      <c r="F573" s="2"/>
      <c r="G573" s="2"/>
      <c r="H573" s="2"/>
      <c r="I573" s="21"/>
      <c r="J573" s="21"/>
      <c r="K573" s="21"/>
    </row>
    <row r="574" spans="1:11" ht="15.5" x14ac:dyDescent="0.35">
      <c r="A574" s="472" t="s">
        <v>846</v>
      </c>
      <c r="B574" s="473">
        <v>2039</v>
      </c>
      <c r="C574" s="473" t="str">
        <f t="shared" si="15"/>
        <v>Imperial_2039</v>
      </c>
      <c r="D574" s="474">
        <v>302.22459473732556</v>
      </c>
      <c r="E574" s="2"/>
      <c r="F574" s="2"/>
      <c r="G574" s="2"/>
      <c r="H574" s="2"/>
      <c r="I574" s="21"/>
      <c r="J574" s="21"/>
      <c r="K574" s="21"/>
    </row>
    <row r="575" spans="1:11" ht="15.5" x14ac:dyDescent="0.35">
      <c r="A575" s="472" t="s">
        <v>846</v>
      </c>
      <c r="B575" s="473">
        <v>2040</v>
      </c>
      <c r="C575" s="473" t="str">
        <f t="shared" si="15"/>
        <v>Imperial_2040</v>
      </c>
      <c r="D575" s="474">
        <v>300.30148487640702</v>
      </c>
      <c r="E575" s="2"/>
      <c r="F575" s="2"/>
      <c r="G575" s="2"/>
      <c r="H575" s="2"/>
      <c r="I575" s="21"/>
      <c r="J575" s="21"/>
      <c r="K575" s="21"/>
    </row>
    <row r="576" spans="1:11" ht="15.5" x14ac:dyDescent="0.35">
      <c r="A576" s="472" t="s">
        <v>846</v>
      </c>
      <c r="B576" s="473">
        <v>2041</v>
      </c>
      <c r="C576" s="473" t="str">
        <f t="shared" si="15"/>
        <v>Imperial_2041</v>
      </c>
      <c r="D576" s="474">
        <v>298.69759466249559</v>
      </c>
      <c r="E576" s="2"/>
      <c r="F576" s="2"/>
      <c r="G576" s="2"/>
      <c r="H576" s="2"/>
      <c r="I576" s="21"/>
      <c r="J576" s="21"/>
      <c r="K576" s="21"/>
    </row>
    <row r="577" spans="1:11" ht="15.5" x14ac:dyDescent="0.35">
      <c r="A577" s="472" t="s">
        <v>846</v>
      </c>
      <c r="B577" s="473">
        <v>2042</v>
      </c>
      <c r="C577" s="473" t="str">
        <f t="shared" si="15"/>
        <v>Imperial_2042</v>
      </c>
      <c r="D577" s="474">
        <v>297.33155316774014</v>
      </c>
      <c r="E577" s="2"/>
      <c r="F577" s="2"/>
      <c r="G577" s="2"/>
      <c r="H577" s="2"/>
      <c r="I577" s="21"/>
      <c r="J577" s="21"/>
      <c r="K577" s="21"/>
    </row>
    <row r="578" spans="1:11" ht="15.5" x14ac:dyDescent="0.35">
      <c r="A578" s="472" t="s">
        <v>846</v>
      </c>
      <c r="B578" s="473">
        <v>2043</v>
      </c>
      <c r="C578" s="473" t="str">
        <f t="shared" si="15"/>
        <v>Imperial_2043</v>
      </c>
      <c r="D578" s="474">
        <v>296.19886025913456</v>
      </c>
      <c r="E578" s="2"/>
      <c r="F578" s="2"/>
      <c r="G578" s="2"/>
      <c r="H578" s="2"/>
      <c r="I578" s="21"/>
      <c r="J578" s="21"/>
      <c r="K578" s="21"/>
    </row>
    <row r="579" spans="1:11" ht="15.5" x14ac:dyDescent="0.35">
      <c r="A579" s="472" t="s">
        <v>846</v>
      </c>
      <c r="B579" s="473">
        <v>2044</v>
      </c>
      <c r="C579" s="473" t="str">
        <f t="shared" si="15"/>
        <v>Imperial_2044</v>
      </c>
      <c r="D579" s="474">
        <v>295.24657242159361</v>
      </c>
      <c r="E579" s="2"/>
      <c r="F579" s="2"/>
      <c r="G579" s="2"/>
      <c r="H579" s="2"/>
      <c r="I579" s="21"/>
      <c r="J579" s="21"/>
      <c r="K579" s="21"/>
    </row>
    <row r="580" spans="1:11" ht="15.5" x14ac:dyDescent="0.35">
      <c r="A580" s="472" t="s">
        <v>846</v>
      </c>
      <c r="B580" s="473">
        <v>2045</v>
      </c>
      <c r="C580" s="473" t="str">
        <f t="shared" si="15"/>
        <v>Imperial_2045</v>
      </c>
      <c r="D580" s="474">
        <v>294.41267585723398</v>
      </c>
      <c r="E580" s="2"/>
      <c r="F580" s="2"/>
      <c r="G580" s="2"/>
      <c r="H580" s="2"/>
      <c r="I580" s="21"/>
      <c r="J580" s="21"/>
      <c r="K580" s="21"/>
    </row>
    <row r="581" spans="1:11" ht="15.5" x14ac:dyDescent="0.35">
      <c r="A581" s="472" t="s">
        <v>846</v>
      </c>
      <c r="B581" s="473">
        <v>2046</v>
      </c>
      <c r="C581" s="473" t="str">
        <f t="shared" si="15"/>
        <v>Imperial_2046</v>
      </c>
      <c r="D581" s="474">
        <v>293.70066083082071</v>
      </c>
      <c r="E581" s="2"/>
      <c r="F581" s="2"/>
      <c r="G581" s="2"/>
      <c r="H581" s="2"/>
      <c r="I581" s="21"/>
      <c r="J581" s="21"/>
      <c r="K581" s="21"/>
    </row>
    <row r="582" spans="1:11" ht="15.5" x14ac:dyDescent="0.35">
      <c r="A582" s="472" t="s">
        <v>846</v>
      </c>
      <c r="B582" s="473">
        <v>2047</v>
      </c>
      <c r="C582" s="473" t="str">
        <f t="shared" si="15"/>
        <v>Imperial_2047</v>
      </c>
      <c r="D582" s="474">
        <v>293.10894290111145</v>
      </c>
      <c r="E582" s="2"/>
      <c r="F582" s="2"/>
      <c r="G582" s="2"/>
      <c r="H582" s="2"/>
      <c r="I582" s="21"/>
      <c r="J582" s="21"/>
      <c r="K582" s="21"/>
    </row>
    <row r="583" spans="1:11" ht="15.5" x14ac:dyDescent="0.35">
      <c r="A583" s="472" t="s">
        <v>846</v>
      </c>
      <c r="B583" s="473">
        <v>2048</v>
      </c>
      <c r="C583" s="473" t="str">
        <f t="shared" si="15"/>
        <v>Imperial_2048</v>
      </c>
      <c r="D583" s="474">
        <v>292.60355769853612</v>
      </c>
      <c r="E583" s="2"/>
      <c r="F583" s="2"/>
      <c r="G583" s="2"/>
      <c r="H583" s="2"/>
      <c r="I583" s="21"/>
      <c r="J583" s="21"/>
      <c r="K583" s="21"/>
    </row>
    <row r="584" spans="1:11" ht="15.5" x14ac:dyDescent="0.35">
      <c r="A584" s="472" t="s">
        <v>846</v>
      </c>
      <c r="B584" s="473">
        <v>2049</v>
      </c>
      <c r="C584" s="473" t="str">
        <f t="shared" si="15"/>
        <v>Imperial_2049</v>
      </c>
      <c r="D584" s="474">
        <v>292.17361583900612</v>
      </c>
      <c r="E584" s="2"/>
      <c r="F584" s="2"/>
      <c r="G584" s="2"/>
      <c r="H584" s="2"/>
      <c r="I584" s="21"/>
      <c r="J584" s="21"/>
      <c r="K584" s="21"/>
    </row>
    <row r="585" spans="1:11" ht="15.5" x14ac:dyDescent="0.35">
      <c r="A585" s="472" t="s">
        <v>846</v>
      </c>
      <c r="B585" s="473">
        <v>2050</v>
      </c>
      <c r="C585" s="473" t="str">
        <f t="shared" si="15"/>
        <v>Imperial_2050</v>
      </c>
      <c r="D585" s="474">
        <v>291.81038402111466</v>
      </c>
      <c r="E585" s="2"/>
      <c r="F585" s="2"/>
      <c r="G585" s="2"/>
      <c r="H585" s="2"/>
      <c r="I585" s="21"/>
      <c r="J585" s="21"/>
      <c r="K585" s="21"/>
    </row>
    <row r="586" spans="1:11" ht="15.5" x14ac:dyDescent="0.35">
      <c r="A586" s="468" t="s">
        <v>849</v>
      </c>
      <c r="B586" s="469">
        <v>2015</v>
      </c>
      <c r="C586" s="470" t="s">
        <v>850</v>
      </c>
      <c r="D586" s="471">
        <v>532.36931487631853</v>
      </c>
      <c r="E586" s="2"/>
      <c r="F586" s="2"/>
      <c r="G586" s="2"/>
      <c r="H586" s="2"/>
      <c r="I586" s="21"/>
      <c r="J586" s="21"/>
      <c r="K586" s="21"/>
    </row>
    <row r="587" spans="1:11" ht="15.5" x14ac:dyDescent="0.35">
      <c r="A587" s="468" t="s">
        <v>849</v>
      </c>
      <c r="B587" s="469">
        <v>2016</v>
      </c>
      <c r="C587" s="470" t="s">
        <v>851</v>
      </c>
      <c r="D587" s="471">
        <v>521.60274982129738</v>
      </c>
      <c r="E587" s="2"/>
      <c r="F587" s="2"/>
      <c r="G587" s="2"/>
      <c r="H587" s="2"/>
      <c r="I587" s="21"/>
      <c r="J587" s="21"/>
      <c r="K587" s="21"/>
    </row>
    <row r="588" spans="1:11" ht="15.5" x14ac:dyDescent="0.35">
      <c r="A588" s="472" t="s">
        <v>849</v>
      </c>
      <c r="B588" s="473">
        <v>2017</v>
      </c>
      <c r="C588" s="473" t="str">
        <f t="shared" ref="C588:C621" si="16">CONCATENATE(A588,"_",B588)</f>
        <v>Inyo_2017</v>
      </c>
      <c r="D588" s="474">
        <v>509.00549327162406</v>
      </c>
      <c r="E588" s="2"/>
      <c r="F588" s="2"/>
      <c r="G588" s="2"/>
      <c r="H588" s="2"/>
      <c r="I588" s="21"/>
      <c r="J588" s="21"/>
      <c r="K588" s="21"/>
    </row>
    <row r="589" spans="1:11" ht="15.5" x14ac:dyDescent="0.35">
      <c r="A589" s="472" t="s">
        <v>849</v>
      </c>
      <c r="B589" s="473">
        <v>2018</v>
      </c>
      <c r="C589" s="473" t="str">
        <f t="shared" si="16"/>
        <v>Inyo_2018</v>
      </c>
      <c r="D589" s="474">
        <v>496.02214429109353</v>
      </c>
      <c r="E589" s="2"/>
      <c r="F589" s="2"/>
      <c r="G589" s="2"/>
      <c r="H589" s="2"/>
      <c r="I589" s="21"/>
      <c r="J589" s="21"/>
      <c r="K589" s="21"/>
    </row>
    <row r="590" spans="1:11" ht="15.5" x14ac:dyDescent="0.35">
      <c r="A590" s="472" t="s">
        <v>849</v>
      </c>
      <c r="B590" s="473">
        <v>2019</v>
      </c>
      <c r="C590" s="473" t="str">
        <f t="shared" si="16"/>
        <v>Inyo_2019</v>
      </c>
      <c r="D590" s="474">
        <v>482.57522632045101</v>
      </c>
      <c r="E590" s="2"/>
      <c r="F590" s="2"/>
      <c r="G590" s="2"/>
      <c r="H590" s="2"/>
      <c r="I590" s="21"/>
      <c r="J590" s="21"/>
      <c r="K590" s="21"/>
    </row>
    <row r="591" spans="1:11" ht="15.5" x14ac:dyDescent="0.35">
      <c r="A591" s="472" t="s">
        <v>849</v>
      </c>
      <c r="B591" s="473">
        <v>2020</v>
      </c>
      <c r="C591" s="473" t="str">
        <f t="shared" si="16"/>
        <v>Inyo_2020</v>
      </c>
      <c r="D591" s="474">
        <v>468.88737176656383</v>
      </c>
      <c r="E591" s="2"/>
      <c r="F591" s="2"/>
      <c r="G591" s="2"/>
      <c r="H591" s="2"/>
      <c r="I591" s="21"/>
      <c r="J591" s="21"/>
      <c r="K591" s="21"/>
    </row>
    <row r="592" spans="1:11" ht="15.5" x14ac:dyDescent="0.35">
      <c r="A592" s="472" t="s">
        <v>849</v>
      </c>
      <c r="B592" s="473">
        <v>2021</v>
      </c>
      <c r="C592" s="473" t="str">
        <f t="shared" si="16"/>
        <v>Inyo_2021</v>
      </c>
      <c r="D592" s="474">
        <v>454.98297367164832</v>
      </c>
      <c r="E592" s="2"/>
      <c r="F592" s="2"/>
      <c r="G592" s="2"/>
      <c r="H592" s="2"/>
      <c r="I592" s="21"/>
      <c r="J592" s="21"/>
      <c r="K592" s="21"/>
    </row>
    <row r="593" spans="1:11" ht="15.5" x14ac:dyDescent="0.35">
      <c r="A593" s="472" t="s">
        <v>849</v>
      </c>
      <c r="B593" s="473">
        <v>2022</v>
      </c>
      <c r="C593" s="473" t="str">
        <f t="shared" si="16"/>
        <v>Inyo_2022</v>
      </c>
      <c r="D593" s="474">
        <v>441.23045635378696</v>
      </c>
      <c r="E593" s="2"/>
      <c r="F593" s="2"/>
      <c r="G593" s="2"/>
      <c r="H593" s="2"/>
      <c r="I593" s="21"/>
      <c r="J593" s="21"/>
      <c r="K593" s="21"/>
    </row>
    <row r="594" spans="1:11" ht="15.5" x14ac:dyDescent="0.35">
      <c r="A594" s="472" t="s">
        <v>849</v>
      </c>
      <c r="B594" s="473">
        <v>2023</v>
      </c>
      <c r="C594" s="473" t="str">
        <f t="shared" si="16"/>
        <v>Inyo_2023</v>
      </c>
      <c r="D594" s="474">
        <v>427.64981347222857</v>
      </c>
      <c r="E594" s="2"/>
      <c r="F594" s="2"/>
      <c r="G594" s="2"/>
      <c r="H594" s="2"/>
      <c r="I594" s="21"/>
      <c r="J594" s="21"/>
      <c r="K594" s="21"/>
    </row>
    <row r="595" spans="1:11" ht="15.5" x14ac:dyDescent="0.35">
      <c r="A595" s="472" t="s">
        <v>849</v>
      </c>
      <c r="B595" s="473">
        <v>2024</v>
      </c>
      <c r="C595" s="473" t="str">
        <f t="shared" si="16"/>
        <v>Inyo_2024</v>
      </c>
      <c r="D595" s="474">
        <v>414.24069703701252</v>
      </c>
      <c r="E595" s="2"/>
      <c r="F595" s="2"/>
      <c r="G595" s="2"/>
      <c r="H595" s="2"/>
      <c r="I595" s="21"/>
      <c r="J595" s="21"/>
      <c r="K595" s="21"/>
    </row>
    <row r="596" spans="1:11" ht="15.5" x14ac:dyDescent="0.35">
      <c r="A596" s="472" t="s">
        <v>849</v>
      </c>
      <c r="B596" s="473">
        <v>2025</v>
      </c>
      <c r="C596" s="473" t="str">
        <f t="shared" si="16"/>
        <v>Inyo_2025</v>
      </c>
      <c r="D596" s="474">
        <v>401.05088098484828</v>
      </c>
      <c r="E596" s="2"/>
      <c r="F596" s="2"/>
      <c r="G596" s="2"/>
      <c r="H596" s="2"/>
      <c r="I596" s="21"/>
      <c r="J596" s="21"/>
      <c r="K596" s="21"/>
    </row>
    <row r="597" spans="1:11" ht="15.5" x14ac:dyDescent="0.35">
      <c r="A597" s="472" t="s">
        <v>849</v>
      </c>
      <c r="B597" s="473">
        <v>2026</v>
      </c>
      <c r="C597" s="473" t="str">
        <f t="shared" si="16"/>
        <v>Inyo_2026</v>
      </c>
      <c r="D597" s="474">
        <v>389.11452664786941</v>
      </c>
      <c r="E597" s="2"/>
      <c r="F597" s="2"/>
      <c r="G597" s="2"/>
      <c r="H597" s="2"/>
      <c r="I597" s="21"/>
      <c r="J597" s="21"/>
      <c r="K597" s="21"/>
    </row>
    <row r="598" spans="1:11" ht="15.5" x14ac:dyDescent="0.35">
      <c r="A598" s="472" t="s">
        <v>849</v>
      </c>
      <c r="B598" s="473">
        <v>2027</v>
      </c>
      <c r="C598" s="473" t="str">
        <f t="shared" si="16"/>
        <v>Inyo_2027</v>
      </c>
      <c r="D598" s="474">
        <v>378.21642099526071</v>
      </c>
      <c r="E598" s="2"/>
      <c r="F598" s="2"/>
      <c r="G598" s="2"/>
      <c r="H598" s="2"/>
      <c r="I598" s="21"/>
      <c r="J598" s="21"/>
      <c r="K598" s="21"/>
    </row>
    <row r="599" spans="1:11" ht="15.5" x14ac:dyDescent="0.35">
      <c r="A599" s="472" t="s">
        <v>849</v>
      </c>
      <c r="B599" s="473">
        <v>2028</v>
      </c>
      <c r="C599" s="473" t="str">
        <f t="shared" si="16"/>
        <v>Inyo_2028</v>
      </c>
      <c r="D599" s="474">
        <v>368.40998740860022</v>
      </c>
      <c r="E599" s="2"/>
      <c r="F599" s="2"/>
      <c r="G599" s="2"/>
      <c r="H599" s="2"/>
      <c r="I599" s="21"/>
      <c r="J599" s="21"/>
      <c r="K599" s="21"/>
    </row>
    <row r="600" spans="1:11" ht="15.5" x14ac:dyDescent="0.35">
      <c r="A600" s="472" t="s">
        <v>849</v>
      </c>
      <c r="B600" s="473">
        <v>2029</v>
      </c>
      <c r="C600" s="473" t="str">
        <f t="shared" si="16"/>
        <v>Inyo_2029</v>
      </c>
      <c r="D600" s="474">
        <v>359.5770593282208</v>
      </c>
      <c r="E600" s="2"/>
      <c r="F600" s="2"/>
      <c r="G600" s="2"/>
      <c r="H600" s="2"/>
      <c r="I600" s="21"/>
      <c r="J600" s="21"/>
      <c r="K600" s="21"/>
    </row>
    <row r="601" spans="1:11" ht="15.5" x14ac:dyDescent="0.35">
      <c r="A601" s="472" t="s">
        <v>849</v>
      </c>
      <c r="B601" s="473">
        <v>2030</v>
      </c>
      <c r="C601" s="473" t="str">
        <f t="shared" si="16"/>
        <v>Inyo_2030</v>
      </c>
      <c r="D601" s="474">
        <v>351.69072021445578</v>
      </c>
      <c r="E601" s="2"/>
      <c r="F601" s="2"/>
      <c r="G601" s="2"/>
      <c r="H601" s="2"/>
      <c r="I601" s="21"/>
      <c r="J601" s="21"/>
      <c r="K601" s="21"/>
    </row>
    <row r="602" spans="1:11" ht="15.5" x14ac:dyDescent="0.35">
      <c r="A602" s="472" t="s">
        <v>849</v>
      </c>
      <c r="B602" s="473">
        <v>2031</v>
      </c>
      <c r="C602" s="473" t="str">
        <f t="shared" si="16"/>
        <v>Inyo_2031</v>
      </c>
      <c r="D602" s="474">
        <v>344.66697918824991</v>
      </c>
      <c r="E602" s="2"/>
      <c r="F602" s="2"/>
      <c r="G602" s="2"/>
      <c r="H602" s="2"/>
      <c r="I602" s="21"/>
      <c r="J602" s="21"/>
      <c r="K602" s="21"/>
    </row>
    <row r="603" spans="1:11" ht="15.5" x14ac:dyDescent="0.35">
      <c r="A603" s="472" t="s">
        <v>849</v>
      </c>
      <c r="B603" s="473">
        <v>2032</v>
      </c>
      <c r="C603" s="473" t="str">
        <f t="shared" si="16"/>
        <v>Inyo_2032</v>
      </c>
      <c r="D603" s="474">
        <v>338.42768308284172</v>
      </c>
      <c r="E603" s="2"/>
      <c r="F603" s="2"/>
      <c r="G603" s="2"/>
      <c r="H603" s="2"/>
      <c r="I603" s="21"/>
      <c r="J603" s="21"/>
      <c r="K603" s="21"/>
    </row>
    <row r="604" spans="1:11" ht="15.5" x14ac:dyDescent="0.35">
      <c r="A604" s="472" t="s">
        <v>849</v>
      </c>
      <c r="B604" s="473">
        <v>2033</v>
      </c>
      <c r="C604" s="473" t="str">
        <f t="shared" si="16"/>
        <v>Inyo_2033</v>
      </c>
      <c r="D604" s="474">
        <v>332.91574507680781</v>
      </c>
      <c r="E604" s="2"/>
      <c r="F604" s="2"/>
      <c r="G604" s="2"/>
      <c r="H604" s="2"/>
      <c r="I604" s="21"/>
      <c r="J604" s="21"/>
      <c r="K604" s="21"/>
    </row>
    <row r="605" spans="1:11" ht="15.5" x14ac:dyDescent="0.35">
      <c r="A605" s="472" t="s">
        <v>849</v>
      </c>
      <c r="B605" s="473">
        <v>2034</v>
      </c>
      <c r="C605" s="473" t="str">
        <f t="shared" si="16"/>
        <v>Inyo_2034</v>
      </c>
      <c r="D605" s="474">
        <v>328.07431196272125</v>
      </c>
      <c r="E605" s="2"/>
      <c r="F605" s="2"/>
      <c r="G605" s="2"/>
      <c r="H605" s="2"/>
      <c r="I605" s="21"/>
      <c r="J605" s="21"/>
      <c r="K605" s="21"/>
    </row>
    <row r="606" spans="1:11" ht="15.5" x14ac:dyDescent="0.35">
      <c r="A606" s="472" t="s">
        <v>849</v>
      </c>
      <c r="B606" s="473">
        <v>2035</v>
      </c>
      <c r="C606" s="473" t="str">
        <f t="shared" si="16"/>
        <v>Inyo_2035</v>
      </c>
      <c r="D606" s="474">
        <v>323.86206474831806</v>
      </c>
      <c r="E606" s="2"/>
      <c r="F606" s="2"/>
      <c r="G606" s="2"/>
      <c r="H606" s="2"/>
      <c r="I606" s="21"/>
      <c r="J606" s="21"/>
      <c r="K606" s="21"/>
    </row>
    <row r="607" spans="1:11" ht="15.5" x14ac:dyDescent="0.35">
      <c r="A607" s="472" t="s">
        <v>849</v>
      </c>
      <c r="B607" s="473">
        <v>2036</v>
      </c>
      <c r="C607" s="473" t="str">
        <f t="shared" si="16"/>
        <v>Inyo_2036</v>
      </c>
      <c r="D607" s="474">
        <v>320.21250284458199</v>
      </c>
      <c r="E607" s="2"/>
      <c r="F607" s="2"/>
      <c r="G607" s="2"/>
      <c r="H607" s="2"/>
      <c r="I607" s="21"/>
      <c r="J607" s="21"/>
      <c r="K607" s="21"/>
    </row>
    <row r="608" spans="1:11" ht="15.5" x14ac:dyDescent="0.35">
      <c r="A608" s="472" t="s">
        <v>849</v>
      </c>
      <c r="B608" s="473">
        <v>2037</v>
      </c>
      <c r="C608" s="473" t="str">
        <f t="shared" si="16"/>
        <v>Inyo_2037</v>
      </c>
      <c r="D608" s="474">
        <v>317.08366730054809</v>
      </c>
      <c r="E608" s="2"/>
      <c r="F608" s="2"/>
      <c r="G608" s="2"/>
      <c r="H608" s="2"/>
      <c r="I608" s="21"/>
      <c r="J608" s="21"/>
      <c r="K608" s="21"/>
    </row>
    <row r="609" spans="1:11" ht="15.5" x14ac:dyDescent="0.35">
      <c r="A609" s="472" t="s">
        <v>849</v>
      </c>
      <c r="B609" s="473">
        <v>2038</v>
      </c>
      <c r="C609" s="473" t="str">
        <f t="shared" si="16"/>
        <v>Inyo_2038</v>
      </c>
      <c r="D609" s="474">
        <v>314.41009729250607</v>
      </c>
      <c r="E609" s="2"/>
      <c r="F609" s="2"/>
      <c r="G609" s="2"/>
      <c r="H609" s="2"/>
      <c r="I609" s="21"/>
      <c r="J609" s="21"/>
      <c r="K609" s="21"/>
    </row>
    <row r="610" spans="1:11" ht="15.5" x14ac:dyDescent="0.35">
      <c r="A610" s="472" t="s">
        <v>849</v>
      </c>
      <c r="B610" s="473">
        <v>2039</v>
      </c>
      <c r="C610" s="473" t="str">
        <f t="shared" si="16"/>
        <v>Inyo_2039</v>
      </c>
      <c r="D610" s="474">
        <v>312.14121408287389</v>
      </c>
      <c r="E610" s="2"/>
      <c r="F610" s="2"/>
      <c r="G610" s="2"/>
      <c r="H610" s="2"/>
      <c r="I610" s="21"/>
      <c r="J610" s="21"/>
      <c r="K610" s="21"/>
    </row>
    <row r="611" spans="1:11" ht="15.5" x14ac:dyDescent="0.35">
      <c r="A611" s="472" t="s">
        <v>849</v>
      </c>
      <c r="B611" s="473">
        <v>2040</v>
      </c>
      <c r="C611" s="473" t="str">
        <f t="shared" si="16"/>
        <v>Inyo_2040</v>
      </c>
      <c r="D611" s="474">
        <v>310.22430036916927</v>
      </c>
      <c r="E611" s="2"/>
      <c r="F611" s="2"/>
      <c r="G611" s="2"/>
      <c r="H611" s="2"/>
      <c r="I611" s="21"/>
      <c r="J611" s="21"/>
      <c r="K611" s="21"/>
    </row>
    <row r="612" spans="1:11" ht="15.5" x14ac:dyDescent="0.35">
      <c r="A612" s="472" t="s">
        <v>849</v>
      </c>
      <c r="B612" s="473">
        <v>2041</v>
      </c>
      <c r="C612" s="473" t="str">
        <f t="shared" si="16"/>
        <v>Inyo_2041</v>
      </c>
      <c r="D612" s="474">
        <v>308.62498103897036</v>
      </c>
      <c r="E612" s="2"/>
      <c r="F612" s="2"/>
      <c r="G612" s="2"/>
      <c r="H612" s="2"/>
      <c r="I612" s="21"/>
      <c r="J612" s="21"/>
      <c r="K612" s="21"/>
    </row>
    <row r="613" spans="1:11" ht="15.5" x14ac:dyDescent="0.35">
      <c r="A613" s="472" t="s">
        <v>849</v>
      </c>
      <c r="B613" s="473">
        <v>2042</v>
      </c>
      <c r="C613" s="473" t="str">
        <f t="shared" si="16"/>
        <v>Inyo_2042</v>
      </c>
      <c r="D613" s="474">
        <v>307.27823441361892</v>
      </c>
      <c r="E613" s="2"/>
      <c r="F613" s="2"/>
      <c r="G613" s="2"/>
      <c r="H613" s="2"/>
      <c r="I613" s="21"/>
      <c r="J613" s="21"/>
      <c r="K613" s="21"/>
    </row>
    <row r="614" spans="1:11" ht="15.5" x14ac:dyDescent="0.35">
      <c r="A614" s="472" t="s">
        <v>849</v>
      </c>
      <c r="B614" s="473">
        <v>2043</v>
      </c>
      <c r="C614" s="473" t="str">
        <f t="shared" si="16"/>
        <v>Inyo_2043</v>
      </c>
      <c r="D614" s="474">
        <v>306.16325237960916</v>
      </c>
      <c r="E614" s="2"/>
      <c r="F614" s="2"/>
      <c r="G614" s="2"/>
      <c r="H614" s="2"/>
      <c r="I614" s="21"/>
      <c r="J614" s="21"/>
      <c r="K614" s="21"/>
    </row>
    <row r="615" spans="1:11" ht="15.5" x14ac:dyDescent="0.35">
      <c r="A615" s="472" t="s">
        <v>849</v>
      </c>
      <c r="B615" s="473">
        <v>2044</v>
      </c>
      <c r="C615" s="473" t="str">
        <f t="shared" si="16"/>
        <v>Inyo_2044</v>
      </c>
      <c r="D615" s="474">
        <v>305.21613144295708</v>
      </c>
      <c r="E615" s="2"/>
      <c r="F615" s="2"/>
      <c r="G615" s="2"/>
      <c r="H615" s="2"/>
      <c r="I615" s="21"/>
      <c r="J615" s="21"/>
      <c r="K615" s="21"/>
    </row>
    <row r="616" spans="1:11" ht="15.5" x14ac:dyDescent="0.35">
      <c r="A616" s="472" t="s">
        <v>849</v>
      </c>
      <c r="B616" s="473">
        <v>2045</v>
      </c>
      <c r="C616" s="473" t="str">
        <f t="shared" si="16"/>
        <v>Inyo_2045</v>
      </c>
      <c r="D616" s="474">
        <v>304.41394484709809</v>
      </c>
      <c r="E616" s="2"/>
      <c r="F616" s="2"/>
      <c r="G616" s="2"/>
      <c r="H616" s="2"/>
      <c r="I616" s="21"/>
      <c r="J616" s="21"/>
      <c r="K616" s="21"/>
    </row>
    <row r="617" spans="1:11" ht="15.5" x14ac:dyDescent="0.35">
      <c r="A617" s="472" t="s">
        <v>849</v>
      </c>
      <c r="B617" s="473">
        <v>2046</v>
      </c>
      <c r="C617" s="473" t="str">
        <f t="shared" si="16"/>
        <v>Inyo_2046</v>
      </c>
      <c r="D617" s="474">
        <v>303.73880443589809</v>
      </c>
      <c r="E617" s="2"/>
      <c r="F617" s="2"/>
      <c r="G617" s="2"/>
      <c r="H617" s="2"/>
      <c r="I617" s="21"/>
      <c r="J617" s="21"/>
      <c r="K617" s="21"/>
    </row>
    <row r="618" spans="1:11" ht="15.5" x14ac:dyDescent="0.35">
      <c r="A618" s="472" t="s">
        <v>849</v>
      </c>
      <c r="B618" s="473">
        <v>2047</v>
      </c>
      <c r="C618" s="473" t="str">
        <f t="shared" si="16"/>
        <v>Inyo_2047</v>
      </c>
      <c r="D618" s="474">
        <v>303.17604456938369</v>
      </c>
      <c r="E618" s="2"/>
      <c r="F618" s="2"/>
      <c r="G618" s="2"/>
      <c r="H618" s="2"/>
      <c r="I618" s="21"/>
      <c r="J618" s="21"/>
      <c r="K618" s="21"/>
    </row>
    <row r="619" spans="1:11" ht="15.5" x14ac:dyDescent="0.35">
      <c r="A619" s="472" t="s">
        <v>849</v>
      </c>
      <c r="B619" s="473">
        <v>2048</v>
      </c>
      <c r="C619" s="473" t="str">
        <f t="shared" si="16"/>
        <v>Inyo_2048</v>
      </c>
      <c r="D619" s="474">
        <v>302.70419501498577</v>
      </c>
      <c r="E619" s="2"/>
      <c r="F619" s="2"/>
      <c r="G619" s="2"/>
      <c r="H619" s="2"/>
      <c r="I619" s="21"/>
      <c r="J619" s="21"/>
      <c r="K619" s="21"/>
    </row>
    <row r="620" spans="1:11" ht="15.5" x14ac:dyDescent="0.35">
      <c r="A620" s="472" t="s">
        <v>849</v>
      </c>
      <c r="B620" s="473">
        <v>2049</v>
      </c>
      <c r="C620" s="473" t="str">
        <f t="shared" si="16"/>
        <v>Inyo_2049</v>
      </c>
      <c r="D620" s="474">
        <v>302.30613969451258</v>
      </c>
      <c r="E620" s="2"/>
      <c r="F620" s="2"/>
      <c r="G620" s="2"/>
      <c r="H620" s="2"/>
      <c r="I620" s="21"/>
      <c r="J620" s="21"/>
      <c r="K620" s="21"/>
    </row>
    <row r="621" spans="1:11" ht="15.5" x14ac:dyDescent="0.35">
      <c r="A621" s="472" t="s">
        <v>849</v>
      </c>
      <c r="B621" s="473">
        <v>2050</v>
      </c>
      <c r="C621" s="473" t="str">
        <f t="shared" si="16"/>
        <v>Inyo_2050</v>
      </c>
      <c r="D621" s="474">
        <v>301.99848670690602</v>
      </c>
      <c r="E621" s="2"/>
      <c r="F621" s="2"/>
      <c r="G621" s="2"/>
      <c r="H621" s="2"/>
      <c r="I621" s="21"/>
      <c r="J621" s="21"/>
      <c r="K621" s="21"/>
    </row>
    <row r="622" spans="1:11" ht="15.5" x14ac:dyDescent="0.35">
      <c r="A622" s="468" t="s">
        <v>852</v>
      </c>
      <c r="B622" s="469">
        <v>2015</v>
      </c>
      <c r="C622" s="470" t="s">
        <v>853</v>
      </c>
      <c r="D622" s="471">
        <v>536.04273092051403</v>
      </c>
      <c r="E622" s="2"/>
      <c r="F622" s="2"/>
      <c r="G622" s="2"/>
      <c r="H622" s="2"/>
      <c r="I622" s="21"/>
      <c r="J622" s="21"/>
      <c r="K622" s="21"/>
    </row>
    <row r="623" spans="1:11" ht="15.5" x14ac:dyDescent="0.35">
      <c r="A623" s="468" t="s">
        <v>852</v>
      </c>
      <c r="B623" s="469">
        <v>2016</v>
      </c>
      <c r="C623" s="470" t="s">
        <v>854</v>
      </c>
      <c r="D623" s="471">
        <v>525.30245728358864</v>
      </c>
      <c r="E623" s="2"/>
      <c r="F623" s="2"/>
      <c r="G623" s="2"/>
      <c r="H623" s="2"/>
      <c r="I623" s="21"/>
      <c r="J623" s="21"/>
      <c r="K623" s="21"/>
    </row>
    <row r="624" spans="1:11" ht="15.5" x14ac:dyDescent="0.35">
      <c r="A624" s="472" t="s">
        <v>852</v>
      </c>
      <c r="B624" s="473">
        <v>2017</v>
      </c>
      <c r="C624" s="473" t="str">
        <f t="shared" ref="C624:C657" si="17">CONCATENATE(A624,"_",B624)</f>
        <v>Kern_2017</v>
      </c>
      <c r="D624" s="474">
        <v>513.07682307053358</v>
      </c>
      <c r="E624" s="2"/>
      <c r="F624" s="2"/>
      <c r="G624" s="2"/>
      <c r="H624" s="2"/>
      <c r="I624" s="21"/>
      <c r="J624" s="21"/>
      <c r="K624" s="21"/>
    </row>
    <row r="625" spans="1:11" ht="15.5" x14ac:dyDescent="0.35">
      <c r="A625" s="472" t="s">
        <v>852</v>
      </c>
      <c r="B625" s="473">
        <v>2018</v>
      </c>
      <c r="C625" s="473" t="str">
        <f t="shared" si="17"/>
        <v>Kern_2018</v>
      </c>
      <c r="D625" s="474">
        <v>499.34263119612262</v>
      </c>
      <c r="E625" s="2"/>
      <c r="F625" s="2"/>
      <c r="G625" s="2"/>
      <c r="H625" s="2"/>
      <c r="I625" s="21"/>
      <c r="J625" s="21"/>
      <c r="K625" s="21"/>
    </row>
    <row r="626" spans="1:11" ht="15.5" x14ac:dyDescent="0.35">
      <c r="A626" s="472" t="s">
        <v>852</v>
      </c>
      <c r="B626" s="473">
        <v>2019</v>
      </c>
      <c r="C626" s="473" t="str">
        <f t="shared" si="17"/>
        <v>Kern_2019</v>
      </c>
      <c r="D626" s="474">
        <v>485.75470551009744</v>
      </c>
      <c r="E626" s="2"/>
      <c r="F626" s="2"/>
      <c r="G626" s="2"/>
      <c r="H626" s="2"/>
      <c r="I626" s="21"/>
      <c r="J626" s="21"/>
      <c r="K626" s="21"/>
    </row>
    <row r="627" spans="1:11" ht="15.5" x14ac:dyDescent="0.35">
      <c r="A627" s="472" t="s">
        <v>852</v>
      </c>
      <c r="B627" s="473">
        <v>2020</v>
      </c>
      <c r="C627" s="473" t="str">
        <f t="shared" si="17"/>
        <v>Kern_2020</v>
      </c>
      <c r="D627" s="474">
        <v>471.89693504805723</v>
      </c>
      <c r="E627" s="2"/>
      <c r="F627" s="2"/>
      <c r="G627" s="2"/>
      <c r="H627" s="2"/>
      <c r="I627" s="21"/>
      <c r="J627" s="21"/>
      <c r="K627" s="21"/>
    </row>
    <row r="628" spans="1:11" ht="15.5" x14ac:dyDescent="0.35">
      <c r="A628" s="472" t="s">
        <v>852</v>
      </c>
      <c r="B628" s="473">
        <v>2021</v>
      </c>
      <c r="C628" s="473" t="str">
        <f t="shared" si="17"/>
        <v>Kern_2021</v>
      </c>
      <c r="D628" s="474">
        <v>457.70216797993697</v>
      </c>
      <c r="E628" s="2"/>
      <c r="F628" s="2"/>
      <c r="G628" s="2"/>
      <c r="H628" s="2"/>
      <c r="I628" s="21"/>
      <c r="J628" s="21"/>
      <c r="K628" s="21"/>
    </row>
    <row r="629" spans="1:11" ht="15.5" x14ac:dyDescent="0.35">
      <c r="A629" s="472" t="s">
        <v>852</v>
      </c>
      <c r="B629" s="473">
        <v>2022</v>
      </c>
      <c r="C629" s="473" t="str">
        <f t="shared" si="17"/>
        <v>Kern_2022</v>
      </c>
      <c r="D629" s="474">
        <v>443.79279024632206</v>
      </c>
      <c r="E629" s="2"/>
      <c r="F629" s="2"/>
      <c r="G629" s="2"/>
      <c r="H629" s="2"/>
      <c r="I629" s="21"/>
      <c r="J629" s="21"/>
      <c r="K629" s="21"/>
    </row>
    <row r="630" spans="1:11" ht="15.5" x14ac:dyDescent="0.35">
      <c r="A630" s="472" t="s">
        <v>852</v>
      </c>
      <c r="B630" s="473">
        <v>2023</v>
      </c>
      <c r="C630" s="473" t="str">
        <f t="shared" si="17"/>
        <v>Kern_2023</v>
      </c>
      <c r="D630" s="474">
        <v>429.9660362328259</v>
      </c>
      <c r="E630" s="2"/>
      <c r="F630" s="2"/>
      <c r="G630" s="2"/>
      <c r="H630" s="2"/>
      <c r="I630" s="21"/>
      <c r="J630" s="21"/>
      <c r="K630" s="21"/>
    </row>
    <row r="631" spans="1:11" ht="15.5" x14ac:dyDescent="0.35">
      <c r="A631" s="472" t="s">
        <v>852</v>
      </c>
      <c r="B631" s="473">
        <v>2024</v>
      </c>
      <c r="C631" s="473" t="str">
        <f t="shared" si="17"/>
        <v>Kern_2024</v>
      </c>
      <c r="D631" s="474">
        <v>416.38362413995759</v>
      </c>
      <c r="E631" s="2"/>
      <c r="F631" s="2"/>
      <c r="G631" s="2"/>
      <c r="H631" s="2"/>
      <c r="I631" s="21"/>
      <c r="J631" s="21"/>
      <c r="K631" s="21"/>
    </row>
    <row r="632" spans="1:11" ht="15.5" x14ac:dyDescent="0.35">
      <c r="A632" s="472" t="s">
        <v>852</v>
      </c>
      <c r="B632" s="473">
        <v>2025</v>
      </c>
      <c r="C632" s="473" t="str">
        <f t="shared" si="17"/>
        <v>Kern_2025</v>
      </c>
      <c r="D632" s="474">
        <v>402.85812731046332</v>
      </c>
      <c r="E632" s="2"/>
      <c r="F632" s="2"/>
      <c r="G632" s="2"/>
      <c r="H632" s="2"/>
      <c r="I632" s="21"/>
      <c r="J632" s="21"/>
      <c r="K632" s="21"/>
    </row>
    <row r="633" spans="1:11" ht="15.5" x14ac:dyDescent="0.35">
      <c r="A633" s="472" t="s">
        <v>852</v>
      </c>
      <c r="B633" s="473">
        <v>2026</v>
      </c>
      <c r="C633" s="473" t="str">
        <f t="shared" si="17"/>
        <v>Kern_2026</v>
      </c>
      <c r="D633" s="474">
        <v>389.6419234181854</v>
      </c>
      <c r="E633" s="2"/>
      <c r="F633" s="2"/>
      <c r="G633" s="2"/>
      <c r="H633" s="2"/>
      <c r="I633" s="21"/>
      <c r="J633" s="21"/>
      <c r="K633" s="21"/>
    </row>
    <row r="634" spans="1:11" ht="15.5" x14ac:dyDescent="0.35">
      <c r="A634" s="472" t="s">
        <v>852</v>
      </c>
      <c r="B634" s="473">
        <v>2027</v>
      </c>
      <c r="C634" s="473" t="str">
        <f t="shared" si="17"/>
        <v>Kern_2027</v>
      </c>
      <c r="D634" s="474">
        <v>378.32702344466901</v>
      </c>
      <c r="E634" s="2"/>
      <c r="F634" s="2"/>
      <c r="G634" s="2"/>
      <c r="H634" s="2"/>
      <c r="I634" s="21"/>
      <c r="J634" s="21"/>
      <c r="K634" s="21"/>
    </row>
    <row r="635" spans="1:11" ht="15.5" x14ac:dyDescent="0.35">
      <c r="A635" s="472" t="s">
        <v>852</v>
      </c>
      <c r="B635" s="473">
        <v>2028</v>
      </c>
      <c r="C635" s="473" t="str">
        <f t="shared" si="17"/>
        <v>Kern_2028</v>
      </c>
      <c r="D635" s="474">
        <v>368.13133668292897</v>
      </c>
      <c r="E635" s="2"/>
      <c r="F635" s="2"/>
      <c r="G635" s="2"/>
      <c r="H635" s="2"/>
      <c r="I635" s="21"/>
      <c r="J635" s="21"/>
      <c r="K635" s="21"/>
    </row>
    <row r="636" spans="1:11" ht="15.5" x14ac:dyDescent="0.35">
      <c r="A636" s="472" t="s">
        <v>852</v>
      </c>
      <c r="B636" s="473">
        <v>2029</v>
      </c>
      <c r="C636" s="473" t="str">
        <f t="shared" si="17"/>
        <v>Kern_2029</v>
      </c>
      <c r="D636" s="474">
        <v>358.97194030829246</v>
      </c>
      <c r="E636" s="2"/>
      <c r="F636" s="2"/>
      <c r="G636" s="2"/>
      <c r="H636" s="2"/>
      <c r="I636" s="21"/>
      <c r="J636" s="21"/>
      <c r="K636" s="21"/>
    </row>
    <row r="637" spans="1:11" ht="15.5" x14ac:dyDescent="0.35">
      <c r="A637" s="472" t="s">
        <v>852</v>
      </c>
      <c r="B637" s="473">
        <v>2030</v>
      </c>
      <c r="C637" s="473" t="str">
        <f t="shared" si="17"/>
        <v>Kern_2030</v>
      </c>
      <c r="D637" s="474">
        <v>350.79373462066707</v>
      </c>
      <c r="E637" s="2"/>
      <c r="F637" s="2"/>
      <c r="G637" s="2"/>
      <c r="H637" s="2"/>
      <c r="I637" s="21"/>
      <c r="J637" s="21"/>
      <c r="K637" s="21"/>
    </row>
    <row r="638" spans="1:11" ht="15.5" x14ac:dyDescent="0.35">
      <c r="A638" s="472" t="s">
        <v>852</v>
      </c>
      <c r="B638" s="473">
        <v>2031</v>
      </c>
      <c r="C638" s="473" t="str">
        <f t="shared" si="17"/>
        <v>Kern_2031</v>
      </c>
      <c r="D638" s="474">
        <v>343.52835858654248</v>
      </c>
      <c r="E638" s="2"/>
      <c r="F638" s="2"/>
      <c r="G638" s="2"/>
      <c r="H638" s="2"/>
      <c r="I638" s="21"/>
      <c r="J638" s="21"/>
      <c r="K638" s="21"/>
    </row>
    <row r="639" spans="1:11" ht="15.5" x14ac:dyDescent="0.35">
      <c r="A639" s="472" t="s">
        <v>852</v>
      </c>
      <c r="B639" s="473">
        <v>2032</v>
      </c>
      <c r="C639" s="473" t="str">
        <f t="shared" si="17"/>
        <v>Kern_2032</v>
      </c>
      <c r="D639" s="474">
        <v>337.10144696667953</v>
      </c>
      <c r="E639" s="2"/>
      <c r="F639" s="2"/>
      <c r="G639" s="2"/>
      <c r="H639" s="2"/>
      <c r="I639" s="21"/>
      <c r="J639" s="21"/>
      <c r="K639" s="21"/>
    </row>
    <row r="640" spans="1:11" ht="15.5" x14ac:dyDescent="0.35">
      <c r="A640" s="472" t="s">
        <v>852</v>
      </c>
      <c r="B640" s="473">
        <v>2033</v>
      </c>
      <c r="C640" s="473" t="str">
        <f t="shared" si="17"/>
        <v>Kern_2033</v>
      </c>
      <c r="D640" s="474">
        <v>331.4484780448463</v>
      </c>
      <c r="E640" s="2"/>
      <c r="F640" s="2"/>
      <c r="G640" s="2"/>
      <c r="H640" s="2"/>
      <c r="I640" s="21"/>
      <c r="J640" s="21"/>
      <c r="K640" s="21"/>
    </row>
    <row r="641" spans="1:11" ht="15.5" x14ac:dyDescent="0.35">
      <c r="A641" s="472" t="s">
        <v>852</v>
      </c>
      <c r="B641" s="473">
        <v>2034</v>
      </c>
      <c r="C641" s="473" t="str">
        <f t="shared" si="17"/>
        <v>Kern_2034</v>
      </c>
      <c r="D641" s="474">
        <v>326.4953716086323</v>
      </c>
      <c r="E641" s="2"/>
      <c r="F641" s="2"/>
      <c r="G641" s="2"/>
      <c r="H641" s="2"/>
      <c r="I641" s="21"/>
      <c r="J641" s="21"/>
      <c r="K641" s="21"/>
    </row>
    <row r="642" spans="1:11" ht="15.5" x14ac:dyDescent="0.35">
      <c r="A642" s="472" t="s">
        <v>852</v>
      </c>
      <c r="B642" s="473">
        <v>2035</v>
      </c>
      <c r="C642" s="473" t="str">
        <f t="shared" si="17"/>
        <v>Kern_2035</v>
      </c>
      <c r="D642" s="474">
        <v>322.19084161961263</v>
      </c>
      <c r="E642" s="2"/>
      <c r="F642" s="2"/>
      <c r="G642" s="2"/>
      <c r="H642" s="2"/>
      <c r="I642" s="21"/>
      <c r="J642" s="21"/>
      <c r="K642" s="21"/>
    </row>
    <row r="643" spans="1:11" ht="15.5" x14ac:dyDescent="0.35">
      <c r="A643" s="472" t="s">
        <v>852</v>
      </c>
      <c r="B643" s="473">
        <v>2036</v>
      </c>
      <c r="C643" s="473" t="str">
        <f t="shared" si="17"/>
        <v>Kern_2036</v>
      </c>
      <c r="D643" s="474">
        <v>318.46183642999114</v>
      </c>
      <c r="E643" s="2"/>
      <c r="F643" s="2"/>
      <c r="G643" s="2"/>
      <c r="H643" s="2"/>
      <c r="I643" s="21"/>
      <c r="J643" s="21"/>
      <c r="K643" s="21"/>
    </row>
    <row r="644" spans="1:11" ht="15.5" x14ac:dyDescent="0.35">
      <c r="A644" s="472" t="s">
        <v>852</v>
      </c>
      <c r="B644" s="473">
        <v>2037</v>
      </c>
      <c r="C644" s="473" t="str">
        <f t="shared" si="17"/>
        <v>Kern_2037</v>
      </c>
      <c r="D644" s="474">
        <v>315.27288916849301</v>
      </c>
      <c r="E644" s="2"/>
      <c r="F644" s="2"/>
      <c r="G644" s="2"/>
      <c r="H644" s="2"/>
      <c r="I644" s="21"/>
      <c r="J644" s="21"/>
      <c r="K644" s="21"/>
    </row>
    <row r="645" spans="1:11" ht="15.5" x14ac:dyDescent="0.35">
      <c r="A645" s="472" t="s">
        <v>852</v>
      </c>
      <c r="B645" s="473">
        <v>2038</v>
      </c>
      <c r="C645" s="473" t="str">
        <f t="shared" si="17"/>
        <v>Kern_2038</v>
      </c>
      <c r="D645" s="474">
        <v>312.56906627791273</v>
      </c>
      <c r="E645" s="2"/>
      <c r="F645" s="2"/>
      <c r="G645" s="2"/>
      <c r="H645" s="2"/>
      <c r="I645" s="21"/>
      <c r="J645" s="21"/>
      <c r="K645" s="21"/>
    </row>
    <row r="646" spans="1:11" ht="15.5" x14ac:dyDescent="0.35">
      <c r="A646" s="472" t="s">
        <v>852</v>
      </c>
      <c r="B646" s="473">
        <v>2039</v>
      </c>
      <c r="C646" s="473" t="str">
        <f t="shared" si="17"/>
        <v>Kern_2039</v>
      </c>
      <c r="D646" s="474">
        <v>310.27888925164314</v>
      </c>
      <c r="E646" s="2"/>
      <c r="F646" s="2"/>
      <c r="G646" s="2"/>
      <c r="H646" s="2"/>
      <c r="I646" s="21"/>
      <c r="J646" s="21"/>
      <c r="K646" s="21"/>
    </row>
    <row r="647" spans="1:11" ht="15.5" x14ac:dyDescent="0.35">
      <c r="A647" s="472" t="s">
        <v>852</v>
      </c>
      <c r="B647" s="473">
        <v>2040</v>
      </c>
      <c r="C647" s="473" t="str">
        <f t="shared" si="17"/>
        <v>Kern_2040</v>
      </c>
      <c r="D647" s="474">
        <v>308.36267460436966</v>
      </c>
      <c r="E647" s="2"/>
      <c r="F647" s="2"/>
      <c r="G647" s="2"/>
      <c r="H647" s="2"/>
      <c r="I647" s="21"/>
      <c r="J647" s="21"/>
      <c r="K647" s="21"/>
    </row>
    <row r="648" spans="1:11" ht="15.5" x14ac:dyDescent="0.35">
      <c r="A648" s="472" t="s">
        <v>852</v>
      </c>
      <c r="B648" s="473">
        <v>2041</v>
      </c>
      <c r="C648" s="473" t="str">
        <f t="shared" si="17"/>
        <v>Kern_2041</v>
      </c>
      <c r="D648" s="474">
        <v>306.78146645219152</v>
      </c>
      <c r="E648" s="2"/>
      <c r="F648" s="2"/>
      <c r="G648" s="2"/>
      <c r="H648" s="2"/>
      <c r="I648" s="21"/>
      <c r="J648" s="21"/>
      <c r="K648" s="21"/>
    </row>
    <row r="649" spans="1:11" ht="15.5" x14ac:dyDescent="0.35">
      <c r="A649" s="472" t="s">
        <v>852</v>
      </c>
      <c r="B649" s="473">
        <v>2042</v>
      </c>
      <c r="C649" s="473" t="str">
        <f t="shared" si="17"/>
        <v>Kern_2042</v>
      </c>
      <c r="D649" s="474">
        <v>305.46356325159752</v>
      </c>
      <c r="E649" s="2"/>
      <c r="F649" s="2"/>
      <c r="G649" s="2"/>
      <c r="H649" s="2"/>
      <c r="I649" s="21"/>
      <c r="J649" s="21"/>
      <c r="K649" s="21"/>
    </row>
    <row r="650" spans="1:11" ht="15.5" x14ac:dyDescent="0.35">
      <c r="A650" s="472" t="s">
        <v>852</v>
      </c>
      <c r="B650" s="473">
        <v>2043</v>
      </c>
      <c r="C650" s="473" t="str">
        <f t="shared" si="17"/>
        <v>Kern_2043</v>
      </c>
      <c r="D650" s="474">
        <v>304.38140390724851</v>
      </c>
      <c r="E650" s="2"/>
      <c r="F650" s="2"/>
      <c r="G650" s="2"/>
      <c r="H650" s="2"/>
      <c r="I650" s="21"/>
      <c r="J650" s="21"/>
      <c r="K650" s="21"/>
    </row>
    <row r="651" spans="1:11" ht="15.5" x14ac:dyDescent="0.35">
      <c r="A651" s="472" t="s">
        <v>852</v>
      </c>
      <c r="B651" s="473">
        <v>2044</v>
      </c>
      <c r="C651" s="473" t="str">
        <f t="shared" si="17"/>
        <v>Kern_2044</v>
      </c>
      <c r="D651" s="474">
        <v>303.48385398851201</v>
      </c>
      <c r="E651" s="2"/>
      <c r="F651" s="2"/>
      <c r="G651" s="2"/>
      <c r="H651" s="2"/>
      <c r="I651" s="21"/>
      <c r="J651" s="21"/>
      <c r="K651" s="21"/>
    </row>
    <row r="652" spans="1:11" ht="15.5" x14ac:dyDescent="0.35">
      <c r="A652" s="472" t="s">
        <v>852</v>
      </c>
      <c r="B652" s="473">
        <v>2045</v>
      </c>
      <c r="C652" s="473" t="str">
        <f t="shared" si="17"/>
        <v>Kern_2045</v>
      </c>
      <c r="D652" s="474">
        <v>302.72348372760041</v>
      </c>
      <c r="E652" s="2"/>
      <c r="F652" s="2"/>
      <c r="G652" s="2"/>
      <c r="H652" s="2"/>
      <c r="I652" s="21"/>
      <c r="J652" s="21"/>
      <c r="K652" s="21"/>
    </row>
    <row r="653" spans="1:11" ht="15.5" x14ac:dyDescent="0.35">
      <c r="A653" s="472" t="s">
        <v>852</v>
      </c>
      <c r="B653" s="473">
        <v>2046</v>
      </c>
      <c r="C653" s="473" t="str">
        <f t="shared" si="17"/>
        <v>Kern_2046</v>
      </c>
      <c r="D653" s="474">
        <v>302.08518261845052</v>
      </c>
      <c r="E653" s="2"/>
      <c r="F653" s="2"/>
      <c r="G653" s="2"/>
      <c r="H653" s="2"/>
      <c r="I653" s="21"/>
      <c r="J653" s="21"/>
      <c r="K653" s="21"/>
    </row>
    <row r="654" spans="1:11" ht="15.5" x14ac:dyDescent="0.35">
      <c r="A654" s="472" t="s">
        <v>852</v>
      </c>
      <c r="B654" s="473">
        <v>2047</v>
      </c>
      <c r="C654" s="473" t="str">
        <f t="shared" si="17"/>
        <v>Kern_2047</v>
      </c>
      <c r="D654" s="474">
        <v>301.55849008003878</v>
      </c>
      <c r="E654" s="2"/>
      <c r="F654" s="2"/>
      <c r="G654" s="2"/>
      <c r="H654" s="2"/>
      <c r="I654" s="21"/>
      <c r="J654" s="21"/>
      <c r="K654" s="21"/>
    </row>
    <row r="655" spans="1:11" ht="15.5" x14ac:dyDescent="0.35">
      <c r="A655" s="472" t="s">
        <v>852</v>
      </c>
      <c r="B655" s="473">
        <v>2048</v>
      </c>
      <c r="C655" s="473" t="str">
        <f t="shared" si="17"/>
        <v>Kern_2048</v>
      </c>
      <c r="D655" s="474">
        <v>301.11909525756676</v>
      </c>
      <c r="E655" s="2"/>
      <c r="F655" s="2"/>
      <c r="G655" s="2"/>
      <c r="H655" s="2"/>
      <c r="I655" s="21"/>
      <c r="J655" s="21"/>
      <c r="K655" s="21"/>
    </row>
    <row r="656" spans="1:11" ht="15.5" x14ac:dyDescent="0.35">
      <c r="A656" s="472" t="s">
        <v>852</v>
      </c>
      <c r="B656" s="473">
        <v>2049</v>
      </c>
      <c r="C656" s="473" t="str">
        <f t="shared" si="17"/>
        <v>Kern_2049</v>
      </c>
      <c r="D656" s="474">
        <v>300.74888374843152</v>
      </c>
      <c r="E656" s="2"/>
      <c r="F656" s="2"/>
      <c r="G656" s="2"/>
      <c r="H656" s="2"/>
      <c r="I656" s="21"/>
      <c r="J656" s="21"/>
      <c r="K656" s="21"/>
    </row>
    <row r="657" spans="1:11" ht="15.5" x14ac:dyDescent="0.35">
      <c r="A657" s="472" t="s">
        <v>852</v>
      </c>
      <c r="B657" s="473">
        <v>2050</v>
      </c>
      <c r="C657" s="473" t="str">
        <f t="shared" si="17"/>
        <v>Kern_2050</v>
      </c>
      <c r="D657" s="474">
        <v>300.44320024688102</v>
      </c>
      <c r="E657" s="2"/>
      <c r="F657" s="2"/>
      <c r="G657" s="2"/>
      <c r="H657" s="2"/>
      <c r="I657" s="21"/>
      <c r="J657" s="21"/>
      <c r="K657" s="21"/>
    </row>
    <row r="658" spans="1:11" ht="15.5" x14ac:dyDescent="0.35">
      <c r="A658" s="468" t="s">
        <v>855</v>
      </c>
      <c r="B658" s="469">
        <v>2015</v>
      </c>
      <c r="C658" s="470" t="s">
        <v>856</v>
      </c>
      <c r="D658" s="471">
        <v>518.56535457229586</v>
      </c>
      <c r="E658" s="2"/>
      <c r="F658" s="2"/>
      <c r="G658" s="2"/>
      <c r="H658" s="2"/>
      <c r="I658" s="21"/>
      <c r="J658" s="21"/>
      <c r="K658" s="21"/>
    </row>
    <row r="659" spans="1:11" ht="15.5" x14ac:dyDescent="0.35">
      <c r="A659" s="468" t="s">
        <v>855</v>
      </c>
      <c r="B659" s="469">
        <v>2016</v>
      </c>
      <c r="C659" s="470" t="s">
        <v>857</v>
      </c>
      <c r="D659" s="471">
        <v>507.3701754240692</v>
      </c>
      <c r="E659" s="2"/>
      <c r="F659" s="2"/>
      <c r="G659" s="2"/>
      <c r="H659" s="2"/>
      <c r="I659" s="21"/>
      <c r="J659" s="21"/>
      <c r="K659" s="21"/>
    </row>
    <row r="660" spans="1:11" ht="15.5" x14ac:dyDescent="0.35">
      <c r="A660" s="472" t="s">
        <v>855</v>
      </c>
      <c r="B660" s="473">
        <v>2017</v>
      </c>
      <c r="C660" s="473" t="str">
        <f t="shared" ref="C660:C723" si="18">CONCATENATE(A660,"_",B660)</f>
        <v>Kings_2017</v>
      </c>
      <c r="D660" s="474">
        <v>494.84165643594309</v>
      </c>
      <c r="E660" s="2"/>
      <c r="F660" s="2"/>
      <c r="G660" s="2"/>
      <c r="H660" s="2"/>
      <c r="I660" s="21"/>
      <c r="J660" s="21"/>
      <c r="K660" s="21"/>
    </row>
    <row r="661" spans="1:11" ht="15.5" x14ac:dyDescent="0.35">
      <c r="A661" s="472" t="s">
        <v>855</v>
      </c>
      <c r="B661" s="473">
        <v>2018</v>
      </c>
      <c r="C661" s="473" t="str">
        <f t="shared" si="18"/>
        <v>Kings_2018</v>
      </c>
      <c r="D661" s="474">
        <v>480.335203145636</v>
      </c>
      <c r="E661" s="2"/>
      <c r="F661" s="2"/>
      <c r="G661" s="2"/>
      <c r="H661" s="2"/>
      <c r="I661" s="21"/>
      <c r="J661" s="21"/>
      <c r="K661" s="21"/>
    </row>
    <row r="662" spans="1:11" ht="15.5" x14ac:dyDescent="0.35">
      <c r="A662" s="472" t="s">
        <v>855</v>
      </c>
      <c r="B662" s="473">
        <v>2019</v>
      </c>
      <c r="C662" s="473" t="str">
        <f t="shared" si="18"/>
        <v>Kings_2019</v>
      </c>
      <c r="D662" s="474">
        <v>466.74330908538337</v>
      </c>
      <c r="E662" s="2"/>
      <c r="F662" s="2"/>
      <c r="G662" s="2"/>
      <c r="H662" s="2"/>
      <c r="I662" s="21"/>
      <c r="J662" s="21"/>
      <c r="K662" s="21"/>
    </row>
    <row r="663" spans="1:11" ht="15.5" x14ac:dyDescent="0.35">
      <c r="A663" s="472" t="s">
        <v>855</v>
      </c>
      <c r="B663" s="473">
        <v>2020</v>
      </c>
      <c r="C663" s="473" t="str">
        <f t="shared" si="18"/>
        <v>Kings_2020</v>
      </c>
      <c r="D663" s="474">
        <v>452.97467108568071</v>
      </c>
      <c r="E663" s="2"/>
      <c r="F663" s="2"/>
      <c r="G663" s="2"/>
      <c r="H663" s="2"/>
      <c r="I663" s="21"/>
      <c r="J663" s="21"/>
      <c r="K663" s="21"/>
    </row>
    <row r="664" spans="1:11" ht="15.5" x14ac:dyDescent="0.35">
      <c r="A664" s="472" t="s">
        <v>855</v>
      </c>
      <c r="B664" s="473">
        <v>2021</v>
      </c>
      <c r="C664" s="473" t="str">
        <f t="shared" si="18"/>
        <v>Kings_2021</v>
      </c>
      <c r="D664" s="474">
        <v>440.05786022601296</v>
      </c>
      <c r="E664" s="2"/>
      <c r="F664" s="2"/>
      <c r="G664" s="2"/>
      <c r="H664" s="2"/>
      <c r="I664" s="21"/>
      <c r="J664" s="21"/>
      <c r="K664" s="21"/>
    </row>
    <row r="665" spans="1:11" ht="15.5" x14ac:dyDescent="0.35">
      <c r="A665" s="472" t="s">
        <v>855</v>
      </c>
      <c r="B665" s="473">
        <v>2022</v>
      </c>
      <c r="C665" s="473" t="str">
        <f t="shared" si="18"/>
        <v>Kings_2022</v>
      </c>
      <c r="D665" s="474">
        <v>426.47106575050248</v>
      </c>
      <c r="E665" s="2"/>
      <c r="F665" s="2"/>
      <c r="G665" s="2"/>
      <c r="H665" s="2"/>
      <c r="I665" s="21"/>
      <c r="J665" s="21"/>
      <c r="K665" s="21"/>
    </row>
    <row r="666" spans="1:11" ht="15.5" x14ac:dyDescent="0.35">
      <c r="A666" s="472" t="s">
        <v>855</v>
      </c>
      <c r="B666" s="473">
        <v>2023</v>
      </c>
      <c r="C666" s="473" t="str">
        <f t="shared" si="18"/>
        <v>Kings_2023</v>
      </c>
      <c r="D666" s="474">
        <v>413.02125206034191</v>
      </c>
      <c r="E666" s="2"/>
      <c r="F666" s="2"/>
      <c r="G666" s="2"/>
      <c r="H666" s="2"/>
      <c r="I666" s="21"/>
      <c r="J666" s="21"/>
      <c r="K666" s="21"/>
    </row>
    <row r="667" spans="1:11" ht="15.5" x14ac:dyDescent="0.35">
      <c r="A667" s="472" t="s">
        <v>855</v>
      </c>
      <c r="B667" s="473">
        <v>2024</v>
      </c>
      <c r="C667" s="473" t="str">
        <f t="shared" si="18"/>
        <v>Kings_2024</v>
      </c>
      <c r="D667" s="474">
        <v>400.2324615217841</v>
      </c>
      <c r="E667" s="2"/>
      <c r="F667" s="2"/>
      <c r="G667" s="2"/>
      <c r="H667" s="2"/>
      <c r="I667" s="21"/>
      <c r="J667" s="21"/>
      <c r="K667" s="21"/>
    </row>
    <row r="668" spans="1:11" ht="15.5" x14ac:dyDescent="0.35">
      <c r="A668" s="472" t="s">
        <v>855</v>
      </c>
      <c r="B668" s="473">
        <v>2025</v>
      </c>
      <c r="C668" s="473" t="str">
        <f t="shared" si="18"/>
        <v>Kings_2025</v>
      </c>
      <c r="D668" s="474">
        <v>387.23725182998317</v>
      </c>
      <c r="E668" s="2"/>
      <c r="F668" s="2"/>
      <c r="G668" s="2"/>
      <c r="H668" s="2"/>
      <c r="I668" s="21"/>
      <c r="J668" s="21"/>
      <c r="K668" s="21"/>
    </row>
    <row r="669" spans="1:11" ht="15.5" x14ac:dyDescent="0.35">
      <c r="A669" s="472" t="s">
        <v>855</v>
      </c>
      <c r="B669" s="473">
        <v>2026</v>
      </c>
      <c r="C669" s="473" t="str">
        <f t="shared" si="18"/>
        <v>Kings_2026</v>
      </c>
      <c r="D669" s="474">
        <v>376.77257689533224</v>
      </c>
      <c r="E669" s="2"/>
      <c r="F669" s="2"/>
      <c r="G669" s="2"/>
      <c r="H669" s="2"/>
      <c r="I669" s="21"/>
      <c r="J669" s="21"/>
      <c r="K669" s="21"/>
    </row>
    <row r="670" spans="1:11" ht="15.5" x14ac:dyDescent="0.35">
      <c r="A670" s="472" t="s">
        <v>855</v>
      </c>
      <c r="B670" s="473">
        <v>2027</v>
      </c>
      <c r="C670" s="473" t="str">
        <f t="shared" si="18"/>
        <v>Kings_2027</v>
      </c>
      <c r="D670" s="474">
        <v>365.90655395984203</v>
      </c>
      <c r="E670" s="2"/>
      <c r="F670" s="2"/>
      <c r="G670" s="2"/>
      <c r="H670" s="2"/>
      <c r="I670" s="21"/>
      <c r="J670" s="21"/>
      <c r="K670" s="21"/>
    </row>
    <row r="671" spans="1:11" ht="15.5" x14ac:dyDescent="0.35">
      <c r="A671" s="472" t="s">
        <v>855</v>
      </c>
      <c r="B671" s="473">
        <v>2028</v>
      </c>
      <c r="C671" s="473" t="str">
        <f t="shared" si="18"/>
        <v>Kings_2028</v>
      </c>
      <c r="D671" s="474">
        <v>356.14322225661078</v>
      </c>
      <c r="E671" s="2"/>
      <c r="F671" s="2"/>
      <c r="G671" s="2"/>
      <c r="H671" s="2"/>
      <c r="I671" s="21"/>
      <c r="J671" s="21"/>
      <c r="K671" s="21"/>
    </row>
    <row r="672" spans="1:11" ht="15.5" x14ac:dyDescent="0.35">
      <c r="A672" s="472" t="s">
        <v>855</v>
      </c>
      <c r="B672" s="473">
        <v>2029</v>
      </c>
      <c r="C672" s="473" t="str">
        <f t="shared" si="18"/>
        <v>Kings_2029</v>
      </c>
      <c r="D672" s="474">
        <v>347.38785741823426</v>
      </c>
      <c r="E672" s="2"/>
      <c r="F672" s="2"/>
      <c r="G672" s="2"/>
      <c r="H672" s="2"/>
      <c r="I672" s="21"/>
      <c r="J672" s="21"/>
      <c r="K672" s="21"/>
    </row>
    <row r="673" spans="1:11" ht="15.5" x14ac:dyDescent="0.35">
      <c r="A673" s="472" t="s">
        <v>855</v>
      </c>
      <c r="B673" s="473">
        <v>2030</v>
      </c>
      <c r="C673" s="473" t="str">
        <f t="shared" si="18"/>
        <v>Kings_2030</v>
      </c>
      <c r="D673" s="474">
        <v>339.57580229961758</v>
      </c>
      <c r="E673" s="2"/>
      <c r="F673" s="2"/>
      <c r="G673" s="2"/>
      <c r="H673" s="2"/>
      <c r="I673" s="21"/>
      <c r="J673" s="21"/>
      <c r="K673" s="21"/>
    </row>
    <row r="674" spans="1:11" ht="15.5" x14ac:dyDescent="0.35">
      <c r="A674" s="472" t="s">
        <v>855</v>
      </c>
      <c r="B674" s="473">
        <v>2031</v>
      </c>
      <c r="C674" s="473" t="str">
        <f t="shared" si="18"/>
        <v>Kings_2031</v>
      </c>
      <c r="D674" s="474">
        <v>332.64073307133003</v>
      </c>
      <c r="E674" s="2"/>
      <c r="F674" s="2"/>
      <c r="G674" s="2"/>
      <c r="H674" s="2"/>
      <c r="I674" s="21"/>
      <c r="J674" s="21"/>
      <c r="K674" s="21"/>
    </row>
    <row r="675" spans="1:11" ht="15.5" x14ac:dyDescent="0.35">
      <c r="A675" s="472" t="s">
        <v>855</v>
      </c>
      <c r="B675" s="473">
        <v>2032</v>
      </c>
      <c r="C675" s="473" t="str">
        <f t="shared" si="18"/>
        <v>Kings_2032</v>
      </c>
      <c r="D675" s="474">
        <v>326.5069809120763</v>
      </c>
      <c r="E675" s="2"/>
      <c r="F675" s="2"/>
      <c r="G675" s="2"/>
      <c r="H675" s="2"/>
      <c r="I675" s="21"/>
      <c r="J675" s="21"/>
      <c r="K675" s="21"/>
    </row>
    <row r="676" spans="1:11" ht="15.5" x14ac:dyDescent="0.35">
      <c r="A676" s="472" t="s">
        <v>855</v>
      </c>
      <c r="B676" s="473">
        <v>2033</v>
      </c>
      <c r="C676" s="473" t="str">
        <f t="shared" si="18"/>
        <v>Kings_2033</v>
      </c>
      <c r="D676" s="474">
        <v>321.10570274556767</v>
      </c>
      <c r="E676" s="2"/>
      <c r="F676" s="2"/>
      <c r="G676" s="2"/>
      <c r="H676" s="2"/>
      <c r="I676" s="21"/>
      <c r="J676" s="21"/>
      <c r="K676" s="21"/>
    </row>
    <row r="677" spans="1:11" ht="15.5" x14ac:dyDescent="0.35">
      <c r="A677" s="472" t="s">
        <v>855</v>
      </c>
      <c r="B677" s="473">
        <v>2034</v>
      </c>
      <c r="C677" s="473" t="str">
        <f t="shared" si="18"/>
        <v>Kings_2034</v>
      </c>
      <c r="D677" s="474">
        <v>316.37424349827177</v>
      </c>
      <c r="E677" s="2"/>
      <c r="F677" s="2"/>
      <c r="G677" s="2"/>
      <c r="H677" s="2"/>
      <c r="I677" s="21"/>
      <c r="J677" s="21"/>
      <c r="K677" s="21"/>
    </row>
    <row r="678" spans="1:11" ht="15.5" x14ac:dyDescent="0.35">
      <c r="A678" s="472" t="s">
        <v>855</v>
      </c>
      <c r="B678" s="473">
        <v>2035</v>
      </c>
      <c r="C678" s="473" t="str">
        <f t="shared" si="18"/>
        <v>Kings_2035</v>
      </c>
      <c r="D678" s="474">
        <v>312.26528328128177</v>
      </c>
      <c r="E678" s="2"/>
      <c r="F678" s="2"/>
      <c r="G678" s="2"/>
      <c r="H678" s="2"/>
      <c r="I678" s="21"/>
      <c r="J678" s="21"/>
      <c r="K678" s="21"/>
    </row>
    <row r="679" spans="1:11" ht="15.5" x14ac:dyDescent="0.35">
      <c r="A679" s="472" t="s">
        <v>855</v>
      </c>
      <c r="B679" s="473">
        <v>2036</v>
      </c>
      <c r="C679" s="473" t="str">
        <f t="shared" si="18"/>
        <v>Kings_2036</v>
      </c>
      <c r="D679" s="474">
        <v>308.72129198375353</v>
      </c>
      <c r="E679" s="2"/>
      <c r="F679" s="2"/>
      <c r="G679" s="2"/>
      <c r="H679" s="2"/>
      <c r="I679" s="21"/>
      <c r="J679" s="21"/>
      <c r="K679" s="21"/>
    </row>
    <row r="680" spans="1:11" ht="15.5" x14ac:dyDescent="0.35">
      <c r="A680" s="472" t="s">
        <v>855</v>
      </c>
      <c r="B680" s="473">
        <v>2037</v>
      </c>
      <c r="C680" s="473" t="str">
        <f t="shared" si="18"/>
        <v>Kings_2037</v>
      </c>
      <c r="D680" s="474">
        <v>305.70141203563605</v>
      </c>
      <c r="E680" s="2"/>
      <c r="F680" s="2"/>
      <c r="G680" s="2"/>
      <c r="H680" s="2"/>
      <c r="I680" s="21"/>
      <c r="J680" s="21"/>
      <c r="K680" s="21"/>
    </row>
    <row r="681" spans="1:11" ht="15.5" x14ac:dyDescent="0.35">
      <c r="A681" s="472" t="s">
        <v>855</v>
      </c>
      <c r="B681" s="473">
        <v>2038</v>
      </c>
      <c r="C681" s="473" t="str">
        <f t="shared" si="18"/>
        <v>Kings_2038</v>
      </c>
      <c r="D681" s="474">
        <v>303.14718922478625</v>
      </c>
      <c r="E681" s="2"/>
      <c r="F681" s="2"/>
      <c r="G681" s="2"/>
      <c r="H681" s="2"/>
      <c r="I681" s="21"/>
      <c r="J681" s="21"/>
      <c r="K681" s="21"/>
    </row>
    <row r="682" spans="1:11" ht="15.5" x14ac:dyDescent="0.35">
      <c r="A682" s="472" t="s">
        <v>855</v>
      </c>
      <c r="B682" s="473">
        <v>2039</v>
      </c>
      <c r="C682" s="473" t="str">
        <f t="shared" si="18"/>
        <v>Kings_2039</v>
      </c>
      <c r="D682" s="474">
        <v>300.99517138735757</v>
      </c>
      <c r="E682" s="2"/>
      <c r="F682" s="2"/>
      <c r="G682" s="2"/>
      <c r="H682" s="2"/>
      <c r="I682" s="21"/>
      <c r="J682" s="21"/>
      <c r="K682" s="21"/>
    </row>
    <row r="683" spans="1:11" ht="15.5" x14ac:dyDescent="0.35">
      <c r="A683" s="472" t="s">
        <v>855</v>
      </c>
      <c r="B683" s="473">
        <v>2040</v>
      </c>
      <c r="C683" s="473" t="str">
        <f t="shared" si="18"/>
        <v>Kings_2040</v>
      </c>
      <c r="D683" s="474">
        <v>299.20359039797177</v>
      </c>
      <c r="E683" s="2"/>
      <c r="F683" s="2"/>
      <c r="G683" s="2"/>
      <c r="H683" s="2"/>
      <c r="I683" s="21"/>
      <c r="J683" s="21"/>
      <c r="K683" s="21"/>
    </row>
    <row r="684" spans="1:11" ht="15.5" x14ac:dyDescent="0.35">
      <c r="A684" s="472" t="s">
        <v>855</v>
      </c>
      <c r="B684" s="473">
        <v>2041</v>
      </c>
      <c r="C684" s="473" t="str">
        <f t="shared" si="18"/>
        <v>Kings_2041</v>
      </c>
      <c r="D684" s="474">
        <v>297.73425745133619</v>
      </c>
      <c r="E684" s="2"/>
      <c r="F684" s="2"/>
      <c r="G684" s="2"/>
      <c r="H684" s="2"/>
      <c r="I684" s="21"/>
      <c r="J684" s="21"/>
      <c r="K684" s="21"/>
    </row>
    <row r="685" spans="1:11" ht="15.5" x14ac:dyDescent="0.35">
      <c r="A685" s="472" t="s">
        <v>855</v>
      </c>
      <c r="B685" s="473">
        <v>2042</v>
      </c>
      <c r="C685" s="473" t="str">
        <f t="shared" si="18"/>
        <v>Kings_2042</v>
      </c>
      <c r="D685" s="474">
        <v>296.51068061021351</v>
      </c>
      <c r="E685" s="2"/>
      <c r="F685" s="2"/>
      <c r="G685" s="2"/>
      <c r="H685" s="2"/>
      <c r="I685" s="21"/>
      <c r="J685" s="21"/>
      <c r="K685" s="21"/>
    </row>
    <row r="686" spans="1:11" ht="15.5" x14ac:dyDescent="0.35">
      <c r="A686" s="472" t="s">
        <v>855</v>
      </c>
      <c r="B686" s="473">
        <v>2043</v>
      </c>
      <c r="C686" s="473" t="str">
        <f t="shared" si="18"/>
        <v>Kings_2043</v>
      </c>
      <c r="D686" s="474">
        <v>295.51550065622655</v>
      </c>
      <c r="E686" s="2"/>
      <c r="F686" s="2"/>
      <c r="G686" s="2"/>
      <c r="H686" s="2"/>
      <c r="I686" s="21"/>
      <c r="J686" s="21"/>
      <c r="K686" s="21"/>
    </row>
    <row r="687" spans="1:11" ht="15.5" x14ac:dyDescent="0.35">
      <c r="A687" s="472" t="s">
        <v>855</v>
      </c>
      <c r="B687" s="473">
        <v>2044</v>
      </c>
      <c r="C687" s="473" t="str">
        <f t="shared" si="18"/>
        <v>Kings_2044</v>
      </c>
      <c r="D687" s="474">
        <v>294.70080154546196</v>
      </c>
      <c r="E687" s="2"/>
      <c r="F687" s="2"/>
      <c r="G687" s="2"/>
      <c r="H687" s="2"/>
      <c r="I687" s="21"/>
      <c r="J687" s="21"/>
      <c r="K687" s="21"/>
    </row>
    <row r="688" spans="1:11" ht="15.5" x14ac:dyDescent="0.35">
      <c r="A688" s="472" t="s">
        <v>855</v>
      </c>
      <c r="B688" s="473">
        <v>2045</v>
      </c>
      <c r="C688" s="473" t="str">
        <f t="shared" si="18"/>
        <v>Kings_2045</v>
      </c>
      <c r="D688" s="474">
        <v>294.01847032503565</v>
      </c>
      <c r="E688" s="2"/>
      <c r="F688" s="2"/>
      <c r="G688" s="2"/>
      <c r="H688" s="2"/>
      <c r="I688" s="21"/>
      <c r="J688" s="21"/>
      <c r="K688" s="21"/>
    </row>
    <row r="689" spans="1:11" ht="15.5" x14ac:dyDescent="0.35">
      <c r="A689" s="472" t="s">
        <v>855</v>
      </c>
      <c r="B689" s="473">
        <v>2046</v>
      </c>
      <c r="C689" s="473" t="str">
        <f t="shared" si="18"/>
        <v>Kings_2046</v>
      </c>
      <c r="D689" s="474">
        <v>293.44708014687626</v>
      </c>
      <c r="E689" s="2"/>
      <c r="F689" s="2"/>
      <c r="G689" s="2"/>
      <c r="H689" s="2"/>
      <c r="I689" s="21"/>
      <c r="J689" s="21"/>
      <c r="K689" s="21"/>
    </row>
    <row r="690" spans="1:11" ht="15.5" x14ac:dyDescent="0.35">
      <c r="A690" s="472" t="s">
        <v>855</v>
      </c>
      <c r="B690" s="473">
        <v>2047</v>
      </c>
      <c r="C690" s="473" t="str">
        <f t="shared" si="18"/>
        <v>Kings_2047</v>
      </c>
      <c r="D690" s="474">
        <v>292.98031172515965</v>
      </c>
      <c r="E690" s="2"/>
      <c r="F690" s="2"/>
      <c r="G690" s="2"/>
      <c r="H690" s="2"/>
      <c r="I690" s="21"/>
      <c r="J690" s="21"/>
      <c r="K690" s="21"/>
    </row>
    <row r="691" spans="1:11" ht="15.5" x14ac:dyDescent="0.35">
      <c r="A691" s="472" t="s">
        <v>855</v>
      </c>
      <c r="B691" s="473">
        <v>2048</v>
      </c>
      <c r="C691" s="473" t="str">
        <f t="shared" si="18"/>
        <v>Kings_2048</v>
      </c>
      <c r="D691" s="474">
        <v>292.59261848723531</v>
      </c>
      <c r="E691" s="2"/>
      <c r="F691" s="2"/>
      <c r="G691" s="2"/>
      <c r="H691" s="2"/>
      <c r="I691" s="21"/>
      <c r="J691" s="21"/>
      <c r="K691" s="21"/>
    </row>
    <row r="692" spans="1:11" ht="15.5" x14ac:dyDescent="0.35">
      <c r="A692" s="472" t="s">
        <v>855</v>
      </c>
      <c r="B692" s="473">
        <v>2049</v>
      </c>
      <c r="C692" s="473" t="str">
        <f t="shared" si="18"/>
        <v>Kings_2049</v>
      </c>
      <c r="D692" s="474">
        <v>292.27344349507791</v>
      </c>
      <c r="E692" s="2"/>
      <c r="F692" s="2"/>
      <c r="G692" s="2"/>
      <c r="H692" s="2"/>
      <c r="I692" s="21"/>
      <c r="J692" s="21"/>
      <c r="K692" s="21"/>
    </row>
    <row r="693" spans="1:11" ht="15.5" x14ac:dyDescent="0.35">
      <c r="A693" s="472" t="s">
        <v>855</v>
      </c>
      <c r="B693" s="473">
        <v>2050</v>
      </c>
      <c r="C693" s="473" t="str">
        <f t="shared" si="18"/>
        <v>Kings_2050</v>
      </c>
      <c r="D693" s="474">
        <v>292.01155418163785</v>
      </c>
      <c r="E693" s="2"/>
      <c r="F693" s="2"/>
      <c r="G693" s="2"/>
      <c r="H693" s="2"/>
      <c r="I693" s="21"/>
      <c r="J693" s="21"/>
      <c r="K693" s="21"/>
    </row>
    <row r="694" spans="1:11" ht="15.5" x14ac:dyDescent="0.35">
      <c r="A694" s="477" t="s">
        <v>858</v>
      </c>
      <c r="B694" s="476">
        <v>2015</v>
      </c>
      <c r="C694" s="476" t="str">
        <f t="shared" si="18"/>
        <v>Lake County (Air Basin)_2015</v>
      </c>
      <c r="D694" s="471">
        <v>538.30387802502617</v>
      </c>
      <c r="E694" s="2"/>
      <c r="F694" s="2"/>
      <c r="G694" s="2"/>
      <c r="H694" s="2"/>
      <c r="I694" s="21"/>
      <c r="J694" s="21"/>
      <c r="K694" s="21"/>
    </row>
    <row r="695" spans="1:11" ht="15.5" x14ac:dyDescent="0.35">
      <c r="A695" s="475" t="s">
        <v>858</v>
      </c>
      <c r="B695" s="476">
        <v>2016</v>
      </c>
      <c r="C695" s="476" t="str">
        <f t="shared" si="18"/>
        <v>Lake County (Air Basin)_2016</v>
      </c>
      <c r="D695" s="471">
        <v>530.05453820249409</v>
      </c>
      <c r="E695" s="2"/>
      <c r="F695" s="2"/>
      <c r="G695" s="2"/>
      <c r="H695" s="2"/>
      <c r="I695" s="21"/>
      <c r="J695" s="21"/>
      <c r="K695" s="21"/>
    </row>
    <row r="696" spans="1:11" ht="15.5" x14ac:dyDescent="0.35">
      <c r="A696" s="477" t="s">
        <v>858</v>
      </c>
      <c r="B696" s="478">
        <v>2017</v>
      </c>
      <c r="C696" s="478" t="str">
        <f t="shared" si="18"/>
        <v>Lake County (Air Basin)_2017</v>
      </c>
      <c r="D696" s="474">
        <v>518.56838061808776</v>
      </c>
      <c r="E696" s="2"/>
      <c r="F696" s="2"/>
      <c r="G696" s="2"/>
      <c r="H696" s="2"/>
      <c r="I696" s="21"/>
      <c r="J696" s="21"/>
      <c r="K696" s="21"/>
    </row>
    <row r="697" spans="1:11" ht="15.5" x14ac:dyDescent="0.35">
      <c r="A697" s="477" t="s">
        <v>858</v>
      </c>
      <c r="B697" s="478">
        <v>2018</v>
      </c>
      <c r="C697" s="478" t="str">
        <f t="shared" si="18"/>
        <v>Lake County (Air Basin)_2018</v>
      </c>
      <c r="D697" s="474">
        <v>506.46219495482342</v>
      </c>
      <c r="E697" s="2"/>
      <c r="F697" s="2"/>
      <c r="G697" s="2"/>
      <c r="H697" s="2"/>
      <c r="I697" s="21"/>
      <c r="J697" s="21"/>
      <c r="K697" s="21"/>
    </row>
    <row r="698" spans="1:11" ht="15.5" x14ac:dyDescent="0.35">
      <c r="A698" s="477" t="s">
        <v>858</v>
      </c>
      <c r="B698" s="478">
        <v>2019</v>
      </c>
      <c r="C698" s="478" t="str">
        <f t="shared" si="18"/>
        <v>Lake County (Air Basin)_2019</v>
      </c>
      <c r="D698" s="474">
        <v>493.69629331683552</v>
      </c>
      <c r="E698" s="2"/>
      <c r="F698" s="2"/>
      <c r="G698" s="2"/>
      <c r="H698" s="2"/>
      <c r="I698" s="21"/>
      <c r="J698" s="21"/>
      <c r="K698" s="21"/>
    </row>
    <row r="699" spans="1:11" ht="15.5" x14ac:dyDescent="0.35">
      <c r="A699" s="477" t="s">
        <v>858</v>
      </c>
      <c r="B699" s="478">
        <v>2020</v>
      </c>
      <c r="C699" s="478" t="str">
        <f t="shared" si="18"/>
        <v>Lake County (Air Basin)_2020</v>
      </c>
      <c r="D699" s="474">
        <v>480.50183717686878</v>
      </c>
      <c r="E699" s="2"/>
      <c r="F699" s="2"/>
      <c r="G699" s="2"/>
      <c r="H699" s="2"/>
      <c r="I699" s="21"/>
      <c r="J699" s="21"/>
      <c r="K699" s="21"/>
    </row>
    <row r="700" spans="1:11" ht="15.5" x14ac:dyDescent="0.35">
      <c r="A700" s="477" t="s">
        <v>858</v>
      </c>
      <c r="B700" s="478">
        <v>2021</v>
      </c>
      <c r="C700" s="478" t="str">
        <f t="shared" si="18"/>
        <v>Lake County (Air Basin)_2021</v>
      </c>
      <c r="D700" s="474">
        <v>466.81420413196588</v>
      </c>
      <c r="E700" s="2"/>
      <c r="F700" s="2"/>
      <c r="G700" s="2"/>
      <c r="H700" s="2"/>
      <c r="I700" s="21"/>
      <c r="J700" s="21"/>
      <c r="K700" s="21"/>
    </row>
    <row r="701" spans="1:11" ht="15.5" x14ac:dyDescent="0.35">
      <c r="A701" s="477" t="s">
        <v>858</v>
      </c>
      <c r="B701" s="478">
        <v>2022</v>
      </c>
      <c r="C701" s="478" t="str">
        <f t="shared" si="18"/>
        <v>Lake County (Air Basin)_2022</v>
      </c>
      <c r="D701" s="474">
        <v>453.09239738743105</v>
      </c>
      <c r="E701" s="2"/>
      <c r="F701" s="2"/>
      <c r="G701" s="2"/>
      <c r="H701" s="2"/>
      <c r="I701" s="21"/>
      <c r="J701" s="21"/>
      <c r="K701" s="21"/>
    </row>
    <row r="702" spans="1:11" ht="15.5" x14ac:dyDescent="0.35">
      <c r="A702" s="477" t="s">
        <v>858</v>
      </c>
      <c r="B702" s="478">
        <v>2023</v>
      </c>
      <c r="C702" s="478" t="str">
        <f t="shared" si="18"/>
        <v>Lake County (Air Basin)_2023</v>
      </c>
      <c r="D702" s="474">
        <v>439.37093140294036</v>
      </c>
      <c r="E702" s="2"/>
      <c r="F702" s="2"/>
      <c r="G702" s="2"/>
      <c r="H702" s="2"/>
      <c r="I702" s="21"/>
      <c r="J702" s="21"/>
      <c r="K702" s="21"/>
    </row>
    <row r="703" spans="1:11" ht="15.5" x14ac:dyDescent="0.35">
      <c r="A703" s="477" t="s">
        <v>858</v>
      </c>
      <c r="B703" s="478">
        <v>2024</v>
      </c>
      <c r="C703" s="478" t="str">
        <f t="shared" si="18"/>
        <v>Lake County (Air Basin)_2024</v>
      </c>
      <c r="D703" s="474">
        <v>425.70501090578625</v>
      </c>
      <c r="E703" s="2"/>
      <c r="F703" s="2"/>
      <c r="G703" s="2"/>
      <c r="H703" s="2"/>
      <c r="I703" s="21"/>
      <c r="J703" s="21"/>
      <c r="K703" s="21"/>
    </row>
    <row r="704" spans="1:11" ht="15.5" x14ac:dyDescent="0.35">
      <c r="A704" s="477" t="s">
        <v>858</v>
      </c>
      <c r="B704" s="478">
        <v>2025</v>
      </c>
      <c r="C704" s="478" t="str">
        <f t="shared" si="18"/>
        <v>Lake County (Air Basin)_2025</v>
      </c>
      <c r="D704" s="474">
        <v>412.30587050940414</v>
      </c>
      <c r="E704" s="2"/>
      <c r="F704" s="2"/>
      <c r="G704" s="2"/>
      <c r="H704" s="2"/>
      <c r="I704" s="21"/>
      <c r="J704" s="21"/>
      <c r="K704" s="21"/>
    </row>
    <row r="705" spans="1:11" ht="15.5" x14ac:dyDescent="0.35">
      <c r="A705" s="477" t="s">
        <v>858</v>
      </c>
      <c r="B705" s="478">
        <v>2026</v>
      </c>
      <c r="C705" s="478" t="str">
        <f t="shared" si="18"/>
        <v>Lake County (Air Basin)_2026</v>
      </c>
      <c r="D705" s="474">
        <v>399.82995028358715</v>
      </c>
      <c r="E705" s="2"/>
      <c r="F705" s="2"/>
      <c r="G705" s="2"/>
      <c r="H705" s="2"/>
      <c r="I705" s="21"/>
      <c r="J705" s="21"/>
      <c r="K705" s="21"/>
    </row>
    <row r="706" spans="1:11" ht="15.5" x14ac:dyDescent="0.35">
      <c r="A706" s="477" t="s">
        <v>858</v>
      </c>
      <c r="B706" s="478">
        <v>2027</v>
      </c>
      <c r="C706" s="478" t="str">
        <f t="shared" si="18"/>
        <v>Lake County (Air Basin)_2027</v>
      </c>
      <c r="D706" s="474">
        <v>388.13368083531265</v>
      </c>
      <c r="E706" s="2"/>
      <c r="F706" s="2"/>
      <c r="G706" s="2"/>
      <c r="H706" s="2"/>
      <c r="I706" s="21"/>
      <c r="J706" s="21"/>
      <c r="K706" s="21"/>
    </row>
    <row r="707" spans="1:11" ht="15.5" x14ac:dyDescent="0.35">
      <c r="A707" s="477" t="s">
        <v>858</v>
      </c>
      <c r="B707" s="478">
        <v>2028</v>
      </c>
      <c r="C707" s="478" t="str">
        <f t="shared" si="18"/>
        <v>Lake County (Air Basin)_2028</v>
      </c>
      <c r="D707" s="474">
        <v>377.35234430467449</v>
      </c>
      <c r="E707" s="2"/>
      <c r="F707" s="2"/>
      <c r="G707" s="2"/>
      <c r="H707" s="2"/>
      <c r="I707" s="21"/>
      <c r="J707" s="21"/>
      <c r="K707" s="21"/>
    </row>
    <row r="708" spans="1:11" ht="15.5" x14ac:dyDescent="0.35">
      <c r="A708" s="477" t="s">
        <v>858</v>
      </c>
      <c r="B708" s="478">
        <v>2029</v>
      </c>
      <c r="C708" s="478" t="str">
        <f t="shared" si="18"/>
        <v>Lake County (Air Basin)_2029</v>
      </c>
      <c r="D708" s="474">
        <v>367.42439605498362</v>
      </c>
      <c r="E708" s="2"/>
      <c r="F708" s="2"/>
      <c r="G708" s="2"/>
      <c r="H708" s="2"/>
      <c r="I708" s="21"/>
      <c r="J708" s="21"/>
      <c r="K708" s="21"/>
    </row>
    <row r="709" spans="1:11" ht="15.5" x14ac:dyDescent="0.35">
      <c r="A709" s="477" t="s">
        <v>858</v>
      </c>
      <c r="B709" s="478">
        <v>2030</v>
      </c>
      <c r="C709" s="478" t="str">
        <f t="shared" si="18"/>
        <v>Lake County (Air Basin)_2030</v>
      </c>
      <c r="D709" s="474">
        <v>358.34600840526252</v>
      </c>
      <c r="E709" s="2"/>
      <c r="F709" s="2"/>
      <c r="G709" s="2"/>
      <c r="H709" s="2"/>
      <c r="I709" s="21"/>
      <c r="J709" s="21"/>
      <c r="K709" s="21"/>
    </row>
    <row r="710" spans="1:11" ht="15.5" x14ac:dyDescent="0.35">
      <c r="A710" s="477" t="s">
        <v>858</v>
      </c>
      <c r="B710" s="478">
        <v>2031</v>
      </c>
      <c r="C710" s="478" t="str">
        <f t="shared" si="18"/>
        <v>Lake County (Air Basin)_2031</v>
      </c>
      <c r="D710" s="474">
        <v>350.08522805478123</v>
      </c>
      <c r="E710" s="2"/>
      <c r="F710" s="2"/>
      <c r="G710" s="2"/>
      <c r="H710" s="2"/>
      <c r="I710" s="21"/>
      <c r="J710" s="21"/>
      <c r="K710" s="21"/>
    </row>
    <row r="711" spans="1:11" ht="15.5" x14ac:dyDescent="0.35">
      <c r="A711" s="477" t="s">
        <v>858</v>
      </c>
      <c r="B711" s="478">
        <v>2032</v>
      </c>
      <c r="C711" s="478" t="str">
        <f t="shared" si="18"/>
        <v>Lake County (Air Basin)_2032</v>
      </c>
      <c r="D711" s="474">
        <v>342.62587811398436</v>
      </c>
      <c r="E711" s="2"/>
      <c r="F711" s="2"/>
      <c r="G711" s="2"/>
      <c r="H711" s="2"/>
      <c r="I711" s="21"/>
      <c r="J711" s="21"/>
      <c r="K711" s="21"/>
    </row>
    <row r="712" spans="1:11" ht="15.5" x14ac:dyDescent="0.35">
      <c r="A712" s="477" t="s">
        <v>858</v>
      </c>
      <c r="B712" s="478">
        <v>2033</v>
      </c>
      <c r="C712" s="478" t="str">
        <f t="shared" si="18"/>
        <v>Lake County (Air Basin)_2033</v>
      </c>
      <c r="D712" s="474">
        <v>335.91314209206973</v>
      </c>
      <c r="E712" s="2"/>
      <c r="F712" s="2"/>
      <c r="G712" s="2"/>
      <c r="H712" s="2"/>
      <c r="I712" s="21"/>
      <c r="J712" s="21"/>
      <c r="K712" s="21"/>
    </row>
    <row r="713" spans="1:11" ht="15.5" x14ac:dyDescent="0.35">
      <c r="A713" s="477" t="s">
        <v>858</v>
      </c>
      <c r="B713" s="478">
        <v>2034</v>
      </c>
      <c r="C713" s="478" t="str">
        <f t="shared" si="18"/>
        <v>Lake County (Air Basin)_2034</v>
      </c>
      <c r="D713" s="474">
        <v>329.87198658490763</v>
      </c>
      <c r="E713" s="2"/>
      <c r="F713" s="2"/>
      <c r="G713" s="2"/>
      <c r="H713" s="2"/>
      <c r="I713" s="21"/>
      <c r="J713" s="21"/>
      <c r="K713" s="21"/>
    </row>
    <row r="714" spans="1:11" ht="15.5" x14ac:dyDescent="0.35">
      <c r="A714" s="477" t="s">
        <v>858</v>
      </c>
      <c r="B714" s="478">
        <v>2035</v>
      </c>
      <c r="C714" s="478" t="str">
        <f t="shared" si="18"/>
        <v>Lake County (Air Basin)_2035</v>
      </c>
      <c r="D714" s="474">
        <v>324.46484022867895</v>
      </c>
      <c r="E714" s="2"/>
      <c r="F714" s="2"/>
      <c r="G714" s="2"/>
      <c r="H714" s="2"/>
      <c r="I714" s="21"/>
      <c r="J714" s="21"/>
      <c r="K714" s="21"/>
    </row>
    <row r="715" spans="1:11" ht="15.5" x14ac:dyDescent="0.35">
      <c r="A715" s="477" t="s">
        <v>858</v>
      </c>
      <c r="B715" s="478">
        <v>2036</v>
      </c>
      <c r="C715" s="478" t="str">
        <f t="shared" si="18"/>
        <v>Lake County (Air Basin)_2036</v>
      </c>
      <c r="D715" s="474">
        <v>319.65559873220053</v>
      </c>
      <c r="E715" s="2"/>
      <c r="F715" s="2"/>
      <c r="G715" s="2"/>
      <c r="H715" s="2"/>
      <c r="I715" s="21"/>
      <c r="J715" s="21"/>
      <c r="K715" s="21"/>
    </row>
    <row r="716" spans="1:11" ht="15.5" x14ac:dyDescent="0.35">
      <c r="A716" s="477" t="s">
        <v>858</v>
      </c>
      <c r="B716" s="478">
        <v>2037</v>
      </c>
      <c r="C716" s="478" t="str">
        <f t="shared" si="18"/>
        <v>Lake County (Air Basin)_2037</v>
      </c>
      <c r="D716" s="474">
        <v>315.41351824357633</v>
      </c>
      <c r="E716" s="2"/>
      <c r="F716" s="2"/>
      <c r="G716" s="2"/>
      <c r="H716" s="2"/>
      <c r="I716" s="21"/>
      <c r="J716" s="21"/>
      <c r="K716" s="21"/>
    </row>
    <row r="717" spans="1:11" ht="15.5" x14ac:dyDescent="0.35">
      <c r="A717" s="477" t="s">
        <v>858</v>
      </c>
      <c r="B717" s="478">
        <v>2038</v>
      </c>
      <c r="C717" s="478" t="str">
        <f t="shared" si="18"/>
        <v>Lake County (Air Basin)_2038</v>
      </c>
      <c r="D717" s="474">
        <v>311.6999753825549</v>
      </c>
      <c r="E717" s="2"/>
      <c r="F717" s="2"/>
      <c r="G717" s="2"/>
      <c r="H717" s="2"/>
      <c r="I717" s="21"/>
      <c r="J717" s="21"/>
      <c r="K717" s="21"/>
    </row>
    <row r="718" spans="1:11" ht="15.5" x14ac:dyDescent="0.35">
      <c r="A718" s="477" t="s">
        <v>858</v>
      </c>
      <c r="B718" s="478">
        <v>2039</v>
      </c>
      <c r="C718" s="478" t="str">
        <f t="shared" si="18"/>
        <v>Lake County (Air Basin)_2039</v>
      </c>
      <c r="D718" s="474">
        <v>308.42535411547175</v>
      </c>
      <c r="E718" s="2"/>
      <c r="F718" s="2"/>
      <c r="G718" s="2"/>
      <c r="H718" s="2"/>
      <c r="I718" s="21"/>
      <c r="J718" s="21"/>
      <c r="K718" s="21"/>
    </row>
    <row r="719" spans="1:11" ht="15.5" x14ac:dyDescent="0.35">
      <c r="A719" s="477" t="s">
        <v>858</v>
      </c>
      <c r="B719" s="478">
        <v>2040</v>
      </c>
      <c r="C719" s="478" t="str">
        <f t="shared" si="18"/>
        <v>Lake County (Air Basin)_2040</v>
      </c>
      <c r="D719" s="474">
        <v>305.55601604908435</v>
      </c>
      <c r="E719" s="2"/>
      <c r="F719" s="2"/>
      <c r="G719" s="2"/>
      <c r="H719" s="2"/>
      <c r="I719" s="21"/>
      <c r="J719" s="21"/>
      <c r="K719" s="21"/>
    </row>
    <row r="720" spans="1:11" ht="15.5" x14ac:dyDescent="0.35">
      <c r="A720" s="477" t="s">
        <v>858</v>
      </c>
      <c r="B720" s="478">
        <v>2041</v>
      </c>
      <c r="C720" s="478" t="str">
        <f t="shared" si="18"/>
        <v>Lake County (Air Basin)_2041</v>
      </c>
      <c r="D720" s="474">
        <v>303.09374658473979</v>
      </c>
      <c r="E720" s="2"/>
      <c r="F720" s="2"/>
      <c r="G720" s="2"/>
      <c r="H720" s="2"/>
      <c r="I720" s="21"/>
      <c r="J720" s="21"/>
      <c r="K720" s="21"/>
    </row>
    <row r="721" spans="1:11" ht="15.5" x14ac:dyDescent="0.35">
      <c r="A721" s="477" t="s">
        <v>858</v>
      </c>
      <c r="B721" s="478">
        <v>2042</v>
      </c>
      <c r="C721" s="478" t="str">
        <f t="shared" si="18"/>
        <v>Lake County (Air Basin)_2042</v>
      </c>
      <c r="D721" s="474">
        <v>300.9372041269196</v>
      </c>
      <c r="E721" s="2"/>
      <c r="F721" s="2"/>
      <c r="G721" s="2"/>
      <c r="H721" s="2"/>
      <c r="I721" s="21"/>
      <c r="J721" s="21"/>
      <c r="K721" s="21"/>
    </row>
    <row r="722" spans="1:11" ht="15.5" x14ac:dyDescent="0.35">
      <c r="A722" s="477" t="s">
        <v>858</v>
      </c>
      <c r="B722" s="478">
        <v>2043</v>
      </c>
      <c r="C722" s="478" t="str">
        <f t="shared" si="18"/>
        <v>Lake County (Air Basin)_2043</v>
      </c>
      <c r="D722" s="474">
        <v>299.08290724934665</v>
      </c>
      <c r="E722" s="2"/>
      <c r="F722" s="2"/>
      <c r="G722" s="2"/>
      <c r="H722" s="2"/>
      <c r="I722" s="21"/>
      <c r="J722" s="21"/>
      <c r="K722" s="21"/>
    </row>
    <row r="723" spans="1:11" ht="15.5" x14ac:dyDescent="0.35">
      <c r="A723" s="477" t="s">
        <v>858</v>
      </c>
      <c r="B723" s="478">
        <v>2044</v>
      </c>
      <c r="C723" s="478" t="str">
        <f t="shared" si="18"/>
        <v>Lake County (Air Basin)_2044</v>
      </c>
      <c r="D723" s="474">
        <v>297.47070993206984</v>
      </c>
      <c r="E723" s="2"/>
      <c r="F723" s="2"/>
      <c r="G723" s="2"/>
      <c r="H723" s="2"/>
      <c r="I723" s="21"/>
      <c r="J723" s="21"/>
      <c r="K723" s="21"/>
    </row>
    <row r="724" spans="1:11" ht="15.5" x14ac:dyDescent="0.35">
      <c r="A724" s="477" t="s">
        <v>858</v>
      </c>
      <c r="B724" s="478">
        <v>2045</v>
      </c>
      <c r="C724" s="478" t="str">
        <f t="shared" ref="C724:C765" si="19">CONCATENATE(A724,"_",B724)</f>
        <v>Lake County (Air Basin)_2045</v>
      </c>
      <c r="D724" s="474">
        <v>296.04787070176275</v>
      </c>
      <c r="E724" s="2"/>
      <c r="F724" s="2"/>
      <c r="G724" s="2"/>
      <c r="H724" s="2"/>
      <c r="I724" s="21"/>
      <c r="J724" s="21"/>
      <c r="K724" s="21"/>
    </row>
    <row r="725" spans="1:11" ht="15.5" x14ac:dyDescent="0.35">
      <c r="A725" s="477" t="s">
        <v>858</v>
      </c>
      <c r="B725" s="478">
        <v>2046</v>
      </c>
      <c r="C725" s="478" t="str">
        <f t="shared" si="19"/>
        <v>Lake County (Air Basin)_2046</v>
      </c>
      <c r="D725" s="474">
        <v>294.81791745746716</v>
      </c>
      <c r="E725" s="2"/>
      <c r="F725" s="2"/>
      <c r="G725" s="2"/>
      <c r="H725" s="2"/>
      <c r="I725" s="21"/>
      <c r="J725" s="21"/>
      <c r="K725" s="21"/>
    </row>
    <row r="726" spans="1:11" ht="15.5" x14ac:dyDescent="0.35">
      <c r="A726" s="477" t="s">
        <v>858</v>
      </c>
      <c r="B726" s="478">
        <v>2047</v>
      </c>
      <c r="C726" s="478" t="str">
        <f t="shared" si="19"/>
        <v>Lake County (Air Basin)_2047</v>
      </c>
      <c r="D726" s="474">
        <v>293.77608413024677</v>
      </c>
      <c r="E726" s="2"/>
      <c r="F726" s="2"/>
      <c r="G726" s="2"/>
      <c r="H726" s="2"/>
      <c r="I726" s="21"/>
      <c r="J726" s="21"/>
      <c r="K726" s="21"/>
    </row>
    <row r="727" spans="1:11" ht="15.5" x14ac:dyDescent="0.35">
      <c r="A727" s="477" t="s">
        <v>858</v>
      </c>
      <c r="B727" s="478">
        <v>2048</v>
      </c>
      <c r="C727" s="478" t="str">
        <f t="shared" si="19"/>
        <v>Lake County (Air Basin)_2048</v>
      </c>
      <c r="D727" s="474">
        <v>292.87788116038422</v>
      </c>
      <c r="E727" s="2"/>
      <c r="F727" s="2"/>
      <c r="G727" s="2"/>
      <c r="H727" s="2"/>
      <c r="I727" s="21"/>
      <c r="J727" s="21"/>
      <c r="K727" s="21"/>
    </row>
    <row r="728" spans="1:11" ht="15.5" x14ac:dyDescent="0.35">
      <c r="A728" s="477" t="s">
        <v>858</v>
      </c>
      <c r="B728" s="478">
        <v>2049</v>
      </c>
      <c r="C728" s="478" t="str">
        <f t="shared" si="19"/>
        <v>Lake County (Air Basin)_2049</v>
      </c>
      <c r="D728" s="474">
        <v>292.10817359837313</v>
      </c>
      <c r="E728" s="2"/>
      <c r="F728" s="2"/>
      <c r="G728" s="2"/>
      <c r="H728" s="2"/>
      <c r="I728" s="21"/>
      <c r="J728" s="21"/>
      <c r="K728" s="21"/>
    </row>
    <row r="729" spans="1:11" ht="15.5" x14ac:dyDescent="0.35">
      <c r="A729" s="477" t="s">
        <v>858</v>
      </c>
      <c r="B729" s="478">
        <v>2050</v>
      </c>
      <c r="C729" s="478" t="str">
        <f t="shared" si="19"/>
        <v>Lake County (Air Basin)_2050</v>
      </c>
      <c r="D729" s="474">
        <v>291.45908632857555</v>
      </c>
      <c r="E729" s="2"/>
      <c r="F729" s="2"/>
      <c r="G729" s="2"/>
      <c r="H729" s="2"/>
      <c r="I729" s="21"/>
      <c r="J729" s="21"/>
      <c r="K729" s="21"/>
    </row>
    <row r="730" spans="1:11" ht="15.5" x14ac:dyDescent="0.35">
      <c r="A730" s="475" t="s">
        <v>859</v>
      </c>
      <c r="B730" s="476">
        <v>2015</v>
      </c>
      <c r="C730" s="476" t="str">
        <f t="shared" si="19"/>
        <v>Lake Tahoe_2015</v>
      </c>
      <c r="D730" s="471">
        <v>559.49027648523827</v>
      </c>
      <c r="E730" s="2"/>
      <c r="F730" s="2"/>
      <c r="G730" s="2"/>
      <c r="H730" s="2"/>
      <c r="I730" s="21"/>
      <c r="J730" s="21"/>
      <c r="K730" s="21"/>
    </row>
    <row r="731" spans="1:11" ht="15.5" x14ac:dyDescent="0.35">
      <c r="A731" s="475" t="s">
        <v>859</v>
      </c>
      <c r="B731" s="476">
        <v>2016</v>
      </c>
      <c r="C731" s="476" t="str">
        <f t="shared" si="19"/>
        <v>Lake Tahoe_2016</v>
      </c>
      <c r="D731" s="471">
        <v>549.69710151584457</v>
      </c>
      <c r="E731" s="2"/>
      <c r="F731" s="2"/>
      <c r="G731" s="2"/>
      <c r="H731" s="2"/>
      <c r="I731" s="21"/>
      <c r="J731" s="21"/>
      <c r="K731" s="21"/>
    </row>
    <row r="732" spans="1:11" ht="15.5" x14ac:dyDescent="0.35">
      <c r="A732" s="477" t="s">
        <v>859</v>
      </c>
      <c r="B732" s="478">
        <v>2017</v>
      </c>
      <c r="C732" s="478" t="str">
        <f t="shared" si="19"/>
        <v>Lake Tahoe_2017</v>
      </c>
      <c r="D732" s="474">
        <v>537.10417359994415</v>
      </c>
      <c r="E732" s="2"/>
      <c r="F732" s="2"/>
      <c r="G732" s="2"/>
      <c r="H732" s="2"/>
      <c r="I732" s="21"/>
      <c r="J732" s="21"/>
      <c r="K732" s="21"/>
    </row>
    <row r="733" spans="1:11" ht="15.5" x14ac:dyDescent="0.35">
      <c r="A733" s="477" t="s">
        <v>859</v>
      </c>
      <c r="B733" s="478">
        <v>2018</v>
      </c>
      <c r="C733" s="478" t="str">
        <f t="shared" si="19"/>
        <v>Lake Tahoe_2018</v>
      </c>
      <c r="D733" s="474">
        <v>522.79936844872452</v>
      </c>
      <c r="E733" s="2"/>
      <c r="F733" s="2"/>
      <c r="G733" s="2"/>
      <c r="H733" s="2"/>
      <c r="I733" s="21"/>
      <c r="J733" s="21"/>
      <c r="K733" s="21"/>
    </row>
    <row r="734" spans="1:11" ht="15.5" x14ac:dyDescent="0.35">
      <c r="A734" s="477" t="s">
        <v>859</v>
      </c>
      <c r="B734" s="478">
        <v>2019</v>
      </c>
      <c r="C734" s="478" t="str">
        <f t="shared" si="19"/>
        <v>Lake Tahoe_2019</v>
      </c>
      <c r="D734" s="474">
        <v>507.67965614617236</v>
      </c>
      <c r="E734" s="2"/>
      <c r="F734" s="2"/>
      <c r="G734" s="2"/>
      <c r="H734" s="2"/>
      <c r="I734" s="21"/>
      <c r="J734" s="21"/>
      <c r="K734" s="21"/>
    </row>
    <row r="735" spans="1:11" ht="15.5" x14ac:dyDescent="0.35">
      <c r="A735" s="477" t="s">
        <v>859</v>
      </c>
      <c r="B735" s="478">
        <v>2020</v>
      </c>
      <c r="C735" s="478" t="str">
        <f t="shared" si="19"/>
        <v>Lake Tahoe_2020</v>
      </c>
      <c r="D735" s="474">
        <v>492.02007076324446</v>
      </c>
      <c r="E735" s="2"/>
      <c r="F735" s="2"/>
      <c r="G735" s="2"/>
      <c r="H735" s="2"/>
      <c r="I735" s="21"/>
      <c r="J735" s="21"/>
      <c r="K735" s="21"/>
    </row>
    <row r="736" spans="1:11" ht="15.5" x14ac:dyDescent="0.35">
      <c r="A736" s="477" t="s">
        <v>859</v>
      </c>
      <c r="B736" s="478">
        <v>2021</v>
      </c>
      <c r="C736" s="478" t="str">
        <f t="shared" si="19"/>
        <v>Lake Tahoe_2021</v>
      </c>
      <c r="D736" s="474">
        <v>475.91227212363452</v>
      </c>
      <c r="E736" s="2"/>
      <c r="F736" s="2"/>
      <c r="G736" s="2"/>
      <c r="H736" s="2"/>
      <c r="I736" s="21"/>
      <c r="J736" s="21"/>
      <c r="K736" s="21"/>
    </row>
    <row r="737" spans="1:11" ht="15.5" x14ac:dyDescent="0.35">
      <c r="A737" s="477" t="s">
        <v>859</v>
      </c>
      <c r="B737" s="478">
        <v>2022</v>
      </c>
      <c r="C737" s="478" t="str">
        <f t="shared" si="19"/>
        <v>Lake Tahoe_2022</v>
      </c>
      <c r="D737" s="474">
        <v>459.89278750319863</v>
      </c>
      <c r="E737" s="2"/>
      <c r="F737" s="2"/>
      <c r="G737" s="2"/>
      <c r="H737" s="2"/>
      <c r="I737" s="21"/>
      <c r="J737" s="21"/>
      <c r="K737" s="21"/>
    </row>
    <row r="738" spans="1:11" ht="15.5" x14ac:dyDescent="0.35">
      <c r="A738" s="477" t="s">
        <v>859</v>
      </c>
      <c r="B738" s="478">
        <v>2023</v>
      </c>
      <c r="C738" s="478" t="str">
        <f t="shared" si="19"/>
        <v>Lake Tahoe_2023</v>
      </c>
      <c r="D738" s="474">
        <v>443.95497219611838</v>
      </c>
      <c r="E738" s="2"/>
      <c r="F738" s="2"/>
      <c r="G738" s="2"/>
      <c r="H738" s="2"/>
      <c r="I738" s="21"/>
      <c r="J738" s="21"/>
      <c r="K738" s="21"/>
    </row>
    <row r="739" spans="1:11" ht="15.5" x14ac:dyDescent="0.35">
      <c r="A739" s="477" t="s">
        <v>859</v>
      </c>
      <c r="B739" s="478">
        <v>2024</v>
      </c>
      <c r="C739" s="478" t="str">
        <f t="shared" si="19"/>
        <v>Lake Tahoe_2024</v>
      </c>
      <c r="D739" s="474">
        <v>428.20045166786014</v>
      </c>
      <c r="E739" s="2"/>
      <c r="F739" s="2"/>
      <c r="G739" s="2"/>
      <c r="H739" s="2"/>
      <c r="I739" s="21"/>
      <c r="J739" s="21"/>
      <c r="K739" s="21"/>
    </row>
    <row r="740" spans="1:11" ht="15.5" x14ac:dyDescent="0.35">
      <c r="A740" s="477" t="s">
        <v>859</v>
      </c>
      <c r="B740" s="478">
        <v>2025</v>
      </c>
      <c r="C740" s="478" t="str">
        <f t="shared" si="19"/>
        <v>Lake Tahoe_2025</v>
      </c>
      <c r="D740" s="474">
        <v>412.87652344672364</v>
      </c>
      <c r="E740" s="2"/>
      <c r="F740" s="2"/>
      <c r="G740" s="2"/>
      <c r="H740" s="2"/>
      <c r="I740" s="21"/>
      <c r="J740" s="21"/>
      <c r="K740" s="21"/>
    </row>
    <row r="741" spans="1:11" ht="15.5" x14ac:dyDescent="0.35">
      <c r="A741" s="477" t="s">
        <v>859</v>
      </c>
      <c r="B741" s="478">
        <v>2026</v>
      </c>
      <c r="C741" s="478" t="str">
        <f t="shared" si="19"/>
        <v>Lake Tahoe_2026</v>
      </c>
      <c r="D741" s="474">
        <v>398.72834166027354</v>
      </c>
      <c r="E741" s="2"/>
      <c r="F741" s="2"/>
      <c r="G741" s="2"/>
      <c r="H741" s="2"/>
      <c r="I741" s="21"/>
      <c r="J741" s="21"/>
      <c r="K741" s="21"/>
    </row>
    <row r="742" spans="1:11" ht="15.5" x14ac:dyDescent="0.35">
      <c r="A742" s="477" t="s">
        <v>859</v>
      </c>
      <c r="B742" s="478">
        <v>2027</v>
      </c>
      <c r="C742" s="478" t="str">
        <f t="shared" si="19"/>
        <v>Lake Tahoe_2027</v>
      </c>
      <c r="D742" s="474">
        <v>385.62028428009899</v>
      </c>
      <c r="E742" s="2"/>
      <c r="F742" s="2"/>
      <c r="G742" s="2"/>
      <c r="H742" s="2"/>
      <c r="I742" s="21"/>
      <c r="J742" s="21"/>
      <c r="K742" s="21"/>
    </row>
    <row r="743" spans="1:11" ht="15.5" x14ac:dyDescent="0.35">
      <c r="A743" s="477" t="s">
        <v>859</v>
      </c>
      <c r="B743" s="478">
        <v>2028</v>
      </c>
      <c r="C743" s="478" t="str">
        <f t="shared" si="19"/>
        <v>Lake Tahoe_2028</v>
      </c>
      <c r="D743" s="474">
        <v>373.65640662034883</v>
      </c>
      <c r="E743" s="2"/>
      <c r="F743" s="2"/>
      <c r="G743" s="2"/>
      <c r="H743" s="2"/>
      <c r="I743" s="21"/>
      <c r="J743" s="21"/>
      <c r="K743" s="21"/>
    </row>
    <row r="744" spans="1:11" ht="15.5" x14ac:dyDescent="0.35">
      <c r="A744" s="477" t="s">
        <v>859</v>
      </c>
      <c r="B744" s="478">
        <v>2029</v>
      </c>
      <c r="C744" s="478" t="str">
        <f t="shared" si="19"/>
        <v>Lake Tahoe_2029</v>
      </c>
      <c r="D744" s="474">
        <v>362.78688925004661</v>
      </c>
      <c r="E744" s="2"/>
      <c r="F744" s="2"/>
      <c r="G744" s="2"/>
      <c r="H744" s="2"/>
      <c r="I744" s="21"/>
      <c r="J744" s="21"/>
      <c r="K744" s="21"/>
    </row>
    <row r="745" spans="1:11" ht="15.5" x14ac:dyDescent="0.35">
      <c r="A745" s="477" t="s">
        <v>859</v>
      </c>
      <c r="B745" s="478">
        <v>2030</v>
      </c>
      <c r="C745" s="478" t="str">
        <f t="shared" si="19"/>
        <v>Lake Tahoe_2030</v>
      </c>
      <c r="D745" s="474">
        <v>352.97650034542283</v>
      </c>
      <c r="E745" s="2"/>
      <c r="F745" s="2"/>
      <c r="G745" s="2"/>
      <c r="H745" s="2"/>
      <c r="I745" s="21"/>
      <c r="J745" s="21"/>
      <c r="K745" s="21"/>
    </row>
    <row r="746" spans="1:11" ht="15.5" x14ac:dyDescent="0.35">
      <c r="A746" s="477" t="s">
        <v>859</v>
      </c>
      <c r="B746" s="478">
        <v>2031</v>
      </c>
      <c r="C746" s="478" t="str">
        <f t="shared" si="19"/>
        <v>Lake Tahoe_2031</v>
      </c>
      <c r="D746" s="474">
        <v>344.18086888786286</v>
      </c>
      <c r="E746" s="2"/>
      <c r="F746" s="2"/>
      <c r="G746" s="2"/>
      <c r="H746" s="2"/>
      <c r="I746" s="21"/>
      <c r="J746" s="21"/>
      <c r="K746" s="21"/>
    </row>
    <row r="747" spans="1:11" ht="15.5" x14ac:dyDescent="0.35">
      <c r="A747" s="477" t="s">
        <v>859</v>
      </c>
      <c r="B747" s="478">
        <v>2032</v>
      </c>
      <c r="C747" s="478" t="str">
        <f t="shared" si="19"/>
        <v>Lake Tahoe_2032</v>
      </c>
      <c r="D747" s="474">
        <v>336.33665350954209</v>
      </c>
      <c r="E747" s="2"/>
      <c r="F747" s="2"/>
      <c r="G747" s="2"/>
      <c r="H747" s="2"/>
      <c r="I747" s="21"/>
      <c r="J747" s="21"/>
      <c r="K747" s="21"/>
    </row>
    <row r="748" spans="1:11" ht="15.5" x14ac:dyDescent="0.35">
      <c r="A748" s="477" t="s">
        <v>859</v>
      </c>
      <c r="B748" s="478">
        <v>2033</v>
      </c>
      <c r="C748" s="478" t="str">
        <f t="shared" si="19"/>
        <v>Lake Tahoe_2033</v>
      </c>
      <c r="D748" s="474">
        <v>329.37817944347853</v>
      </c>
      <c r="E748" s="2"/>
      <c r="F748" s="2"/>
      <c r="G748" s="2"/>
      <c r="H748" s="2"/>
      <c r="I748" s="21"/>
      <c r="J748" s="21"/>
      <c r="K748" s="21"/>
    </row>
    <row r="749" spans="1:11" ht="15.5" x14ac:dyDescent="0.35">
      <c r="A749" s="477" t="s">
        <v>859</v>
      </c>
      <c r="B749" s="478">
        <v>2034</v>
      </c>
      <c r="C749" s="478" t="str">
        <f t="shared" si="19"/>
        <v>Lake Tahoe_2034</v>
      </c>
      <c r="D749" s="474">
        <v>323.25916544756274</v>
      </c>
      <c r="E749" s="2"/>
      <c r="F749" s="2"/>
      <c r="G749" s="2"/>
      <c r="H749" s="2"/>
      <c r="I749" s="21"/>
      <c r="J749" s="21"/>
      <c r="K749" s="21"/>
    </row>
    <row r="750" spans="1:11" ht="15.5" x14ac:dyDescent="0.35">
      <c r="A750" s="477" t="s">
        <v>859</v>
      </c>
      <c r="B750" s="478">
        <v>2035</v>
      </c>
      <c r="C750" s="478" t="str">
        <f t="shared" si="19"/>
        <v>Lake Tahoe_2035</v>
      </c>
      <c r="D750" s="474">
        <v>317.85924817351253</v>
      </c>
      <c r="E750" s="2"/>
      <c r="F750" s="2"/>
      <c r="G750" s="2"/>
      <c r="H750" s="2"/>
      <c r="I750" s="21"/>
      <c r="J750" s="21"/>
      <c r="K750" s="21"/>
    </row>
    <row r="751" spans="1:11" ht="15.5" x14ac:dyDescent="0.35">
      <c r="A751" s="477" t="s">
        <v>859</v>
      </c>
      <c r="B751" s="478">
        <v>2036</v>
      </c>
      <c r="C751" s="478" t="str">
        <f t="shared" si="19"/>
        <v>Lake Tahoe_2036</v>
      </c>
      <c r="D751" s="474">
        <v>313.17054375862745</v>
      </c>
      <c r="E751" s="2"/>
      <c r="F751" s="2"/>
      <c r="G751" s="2"/>
      <c r="H751" s="2"/>
      <c r="I751" s="21"/>
      <c r="J751" s="21"/>
      <c r="K751" s="21"/>
    </row>
    <row r="752" spans="1:11" ht="15.5" x14ac:dyDescent="0.35">
      <c r="A752" s="477" t="s">
        <v>859</v>
      </c>
      <c r="B752" s="478">
        <v>2037</v>
      </c>
      <c r="C752" s="478" t="str">
        <f t="shared" si="19"/>
        <v>Lake Tahoe_2037</v>
      </c>
      <c r="D752" s="474">
        <v>309.10740235914039</v>
      </c>
      <c r="E752" s="2"/>
      <c r="F752" s="2"/>
      <c r="G752" s="2"/>
      <c r="H752" s="2"/>
      <c r="I752" s="21"/>
      <c r="J752" s="21"/>
      <c r="K752" s="21"/>
    </row>
    <row r="753" spans="1:11" ht="15.5" x14ac:dyDescent="0.35">
      <c r="A753" s="477" t="s">
        <v>859</v>
      </c>
      <c r="B753" s="478">
        <v>2038</v>
      </c>
      <c r="C753" s="478" t="str">
        <f t="shared" si="19"/>
        <v>Lake Tahoe_2038</v>
      </c>
      <c r="D753" s="474">
        <v>305.62603214854937</v>
      </c>
      <c r="E753" s="2"/>
      <c r="F753" s="2"/>
      <c r="G753" s="2"/>
      <c r="H753" s="2"/>
      <c r="I753" s="21"/>
      <c r="J753" s="21"/>
      <c r="K753" s="21"/>
    </row>
    <row r="754" spans="1:11" ht="15.5" x14ac:dyDescent="0.35">
      <c r="A754" s="477" t="s">
        <v>859</v>
      </c>
      <c r="B754" s="478">
        <v>2039</v>
      </c>
      <c r="C754" s="478" t="str">
        <f t="shared" si="19"/>
        <v>Lake Tahoe_2039</v>
      </c>
      <c r="D754" s="474">
        <v>302.63688896191348</v>
      </c>
      <c r="E754" s="2"/>
      <c r="F754" s="2"/>
      <c r="G754" s="2"/>
      <c r="H754" s="2"/>
      <c r="I754" s="21"/>
      <c r="J754" s="21"/>
      <c r="K754" s="21"/>
    </row>
    <row r="755" spans="1:11" ht="15.5" x14ac:dyDescent="0.35">
      <c r="A755" s="477" t="s">
        <v>859</v>
      </c>
      <c r="B755" s="478">
        <v>2040</v>
      </c>
      <c r="C755" s="478" t="str">
        <f t="shared" si="19"/>
        <v>Lake Tahoe_2040</v>
      </c>
      <c r="D755" s="474">
        <v>300.06007963430903</v>
      </c>
      <c r="E755" s="2"/>
      <c r="F755" s="2"/>
      <c r="G755" s="2"/>
      <c r="H755" s="2"/>
      <c r="I755" s="21"/>
      <c r="J755" s="21"/>
      <c r="K755" s="21"/>
    </row>
    <row r="756" spans="1:11" ht="15.5" x14ac:dyDescent="0.35">
      <c r="A756" s="477" t="s">
        <v>859</v>
      </c>
      <c r="B756" s="478">
        <v>2041</v>
      </c>
      <c r="C756" s="478" t="str">
        <f t="shared" si="19"/>
        <v>Lake Tahoe_2041</v>
      </c>
      <c r="D756" s="474">
        <v>297.86375433261088</v>
      </c>
      <c r="E756" s="2"/>
      <c r="F756" s="2"/>
      <c r="G756" s="2"/>
      <c r="H756" s="2"/>
      <c r="I756" s="21"/>
      <c r="J756" s="21"/>
      <c r="K756" s="21"/>
    </row>
    <row r="757" spans="1:11" ht="15.5" x14ac:dyDescent="0.35">
      <c r="A757" s="477" t="s">
        <v>859</v>
      </c>
      <c r="B757" s="478">
        <v>2042</v>
      </c>
      <c r="C757" s="478" t="str">
        <f t="shared" si="19"/>
        <v>Lake Tahoe_2042</v>
      </c>
      <c r="D757" s="474">
        <v>295.9740540341586</v>
      </c>
      <c r="E757" s="2"/>
      <c r="F757" s="2"/>
      <c r="G757" s="2"/>
      <c r="H757" s="2"/>
      <c r="I757" s="21"/>
      <c r="J757" s="21"/>
      <c r="K757" s="21"/>
    </row>
    <row r="758" spans="1:11" ht="15.5" x14ac:dyDescent="0.35">
      <c r="A758" s="477" t="s">
        <v>859</v>
      </c>
      <c r="B758" s="478">
        <v>2043</v>
      </c>
      <c r="C758" s="478" t="str">
        <f t="shared" si="19"/>
        <v>Lake Tahoe_2043</v>
      </c>
      <c r="D758" s="474">
        <v>294.37063232610097</v>
      </c>
      <c r="E758" s="2"/>
      <c r="F758" s="2"/>
      <c r="G758" s="2"/>
      <c r="H758" s="2"/>
      <c r="I758" s="21"/>
      <c r="J758" s="21"/>
      <c r="K758" s="21"/>
    </row>
    <row r="759" spans="1:11" ht="15.5" x14ac:dyDescent="0.35">
      <c r="A759" s="477" t="s">
        <v>859</v>
      </c>
      <c r="B759" s="478">
        <v>2044</v>
      </c>
      <c r="C759" s="478" t="str">
        <f t="shared" si="19"/>
        <v>Lake Tahoe_2044</v>
      </c>
      <c r="D759" s="474">
        <v>292.99203588385143</v>
      </c>
      <c r="E759" s="2"/>
      <c r="F759" s="2"/>
      <c r="G759" s="2"/>
      <c r="H759" s="2"/>
      <c r="I759" s="21"/>
      <c r="J759" s="21"/>
      <c r="K759" s="21"/>
    </row>
    <row r="760" spans="1:11" ht="15.5" x14ac:dyDescent="0.35">
      <c r="A760" s="477" t="s">
        <v>859</v>
      </c>
      <c r="B760" s="478">
        <v>2045</v>
      </c>
      <c r="C760" s="478" t="str">
        <f t="shared" si="19"/>
        <v>Lake Tahoe_2045</v>
      </c>
      <c r="D760" s="474">
        <v>291.78501926589121</v>
      </c>
      <c r="E760" s="2"/>
      <c r="F760" s="2"/>
      <c r="G760" s="2"/>
      <c r="H760" s="2"/>
      <c r="I760" s="21"/>
      <c r="J760" s="21"/>
      <c r="K760" s="21"/>
    </row>
    <row r="761" spans="1:11" ht="15.5" x14ac:dyDescent="0.35">
      <c r="A761" s="477" t="s">
        <v>859</v>
      </c>
      <c r="B761" s="478">
        <v>2046</v>
      </c>
      <c r="C761" s="478" t="str">
        <f t="shared" si="19"/>
        <v>Lake Tahoe_2046</v>
      </c>
      <c r="D761" s="474">
        <v>290.76334894047409</v>
      </c>
      <c r="E761" s="2"/>
      <c r="F761" s="2"/>
      <c r="G761" s="2"/>
      <c r="H761" s="2"/>
      <c r="I761" s="21"/>
      <c r="J761" s="21"/>
      <c r="K761" s="21"/>
    </row>
    <row r="762" spans="1:11" ht="15.5" x14ac:dyDescent="0.35">
      <c r="A762" s="477" t="s">
        <v>859</v>
      </c>
      <c r="B762" s="478">
        <v>2047</v>
      </c>
      <c r="C762" s="478" t="str">
        <f t="shared" si="19"/>
        <v>Lake Tahoe_2047</v>
      </c>
      <c r="D762" s="474">
        <v>289.87971123482043</v>
      </c>
      <c r="E762" s="2"/>
      <c r="F762" s="2"/>
      <c r="G762" s="2"/>
      <c r="H762" s="2"/>
      <c r="I762" s="21"/>
      <c r="J762" s="21"/>
      <c r="K762" s="21"/>
    </row>
    <row r="763" spans="1:11" ht="15.5" x14ac:dyDescent="0.35">
      <c r="A763" s="477" t="s">
        <v>859</v>
      </c>
      <c r="B763" s="478">
        <v>2048</v>
      </c>
      <c r="C763" s="478" t="str">
        <f t="shared" si="19"/>
        <v>Lake Tahoe_2048</v>
      </c>
      <c r="D763" s="474">
        <v>289.13234839596913</v>
      </c>
      <c r="E763" s="2"/>
      <c r="F763" s="2"/>
      <c r="G763" s="2"/>
      <c r="H763" s="2"/>
      <c r="I763" s="21"/>
      <c r="J763" s="21"/>
      <c r="K763" s="21"/>
    </row>
    <row r="764" spans="1:11" ht="15.5" x14ac:dyDescent="0.35">
      <c r="A764" s="477" t="s">
        <v>859</v>
      </c>
      <c r="B764" s="478">
        <v>2049</v>
      </c>
      <c r="C764" s="478" t="str">
        <f t="shared" si="19"/>
        <v>Lake Tahoe_2049</v>
      </c>
      <c r="D764" s="474">
        <v>288.49692034911629</v>
      </c>
      <c r="E764" s="2"/>
      <c r="F764" s="2"/>
      <c r="G764" s="2"/>
      <c r="H764" s="2"/>
      <c r="I764" s="21"/>
      <c r="J764" s="21"/>
      <c r="K764" s="21"/>
    </row>
    <row r="765" spans="1:11" ht="15.5" x14ac:dyDescent="0.35">
      <c r="A765" s="477" t="s">
        <v>859</v>
      </c>
      <c r="B765" s="478">
        <v>2050</v>
      </c>
      <c r="C765" s="478" t="str">
        <f t="shared" si="19"/>
        <v>Lake Tahoe_2050</v>
      </c>
      <c r="D765" s="474">
        <v>287.9510644301198</v>
      </c>
      <c r="E765" s="2"/>
      <c r="F765" s="2"/>
      <c r="G765" s="2"/>
      <c r="H765" s="2"/>
      <c r="I765" s="21"/>
      <c r="J765" s="21"/>
      <c r="K765" s="21"/>
    </row>
    <row r="766" spans="1:11" ht="15.5" x14ac:dyDescent="0.35">
      <c r="A766" s="468" t="s">
        <v>860</v>
      </c>
      <c r="B766" s="469">
        <v>2015</v>
      </c>
      <c r="C766" s="470" t="s">
        <v>861</v>
      </c>
      <c r="D766" s="471">
        <v>538.3038780435545</v>
      </c>
      <c r="E766" s="2"/>
      <c r="F766" s="2"/>
      <c r="G766" s="2"/>
      <c r="H766" s="2"/>
      <c r="I766" s="21"/>
      <c r="J766" s="21"/>
      <c r="K766" s="21"/>
    </row>
    <row r="767" spans="1:11" ht="15.5" x14ac:dyDescent="0.35">
      <c r="A767" s="468" t="s">
        <v>860</v>
      </c>
      <c r="B767" s="469">
        <v>2016</v>
      </c>
      <c r="C767" s="470" t="s">
        <v>862</v>
      </c>
      <c r="D767" s="471">
        <v>530.05453821101958</v>
      </c>
      <c r="E767" s="2"/>
      <c r="F767" s="2"/>
      <c r="G767" s="2"/>
      <c r="H767" s="2"/>
      <c r="I767" s="21"/>
      <c r="J767" s="21"/>
      <c r="K767" s="21"/>
    </row>
    <row r="768" spans="1:11" ht="15.5" x14ac:dyDescent="0.35">
      <c r="A768" s="472" t="s">
        <v>860</v>
      </c>
      <c r="B768" s="473">
        <v>2017</v>
      </c>
      <c r="C768" s="473" t="str">
        <f t="shared" ref="C768:C801" si="20">CONCATENATE(A768,"_",B768)</f>
        <v>Lake_2017</v>
      </c>
      <c r="D768" s="474">
        <v>518.56838063911823</v>
      </c>
      <c r="E768" s="2"/>
      <c r="F768" s="2"/>
      <c r="G768" s="2"/>
      <c r="H768" s="2"/>
      <c r="I768" s="21"/>
      <c r="J768" s="21"/>
      <c r="K768" s="21"/>
    </row>
    <row r="769" spans="1:11" ht="15.5" x14ac:dyDescent="0.35">
      <c r="A769" s="472" t="s">
        <v>860</v>
      </c>
      <c r="B769" s="473">
        <v>2018</v>
      </c>
      <c r="C769" s="473" t="str">
        <f t="shared" si="20"/>
        <v>Lake_2018</v>
      </c>
      <c r="D769" s="474">
        <v>506.4621949088052</v>
      </c>
      <c r="E769" s="2"/>
      <c r="F769" s="2"/>
      <c r="G769" s="2"/>
      <c r="H769" s="2"/>
      <c r="I769" s="21"/>
      <c r="J769" s="21"/>
      <c r="K769" s="21"/>
    </row>
    <row r="770" spans="1:11" ht="15.5" x14ac:dyDescent="0.35">
      <c r="A770" s="472" t="s">
        <v>860</v>
      </c>
      <c r="B770" s="473">
        <v>2019</v>
      </c>
      <c r="C770" s="473" t="str">
        <f t="shared" si="20"/>
        <v>Lake_2019</v>
      </c>
      <c r="D770" s="474">
        <v>493.69629338520394</v>
      </c>
      <c r="E770" s="2"/>
      <c r="F770" s="2"/>
      <c r="G770" s="2"/>
      <c r="H770" s="2"/>
      <c r="I770" s="21"/>
      <c r="J770" s="21"/>
      <c r="K770" s="21"/>
    </row>
    <row r="771" spans="1:11" ht="15.5" x14ac:dyDescent="0.35">
      <c r="A771" s="472" t="s">
        <v>860</v>
      </c>
      <c r="B771" s="473">
        <v>2020</v>
      </c>
      <c r="C771" s="473" t="str">
        <f t="shared" si="20"/>
        <v>Lake_2020</v>
      </c>
      <c r="D771" s="474">
        <v>480.50183718412939</v>
      </c>
      <c r="E771" s="2"/>
      <c r="F771" s="2"/>
      <c r="G771" s="2"/>
      <c r="H771" s="2"/>
      <c r="I771" s="21"/>
      <c r="J771" s="21"/>
      <c r="K771" s="21"/>
    </row>
    <row r="772" spans="1:11" ht="15.5" x14ac:dyDescent="0.35">
      <c r="A772" s="472" t="s">
        <v>860</v>
      </c>
      <c r="B772" s="473">
        <v>2021</v>
      </c>
      <c r="C772" s="473" t="str">
        <f t="shared" si="20"/>
        <v>Lake_2021</v>
      </c>
      <c r="D772" s="474">
        <v>466.81420414529282</v>
      </c>
      <c r="E772" s="2"/>
      <c r="F772" s="2"/>
      <c r="G772" s="2"/>
      <c r="H772" s="2"/>
      <c r="I772" s="21"/>
      <c r="J772" s="21"/>
      <c r="K772" s="21"/>
    </row>
    <row r="773" spans="1:11" ht="15.5" x14ac:dyDescent="0.35">
      <c r="A773" s="472" t="s">
        <v>860</v>
      </c>
      <c r="B773" s="473">
        <v>2022</v>
      </c>
      <c r="C773" s="473" t="str">
        <f t="shared" si="20"/>
        <v>Lake_2022</v>
      </c>
      <c r="D773" s="474">
        <v>453.09239734147877</v>
      </c>
      <c r="E773" s="2"/>
      <c r="F773" s="2"/>
      <c r="G773" s="2"/>
      <c r="H773" s="2"/>
      <c r="I773" s="21"/>
      <c r="J773" s="21"/>
      <c r="K773" s="21"/>
    </row>
    <row r="774" spans="1:11" ht="15.5" x14ac:dyDescent="0.35">
      <c r="A774" s="472" t="s">
        <v>860</v>
      </c>
      <c r="B774" s="473">
        <v>2023</v>
      </c>
      <c r="C774" s="473" t="str">
        <f t="shared" si="20"/>
        <v>Lake_2023</v>
      </c>
      <c r="D774" s="474">
        <v>439.37093143854395</v>
      </c>
      <c r="E774" s="2"/>
      <c r="F774" s="2"/>
      <c r="G774" s="2"/>
      <c r="H774" s="2"/>
      <c r="I774" s="21"/>
      <c r="J774" s="21"/>
      <c r="K774" s="21"/>
    </row>
    <row r="775" spans="1:11" ht="15.5" x14ac:dyDescent="0.35">
      <c r="A775" s="472" t="s">
        <v>860</v>
      </c>
      <c r="B775" s="473">
        <v>2024</v>
      </c>
      <c r="C775" s="473" t="str">
        <f t="shared" si="20"/>
        <v>Lake_2024</v>
      </c>
      <c r="D775" s="474">
        <v>425.70501083669416</v>
      </c>
      <c r="E775" s="2"/>
      <c r="F775" s="2"/>
      <c r="G775" s="2"/>
      <c r="H775" s="2"/>
      <c r="I775" s="21"/>
      <c r="J775" s="21"/>
      <c r="K775" s="21"/>
    </row>
    <row r="776" spans="1:11" ht="15.5" x14ac:dyDescent="0.35">
      <c r="A776" s="472" t="s">
        <v>860</v>
      </c>
      <c r="B776" s="473">
        <v>2025</v>
      </c>
      <c r="C776" s="473" t="str">
        <f t="shared" si="20"/>
        <v>Lake_2025</v>
      </c>
      <c r="D776" s="474">
        <v>412.30587049822179</v>
      </c>
      <c r="E776" s="2"/>
      <c r="F776" s="2"/>
      <c r="G776" s="2"/>
      <c r="H776" s="2"/>
      <c r="I776" s="21"/>
      <c r="J776" s="21"/>
      <c r="K776" s="21"/>
    </row>
    <row r="777" spans="1:11" ht="15.5" x14ac:dyDescent="0.35">
      <c r="A777" s="472" t="s">
        <v>860</v>
      </c>
      <c r="B777" s="473">
        <v>2026</v>
      </c>
      <c r="C777" s="473" t="str">
        <f t="shared" si="20"/>
        <v>Lake_2026</v>
      </c>
      <c r="D777" s="474">
        <v>399.82995019748529</v>
      </c>
      <c r="E777" s="2"/>
      <c r="F777" s="2"/>
      <c r="G777" s="2"/>
      <c r="H777" s="2"/>
      <c r="I777" s="21"/>
      <c r="J777" s="21"/>
      <c r="K777" s="21"/>
    </row>
    <row r="778" spans="1:11" ht="15.5" x14ac:dyDescent="0.35">
      <c r="A778" s="472" t="s">
        <v>860</v>
      </c>
      <c r="B778" s="473">
        <v>2027</v>
      </c>
      <c r="C778" s="473" t="str">
        <f t="shared" si="20"/>
        <v>Lake_2027</v>
      </c>
      <c r="D778" s="474">
        <v>388.1336807820021</v>
      </c>
      <c r="E778" s="2"/>
      <c r="F778" s="2"/>
      <c r="G778" s="2"/>
      <c r="H778" s="2"/>
      <c r="I778" s="21"/>
      <c r="J778" s="21"/>
      <c r="K778" s="21"/>
    </row>
    <row r="779" spans="1:11" ht="15.5" x14ac:dyDescent="0.35">
      <c r="A779" s="472" t="s">
        <v>860</v>
      </c>
      <c r="B779" s="473">
        <v>2028</v>
      </c>
      <c r="C779" s="473" t="str">
        <f t="shared" si="20"/>
        <v>Lake_2028</v>
      </c>
      <c r="D779" s="474">
        <v>377.35234436183424</v>
      </c>
      <c r="E779" s="2"/>
      <c r="F779" s="2"/>
      <c r="G779" s="2"/>
      <c r="H779" s="2"/>
      <c r="I779" s="21"/>
      <c r="J779" s="21"/>
      <c r="K779" s="21"/>
    </row>
    <row r="780" spans="1:11" ht="15.5" x14ac:dyDescent="0.35">
      <c r="A780" s="472" t="s">
        <v>860</v>
      </c>
      <c r="B780" s="473">
        <v>2029</v>
      </c>
      <c r="C780" s="473" t="str">
        <f t="shared" si="20"/>
        <v>Lake_2029</v>
      </c>
      <c r="D780" s="474">
        <v>367.42439607059765</v>
      </c>
      <c r="E780" s="2"/>
      <c r="F780" s="2"/>
      <c r="G780" s="2"/>
      <c r="H780" s="2"/>
      <c r="I780" s="21"/>
      <c r="J780" s="21"/>
      <c r="K780" s="21"/>
    </row>
    <row r="781" spans="1:11" ht="15.5" x14ac:dyDescent="0.35">
      <c r="A781" s="472" t="s">
        <v>860</v>
      </c>
      <c r="B781" s="473">
        <v>2030</v>
      </c>
      <c r="C781" s="473" t="str">
        <f t="shared" si="20"/>
        <v>Lake_2030</v>
      </c>
      <c r="D781" s="474">
        <v>358.34600833408979</v>
      </c>
      <c r="E781" s="2"/>
      <c r="F781" s="2"/>
      <c r="G781" s="2"/>
      <c r="H781" s="2"/>
      <c r="I781" s="21"/>
      <c r="J781" s="21"/>
      <c r="K781" s="21"/>
    </row>
    <row r="782" spans="1:11" ht="15.5" x14ac:dyDescent="0.35">
      <c r="A782" s="472" t="s">
        <v>860</v>
      </c>
      <c r="B782" s="473">
        <v>2031</v>
      </c>
      <c r="C782" s="473" t="str">
        <f t="shared" si="20"/>
        <v>Lake_2031</v>
      </c>
      <c r="D782" s="474">
        <v>350.08522811157053</v>
      </c>
      <c r="E782" s="2"/>
      <c r="F782" s="2"/>
      <c r="G782" s="2"/>
      <c r="H782" s="2"/>
      <c r="I782" s="21"/>
      <c r="J782" s="21"/>
      <c r="K782" s="21"/>
    </row>
    <row r="783" spans="1:11" ht="15.5" x14ac:dyDescent="0.35">
      <c r="A783" s="472" t="s">
        <v>860</v>
      </c>
      <c r="B783" s="473">
        <v>2032</v>
      </c>
      <c r="C783" s="473" t="str">
        <f t="shared" si="20"/>
        <v>Lake_2032</v>
      </c>
      <c r="D783" s="474">
        <v>342.62587816809776</v>
      </c>
      <c r="E783" s="2"/>
      <c r="F783" s="2"/>
      <c r="G783" s="2"/>
      <c r="H783" s="2"/>
      <c r="I783" s="21"/>
      <c r="J783" s="21"/>
      <c r="K783" s="21"/>
    </row>
    <row r="784" spans="1:11" ht="15.5" x14ac:dyDescent="0.35">
      <c r="A784" s="472" t="s">
        <v>860</v>
      </c>
      <c r="B784" s="473">
        <v>2033</v>
      </c>
      <c r="C784" s="473" t="str">
        <f t="shared" si="20"/>
        <v>Lake_2033</v>
      </c>
      <c r="D784" s="474">
        <v>335.91314203515145</v>
      </c>
      <c r="E784" s="2"/>
      <c r="F784" s="2"/>
      <c r="G784" s="2"/>
      <c r="H784" s="2"/>
      <c r="I784" s="21"/>
      <c r="J784" s="21"/>
      <c r="K784" s="21"/>
    </row>
    <row r="785" spans="1:11" ht="15.5" x14ac:dyDescent="0.35">
      <c r="A785" s="472" t="s">
        <v>860</v>
      </c>
      <c r="B785" s="473">
        <v>2034</v>
      </c>
      <c r="C785" s="473" t="str">
        <f t="shared" si="20"/>
        <v>Lake_2034</v>
      </c>
      <c r="D785" s="474">
        <v>329.87198664348551</v>
      </c>
      <c r="E785" s="2"/>
      <c r="F785" s="2"/>
      <c r="G785" s="2"/>
      <c r="H785" s="2"/>
      <c r="I785" s="21"/>
      <c r="J785" s="21"/>
      <c r="K785" s="21"/>
    </row>
    <row r="786" spans="1:11" ht="15.5" x14ac:dyDescent="0.35">
      <c r="A786" s="472" t="s">
        <v>860</v>
      </c>
      <c r="B786" s="473">
        <v>2035</v>
      </c>
      <c r="C786" s="473" t="str">
        <f t="shared" si="20"/>
        <v>Lake_2035</v>
      </c>
      <c r="D786" s="474">
        <v>324.46484019271418</v>
      </c>
      <c r="E786" s="2"/>
      <c r="F786" s="2"/>
      <c r="G786" s="2"/>
      <c r="H786" s="2"/>
      <c r="I786" s="21"/>
      <c r="J786" s="21"/>
      <c r="K786" s="21"/>
    </row>
    <row r="787" spans="1:11" ht="15.5" x14ac:dyDescent="0.35">
      <c r="A787" s="472" t="s">
        <v>860</v>
      </c>
      <c r="B787" s="473">
        <v>2036</v>
      </c>
      <c r="C787" s="473" t="str">
        <f t="shared" si="20"/>
        <v>Lake_2036</v>
      </c>
      <c r="D787" s="474">
        <v>319.65559876333549</v>
      </c>
      <c r="E787" s="2"/>
      <c r="F787" s="2"/>
      <c r="G787" s="2"/>
      <c r="H787" s="2"/>
      <c r="I787" s="21"/>
      <c r="J787" s="21"/>
      <c r="K787" s="21"/>
    </row>
    <row r="788" spans="1:11" ht="15.5" x14ac:dyDescent="0.35">
      <c r="A788" s="472" t="s">
        <v>860</v>
      </c>
      <c r="B788" s="473">
        <v>2037</v>
      </c>
      <c r="C788" s="473" t="str">
        <f t="shared" si="20"/>
        <v>Lake_2037</v>
      </c>
      <c r="D788" s="474">
        <v>315.41351828832723</v>
      </c>
      <c r="E788" s="2"/>
      <c r="F788" s="2"/>
      <c r="G788" s="2"/>
      <c r="H788" s="2"/>
      <c r="I788" s="21"/>
      <c r="J788" s="21"/>
      <c r="K788" s="21"/>
    </row>
    <row r="789" spans="1:11" ht="15.5" x14ac:dyDescent="0.35">
      <c r="A789" s="472" t="s">
        <v>860</v>
      </c>
      <c r="B789" s="473">
        <v>2038</v>
      </c>
      <c r="C789" s="473" t="str">
        <f t="shared" si="20"/>
        <v>Lake_2038</v>
      </c>
      <c r="D789" s="474">
        <v>311.69997533206515</v>
      </c>
      <c r="E789" s="2"/>
      <c r="F789" s="2"/>
      <c r="G789" s="2"/>
      <c r="H789" s="2"/>
      <c r="I789" s="21"/>
      <c r="J789" s="21"/>
      <c r="K789" s="21"/>
    </row>
    <row r="790" spans="1:11" ht="15.5" x14ac:dyDescent="0.35">
      <c r="A790" s="472" t="s">
        <v>860</v>
      </c>
      <c r="B790" s="473">
        <v>2039</v>
      </c>
      <c r="C790" s="473" t="str">
        <f t="shared" si="20"/>
        <v>Lake_2039</v>
      </c>
      <c r="D790" s="474">
        <v>308.42535411197986</v>
      </c>
      <c r="E790" s="2"/>
      <c r="F790" s="2"/>
      <c r="G790" s="2"/>
      <c r="H790" s="2"/>
      <c r="I790" s="21"/>
      <c r="J790" s="21"/>
      <c r="K790" s="21"/>
    </row>
    <row r="791" spans="1:11" ht="15.5" x14ac:dyDescent="0.35">
      <c r="A791" s="472" t="s">
        <v>860</v>
      </c>
      <c r="B791" s="473">
        <v>2040</v>
      </c>
      <c r="C791" s="473" t="str">
        <f t="shared" si="20"/>
        <v>Lake_2040</v>
      </c>
      <c r="D791" s="474">
        <v>305.55601604912141</v>
      </c>
      <c r="E791" s="2"/>
      <c r="F791" s="2"/>
      <c r="G791" s="2"/>
      <c r="H791" s="2"/>
      <c r="I791" s="21"/>
      <c r="J791" s="21"/>
      <c r="K791" s="21"/>
    </row>
    <row r="792" spans="1:11" ht="15.5" x14ac:dyDescent="0.35">
      <c r="A792" s="472" t="s">
        <v>860</v>
      </c>
      <c r="B792" s="473">
        <v>2041</v>
      </c>
      <c r="C792" s="473" t="str">
        <f t="shared" si="20"/>
        <v>Lake_2041</v>
      </c>
      <c r="D792" s="474">
        <v>303.09374652075826</v>
      </c>
      <c r="E792" s="2"/>
      <c r="F792" s="2"/>
      <c r="G792" s="2"/>
      <c r="H792" s="2"/>
      <c r="I792" s="21"/>
      <c r="J792" s="21"/>
      <c r="K792" s="21"/>
    </row>
    <row r="793" spans="1:11" ht="15.5" x14ac:dyDescent="0.35">
      <c r="A793" s="472" t="s">
        <v>860</v>
      </c>
      <c r="B793" s="473">
        <v>2042</v>
      </c>
      <c r="C793" s="473" t="str">
        <f t="shared" si="20"/>
        <v>Lake_2042</v>
      </c>
      <c r="D793" s="474">
        <v>300.93720409125501</v>
      </c>
      <c r="E793" s="2"/>
      <c r="F793" s="2"/>
      <c r="G793" s="2"/>
      <c r="H793" s="2"/>
      <c r="I793" s="21"/>
      <c r="J793" s="21"/>
      <c r="K793" s="21"/>
    </row>
    <row r="794" spans="1:11" ht="15.5" x14ac:dyDescent="0.35">
      <c r="A794" s="472" t="s">
        <v>860</v>
      </c>
      <c r="B794" s="473">
        <v>2043</v>
      </c>
      <c r="C794" s="473" t="str">
        <f t="shared" si="20"/>
        <v>Lake_2043</v>
      </c>
      <c r="D794" s="474">
        <v>299.08290729795226</v>
      </c>
      <c r="E794" s="2"/>
      <c r="F794" s="2"/>
      <c r="G794" s="2"/>
      <c r="H794" s="2"/>
      <c r="I794" s="21"/>
      <c r="J794" s="21"/>
      <c r="K794" s="21"/>
    </row>
    <row r="795" spans="1:11" ht="15.5" x14ac:dyDescent="0.35">
      <c r="A795" s="472" t="s">
        <v>860</v>
      </c>
      <c r="B795" s="473">
        <v>2044</v>
      </c>
      <c r="C795" s="473" t="str">
        <f t="shared" si="20"/>
        <v>Lake_2044</v>
      </c>
      <c r="D795" s="474">
        <v>297.47070991215554</v>
      </c>
      <c r="E795" s="2"/>
      <c r="F795" s="2"/>
      <c r="G795" s="2"/>
      <c r="H795" s="2"/>
      <c r="I795" s="21"/>
      <c r="J795" s="21"/>
      <c r="K795" s="21"/>
    </row>
    <row r="796" spans="1:11" ht="15.5" x14ac:dyDescent="0.35">
      <c r="A796" s="472" t="s">
        <v>860</v>
      </c>
      <c r="B796" s="473">
        <v>2045</v>
      </c>
      <c r="C796" s="473" t="str">
        <f t="shared" si="20"/>
        <v>Lake_2045</v>
      </c>
      <c r="D796" s="474">
        <v>296.04787067478458</v>
      </c>
      <c r="E796" s="2"/>
      <c r="F796" s="2"/>
      <c r="G796" s="2"/>
      <c r="H796" s="2"/>
      <c r="I796" s="21"/>
      <c r="J796" s="21"/>
      <c r="K796" s="21"/>
    </row>
    <row r="797" spans="1:11" ht="15.5" x14ac:dyDescent="0.35">
      <c r="A797" s="472" t="s">
        <v>860</v>
      </c>
      <c r="B797" s="473">
        <v>2046</v>
      </c>
      <c r="C797" s="473" t="str">
        <f t="shared" si="20"/>
        <v>Lake_2046</v>
      </c>
      <c r="D797" s="474">
        <v>294.81791741655371</v>
      </c>
      <c r="E797" s="2"/>
      <c r="F797" s="2"/>
      <c r="G797" s="2"/>
      <c r="H797" s="2"/>
      <c r="I797" s="21"/>
      <c r="J797" s="21"/>
      <c r="K797" s="21"/>
    </row>
    <row r="798" spans="1:11" ht="15.5" x14ac:dyDescent="0.35">
      <c r="A798" s="472" t="s">
        <v>860</v>
      </c>
      <c r="B798" s="473">
        <v>2047</v>
      </c>
      <c r="C798" s="473" t="str">
        <f t="shared" si="20"/>
        <v>Lake_2047</v>
      </c>
      <c r="D798" s="474">
        <v>293.77608408945815</v>
      </c>
      <c r="E798" s="2"/>
      <c r="F798" s="2"/>
      <c r="G798" s="2"/>
      <c r="H798" s="2"/>
      <c r="I798" s="21"/>
      <c r="J798" s="21"/>
      <c r="K798" s="21"/>
    </row>
    <row r="799" spans="1:11" ht="15.5" x14ac:dyDescent="0.35">
      <c r="A799" s="472" t="s">
        <v>860</v>
      </c>
      <c r="B799" s="473">
        <v>2048</v>
      </c>
      <c r="C799" s="473" t="str">
        <f t="shared" si="20"/>
        <v>Lake_2048</v>
      </c>
      <c r="D799" s="474">
        <v>292.87788117540447</v>
      </c>
      <c r="E799" s="2"/>
      <c r="F799" s="2"/>
      <c r="G799" s="2"/>
      <c r="H799" s="2"/>
      <c r="I799" s="21"/>
      <c r="J799" s="21"/>
      <c r="K799" s="21"/>
    </row>
    <row r="800" spans="1:11" ht="15.5" x14ac:dyDescent="0.35">
      <c r="A800" s="472" t="s">
        <v>860</v>
      </c>
      <c r="B800" s="473">
        <v>2049</v>
      </c>
      <c r="C800" s="473" t="str">
        <f t="shared" si="20"/>
        <v>Lake_2049</v>
      </c>
      <c r="D800" s="474">
        <v>292.10817358641771</v>
      </c>
      <c r="E800" s="2"/>
      <c r="F800" s="2"/>
      <c r="G800" s="2"/>
      <c r="H800" s="2"/>
      <c r="I800" s="21"/>
      <c r="J800" s="21"/>
      <c r="K800" s="21"/>
    </row>
    <row r="801" spans="1:11" ht="15.5" x14ac:dyDescent="0.35">
      <c r="A801" s="472" t="s">
        <v>860</v>
      </c>
      <c r="B801" s="473">
        <v>2050</v>
      </c>
      <c r="C801" s="473" t="str">
        <f t="shared" si="20"/>
        <v>Lake_2050</v>
      </c>
      <c r="D801" s="474">
        <v>291.45908628485734</v>
      </c>
      <c r="E801" s="2"/>
      <c r="F801" s="2"/>
      <c r="G801" s="2"/>
      <c r="H801" s="2"/>
      <c r="I801" s="21"/>
      <c r="J801" s="21"/>
      <c r="K801" s="21"/>
    </row>
    <row r="802" spans="1:11" ht="15.5" x14ac:dyDescent="0.35">
      <c r="A802" s="468" t="s">
        <v>863</v>
      </c>
      <c r="B802" s="469">
        <v>2015</v>
      </c>
      <c r="C802" s="470" t="s">
        <v>864</v>
      </c>
      <c r="D802" s="471">
        <v>547.16668179707995</v>
      </c>
      <c r="E802" s="2"/>
      <c r="F802" s="2"/>
      <c r="G802" s="2"/>
      <c r="H802" s="2"/>
      <c r="I802" s="21"/>
      <c r="J802" s="21"/>
      <c r="K802" s="21"/>
    </row>
    <row r="803" spans="1:11" ht="15.5" x14ac:dyDescent="0.35">
      <c r="A803" s="468" t="s">
        <v>863</v>
      </c>
      <c r="B803" s="469">
        <v>2016</v>
      </c>
      <c r="C803" s="470" t="s">
        <v>865</v>
      </c>
      <c r="D803" s="471">
        <v>536.63423545765818</v>
      </c>
      <c r="E803" s="2"/>
      <c r="F803" s="2"/>
      <c r="G803" s="2"/>
      <c r="H803" s="2"/>
      <c r="I803" s="21"/>
      <c r="J803" s="21"/>
      <c r="K803" s="21"/>
    </row>
    <row r="804" spans="1:11" ht="15.5" x14ac:dyDescent="0.35">
      <c r="A804" s="472" t="s">
        <v>863</v>
      </c>
      <c r="B804" s="473">
        <v>2017</v>
      </c>
      <c r="C804" s="473" t="str">
        <f t="shared" ref="C804:C837" si="21">CONCATENATE(A804,"_",B804)</f>
        <v>Lassen_2017</v>
      </c>
      <c r="D804" s="474">
        <v>523.72130186344521</v>
      </c>
      <c r="E804" s="2"/>
      <c r="F804" s="2"/>
      <c r="G804" s="2"/>
      <c r="H804" s="2"/>
      <c r="I804" s="21"/>
      <c r="J804" s="21"/>
      <c r="K804" s="21"/>
    </row>
    <row r="805" spans="1:11" ht="15.5" x14ac:dyDescent="0.35">
      <c r="A805" s="472" t="s">
        <v>863</v>
      </c>
      <c r="B805" s="473">
        <v>2018</v>
      </c>
      <c r="C805" s="473" t="str">
        <f t="shared" si="21"/>
        <v>Lassen_2018</v>
      </c>
      <c r="D805" s="474">
        <v>510.34352565324696</v>
      </c>
      <c r="E805" s="2"/>
      <c r="F805" s="2"/>
      <c r="G805" s="2"/>
      <c r="H805" s="2"/>
      <c r="I805" s="21"/>
      <c r="J805" s="21"/>
      <c r="K805" s="21"/>
    </row>
    <row r="806" spans="1:11" ht="15.5" x14ac:dyDescent="0.35">
      <c r="A806" s="472" t="s">
        <v>863</v>
      </c>
      <c r="B806" s="473">
        <v>2019</v>
      </c>
      <c r="C806" s="473" t="str">
        <f t="shared" si="21"/>
        <v>Lassen_2019</v>
      </c>
      <c r="D806" s="474">
        <v>496.36041283979552</v>
      </c>
      <c r="E806" s="2"/>
      <c r="F806" s="2"/>
      <c r="G806" s="2"/>
      <c r="H806" s="2"/>
      <c r="I806" s="21"/>
      <c r="J806" s="21"/>
      <c r="K806" s="21"/>
    </row>
    <row r="807" spans="1:11" ht="15.5" x14ac:dyDescent="0.35">
      <c r="A807" s="472" t="s">
        <v>863</v>
      </c>
      <c r="B807" s="473">
        <v>2020</v>
      </c>
      <c r="C807" s="473" t="str">
        <f t="shared" si="21"/>
        <v>Lassen_2020</v>
      </c>
      <c r="D807" s="474">
        <v>482.19252458866293</v>
      </c>
      <c r="E807" s="2"/>
      <c r="F807" s="2"/>
      <c r="G807" s="2"/>
      <c r="H807" s="2"/>
      <c r="I807" s="21"/>
      <c r="J807" s="21"/>
      <c r="K807" s="21"/>
    </row>
    <row r="808" spans="1:11" ht="15.5" x14ac:dyDescent="0.35">
      <c r="A808" s="472" t="s">
        <v>863</v>
      </c>
      <c r="B808" s="473">
        <v>2021</v>
      </c>
      <c r="C808" s="473" t="str">
        <f t="shared" si="21"/>
        <v>Lassen_2021</v>
      </c>
      <c r="D808" s="474">
        <v>467.80906129458413</v>
      </c>
      <c r="E808" s="2"/>
      <c r="F808" s="2"/>
      <c r="G808" s="2"/>
      <c r="H808" s="2"/>
      <c r="I808" s="21"/>
      <c r="J808" s="21"/>
      <c r="K808" s="21"/>
    </row>
    <row r="809" spans="1:11" ht="15.5" x14ac:dyDescent="0.35">
      <c r="A809" s="472" t="s">
        <v>863</v>
      </c>
      <c r="B809" s="473">
        <v>2022</v>
      </c>
      <c r="C809" s="473" t="str">
        <f t="shared" si="21"/>
        <v>Lassen_2022</v>
      </c>
      <c r="D809" s="474">
        <v>453.50788286221831</v>
      </c>
      <c r="E809" s="2"/>
      <c r="F809" s="2"/>
      <c r="G809" s="2"/>
      <c r="H809" s="2"/>
      <c r="I809" s="21"/>
      <c r="J809" s="21"/>
      <c r="K809" s="21"/>
    </row>
    <row r="810" spans="1:11" ht="15.5" x14ac:dyDescent="0.35">
      <c r="A810" s="472" t="s">
        <v>863</v>
      </c>
      <c r="B810" s="473">
        <v>2023</v>
      </c>
      <c r="C810" s="473" t="str">
        <f t="shared" si="21"/>
        <v>Lassen_2023</v>
      </c>
      <c r="D810" s="474">
        <v>439.47304619540387</v>
      </c>
      <c r="E810" s="2"/>
      <c r="F810" s="2"/>
      <c r="G810" s="2"/>
      <c r="H810" s="2"/>
      <c r="I810" s="21"/>
      <c r="J810" s="21"/>
      <c r="K810" s="21"/>
    </row>
    <row r="811" spans="1:11" ht="15.5" x14ac:dyDescent="0.35">
      <c r="A811" s="472" t="s">
        <v>863</v>
      </c>
      <c r="B811" s="473">
        <v>2024</v>
      </c>
      <c r="C811" s="473" t="str">
        <f t="shared" si="21"/>
        <v>Lassen_2024</v>
      </c>
      <c r="D811" s="474">
        <v>425.60112669834854</v>
      </c>
      <c r="E811" s="2"/>
      <c r="F811" s="2"/>
      <c r="G811" s="2"/>
      <c r="H811" s="2"/>
      <c r="I811" s="21"/>
      <c r="J811" s="21"/>
      <c r="K811" s="21"/>
    </row>
    <row r="812" spans="1:11" ht="15.5" x14ac:dyDescent="0.35">
      <c r="A812" s="472" t="s">
        <v>863</v>
      </c>
      <c r="B812" s="473">
        <v>2025</v>
      </c>
      <c r="C812" s="473" t="str">
        <f t="shared" si="21"/>
        <v>Lassen_2025</v>
      </c>
      <c r="D812" s="474">
        <v>412.03888694067956</v>
      </c>
      <c r="E812" s="2"/>
      <c r="F812" s="2"/>
      <c r="G812" s="2"/>
      <c r="H812" s="2"/>
      <c r="I812" s="21"/>
      <c r="J812" s="21"/>
      <c r="K812" s="21"/>
    </row>
    <row r="813" spans="1:11" ht="15.5" x14ac:dyDescent="0.35">
      <c r="A813" s="472" t="s">
        <v>863</v>
      </c>
      <c r="B813" s="473">
        <v>2026</v>
      </c>
      <c r="C813" s="473" t="str">
        <f t="shared" si="21"/>
        <v>Lassen_2026</v>
      </c>
      <c r="D813" s="474">
        <v>399.65221724391466</v>
      </c>
      <c r="E813" s="2"/>
      <c r="F813" s="2"/>
      <c r="G813" s="2"/>
      <c r="H813" s="2"/>
      <c r="I813" s="21"/>
      <c r="J813" s="21"/>
      <c r="K813" s="21"/>
    </row>
    <row r="814" spans="1:11" ht="15.5" x14ac:dyDescent="0.35">
      <c r="A814" s="472" t="s">
        <v>863</v>
      </c>
      <c r="B814" s="473">
        <v>2027</v>
      </c>
      <c r="C814" s="473" t="str">
        <f t="shared" si="21"/>
        <v>Lassen_2027</v>
      </c>
      <c r="D814" s="474">
        <v>388.26835053419012</v>
      </c>
      <c r="E814" s="2"/>
      <c r="F814" s="2"/>
      <c r="G814" s="2"/>
      <c r="H814" s="2"/>
      <c r="I814" s="21"/>
      <c r="J814" s="21"/>
      <c r="K814" s="21"/>
    </row>
    <row r="815" spans="1:11" ht="15.5" x14ac:dyDescent="0.35">
      <c r="A815" s="472" t="s">
        <v>863</v>
      </c>
      <c r="B815" s="473">
        <v>2028</v>
      </c>
      <c r="C815" s="473" t="str">
        <f t="shared" si="21"/>
        <v>Lassen_2028</v>
      </c>
      <c r="D815" s="474">
        <v>377.9350483215556</v>
      </c>
      <c r="E815" s="2"/>
      <c r="F815" s="2"/>
      <c r="G815" s="2"/>
      <c r="H815" s="2"/>
      <c r="I815" s="21"/>
      <c r="J815" s="21"/>
      <c r="K815" s="21"/>
    </row>
    <row r="816" spans="1:11" ht="15.5" x14ac:dyDescent="0.35">
      <c r="A816" s="472" t="s">
        <v>863</v>
      </c>
      <c r="B816" s="473">
        <v>2029</v>
      </c>
      <c r="C816" s="473" t="str">
        <f t="shared" si="21"/>
        <v>Lassen_2029</v>
      </c>
      <c r="D816" s="474">
        <v>368.56127370547131</v>
      </c>
      <c r="E816" s="2"/>
      <c r="F816" s="2"/>
      <c r="G816" s="2"/>
      <c r="H816" s="2"/>
      <c r="I816" s="21"/>
      <c r="J816" s="21"/>
      <c r="K816" s="21"/>
    </row>
    <row r="817" spans="1:11" ht="15.5" x14ac:dyDescent="0.35">
      <c r="A817" s="472" t="s">
        <v>863</v>
      </c>
      <c r="B817" s="473">
        <v>2030</v>
      </c>
      <c r="C817" s="473" t="str">
        <f t="shared" si="21"/>
        <v>Lassen_2030</v>
      </c>
      <c r="D817" s="474">
        <v>360.09968115546224</v>
      </c>
      <c r="E817" s="2"/>
      <c r="F817" s="2"/>
      <c r="G817" s="2"/>
      <c r="H817" s="2"/>
      <c r="I817" s="21"/>
      <c r="J817" s="21"/>
      <c r="K817" s="21"/>
    </row>
    <row r="818" spans="1:11" ht="15.5" x14ac:dyDescent="0.35">
      <c r="A818" s="472" t="s">
        <v>863</v>
      </c>
      <c r="B818" s="473">
        <v>2031</v>
      </c>
      <c r="C818" s="473" t="str">
        <f t="shared" si="21"/>
        <v>Lassen_2031</v>
      </c>
      <c r="D818" s="474">
        <v>352.52631919120023</v>
      </c>
      <c r="E818" s="2"/>
      <c r="F818" s="2"/>
      <c r="G818" s="2"/>
      <c r="H818" s="2"/>
      <c r="I818" s="21"/>
      <c r="J818" s="21"/>
      <c r="K818" s="21"/>
    </row>
    <row r="819" spans="1:11" ht="15.5" x14ac:dyDescent="0.35">
      <c r="A819" s="472" t="s">
        <v>863</v>
      </c>
      <c r="B819" s="473">
        <v>2032</v>
      </c>
      <c r="C819" s="473" t="str">
        <f t="shared" si="21"/>
        <v>Lassen_2032</v>
      </c>
      <c r="D819" s="474">
        <v>345.75562621602074</v>
      </c>
      <c r="E819" s="2"/>
      <c r="F819" s="2"/>
      <c r="G819" s="2"/>
      <c r="H819" s="2"/>
      <c r="I819" s="21"/>
      <c r="J819" s="21"/>
      <c r="K819" s="21"/>
    </row>
    <row r="820" spans="1:11" ht="15.5" x14ac:dyDescent="0.35">
      <c r="A820" s="472" t="s">
        <v>863</v>
      </c>
      <c r="B820" s="473">
        <v>2033</v>
      </c>
      <c r="C820" s="473" t="str">
        <f t="shared" si="21"/>
        <v>Lassen_2033</v>
      </c>
      <c r="D820" s="474">
        <v>339.72893623903013</v>
      </c>
      <c r="E820" s="2"/>
      <c r="F820" s="2"/>
      <c r="G820" s="2"/>
      <c r="H820" s="2"/>
      <c r="I820" s="21"/>
      <c r="J820" s="21"/>
      <c r="K820" s="21"/>
    </row>
    <row r="821" spans="1:11" ht="15.5" x14ac:dyDescent="0.35">
      <c r="A821" s="472" t="s">
        <v>863</v>
      </c>
      <c r="B821" s="473">
        <v>2034</v>
      </c>
      <c r="C821" s="473" t="str">
        <f t="shared" si="21"/>
        <v>Lassen_2034</v>
      </c>
      <c r="D821" s="474">
        <v>334.37809198918802</v>
      </c>
      <c r="E821" s="2"/>
      <c r="F821" s="2"/>
      <c r="G821" s="2"/>
      <c r="H821" s="2"/>
      <c r="I821" s="21"/>
      <c r="J821" s="21"/>
      <c r="K821" s="21"/>
    </row>
    <row r="822" spans="1:11" ht="15.5" x14ac:dyDescent="0.35">
      <c r="A822" s="472" t="s">
        <v>863</v>
      </c>
      <c r="B822" s="473">
        <v>2035</v>
      </c>
      <c r="C822" s="473" t="str">
        <f t="shared" si="21"/>
        <v>Lassen_2035</v>
      </c>
      <c r="D822" s="474">
        <v>329.68384857373644</v>
      </c>
      <c r="E822" s="2"/>
      <c r="F822" s="2"/>
      <c r="G822" s="2"/>
      <c r="H822" s="2"/>
      <c r="I822" s="21"/>
      <c r="J822" s="21"/>
      <c r="K822" s="21"/>
    </row>
    <row r="823" spans="1:11" ht="15.5" x14ac:dyDescent="0.35">
      <c r="A823" s="472" t="s">
        <v>863</v>
      </c>
      <c r="B823" s="473">
        <v>2036</v>
      </c>
      <c r="C823" s="473" t="str">
        <f t="shared" si="21"/>
        <v>Lassen_2036</v>
      </c>
      <c r="D823" s="474">
        <v>325.58610195264021</v>
      </c>
      <c r="E823" s="2"/>
      <c r="F823" s="2"/>
      <c r="G823" s="2"/>
      <c r="H823" s="2"/>
      <c r="I823" s="21"/>
      <c r="J823" s="21"/>
      <c r="K823" s="21"/>
    </row>
    <row r="824" spans="1:11" ht="15.5" x14ac:dyDescent="0.35">
      <c r="A824" s="472" t="s">
        <v>863</v>
      </c>
      <c r="B824" s="473">
        <v>2037</v>
      </c>
      <c r="C824" s="473" t="str">
        <f t="shared" si="21"/>
        <v>Lassen_2037</v>
      </c>
      <c r="D824" s="474">
        <v>322.02711864015879</v>
      </c>
      <c r="E824" s="2"/>
      <c r="F824" s="2"/>
      <c r="G824" s="2"/>
      <c r="H824" s="2"/>
      <c r="I824" s="21"/>
      <c r="J824" s="21"/>
      <c r="K824" s="21"/>
    </row>
    <row r="825" spans="1:11" ht="15.5" x14ac:dyDescent="0.35">
      <c r="A825" s="472" t="s">
        <v>863</v>
      </c>
      <c r="B825" s="473">
        <v>2038</v>
      </c>
      <c r="C825" s="473" t="str">
        <f t="shared" si="21"/>
        <v>Lassen_2038</v>
      </c>
      <c r="D825" s="474">
        <v>318.97400463986997</v>
      </c>
      <c r="E825" s="2"/>
      <c r="F825" s="2"/>
      <c r="G825" s="2"/>
      <c r="H825" s="2"/>
      <c r="I825" s="21"/>
      <c r="J825" s="21"/>
      <c r="K825" s="21"/>
    </row>
    <row r="826" spans="1:11" ht="15.5" x14ac:dyDescent="0.35">
      <c r="A826" s="472" t="s">
        <v>863</v>
      </c>
      <c r="B826" s="473">
        <v>2039</v>
      </c>
      <c r="C826" s="473" t="str">
        <f t="shared" si="21"/>
        <v>Lassen_2039</v>
      </c>
      <c r="D826" s="474">
        <v>316.34816527951796</v>
      </c>
      <c r="E826" s="2"/>
      <c r="F826" s="2"/>
      <c r="G826" s="2"/>
      <c r="H826" s="2"/>
      <c r="I826" s="21"/>
      <c r="J826" s="21"/>
      <c r="K826" s="21"/>
    </row>
    <row r="827" spans="1:11" ht="15.5" x14ac:dyDescent="0.35">
      <c r="A827" s="472" t="s">
        <v>863</v>
      </c>
      <c r="B827" s="473">
        <v>2040</v>
      </c>
      <c r="C827" s="473" t="str">
        <f t="shared" si="21"/>
        <v>Lassen_2040</v>
      </c>
      <c r="D827" s="474">
        <v>314.10904927146328</v>
      </c>
      <c r="E827" s="2"/>
      <c r="F827" s="2"/>
      <c r="G827" s="2"/>
      <c r="H827" s="2"/>
      <c r="I827" s="21"/>
      <c r="J827" s="21"/>
      <c r="K827" s="21"/>
    </row>
    <row r="828" spans="1:11" ht="15.5" x14ac:dyDescent="0.35">
      <c r="A828" s="472" t="s">
        <v>863</v>
      </c>
      <c r="B828" s="473">
        <v>2041</v>
      </c>
      <c r="C828" s="473" t="str">
        <f t="shared" si="21"/>
        <v>Lassen_2041</v>
      </c>
      <c r="D828" s="474">
        <v>312.23839681507235</v>
      </c>
      <c r="E828" s="2"/>
      <c r="F828" s="2"/>
      <c r="G828" s="2"/>
      <c r="H828" s="2"/>
      <c r="I828" s="21"/>
      <c r="J828" s="21"/>
      <c r="K828" s="21"/>
    </row>
    <row r="829" spans="1:11" ht="15.5" x14ac:dyDescent="0.35">
      <c r="A829" s="472" t="s">
        <v>863</v>
      </c>
      <c r="B829" s="473">
        <v>2042</v>
      </c>
      <c r="C829" s="473" t="str">
        <f t="shared" si="21"/>
        <v>Lassen_2042</v>
      </c>
      <c r="D829" s="474">
        <v>310.64888683065431</v>
      </c>
      <c r="E829" s="2"/>
      <c r="F829" s="2"/>
      <c r="G829" s="2"/>
      <c r="H829" s="2"/>
      <c r="I829" s="21"/>
      <c r="J829" s="21"/>
      <c r="K829" s="21"/>
    </row>
    <row r="830" spans="1:11" ht="15.5" x14ac:dyDescent="0.35">
      <c r="A830" s="472" t="s">
        <v>863</v>
      </c>
      <c r="B830" s="473">
        <v>2043</v>
      </c>
      <c r="C830" s="473" t="str">
        <f t="shared" si="21"/>
        <v>Lassen_2043</v>
      </c>
      <c r="D830" s="474">
        <v>309.31173697650502</v>
      </c>
      <c r="E830" s="2"/>
      <c r="F830" s="2"/>
      <c r="G830" s="2"/>
      <c r="H830" s="2"/>
      <c r="I830" s="21"/>
      <c r="J830" s="21"/>
      <c r="K830" s="21"/>
    </row>
    <row r="831" spans="1:11" ht="15.5" x14ac:dyDescent="0.35">
      <c r="A831" s="472" t="s">
        <v>863</v>
      </c>
      <c r="B831" s="473">
        <v>2044</v>
      </c>
      <c r="C831" s="473" t="str">
        <f t="shared" si="21"/>
        <v>Lassen_2044</v>
      </c>
      <c r="D831" s="474">
        <v>308.17606018453432</v>
      </c>
      <c r="E831" s="2"/>
      <c r="F831" s="2"/>
      <c r="G831" s="2"/>
      <c r="H831" s="2"/>
      <c r="I831" s="21"/>
      <c r="J831" s="21"/>
      <c r="K831" s="21"/>
    </row>
    <row r="832" spans="1:11" ht="15.5" x14ac:dyDescent="0.35">
      <c r="A832" s="472" t="s">
        <v>863</v>
      </c>
      <c r="B832" s="473">
        <v>2045</v>
      </c>
      <c r="C832" s="473" t="str">
        <f t="shared" si="21"/>
        <v>Lassen_2045</v>
      </c>
      <c r="D832" s="474">
        <v>307.19910868241971</v>
      </c>
      <c r="E832" s="2"/>
      <c r="F832" s="2"/>
      <c r="G832" s="2"/>
      <c r="H832" s="2"/>
      <c r="I832" s="21"/>
      <c r="J832" s="21"/>
      <c r="K832" s="21"/>
    </row>
    <row r="833" spans="1:11" ht="15.5" x14ac:dyDescent="0.35">
      <c r="A833" s="472" t="s">
        <v>863</v>
      </c>
      <c r="B833" s="473">
        <v>2046</v>
      </c>
      <c r="C833" s="473" t="str">
        <f t="shared" si="21"/>
        <v>Lassen_2046</v>
      </c>
      <c r="D833" s="474">
        <v>306.36530488464552</v>
      </c>
      <c r="E833" s="2"/>
      <c r="F833" s="2"/>
      <c r="G833" s="2"/>
      <c r="H833" s="2"/>
      <c r="I833" s="21"/>
      <c r="J833" s="21"/>
      <c r="K833" s="21"/>
    </row>
    <row r="834" spans="1:11" ht="15.5" x14ac:dyDescent="0.35">
      <c r="A834" s="472" t="s">
        <v>863</v>
      </c>
      <c r="B834" s="473">
        <v>2047</v>
      </c>
      <c r="C834" s="473" t="str">
        <f t="shared" si="21"/>
        <v>Lassen_2047</v>
      </c>
      <c r="D834" s="474">
        <v>305.67186906955328</v>
      </c>
      <c r="E834" s="2"/>
      <c r="F834" s="2"/>
      <c r="G834" s="2"/>
      <c r="H834" s="2"/>
      <c r="I834" s="21"/>
      <c r="J834" s="21"/>
      <c r="K834" s="21"/>
    </row>
    <row r="835" spans="1:11" ht="15.5" x14ac:dyDescent="0.35">
      <c r="A835" s="472" t="s">
        <v>863</v>
      </c>
      <c r="B835" s="473">
        <v>2048</v>
      </c>
      <c r="C835" s="473" t="str">
        <f t="shared" si="21"/>
        <v>Lassen_2048</v>
      </c>
      <c r="D835" s="474">
        <v>305.10075603236999</v>
      </c>
      <c r="E835" s="2"/>
      <c r="F835" s="2"/>
      <c r="G835" s="2"/>
      <c r="H835" s="2"/>
      <c r="I835" s="21"/>
      <c r="J835" s="21"/>
      <c r="K835" s="21"/>
    </row>
    <row r="836" spans="1:11" ht="15.5" x14ac:dyDescent="0.35">
      <c r="A836" s="472" t="s">
        <v>863</v>
      </c>
      <c r="B836" s="473">
        <v>2049</v>
      </c>
      <c r="C836" s="473" t="str">
        <f t="shared" si="21"/>
        <v>Lassen_2049</v>
      </c>
      <c r="D836" s="474">
        <v>304.59913324323452</v>
      </c>
      <c r="E836" s="2"/>
      <c r="F836" s="2"/>
      <c r="G836" s="2"/>
      <c r="H836" s="2"/>
      <c r="I836" s="21"/>
      <c r="J836" s="21"/>
      <c r="K836" s="21"/>
    </row>
    <row r="837" spans="1:11" ht="15.5" x14ac:dyDescent="0.35">
      <c r="A837" s="472" t="s">
        <v>863</v>
      </c>
      <c r="B837" s="473">
        <v>2050</v>
      </c>
      <c r="C837" s="473" t="str">
        <f t="shared" si="21"/>
        <v>Lassen_2050</v>
      </c>
      <c r="D837" s="474">
        <v>304.17337397635526</v>
      </c>
      <c r="E837" s="2"/>
      <c r="F837" s="2"/>
      <c r="G837" s="2"/>
      <c r="H837" s="2"/>
      <c r="I837" s="21"/>
      <c r="J837" s="21"/>
      <c r="K837" s="21"/>
    </row>
    <row r="838" spans="1:11" ht="15.5" x14ac:dyDescent="0.35">
      <c r="A838" s="468" t="s">
        <v>866</v>
      </c>
      <c r="B838" s="469">
        <v>2015</v>
      </c>
      <c r="C838" s="470" t="s">
        <v>867</v>
      </c>
      <c r="D838" s="471">
        <v>513.64196607043448</v>
      </c>
      <c r="E838" s="2"/>
      <c r="F838" s="2"/>
      <c r="G838" s="2"/>
      <c r="H838" s="2"/>
      <c r="I838" s="21"/>
      <c r="J838" s="21"/>
      <c r="K838" s="21"/>
    </row>
    <row r="839" spans="1:11" ht="15.5" x14ac:dyDescent="0.35">
      <c r="A839" s="468" t="s">
        <v>866</v>
      </c>
      <c r="B839" s="469">
        <v>2016</v>
      </c>
      <c r="C839" s="470" t="s">
        <v>868</v>
      </c>
      <c r="D839" s="471">
        <v>502.81775977614973</v>
      </c>
      <c r="E839" s="2"/>
      <c r="F839" s="2"/>
      <c r="G839" s="2"/>
      <c r="H839" s="2"/>
      <c r="I839" s="21"/>
      <c r="J839" s="21"/>
      <c r="K839" s="21"/>
    </row>
    <row r="840" spans="1:11" ht="15.5" x14ac:dyDescent="0.35">
      <c r="A840" s="472" t="s">
        <v>866</v>
      </c>
      <c r="B840" s="473">
        <v>2017</v>
      </c>
      <c r="C840" s="473" t="str">
        <f t="shared" ref="C840:C873" si="22">CONCATENATE(A840,"_",B840)</f>
        <v>Los Angeles_2017</v>
      </c>
      <c r="D840" s="474">
        <v>491.4859292686603</v>
      </c>
      <c r="E840" s="2"/>
      <c r="F840" s="2"/>
      <c r="G840" s="2"/>
      <c r="H840" s="2"/>
      <c r="I840" s="21"/>
      <c r="J840" s="21"/>
      <c r="K840" s="21"/>
    </row>
    <row r="841" spans="1:11" ht="15.5" x14ac:dyDescent="0.35">
      <c r="A841" s="472" t="s">
        <v>866</v>
      </c>
      <c r="B841" s="473">
        <v>2018</v>
      </c>
      <c r="C841" s="473" t="str">
        <f t="shared" si="22"/>
        <v>Los Angeles_2018</v>
      </c>
      <c r="D841" s="474">
        <v>479.67647909174292</v>
      </c>
      <c r="E841" s="2"/>
      <c r="F841" s="2"/>
      <c r="G841" s="2"/>
      <c r="H841" s="2"/>
      <c r="I841" s="21"/>
      <c r="J841" s="21"/>
      <c r="K841" s="21"/>
    </row>
    <row r="842" spans="1:11" ht="15.5" x14ac:dyDescent="0.35">
      <c r="A842" s="472" t="s">
        <v>866</v>
      </c>
      <c r="B842" s="473">
        <v>2019</v>
      </c>
      <c r="C842" s="473" t="str">
        <f t="shared" si="22"/>
        <v>Los Angeles_2019</v>
      </c>
      <c r="D842" s="474">
        <v>466.40349075723401</v>
      </c>
      <c r="E842" s="2"/>
      <c r="F842" s="2"/>
      <c r="G842" s="2"/>
      <c r="H842" s="2"/>
      <c r="I842" s="21"/>
      <c r="J842" s="21"/>
      <c r="K842" s="21"/>
    </row>
    <row r="843" spans="1:11" ht="15.5" x14ac:dyDescent="0.35">
      <c r="A843" s="472" t="s">
        <v>866</v>
      </c>
      <c r="B843" s="473">
        <v>2020</v>
      </c>
      <c r="C843" s="473" t="str">
        <f t="shared" si="22"/>
        <v>Los Angeles_2020</v>
      </c>
      <c r="D843" s="474">
        <v>453.84232779458199</v>
      </c>
      <c r="E843" s="2"/>
      <c r="F843" s="2"/>
      <c r="G843" s="2"/>
      <c r="H843" s="2"/>
      <c r="I843" s="21"/>
      <c r="J843" s="21"/>
      <c r="K843" s="21"/>
    </row>
    <row r="844" spans="1:11" ht="15.5" x14ac:dyDescent="0.35">
      <c r="A844" s="472" t="s">
        <v>866</v>
      </c>
      <c r="B844" s="473">
        <v>2021</v>
      </c>
      <c r="C844" s="473" t="str">
        <f t="shared" si="22"/>
        <v>Los Angeles_2021</v>
      </c>
      <c r="D844" s="474">
        <v>441.61183105712956</v>
      </c>
      <c r="E844" s="2"/>
      <c r="F844" s="2"/>
      <c r="G844" s="2"/>
      <c r="H844" s="2"/>
      <c r="I844" s="21"/>
      <c r="J844" s="21"/>
      <c r="K844" s="21"/>
    </row>
    <row r="845" spans="1:11" ht="15.5" x14ac:dyDescent="0.35">
      <c r="A845" s="472" t="s">
        <v>866</v>
      </c>
      <c r="B845" s="473">
        <v>2022</v>
      </c>
      <c r="C845" s="473" t="str">
        <f t="shared" si="22"/>
        <v>Los Angeles_2022</v>
      </c>
      <c r="D845" s="474">
        <v>428.98731531545371</v>
      </c>
      <c r="E845" s="2"/>
      <c r="F845" s="2"/>
      <c r="G845" s="2"/>
      <c r="H845" s="2"/>
      <c r="I845" s="21"/>
      <c r="J845" s="21"/>
      <c r="K845" s="21"/>
    </row>
    <row r="846" spans="1:11" ht="15.5" x14ac:dyDescent="0.35">
      <c r="A846" s="472" t="s">
        <v>866</v>
      </c>
      <c r="B846" s="473">
        <v>2023</v>
      </c>
      <c r="C846" s="473" t="str">
        <f t="shared" si="22"/>
        <v>Los Angeles_2023</v>
      </c>
      <c r="D846" s="474">
        <v>416.43232000008976</v>
      </c>
      <c r="E846" s="2"/>
      <c r="F846" s="2"/>
      <c r="G846" s="2"/>
      <c r="H846" s="2"/>
      <c r="I846" s="21"/>
      <c r="J846" s="21"/>
      <c r="K846" s="21"/>
    </row>
    <row r="847" spans="1:11" ht="15.5" x14ac:dyDescent="0.35">
      <c r="A847" s="472" t="s">
        <v>866</v>
      </c>
      <c r="B847" s="473">
        <v>2024</v>
      </c>
      <c r="C847" s="473" t="str">
        <f t="shared" si="22"/>
        <v>Los Angeles_2024</v>
      </c>
      <c r="D847" s="474">
        <v>405.94673746612563</v>
      </c>
      <c r="E847" s="2"/>
      <c r="F847" s="2"/>
      <c r="G847" s="2"/>
      <c r="H847" s="2"/>
      <c r="I847" s="21"/>
      <c r="J847" s="21"/>
      <c r="K847" s="21"/>
    </row>
    <row r="848" spans="1:11" ht="15.5" x14ac:dyDescent="0.35">
      <c r="A848" s="472" t="s">
        <v>866</v>
      </c>
      <c r="B848" s="473">
        <v>2025</v>
      </c>
      <c r="C848" s="473" t="str">
        <f t="shared" si="22"/>
        <v>Los Angeles_2025</v>
      </c>
      <c r="D848" s="474">
        <v>393.54997965115319</v>
      </c>
      <c r="E848" s="2"/>
      <c r="F848" s="2"/>
      <c r="G848" s="2"/>
      <c r="H848" s="2"/>
      <c r="I848" s="21"/>
      <c r="J848" s="21"/>
      <c r="K848" s="21"/>
    </row>
    <row r="849" spans="1:11" ht="15.5" x14ac:dyDescent="0.35">
      <c r="A849" s="472" t="s">
        <v>866</v>
      </c>
      <c r="B849" s="473">
        <v>2026</v>
      </c>
      <c r="C849" s="473" t="str">
        <f t="shared" si="22"/>
        <v>Los Angeles_2026</v>
      </c>
      <c r="D849" s="474">
        <v>382.59803561431579</v>
      </c>
      <c r="E849" s="2"/>
      <c r="F849" s="2"/>
      <c r="G849" s="2"/>
      <c r="H849" s="2"/>
      <c r="I849" s="21"/>
      <c r="J849" s="21"/>
      <c r="K849" s="21"/>
    </row>
    <row r="850" spans="1:11" ht="15.5" x14ac:dyDescent="0.35">
      <c r="A850" s="472" t="s">
        <v>866</v>
      </c>
      <c r="B850" s="473">
        <v>2027</v>
      </c>
      <c r="C850" s="473" t="str">
        <f t="shared" si="22"/>
        <v>Los Angeles_2027</v>
      </c>
      <c r="D850" s="474">
        <v>372.81496387752117</v>
      </c>
      <c r="E850" s="2"/>
      <c r="F850" s="2"/>
      <c r="G850" s="2"/>
      <c r="H850" s="2"/>
      <c r="I850" s="21"/>
      <c r="J850" s="21"/>
      <c r="K850" s="21"/>
    </row>
    <row r="851" spans="1:11" ht="15.5" x14ac:dyDescent="0.35">
      <c r="A851" s="472" t="s">
        <v>866</v>
      </c>
      <c r="B851" s="473">
        <v>2028</v>
      </c>
      <c r="C851" s="473" t="str">
        <f t="shared" si="22"/>
        <v>Los Angeles_2028</v>
      </c>
      <c r="D851" s="474">
        <v>364.11445912066415</v>
      </c>
      <c r="E851" s="2"/>
      <c r="F851" s="2"/>
      <c r="G851" s="2"/>
      <c r="H851" s="2"/>
      <c r="I851" s="21"/>
      <c r="J851" s="21"/>
      <c r="K851" s="21"/>
    </row>
    <row r="852" spans="1:11" ht="15.5" x14ac:dyDescent="0.35">
      <c r="A852" s="472" t="s">
        <v>866</v>
      </c>
      <c r="B852" s="473">
        <v>2029</v>
      </c>
      <c r="C852" s="473" t="str">
        <f t="shared" si="22"/>
        <v>Los Angeles_2029</v>
      </c>
      <c r="D852" s="474">
        <v>356.33388826427102</v>
      </c>
      <c r="E852" s="2"/>
      <c r="F852" s="2"/>
      <c r="G852" s="2"/>
      <c r="H852" s="2"/>
      <c r="I852" s="21"/>
      <c r="J852" s="21"/>
      <c r="K852" s="21"/>
    </row>
    <row r="853" spans="1:11" ht="15.5" x14ac:dyDescent="0.35">
      <c r="A853" s="472" t="s">
        <v>866</v>
      </c>
      <c r="B853" s="473">
        <v>2030</v>
      </c>
      <c r="C853" s="473" t="str">
        <f t="shared" si="22"/>
        <v>Los Angeles_2030</v>
      </c>
      <c r="D853" s="474">
        <v>349.39768557493744</v>
      </c>
      <c r="E853" s="2"/>
      <c r="F853" s="2"/>
      <c r="G853" s="2"/>
      <c r="H853" s="2"/>
      <c r="I853" s="21"/>
      <c r="J853" s="21"/>
      <c r="K853" s="21"/>
    </row>
    <row r="854" spans="1:11" ht="15.5" x14ac:dyDescent="0.35">
      <c r="A854" s="472" t="s">
        <v>866</v>
      </c>
      <c r="B854" s="473">
        <v>2031</v>
      </c>
      <c r="C854" s="473" t="str">
        <f t="shared" si="22"/>
        <v>Los Angeles_2031</v>
      </c>
      <c r="D854" s="474">
        <v>343.66934489262763</v>
      </c>
      <c r="E854" s="2"/>
      <c r="F854" s="2"/>
      <c r="G854" s="2"/>
      <c r="H854" s="2"/>
      <c r="I854" s="21"/>
      <c r="J854" s="21"/>
      <c r="K854" s="21"/>
    </row>
    <row r="855" spans="1:11" ht="15.5" x14ac:dyDescent="0.35">
      <c r="A855" s="472" t="s">
        <v>866</v>
      </c>
      <c r="B855" s="473">
        <v>2032</v>
      </c>
      <c r="C855" s="473" t="str">
        <f t="shared" si="22"/>
        <v>Los Angeles_2032</v>
      </c>
      <c r="D855" s="474">
        <v>338.19734506431149</v>
      </c>
      <c r="E855" s="2"/>
      <c r="F855" s="2"/>
      <c r="G855" s="2"/>
      <c r="H855" s="2"/>
      <c r="I855" s="21"/>
      <c r="J855" s="21"/>
      <c r="K855" s="21"/>
    </row>
    <row r="856" spans="1:11" ht="15.5" x14ac:dyDescent="0.35">
      <c r="A856" s="472" t="s">
        <v>866</v>
      </c>
      <c r="B856" s="473">
        <v>2033</v>
      </c>
      <c r="C856" s="473" t="str">
        <f t="shared" si="22"/>
        <v>Los Angeles_2033</v>
      </c>
      <c r="D856" s="474">
        <v>333.36481771841585</v>
      </c>
      <c r="E856" s="2"/>
      <c r="F856" s="2"/>
      <c r="G856" s="2"/>
      <c r="H856" s="2"/>
      <c r="I856" s="21"/>
      <c r="J856" s="21"/>
      <c r="K856" s="21"/>
    </row>
    <row r="857" spans="1:11" ht="15.5" x14ac:dyDescent="0.35">
      <c r="A857" s="472" t="s">
        <v>866</v>
      </c>
      <c r="B857" s="473">
        <v>2034</v>
      </c>
      <c r="C857" s="473" t="str">
        <f t="shared" si="22"/>
        <v>Los Angeles_2034</v>
      </c>
      <c r="D857" s="474">
        <v>329.10855163826346</v>
      </c>
      <c r="E857" s="2"/>
      <c r="F857" s="2"/>
      <c r="G857" s="2"/>
      <c r="H857" s="2"/>
      <c r="I857" s="21"/>
      <c r="J857" s="21"/>
      <c r="K857" s="21"/>
    </row>
    <row r="858" spans="1:11" ht="15.5" x14ac:dyDescent="0.35">
      <c r="A858" s="472" t="s">
        <v>866</v>
      </c>
      <c r="B858" s="473">
        <v>2035</v>
      </c>
      <c r="C858" s="473" t="str">
        <f t="shared" si="22"/>
        <v>Los Angeles_2035</v>
      </c>
      <c r="D858" s="474">
        <v>325.40267508563358</v>
      </c>
      <c r="E858" s="2"/>
      <c r="F858" s="2"/>
      <c r="G858" s="2"/>
      <c r="H858" s="2"/>
      <c r="I858" s="21"/>
      <c r="J858" s="21"/>
      <c r="K858" s="21"/>
    </row>
    <row r="859" spans="1:11" ht="15.5" x14ac:dyDescent="0.35">
      <c r="A859" s="472" t="s">
        <v>866</v>
      </c>
      <c r="B859" s="473">
        <v>2036</v>
      </c>
      <c r="C859" s="473" t="str">
        <f t="shared" si="22"/>
        <v>Los Angeles_2036</v>
      </c>
      <c r="D859" s="474">
        <v>322.18489855559272</v>
      </c>
      <c r="E859" s="2"/>
      <c r="F859" s="2"/>
      <c r="G859" s="2"/>
      <c r="H859" s="2"/>
      <c r="I859" s="21"/>
      <c r="J859" s="21"/>
      <c r="K859" s="21"/>
    </row>
    <row r="860" spans="1:11" ht="15.5" x14ac:dyDescent="0.35">
      <c r="A860" s="472" t="s">
        <v>866</v>
      </c>
      <c r="B860" s="473">
        <v>2037</v>
      </c>
      <c r="C860" s="473" t="str">
        <f t="shared" si="22"/>
        <v>Los Angeles_2037</v>
      </c>
      <c r="D860" s="474">
        <v>319.42897380599089</v>
      </c>
      <c r="E860" s="2"/>
      <c r="F860" s="2"/>
      <c r="G860" s="2"/>
      <c r="H860" s="2"/>
      <c r="I860" s="21"/>
      <c r="J860" s="21"/>
      <c r="K860" s="21"/>
    </row>
    <row r="861" spans="1:11" ht="15.5" x14ac:dyDescent="0.35">
      <c r="A861" s="472" t="s">
        <v>866</v>
      </c>
      <c r="B861" s="473">
        <v>2038</v>
      </c>
      <c r="C861" s="473" t="str">
        <f t="shared" si="22"/>
        <v>Los Angeles_2038</v>
      </c>
      <c r="D861" s="474">
        <v>317.08383853504733</v>
      </c>
      <c r="E861" s="2"/>
      <c r="F861" s="2"/>
      <c r="G861" s="2"/>
      <c r="H861" s="2"/>
      <c r="I861" s="21"/>
      <c r="J861" s="21"/>
      <c r="K861" s="21"/>
    </row>
    <row r="862" spans="1:11" ht="15.5" x14ac:dyDescent="0.35">
      <c r="A862" s="472" t="s">
        <v>866</v>
      </c>
      <c r="B862" s="473">
        <v>2039</v>
      </c>
      <c r="C862" s="473" t="str">
        <f t="shared" si="22"/>
        <v>Los Angeles_2039</v>
      </c>
      <c r="D862" s="474">
        <v>315.0939874887008</v>
      </c>
      <c r="E862" s="2"/>
      <c r="F862" s="2"/>
      <c r="G862" s="2"/>
      <c r="H862" s="2"/>
      <c r="I862" s="21"/>
      <c r="J862" s="21"/>
      <c r="K862" s="21"/>
    </row>
    <row r="863" spans="1:11" ht="15.5" x14ac:dyDescent="0.35">
      <c r="A863" s="472" t="s">
        <v>866</v>
      </c>
      <c r="B863" s="473">
        <v>2040</v>
      </c>
      <c r="C863" s="473" t="str">
        <f t="shared" si="22"/>
        <v>Los Angeles_2040</v>
      </c>
      <c r="D863" s="474">
        <v>313.41381846851846</v>
      </c>
      <c r="E863" s="2"/>
      <c r="F863" s="2"/>
      <c r="G863" s="2"/>
      <c r="H863" s="2"/>
      <c r="I863" s="21"/>
      <c r="J863" s="21"/>
      <c r="K863" s="21"/>
    </row>
    <row r="864" spans="1:11" ht="15.5" x14ac:dyDescent="0.35">
      <c r="A864" s="472" t="s">
        <v>866</v>
      </c>
      <c r="B864" s="473">
        <v>2041</v>
      </c>
      <c r="C864" s="473" t="str">
        <f t="shared" si="22"/>
        <v>Los Angeles_2041</v>
      </c>
      <c r="D864" s="474">
        <v>312.0278648336398</v>
      </c>
      <c r="E864" s="2"/>
      <c r="F864" s="2"/>
      <c r="G864" s="2"/>
      <c r="H864" s="2"/>
      <c r="I864" s="21"/>
      <c r="J864" s="21"/>
      <c r="K864" s="21"/>
    </row>
    <row r="865" spans="1:11" ht="15.5" x14ac:dyDescent="0.35">
      <c r="A865" s="472" t="s">
        <v>866</v>
      </c>
      <c r="B865" s="473">
        <v>2042</v>
      </c>
      <c r="C865" s="473" t="str">
        <f t="shared" si="22"/>
        <v>Los Angeles_2042</v>
      </c>
      <c r="D865" s="474">
        <v>310.85980787265993</v>
      </c>
      <c r="E865" s="2"/>
      <c r="F865" s="2"/>
      <c r="G865" s="2"/>
      <c r="H865" s="2"/>
      <c r="I865" s="21"/>
      <c r="J865" s="21"/>
      <c r="K865" s="21"/>
    </row>
    <row r="866" spans="1:11" ht="15.5" x14ac:dyDescent="0.35">
      <c r="A866" s="472" t="s">
        <v>866</v>
      </c>
      <c r="B866" s="473">
        <v>2043</v>
      </c>
      <c r="C866" s="473" t="str">
        <f t="shared" si="22"/>
        <v>Los Angeles_2043</v>
      </c>
      <c r="D866" s="474">
        <v>309.89582515412729</v>
      </c>
      <c r="E866" s="2"/>
      <c r="F866" s="2"/>
      <c r="G866" s="2"/>
      <c r="H866" s="2"/>
      <c r="I866" s="21"/>
      <c r="J866" s="21"/>
      <c r="K866" s="21"/>
    </row>
    <row r="867" spans="1:11" ht="15.5" x14ac:dyDescent="0.35">
      <c r="A867" s="472" t="s">
        <v>866</v>
      </c>
      <c r="B867" s="473">
        <v>2044</v>
      </c>
      <c r="C867" s="473" t="str">
        <f t="shared" si="22"/>
        <v>Los Angeles_2044</v>
      </c>
      <c r="D867" s="474">
        <v>309.08670224153695</v>
      </c>
      <c r="E867" s="2"/>
      <c r="F867" s="2"/>
      <c r="G867" s="2"/>
      <c r="H867" s="2"/>
      <c r="I867" s="21"/>
      <c r="J867" s="21"/>
      <c r="K867" s="21"/>
    </row>
    <row r="868" spans="1:11" ht="15.5" x14ac:dyDescent="0.35">
      <c r="A868" s="472" t="s">
        <v>866</v>
      </c>
      <c r="B868" s="473">
        <v>2045</v>
      </c>
      <c r="C868" s="473" t="str">
        <f t="shared" si="22"/>
        <v>Los Angeles_2045</v>
      </c>
      <c r="D868" s="474">
        <v>308.38921010677325</v>
      </c>
      <c r="E868" s="2"/>
      <c r="F868" s="2"/>
      <c r="G868" s="2"/>
      <c r="H868" s="2"/>
      <c r="I868" s="21"/>
      <c r="J868" s="21"/>
      <c r="K868" s="21"/>
    </row>
    <row r="869" spans="1:11" ht="15.5" x14ac:dyDescent="0.35">
      <c r="A869" s="472" t="s">
        <v>866</v>
      </c>
      <c r="B869" s="473">
        <v>2046</v>
      </c>
      <c r="C869" s="473" t="str">
        <f t="shared" si="22"/>
        <v>Los Angeles_2046</v>
      </c>
      <c r="D869" s="474">
        <v>307.80758722688529</v>
      </c>
      <c r="E869" s="2"/>
      <c r="F869" s="2"/>
      <c r="G869" s="2"/>
      <c r="H869" s="2"/>
      <c r="I869" s="21"/>
      <c r="J869" s="21"/>
      <c r="K869" s="21"/>
    </row>
    <row r="870" spans="1:11" ht="15.5" x14ac:dyDescent="0.35">
      <c r="A870" s="472" t="s">
        <v>866</v>
      </c>
      <c r="B870" s="473">
        <v>2047</v>
      </c>
      <c r="C870" s="473" t="str">
        <f t="shared" si="22"/>
        <v>Los Angeles_2047</v>
      </c>
      <c r="D870" s="474">
        <v>307.31098830675711</v>
      </c>
      <c r="E870" s="2"/>
      <c r="F870" s="2"/>
      <c r="G870" s="2"/>
      <c r="H870" s="2"/>
      <c r="I870" s="21"/>
      <c r="J870" s="21"/>
      <c r="K870" s="21"/>
    </row>
    <row r="871" spans="1:11" ht="15.5" x14ac:dyDescent="0.35">
      <c r="A871" s="472" t="s">
        <v>866</v>
      </c>
      <c r="B871" s="473">
        <v>2048</v>
      </c>
      <c r="C871" s="473" t="str">
        <f t="shared" si="22"/>
        <v>Los Angeles_2048</v>
      </c>
      <c r="D871" s="474">
        <v>306.8894400166925</v>
      </c>
      <c r="E871" s="2"/>
      <c r="F871" s="2"/>
      <c r="G871" s="2"/>
      <c r="H871" s="2"/>
      <c r="I871" s="21"/>
      <c r="J871" s="21"/>
      <c r="K871" s="21"/>
    </row>
    <row r="872" spans="1:11" ht="15.5" x14ac:dyDescent="0.35">
      <c r="A872" s="472" t="s">
        <v>866</v>
      </c>
      <c r="B872" s="473">
        <v>2049</v>
      </c>
      <c r="C872" s="473" t="str">
        <f t="shared" si="22"/>
        <v>Los Angeles_2049</v>
      </c>
      <c r="D872" s="474">
        <v>306.5318389069572</v>
      </c>
      <c r="E872" s="2"/>
      <c r="F872" s="2"/>
      <c r="G872" s="2"/>
      <c r="H872" s="2"/>
      <c r="I872" s="21"/>
      <c r="J872" s="21"/>
      <c r="K872" s="21"/>
    </row>
    <row r="873" spans="1:11" ht="15.5" x14ac:dyDescent="0.35">
      <c r="A873" s="472" t="s">
        <v>866</v>
      </c>
      <c r="B873" s="473">
        <v>2050</v>
      </c>
      <c r="C873" s="473" t="str">
        <f t="shared" si="22"/>
        <v>Los Angeles_2050</v>
      </c>
      <c r="D873" s="474">
        <v>306.2511246168969</v>
      </c>
      <c r="E873" s="2"/>
      <c r="F873" s="2"/>
      <c r="G873" s="2"/>
      <c r="H873" s="2"/>
      <c r="I873" s="21"/>
      <c r="J873" s="21"/>
      <c r="K873" s="21"/>
    </row>
    <row r="874" spans="1:11" ht="15.5" x14ac:dyDescent="0.35">
      <c r="A874" s="468" t="s">
        <v>869</v>
      </c>
      <c r="B874" s="469">
        <v>2015</v>
      </c>
      <c r="C874" s="470" t="s">
        <v>870</v>
      </c>
      <c r="D874" s="471">
        <v>540.75037488514602</v>
      </c>
      <c r="E874" s="2"/>
      <c r="F874" s="2"/>
      <c r="G874" s="2"/>
      <c r="H874" s="2"/>
      <c r="I874" s="21"/>
      <c r="J874" s="21"/>
      <c r="K874" s="21"/>
    </row>
    <row r="875" spans="1:11" ht="15.5" x14ac:dyDescent="0.35">
      <c r="A875" s="468" t="s">
        <v>869</v>
      </c>
      <c r="B875" s="469">
        <v>2016</v>
      </c>
      <c r="C875" s="470" t="s">
        <v>871</v>
      </c>
      <c r="D875" s="471">
        <v>530.07852958271428</v>
      </c>
      <c r="E875" s="2"/>
      <c r="F875" s="2"/>
      <c r="G875" s="2"/>
      <c r="H875" s="2"/>
      <c r="I875" s="21"/>
      <c r="J875" s="21"/>
      <c r="K875" s="21"/>
    </row>
    <row r="876" spans="1:11" ht="15.5" x14ac:dyDescent="0.35">
      <c r="A876" s="472" t="s">
        <v>869</v>
      </c>
      <c r="B876" s="473">
        <v>2017</v>
      </c>
      <c r="C876" s="473" t="str">
        <f t="shared" ref="C876:C909" si="23">CONCATENATE(A876,"_",B876)</f>
        <v>Madera_2017</v>
      </c>
      <c r="D876" s="474">
        <v>517.13996865286708</v>
      </c>
      <c r="E876" s="2"/>
      <c r="F876" s="2"/>
      <c r="G876" s="2"/>
      <c r="H876" s="2"/>
      <c r="I876" s="21"/>
      <c r="J876" s="21"/>
      <c r="K876" s="21"/>
    </row>
    <row r="877" spans="1:11" ht="15.5" x14ac:dyDescent="0.35">
      <c r="A877" s="472" t="s">
        <v>869</v>
      </c>
      <c r="B877" s="473">
        <v>2018</v>
      </c>
      <c r="C877" s="473" t="str">
        <f t="shared" si="23"/>
        <v>Madera_2018</v>
      </c>
      <c r="D877" s="474">
        <v>508.61696477760393</v>
      </c>
      <c r="E877" s="2"/>
      <c r="F877" s="2"/>
      <c r="G877" s="2"/>
      <c r="H877" s="2"/>
      <c r="I877" s="21"/>
      <c r="J877" s="21"/>
      <c r="K877" s="21"/>
    </row>
    <row r="878" spans="1:11" ht="15.5" x14ac:dyDescent="0.35">
      <c r="A878" s="472" t="s">
        <v>869</v>
      </c>
      <c r="B878" s="473">
        <v>2019</v>
      </c>
      <c r="C878" s="473" t="str">
        <f t="shared" si="23"/>
        <v>Madera_2019</v>
      </c>
      <c r="D878" s="474">
        <v>493.90767038329932</v>
      </c>
      <c r="E878" s="2"/>
      <c r="F878" s="2"/>
      <c r="G878" s="2"/>
      <c r="H878" s="2"/>
      <c r="I878" s="21"/>
      <c r="J878" s="21"/>
      <c r="K878" s="21"/>
    </row>
    <row r="879" spans="1:11" ht="15.5" x14ac:dyDescent="0.35">
      <c r="A879" s="472" t="s">
        <v>869</v>
      </c>
      <c r="B879" s="473">
        <v>2020</v>
      </c>
      <c r="C879" s="473" t="str">
        <f t="shared" si="23"/>
        <v>Madera_2020</v>
      </c>
      <c r="D879" s="474">
        <v>478.87794042409649</v>
      </c>
      <c r="E879" s="2"/>
      <c r="F879" s="2"/>
      <c r="G879" s="2"/>
      <c r="H879" s="2"/>
      <c r="I879" s="21"/>
      <c r="J879" s="21"/>
      <c r="K879" s="21"/>
    </row>
    <row r="880" spans="1:11" ht="15.5" x14ac:dyDescent="0.35">
      <c r="A880" s="472" t="s">
        <v>869</v>
      </c>
      <c r="B880" s="473">
        <v>2021</v>
      </c>
      <c r="C880" s="473" t="str">
        <f t="shared" si="23"/>
        <v>Madera_2021</v>
      </c>
      <c r="D880" s="474">
        <v>461.74499168159952</v>
      </c>
      <c r="E880" s="2"/>
      <c r="F880" s="2"/>
      <c r="G880" s="2"/>
      <c r="H880" s="2"/>
      <c r="I880" s="21"/>
      <c r="J880" s="21"/>
      <c r="K880" s="21"/>
    </row>
    <row r="881" spans="1:11" ht="15.5" x14ac:dyDescent="0.35">
      <c r="A881" s="472" t="s">
        <v>869</v>
      </c>
      <c r="B881" s="473">
        <v>2022</v>
      </c>
      <c r="C881" s="473" t="str">
        <f t="shared" si="23"/>
        <v>Madera_2022</v>
      </c>
      <c r="D881" s="474">
        <v>446.85632243452153</v>
      </c>
      <c r="E881" s="2"/>
      <c r="F881" s="2"/>
      <c r="G881" s="2"/>
      <c r="H881" s="2"/>
      <c r="I881" s="21"/>
      <c r="J881" s="21"/>
      <c r="K881" s="21"/>
    </row>
    <row r="882" spans="1:11" ht="15.5" x14ac:dyDescent="0.35">
      <c r="A882" s="472" t="s">
        <v>869</v>
      </c>
      <c r="B882" s="473">
        <v>2023</v>
      </c>
      <c r="C882" s="473" t="str">
        <f t="shared" si="23"/>
        <v>Madera_2023</v>
      </c>
      <c r="D882" s="474">
        <v>432.13541884943641</v>
      </c>
      <c r="E882" s="2"/>
      <c r="F882" s="2"/>
      <c r="G882" s="2"/>
      <c r="H882" s="2"/>
      <c r="I882" s="21"/>
      <c r="J882" s="21"/>
      <c r="K882" s="21"/>
    </row>
    <row r="883" spans="1:11" ht="15.5" x14ac:dyDescent="0.35">
      <c r="A883" s="472" t="s">
        <v>869</v>
      </c>
      <c r="B883" s="473">
        <v>2024</v>
      </c>
      <c r="C883" s="473" t="str">
        <f t="shared" si="23"/>
        <v>Madera_2024</v>
      </c>
      <c r="D883" s="474">
        <v>421.44079540620845</v>
      </c>
      <c r="E883" s="2"/>
      <c r="F883" s="2"/>
      <c r="G883" s="2"/>
      <c r="H883" s="2"/>
      <c r="I883" s="21"/>
      <c r="J883" s="21"/>
      <c r="K883" s="21"/>
    </row>
    <row r="884" spans="1:11" ht="15.5" x14ac:dyDescent="0.35">
      <c r="A884" s="472" t="s">
        <v>869</v>
      </c>
      <c r="B884" s="473">
        <v>2025</v>
      </c>
      <c r="C884" s="473" t="str">
        <f t="shared" si="23"/>
        <v>Madera_2025</v>
      </c>
      <c r="D884" s="474">
        <v>407.13877749751202</v>
      </c>
      <c r="E884" s="2"/>
      <c r="F884" s="2"/>
      <c r="G884" s="2"/>
      <c r="H884" s="2"/>
      <c r="I884" s="21"/>
      <c r="J884" s="21"/>
      <c r="K884" s="21"/>
    </row>
    <row r="885" spans="1:11" ht="15.5" x14ac:dyDescent="0.35">
      <c r="A885" s="472" t="s">
        <v>869</v>
      </c>
      <c r="B885" s="473">
        <v>2026</v>
      </c>
      <c r="C885" s="473" t="str">
        <f t="shared" si="23"/>
        <v>Madera_2026</v>
      </c>
      <c r="D885" s="474">
        <v>399.94124719705337</v>
      </c>
      <c r="E885" s="2"/>
      <c r="F885" s="2"/>
      <c r="G885" s="2"/>
      <c r="H885" s="2"/>
      <c r="I885" s="21"/>
      <c r="J885" s="21"/>
      <c r="K885" s="21"/>
    </row>
    <row r="886" spans="1:11" ht="15.5" x14ac:dyDescent="0.35">
      <c r="A886" s="472" t="s">
        <v>869</v>
      </c>
      <c r="B886" s="473">
        <v>2027</v>
      </c>
      <c r="C886" s="473" t="str">
        <f t="shared" si="23"/>
        <v>Madera_2027</v>
      </c>
      <c r="D886" s="474">
        <v>387.72176717269605</v>
      </c>
      <c r="E886" s="2"/>
      <c r="F886" s="2"/>
      <c r="G886" s="2"/>
      <c r="H886" s="2"/>
      <c r="I886" s="21"/>
      <c r="J886" s="21"/>
      <c r="K886" s="21"/>
    </row>
    <row r="887" spans="1:11" ht="15.5" x14ac:dyDescent="0.35">
      <c r="A887" s="472" t="s">
        <v>869</v>
      </c>
      <c r="B887" s="473">
        <v>2028</v>
      </c>
      <c r="C887" s="473" t="str">
        <f t="shared" si="23"/>
        <v>Madera_2028</v>
      </c>
      <c r="D887" s="474">
        <v>376.68711881770702</v>
      </c>
      <c r="E887" s="2"/>
      <c r="F887" s="2"/>
      <c r="G887" s="2"/>
      <c r="H887" s="2"/>
      <c r="I887" s="21"/>
      <c r="J887" s="21"/>
      <c r="K887" s="21"/>
    </row>
    <row r="888" spans="1:11" ht="15.5" x14ac:dyDescent="0.35">
      <c r="A888" s="472" t="s">
        <v>869</v>
      </c>
      <c r="B888" s="473">
        <v>2029</v>
      </c>
      <c r="C888" s="473" t="str">
        <f t="shared" si="23"/>
        <v>Madera_2029</v>
      </c>
      <c r="D888" s="474">
        <v>366.7781278208646</v>
      </c>
      <c r="E888" s="2"/>
      <c r="F888" s="2"/>
      <c r="G888" s="2"/>
      <c r="H888" s="2"/>
      <c r="I888" s="21"/>
      <c r="J888" s="21"/>
      <c r="K888" s="21"/>
    </row>
    <row r="889" spans="1:11" ht="15.5" x14ac:dyDescent="0.35">
      <c r="A889" s="472" t="s">
        <v>869</v>
      </c>
      <c r="B889" s="473">
        <v>2030</v>
      </c>
      <c r="C889" s="473" t="str">
        <f t="shared" si="23"/>
        <v>Madera_2030</v>
      </c>
      <c r="D889" s="474">
        <v>357.94475903928645</v>
      </c>
      <c r="E889" s="2"/>
      <c r="F889" s="2"/>
      <c r="G889" s="2"/>
      <c r="H889" s="2"/>
      <c r="I889" s="21"/>
      <c r="J889" s="21"/>
      <c r="K889" s="21"/>
    </row>
    <row r="890" spans="1:11" ht="15.5" x14ac:dyDescent="0.35">
      <c r="A890" s="472" t="s">
        <v>869</v>
      </c>
      <c r="B890" s="473">
        <v>2031</v>
      </c>
      <c r="C890" s="473" t="str">
        <f t="shared" si="23"/>
        <v>Madera_2031</v>
      </c>
      <c r="D890" s="474">
        <v>350.09859431354448</v>
      </c>
      <c r="E890" s="2"/>
      <c r="F890" s="2"/>
      <c r="G890" s="2"/>
      <c r="H890" s="2"/>
      <c r="I890" s="21"/>
      <c r="J890" s="21"/>
      <c r="K890" s="21"/>
    </row>
    <row r="891" spans="1:11" ht="15.5" x14ac:dyDescent="0.35">
      <c r="A891" s="472" t="s">
        <v>869</v>
      </c>
      <c r="B891" s="473">
        <v>2032</v>
      </c>
      <c r="C891" s="473" t="str">
        <f t="shared" si="23"/>
        <v>Madera_2032</v>
      </c>
      <c r="D891" s="474">
        <v>343.17750203704873</v>
      </c>
      <c r="E891" s="2"/>
      <c r="F891" s="2"/>
      <c r="G891" s="2"/>
      <c r="H891" s="2"/>
      <c r="I891" s="21"/>
      <c r="J891" s="21"/>
      <c r="K891" s="21"/>
    </row>
    <row r="892" spans="1:11" ht="15.5" x14ac:dyDescent="0.35">
      <c r="A892" s="472" t="s">
        <v>869</v>
      </c>
      <c r="B892" s="473">
        <v>2033</v>
      </c>
      <c r="C892" s="473" t="str">
        <f t="shared" si="23"/>
        <v>Madera_2033</v>
      </c>
      <c r="D892" s="474">
        <v>337.08417174247649</v>
      </c>
      <c r="E892" s="2"/>
      <c r="F892" s="2"/>
      <c r="G892" s="2"/>
      <c r="H892" s="2"/>
      <c r="I892" s="21"/>
      <c r="J892" s="21"/>
      <c r="K892" s="21"/>
    </row>
    <row r="893" spans="1:11" ht="15.5" x14ac:dyDescent="0.35">
      <c r="A893" s="472" t="s">
        <v>869</v>
      </c>
      <c r="B893" s="473">
        <v>2034</v>
      </c>
      <c r="C893" s="473" t="str">
        <f t="shared" si="23"/>
        <v>Madera_2034</v>
      </c>
      <c r="D893" s="474">
        <v>331.76508364076233</v>
      </c>
      <c r="E893" s="2"/>
      <c r="F893" s="2"/>
      <c r="G893" s="2"/>
      <c r="H893" s="2"/>
      <c r="I893" s="21"/>
      <c r="J893" s="21"/>
      <c r="K893" s="21"/>
    </row>
    <row r="894" spans="1:11" ht="15.5" x14ac:dyDescent="0.35">
      <c r="A894" s="472" t="s">
        <v>869</v>
      </c>
      <c r="B894" s="473">
        <v>2035</v>
      </c>
      <c r="C894" s="473" t="str">
        <f t="shared" si="23"/>
        <v>Madera_2035</v>
      </c>
      <c r="D894" s="474">
        <v>327.14529323652602</v>
      </c>
      <c r="E894" s="2"/>
      <c r="F894" s="2"/>
      <c r="G894" s="2"/>
      <c r="H894" s="2"/>
      <c r="I894" s="21"/>
      <c r="J894" s="21"/>
      <c r="K894" s="21"/>
    </row>
    <row r="895" spans="1:11" ht="15.5" x14ac:dyDescent="0.35">
      <c r="A895" s="472" t="s">
        <v>869</v>
      </c>
      <c r="B895" s="473">
        <v>2036</v>
      </c>
      <c r="C895" s="473" t="str">
        <f t="shared" si="23"/>
        <v>Madera_2036</v>
      </c>
      <c r="D895" s="474">
        <v>323.14963184885812</v>
      </c>
      <c r="E895" s="2"/>
      <c r="F895" s="2"/>
      <c r="G895" s="2"/>
      <c r="H895" s="2"/>
      <c r="I895" s="21"/>
      <c r="J895" s="21"/>
      <c r="K895" s="21"/>
    </row>
    <row r="896" spans="1:11" ht="15.5" x14ac:dyDescent="0.35">
      <c r="A896" s="472" t="s">
        <v>869</v>
      </c>
      <c r="B896" s="473">
        <v>2037</v>
      </c>
      <c r="C896" s="473" t="str">
        <f t="shared" si="23"/>
        <v>Madera_2037</v>
      </c>
      <c r="D896" s="474">
        <v>319.73371737245822</v>
      </c>
      <c r="E896" s="2"/>
      <c r="F896" s="2"/>
      <c r="G896" s="2"/>
      <c r="H896" s="2"/>
      <c r="I896" s="21"/>
      <c r="J896" s="21"/>
      <c r="K896" s="21"/>
    </row>
    <row r="897" spans="1:11" ht="15.5" x14ac:dyDescent="0.35">
      <c r="A897" s="472" t="s">
        <v>869</v>
      </c>
      <c r="B897" s="473">
        <v>2038</v>
      </c>
      <c r="C897" s="473" t="str">
        <f t="shared" si="23"/>
        <v>Madera_2038</v>
      </c>
      <c r="D897" s="474">
        <v>316.83941285639338</v>
      </c>
      <c r="E897" s="2"/>
      <c r="F897" s="2"/>
      <c r="G897" s="2"/>
      <c r="H897" s="2"/>
      <c r="I897" s="21"/>
      <c r="J897" s="21"/>
      <c r="K897" s="21"/>
    </row>
    <row r="898" spans="1:11" ht="15.5" x14ac:dyDescent="0.35">
      <c r="A898" s="472" t="s">
        <v>869</v>
      </c>
      <c r="B898" s="473">
        <v>2039</v>
      </c>
      <c r="C898" s="473" t="str">
        <f t="shared" si="23"/>
        <v>Madera_2039</v>
      </c>
      <c r="D898" s="474">
        <v>314.40116473744672</v>
      </c>
      <c r="E898" s="2"/>
      <c r="F898" s="2"/>
      <c r="G898" s="2"/>
      <c r="H898" s="2"/>
      <c r="I898" s="21"/>
      <c r="J898" s="21"/>
      <c r="K898" s="21"/>
    </row>
    <row r="899" spans="1:11" ht="15.5" x14ac:dyDescent="0.35">
      <c r="A899" s="472" t="s">
        <v>869</v>
      </c>
      <c r="B899" s="473">
        <v>2040</v>
      </c>
      <c r="C899" s="473" t="str">
        <f t="shared" si="23"/>
        <v>Madera_2040</v>
      </c>
      <c r="D899" s="474">
        <v>312.37043230938519</v>
      </c>
      <c r="E899" s="2"/>
      <c r="F899" s="2"/>
      <c r="G899" s="2"/>
      <c r="H899" s="2"/>
      <c r="I899" s="21"/>
      <c r="J899" s="21"/>
      <c r="K899" s="21"/>
    </row>
    <row r="900" spans="1:11" ht="15.5" x14ac:dyDescent="0.35">
      <c r="A900" s="472" t="s">
        <v>869</v>
      </c>
      <c r="B900" s="473">
        <v>2041</v>
      </c>
      <c r="C900" s="473" t="str">
        <f t="shared" si="23"/>
        <v>Madera_2041</v>
      </c>
      <c r="D900" s="474">
        <v>310.70600944246274</v>
      </c>
      <c r="E900" s="2"/>
      <c r="F900" s="2"/>
      <c r="G900" s="2"/>
      <c r="H900" s="2"/>
      <c r="I900" s="21"/>
      <c r="J900" s="21"/>
      <c r="K900" s="21"/>
    </row>
    <row r="901" spans="1:11" ht="15.5" x14ac:dyDescent="0.35">
      <c r="A901" s="472" t="s">
        <v>869</v>
      </c>
      <c r="B901" s="473">
        <v>2042</v>
      </c>
      <c r="C901" s="473" t="str">
        <f t="shared" si="23"/>
        <v>Madera_2042</v>
      </c>
      <c r="D901" s="474">
        <v>309.33193810268705</v>
      </c>
      <c r="E901" s="2"/>
      <c r="F901" s="2"/>
      <c r="G901" s="2"/>
      <c r="H901" s="2"/>
      <c r="I901" s="21"/>
      <c r="J901" s="21"/>
      <c r="K901" s="21"/>
    </row>
    <row r="902" spans="1:11" ht="15.5" x14ac:dyDescent="0.35">
      <c r="A902" s="472" t="s">
        <v>869</v>
      </c>
      <c r="B902" s="473">
        <v>2043</v>
      </c>
      <c r="C902" s="473" t="str">
        <f t="shared" si="23"/>
        <v>Madera_2043</v>
      </c>
      <c r="D902" s="474">
        <v>308.20985863162264</v>
      </c>
      <c r="E902" s="2"/>
      <c r="F902" s="2"/>
      <c r="G902" s="2"/>
      <c r="H902" s="2"/>
      <c r="I902" s="21"/>
      <c r="J902" s="21"/>
      <c r="K902" s="21"/>
    </row>
    <row r="903" spans="1:11" ht="15.5" x14ac:dyDescent="0.35">
      <c r="A903" s="472" t="s">
        <v>869</v>
      </c>
      <c r="B903" s="473">
        <v>2044</v>
      </c>
      <c r="C903" s="473" t="str">
        <f t="shared" si="23"/>
        <v>Madera_2044</v>
      </c>
      <c r="D903" s="474">
        <v>307.28603962599095</v>
      </c>
      <c r="E903" s="2"/>
      <c r="F903" s="2"/>
      <c r="G903" s="2"/>
      <c r="H903" s="2"/>
      <c r="I903" s="21"/>
      <c r="J903" s="21"/>
      <c r="K903" s="21"/>
    </row>
    <row r="904" spans="1:11" ht="15.5" x14ac:dyDescent="0.35">
      <c r="A904" s="472" t="s">
        <v>869</v>
      </c>
      <c r="B904" s="473">
        <v>2045</v>
      </c>
      <c r="C904" s="473" t="str">
        <f t="shared" si="23"/>
        <v>Madera_2045</v>
      </c>
      <c r="D904" s="474">
        <v>306.52767536586333</v>
      </c>
      <c r="E904" s="2"/>
      <c r="F904" s="2"/>
      <c r="G904" s="2"/>
      <c r="H904" s="2"/>
      <c r="I904" s="21"/>
      <c r="J904" s="21"/>
      <c r="K904" s="21"/>
    </row>
    <row r="905" spans="1:11" ht="15.5" x14ac:dyDescent="0.35">
      <c r="A905" s="472" t="s">
        <v>869</v>
      </c>
      <c r="B905" s="473">
        <v>2046</v>
      </c>
      <c r="C905" s="473" t="str">
        <f t="shared" si="23"/>
        <v>Madera_2046</v>
      </c>
      <c r="D905" s="474">
        <v>305.90097453610508</v>
      </c>
      <c r="E905" s="2"/>
      <c r="F905" s="2"/>
      <c r="G905" s="2"/>
      <c r="H905" s="2"/>
      <c r="I905" s="21"/>
      <c r="J905" s="21"/>
      <c r="K905" s="21"/>
    </row>
    <row r="906" spans="1:11" ht="15.5" x14ac:dyDescent="0.35">
      <c r="A906" s="472" t="s">
        <v>869</v>
      </c>
      <c r="B906" s="473">
        <v>2047</v>
      </c>
      <c r="C906" s="473" t="str">
        <f t="shared" si="23"/>
        <v>Madera_2047</v>
      </c>
      <c r="D906" s="474">
        <v>305.39274627008695</v>
      </c>
      <c r="E906" s="2"/>
      <c r="F906" s="2"/>
      <c r="G906" s="2"/>
      <c r="H906" s="2"/>
      <c r="I906" s="21"/>
      <c r="J906" s="21"/>
      <c r="K906" s="21"/>
    </row>
    <row r="907" spans="1:11" ht="15.5" x14ac:dyDescent="0.35">
      <c r="A907" s="472" t="s">
        <v>869</v>
      </c>
      <c r="B907" s="473">
        <v>2048</v>
      </c>
      <c r="C907" s="473" t="str">
        <f t="shared" si="23"/>
        <v>Madera_2048</v>
      </c>
      <c r="D907" s="474">
        <v>304.97751456390694</v>
      </c>
      <c r="E907" s="2"/>
      <c r="F907" s="2"/>
      <c r="G907" s="2"/>
      <c r="H907" s="2"/>
      <c r="I907" s="21"/>
      <c r="J907" s="21"/>
      <c r="K907" s="21"/>
    </row>
    <row r="908" spans="1:11" ht="15.5" x14ac:dyDescent="0.35">
      <c r="A908" s="472" t="s">
        <v>869</v>
      </c>
      <c r="B908" s="473">
        <v>2049</v>
      </c>
      <c r="C908" s="473" t="str">
        <f t="shared" si="23"/>
        <v>Madera_2049</v>
      </c>
      <c r="D908" s="474">
        <v>304.63654159494121</v>
      </c>
      <c r="E908" s="2"/>
      <c r="F908" s="2"/>
      <c r="G908" s="2"/>
      <c r="H908" s="2"/>
      <c r="I908" s="21"/>
      <c r="J908" s="21"/>
      <c r="K908" s="21"/>
    </row>
    <row r="909" spans="1:11" ht="15.5" x14ac:dyDescent="0.35">
      <c r="A909" s="472" t="s">
        <v>869</v>
      </c>
      <c r="B909" s="473">
        <v>2050</v>
      </c>
      <c r="C909" s="473" t="str">
        <f t="shared" si="23"/>
        <v>Madera_2050</v>
      </c>
      <c r="D909" s="474">
        <v>304.35779028531772</v>
      </c>
      <c r="E909" s="2"/>
      <c r="F909" s="2"/>
      <c r="G909" s="2"/>
      <c r="H909" s="2"/>
      <c r="I909" s="21"/>
      <c r="J909" s="21"/>
      <c r="K909" s="21"/>
    </row>
    <row r="910" spans="1:11" ht="15.5" x14ac:dyDescent="0.35">
      <c r="A910" s="468" t="s">
        <v>872</v>
      </c>
      <c r="B910" s="469">
        <v>2015</v>
      </c>
      <c r="C910" s="470" t="s">
        <v>873</v>
      </c>
      <c r="D910" s="471">
        <v>495.08096287040331</v>
      </c>
      <c r="E910" s="2"/>
      <c r="F910" s="2"/>
      <c r="G910" s="2"/>
      <c r="H910" s="2"/>
      <c r="I910" s="21"/>
      <c r="J910" s="21"/>
      <c r="K910" s="21"/>
    </row>
    <row r="911" spans="1:11" ht="15.5" x14ac:dyDescent="0.35">
      <c r="A911" s="468" t="s">
        <v>872</v>
      </c>
      <c r="B911" s="469">
        <v>2016</v>
      </c>
      <c r="C911" s="470" t="s">
        <v>874</v>
      </c>
      <c r="D911" s="471">
        <v>486.1453719706916</v>
      </c>
      <c r="E911" s="2"/>
      <c r="F911" s="2"/>
      <c r="G911" s="2"/>
      <c r="H911" s="2"/>
      <c r="I911" s="21"/>
      <c r="J911" s="21"/>
      <c r="K911" s="21"/>
    </row>
    <row r="912" spans="1:11" ht="15.5" x14ac:dyDescent="0.35">
      <c r="A912" s="472" t="s">
        <v>872</v>
      </c>
      <c r="B912" s="473">
        <v>2017</v>
      </c>
      <c r="C912" s="473" t="str">
        <f t="shared" ref="C912:C945" si="24">CONCATENATE(A912,"_",B912)</f>
        <v>Marin_2017</v>
      </c>
      <c r="D912" s="474">
        <v>475.10161134708585</v>
      </c>
      <c r="E912" s="2"/>
      <c r="F912" s="2"/>
      <c r="G912" s="2"/>
      <c r="H912" s="2"/>
      <c r="I912" s="21"/>
      <c r="J912" s="21"/>
      <c r="K912" s="21"/>
    </row>
    <row r="913" spans="1:11" ht="15.5" x14ac:dyDescent="0.35">
      <c r="A913" s="472" t="s">
        <v>872</v>
      </c>
      <c r="B913" s="473">
        <v>2018</v>
      </c>
      <c r="C913" s="473" t="str">
        <f t="shared" si="24"/>
        <v>Marin_2018</v>
      </c>
      <c r="D913" s="474">
        <v>463.69103494706292</v>
      </c>
      <c r="E913" s="2"/>
      <c r="F913" s="2"/>
      <c r="G913" s="2"/>
      <c r="H913" s="2"/>
      <c r="I913" s="21"/>
      <c r="J913" s="21"/>
      <c r="K913" s="21"/>
    </row>
    <row r="914" spans="1:11" ht="15.5" x14ac:dyDescent="0.35">
      <c r="A914" s="472" t="s">
        <v>872</v>
      </c>
      <c r="B914" s="473">
        <v>2019</v>
      </c>
      <c r="C914" s="473" t="str">
        <f t="shared" si="24"/>
        <v>Marin_2019</v>
      </c>
      <c r="D914" s="474">
        <v>451.83512262163708</v>
      </c>
      <c r="E914" s="2"/>
      <c r="F914" s="2"/>
      <c r="G914" s="2"/>
      <c r="H914" s="2"/>
      <c r="I914" s="21"/>
      <c r="J914" s="21"/>
      <c r="K914" s="21"/>
    </row>
    <row r="915" spans="1:11" ht="15.5" x14ac:dyDescent="0.35">
      <c r="A915" s="472" t="s">
        <v>872</v>
      </c>
      <c r="B915" s="473">
        <v>2020</v>
      </c>
      <c r="C915" s="473" t="str">
        <f t="shared" si="24"/>
        <v>Marin_2020</v>
      </c>
      <c r="D915" s="474">
        <v>439.70159473997086</v>
      </c>
      <c r="E915" s="2"/>
      <c r="F915" s="2"/>
      <c r="G915" s="2"/>
      <c r="H915" s="2"/>
      <c r="I915" s="21"/>
      <c r="J915" s="21"/>
      <c r="K915" s="21"/>
    </row>
    <row r="916" spans="1:11" ht="15.5" x14ac:dyDescent="0.35">
      <c r="A916" s="472" t="s">
        <v>872</v>
      </c>
      <c r="B916" s="473">
        <v>2021</v>
      </c>
      <c r="C916" s="473" t="str">
        <f t="shared" si="24"/>
        <v>Marin_2021</v>
      </c>
      <c r="D916" s="474">
        <v>427.35460649163974</v>
      </c>
      <c r="E916" s="2"/>
      <c r="F916" s="2"/>
      <c r="G916" s="2"/>
      <c r="H916" s="2"/>
      <c r="I916" s="21"/>
      <c r="J916" s="21"/>
      <c r="K916" s="21"/>
    </row>
    <row r="917" spans="1:11" ht="15.5" x14ac:dyDescent="0.35">
      <c r="A917" s="472" t="s">
        <v>872</v>
      </c>
      <c r="B917" s="473">
        <v>2022</v>
      </c>
      <c r="C917" s="473" t="str">
        <f t="shared" si="24"/>
        <v>Marin_2022</v>
      </c>
      <c r="D917" s="474">
        <v>415.15914578365039</v>
      </c>
      <c r="E917" s="2"/>
      <c r="F917" s="2"/>
      <c r="G917" s="2"/>
      <c r="H917" s="2"/>
      <c r="I917" s="21"/>
      <c r="J917" s="21"/>
      <c r="K917" s="21"/>
    </row>
    <row r="918" spans="1:11" ht="15.5" x14ac:dyDescent="0.35">
      <c r="A918" s="472" t="s">
        <v>872</v>
      </c>
      <c r="B918" s="473">
        <v>2023</v>
      </c>
      <c r="C918" s="473" t="str">
        <f t="shared" si="24"/>
        <v>Marin_2023</v>
      </c>
      <c r="D918" s="474">
        <v>402.98932964311962</v>
      </c>
      <c r="E918" s="2"/>
      <c r="F918" s="2"/>
      <c r="G918" s="2"/>
      <c r="H918" s="2"/>
      <c r="I918" s="21"/>
      <c r="J918" s="21"/>
      <c r="K918" s="21"/>
    </row>
    <row r="919" spans="1:11" ht="15.5" x14ac:dyDescent="0.35">
      <c r="A919" s="472" t="s">
        <v>872</v>
      </c>
      <c r="B919" s="473">
        <v>2024</v>
      </c>
      <c r="C919" s="473" t="str">
        <f t="shared" si="24"/>
        <v>Marin_2024</v>
      </c>
      <c r="D919" s="474">
        <v>390.91086378308563</v>
      </c>
      <c r="E919" s="2"/>
      <c r="F919" s="2"/>
      <c r="G919" s="2"/>
      <c r="H919" s="2"/>
      <c r="I919" s="21"/>
      <c r="J919" s="21"/>
      <c r="K919" s="21"/>
    </row>
    <row r="920" spans="1:11" ht="15.5" x14ac:dyDescent="0.35">
      <c r="A920" s="472" t="s">
        <v>872</v>
      </c>
      <c r="B920" s="473">
        <v>2025</v>
      </c>
      <c r="C920" s="473" t="str">
        <f t="shared" si="24"/>
        <v>Marin_2025</v>
      </c>
      <c r="D920" s="474">
        <v>378.90604144439072</v>
      </c>
      <c r="E920" s="2"/>
      <c r="F920" s="2"/>
      <c r="G920" s="2"/>
      <c r="H920" s="2"/>
      <c r="I920" s="21"/>
      <c r="J920" s="21"/>
      <c r="K920" s="21"/>
    </row>
    <row r="921" spans="1:11" ht="15.5" x14ac:dyDescent="0.35">
      <c r="A921" s="472" t="s">
        <v>872</v>
      </c>
      <c r="B921" s="473">
        <v>2026</v>
      </c>
      <c r="C921" s="473" t="str">
        <f t="shared" si="24"/>
        <v>Marin_2026</v>
      </c>
      <c r="D921" s="474">
        <v>368.00060285580548</v>
      </c>
      <c r="E921" s="2"/>
      <c r="F921" s="2"/>
      <c r="G921" s="2"/>
      <c r="H921" s="2"/>
      <c r="I921" s="21"/>
      <c r="J921" s="21"/>
      <c r="K921" s="21"/>
    </row>
    <row r="922" spans="1:11" ht="15.5" x14ac:dyDescent="0.35">
      <c r="A922" s="472" t="s">
        <v>872</v>
      </c>
      <c r="B922" s="473">
        <v>2027</v>
      </c>
      <c r="C922" s="473" t="str">
        <f t="shared" si="24"/>
        <v>Marin_2027</v>
      </c>
      <c r="D922" s="474">
        <v>358.04586734058523</v>
      </c>
      <c r="E922" s="2"/>
      <c r="F922" s="2"/>
      <c r="G922" s="2"/>
      <c r="H922" s="2"/>
      <c r="I922" s="21"/>
      <c r="J922" s="21"/>
      <c r="K922" s="21"/>
    </row>
    <row r="923" spans="1:11" ht="15.5" x14ac:dyDescent="0.35">
      <c r="A923" s="472" t="s">
        <v>872</v>
      </c>
      <c r="B923" s="473">
        <v>2028</v>
      </c>
      <c r="C923" s="473" t="str">
        <f t="shared" si="24"/>
        <v>Marin_2028</v>
      </c>
      <c r="D923" s="474">
        <v>349.07378618546545</v>
      </c>
      <c r="E923" s="2"/>
      <c r="F923" s="2"/>
      <c r="G923" s="2"/>
      <c r="H923" s="2"/>
      <c r="I923" s="21"/>
      <c r="J923" s="21"/>
      <c r="K923" s="21"/>
    </row>
    <row r="924" spans="1:11" ht="15.5" x14ac:dyDescent="0.35">
      <c r="A924" s="472" t="s">
        <v>872</v>
      </c>
      <c r="B924" s="473">
        <v>2029</v>
      </c>
      <c r="C924" s="473" t="str">
        <f t="shared" si="24"/>
        <v>Marin_2029</v>
      </c>
      <c r="D924" s="474">
        <v>341.00200102742252</v>
      </c>
      <c r="E924" s="2"/>
      <c r="F924" s="2"/>
      <c r="G924" s="2"/>
      <c r="H924" s="2"/>
      <c r="I924" s="21"/>
      <c r="J924" s="21"/>
      <c r="K924" s="21"/>
    </row>
    <row r="925" spans="1:11" ht="15.5" x14ac:dyDescent="0.35">
      <c r="A925" s="472" t="s">
        <v>872</v>
      </c>
      <c r="B925" s="473">
        <v>2030</v>
      </c>
      <c r="C925" s="473" t="str">
        <f t="shared" si="24"/>
        <v>Marin_2030</v>
      </c>
      <c r="D925" s="474">
        <v>333.7862714827894</v>
      </c>
      <c r="E925" s="2"/>
      <c r="F925" s="2"/>
      <c r="G925" s="2"/>
      <c r="H925" s="2"/>
      <c r="I925" s="21"/>
      <c r="J925" s="21"/>
      <c r="K925" s="21"/>
    </row>
    <row r="926" spans="1:11" ht="15.5" x14ac:dyDescent="0.35">
      <c r="A926" s="472" t="s">
        <v>872</v>
      </c>
      <c r="B926" s="473">
        <v>2031</v>
      </c>
      <c r="C926" s="473" t="str">
        <f t="shared" si="24"/>
        <v>Marin_2031</v>
      </c>
      <c r="D926" s="474">
        <v>327.35705940167031</v>
      </c>
      <c r="E926" s="2"/>
      <c r="F926" s="2"/>
      <c r="G926" s="2"/>
      <c r="H926" s="2"/>
      <c r="I926" s="21"/>
      <c r="J926" s="21"/>
      <c r="K926" s="21"/>
    </row>
    <row r="927" spans="1:11" ht="15.5" x14ac:dyDescent="0.35">
      <c r="A927" s="472" t="s">
        <v>872</v>
      </c>
      <c r="B927" s="473">
        <v>2032</v>
      </c>
      <c r="C927" s="473" t="str">
        <f t="shared" si="24"/>
        <v>Marin_2032</v>
      </c>
      <c r="D927" s="474">
        <v>321.66956757129753</v>
      </c>
      <c r="E927" s="2"/>
      <c r="F927" s="2"/>
      <c r="G927" s="2"/>
      <c r="H927" s="2"/>
      <c r="I927" s="21"/>
      <c r="J927" s="21"/>
      <c r="K927" s="21"/>
    </row>
    <row r="928" spans="1:11" ht="15.5" x14ac:dyDescent="0.35">
      <c r="A928" s="472" t="s">
        <v>872</v>
      </c>
      <c r="B928" s="473">
        <v>2033</v>
      </c>
      <c r="C928" s="473" t="str">
        <f t="shared" si="24"/>
        <v>Marin_2033</v>
      </c>
      <c r="D928" s="474">
        <v>316.67571114657204</v>
      </c>
      <c r="E928" s="2"/>
      <c r="F928" s="2"/>
      <c r="G928" s="2"/>
      <c r="H928" s="2"/>
      <c r="I928" s="21"/>
      <c r="J928" s="21"/>
      <c r="K928" s="21"/>
    </row>
    <row r="929" spans="1:11" ht="15.5" x14ac:dyDescent="0.35">
      <c r="A929" s="472" t="s">
        <v>872</v>
      </c>
      <c r="B929" s="473">
        <v>2034</v>
      </c>
      <c r="C929" s="473" t="str">
        <f t="shared" si="24"/>
        <v>Marin_2034</v>
      </c>
      <c r="D929" s="474">
        <v>312.30701249028158</v>
      </c>
      <c r="E929" s="2"/>
      <c r="F929" s="2"/>
      <c r="G929" s="2"/>
      <c r="H929" s="2"/>
      <c r="I929" s="21"/>
      <c r="J929" s="21"/>
      <c r="K929" s="21"/>
    </row>
    <row r="930" spans="1:11" ht="15.5" x14ac:dyDescent="0.35">
      <c r="A930" s="472" t="s">
        <v>872</v>
      </c>
      <c r="B930" s="473">
        <v>2035</v>
      </c>
      <c r="C930" s="473" t="str">
        <f t="shared" si="24"/>
        <v>Marin_2035</v>
      </c>
      <c r="D930" s="474">
        <v>308.51892507590435</v>
      </c>
      <c r="E930" s="2"/>
      <c r="F930" s="2"/>
      <c r="G930" s="2"/>
      <c r="H930" s="2"/>
      <c r="I930" s="21"/>
      <c r="J930" s="21"/>
      <c r="K930" s="21"/>
    </row>
    <row r="931" spans="1:11" ht="15.5" x14ac:dyDescent="0.35">
      <c r="A931" s="472" t="s">
        <v>872</v>
      </c>
      <c r="B931" s="473">
        <v>2036</v>
      </c>
      <c r="C931" s="473" t="str">
        <f t="shared" si="24"/>
        <v>Marin_2036</v>
      </c>
      <c r="D931" s="474">
        <v>305.25896474721833</v>
      </c>
      <c r="E931" s="2"/>
      <c r="F931" s="2"/>
      <c r="G931" s="2"/>
      <c r="H931" s="2"/>
      <c r="I931" s="21"/>
      <c r="J931" s="21"/>
      <c r="K931" s="21"/>
    </row>
    <row r="932" spans="1:11" ht="15.5" x14ac:dyDescent="0.35">
      <c r="A932" s="472" t="s">
        <v>872</v>
      </c>
      <c r="B932" s="473">
        <v>2037</v>
      </c>
      <c r="C932" s="473" t="str">
        <f t="shared" si="24"/>
        <v>Marin_2037</v>
      </c>
      <c r="D932" s="474">
        <v>302.49429438323529</v>
      </c>
      <c r="E932" s="2"/>
      <c r="F932" s="2"/>
      <c r="G932" s="2"/>
      <c r="H932" s="2"/>
      <c r="I932" s="21"/>
      <c r="J932" s="21"/>
      <c r="K932" s="21"/>
    </row>
    <row r="933" spans="1:11" ht="15.5" x14ac:dyDescent="0.35">
      <c r="A933" s="472" t="s">
        <v>872</v>
      </c>
      <c r="B933" s="473">
        <v>2038</v>
      </c>
      <c r="C933" s="473" t="str">
        <f t="shared" si="24"/>
        <v>Marin_2038</v>
      </c>
      <c r="D933" s="474">
        <v>300.16638768765972</v>
      </c>
      <c r="E933" s="2"/>
      <c r="F933" s="2"/>
      <c r="G933" s="2"/>
      <c r="H933" s="2"/>
      <c r="I933" s="21"/>
      <c r="J933" s="21"/>
      <c r="K933" s="21"/>
    </row>
    <row r="934" spans="1:11" ht="15.5" x14ac:dyDescent="0.35">
      <c r="A934" s="472" t="s">
        <v>872</v>
      </c>
      <c r="B934" s="473">
        <v>2039</v>
      </c>
      <c r="C934" s="473" t="str">
        <f t="shared" si="24"/>
        <v>Marin_2039</v>
      </c>
      <c r="D934" s="474">
        <v>298.2131721532661</v>
      </c>
      <c r="E934" s="2"/>
      <c r="F934" s="2"/>
      <c r="G934" s="2"/>
      <c r="H934" s="2"/>
      <c r="I934" s="21"/>
      <c r="J934" s="21"/>
      <c r="K934" s="21"/>
    </row>
    <row r="935" spans="1:11" ht="15.5" x14ac:dyDescent="0.35">
      <c r="A935" s="472" t="s">
        <v>872</v>
      </c>
      <c r="B935" s="473">
        <v>2040</v>
      </c>
      <c r="C935" s="473" t="str">
        <f t="shared" si="24"/>
        <v>Marin_2040</v>
      </c>
      <c r="D935" s="474">
        <v>296.58251572825719</v>
      </c>
      <c r="E935" s="2"/>
      <c r="F935" s="2"/>
      <c r="G935" s="2"/>
      <c r="H935" s="2"/>
      <c r="I935" s="21"/>
      <c r="J935" s="21"/>
      <c r="K935" s="21"/>
    </row>
    <row r="936" spans="1:11" ht="15.5" x14ac:dyDescent="0.35">
      <c r="A936" s="472" t="s">
        <v>872</v>
      </c>
      <c r="B936" s="473">
        <v>2041</v>
      </c>
      <c r="C936" s="473" t="str">
        <f t="shared" si="24"/>
        <v>Marin_2041</v>
      </c>
      <c r="D936" s="474">
        <v>295.24569144530011</v>
      </c>
      <c r="E936" s="2"/>
      <c r="F936" s="2"/>
      <c r="G936" s="2"/>
      <c r="H936" s="2"/>
      <c r="I936" s="21"/>
      <c r="J936" s="21"/>
      <c r="K936" s="21"/>
    </row>
    <row r="937" spans="1:11" ht="15.5" x14ac:dyDescent="0.35">
      <c r="A937" s="472" t="s">
        <v>872</v>
      </c>
      <c r="B937" s="473">
        <v>2042</v>
      </c>
      <c r="C937" s="473" t="str">
        <f t="shared" si="24"/>
        <v>Marin_2042</v>
      </c>
      <c r="D937" s="474">
        <v>294.14019464300907</v>
      </c>
      <c r="E937" s="2"/>
      <c r="F937" s="2"/>
      <c r="G937" s="2"/>
      <c r="H937" s="2"/>
      <c r="I937" s="21"/>
      <c r="J937" s="21"/>
      <c r="K937" s="21"/>
    </row>
    <row r="938" spans="1:11" ht="15.5" x14ac:dyDescent="0.35">
      <c r="A938" s="472" t="s">
        <v>872</v>
      </c>
      <c r="B938" s="473">
        <v>2043</v>
      </c>
      <c r="C938" s="473" t="str">
        <f t="shared" si="24"/>
        <v>Marin_2043</v>
      </c>
      <c r="D938" s="474">
        <v>293.24125066630603</v>
      </c>
      <c r="E938" s="2"/>
      <c r="F938" s="2"/>
      <c r="G938" s="2"/>
      <c r="H938" s="2"/>
      <c r="I938" s="21"/>
      <c r="J938" s="21"/>
      <c r="K938" s="21"/>
    </row>
    <row r="939" spans="1:11" ht="15.5" x14ac:dyDescent="0.35">
      <c r="A939" s="472" t="s">
        <v>872</v>
      </c>
      <c r="B939" s="473">
        <v>2044</v>
      </c>
      <c r="C939" s="473" t="str">
        <f t="shared" si="24"/>
        <v>Marin_2044</v>
      </c>
      <c r="D939" s="474">
        <v>292.49890363572729</v>
      </c>
      <c r="E939" s="2"/>
      <c r="F939" s="2"/>
      <c r="G939" s="2"/>
      <c r="H939" s="2"/>
      <c r="I939" s="21"/>
      <c r="J939" s="21"/>
      <c r="K939" s="21"/>
    </row>
    <row r="940" spans="1:11" ht="15.5" x14ac:dyDescent="0.35">
      <c r="A940" s="472" t="s">
        <v>872</v>
      </c>
      <c r="B940" s="473">
        <v>2045</v>
      </c>
      <c r="C940" s="473" t="str">
        <f t="shared" si="24"/>
        <v>Marin_2045</v>
      </c>
      <c r="D940" s="474">
        <v>291.88195322729041</v>
      </c>
      <c r="E940" s="2"/>
      <c r="F940" s="2"/>
      <c r="G940" s="2"/>
      <c r="H940" s="2"/>
      <c r="I940" s="21"/>
      <c r="J940" s="21"/>
      <c r="K940" s="21"/>
    </row>
    <row r="941" spans="1:11" ht="15.5" x14ac:dyDescent="0.35">
      <c r="A941" s="472" t="s">
        <v>872</v>
      </c>
      <c r="B941" s="473">
        <v>2046</v>
      </c>
      <c r="C941" s="473" t="str">
        <f t="shared" si="24"/>
        <v>Marin_2046</v>
      </c>
      <c r="D941" s="474">
        <v>291.38257243275518</v>
      </c>
      <c r="E941" s="2"/>
      <c r="F941" s="2"/>
      <c r="G941" s="2"/>
      <c r="H941" s="2"/>
      <c r="I941" s="21"/>
      <c r="J941" s="21"/>
      <c r="K941" s="21"/>
    </row>
    <row r="942" spans="1:11" ht="15.5" x14ac:dyDescent="0.35">
      <c r="A942" s="472" t="s">
        <v>872</v>
      </c>
      <c r="B942" s="473">
        <v>2047</v>
      </c>
      <c r="C942" s="473" t="str">
        <f t="shared" si="24"/>
        <v>Marin_2047</v>
      </c>
      <c r="D942" s="474">
        <v>290.9757543295255</v>
      </c>
      <c r="E942" s="2"/>
      <c r="F942" s="2"/>
      <c r="G942" s="2"/>
      <c r="H942" s="2"/>
      <c r="I942" s="21"/>
      <c r="J942" s="21"/>
      <c r="K942" s="21"/>
    </row>
    <row r="943" spans="1:11" ht="15.5" x14ac:dyDescent="0.35">
      <c r="A943" s="472" t="s">
        <v>872</v>
      </c>
      <c r="B943" s="473">
        <v>2048</v>
      </c>
      <c r="C943" s="473" t="str">
        <f t="shared" si="24"/>
        <v>Marin_2048</v>
      </c>
      <c r="D943" s="474">
        <v>290.64376939571008</v>
      </c>
      <c r="E943" s="2"/>
      <c r="F943" s="2"/>
      <c r="G943" s="2"/>
      <c r="H943" s="2"/>
      <c r="I943" s="21"/>
      <c r="J943" s="21"/>
      <c r="K943" s="21"/>
    </row>
    <row r="944" spans="1:11" ht="15.5" x14ac:dyDescent="0.35">
      <c r="A944" s="472" t="s">
        <v>872</v>
      </c>
      <c r="B944" s="473">
        <v>2049</v>
      </c>
      <c r="C944" s="473" t="str">
        <f t="shared" si="24"/>
        <v>Marin_2049</v>
      </c>
      <c r="D944" s="474">
        <v>290.3629548813546</v>
      </c>
      <c r="E944" s="2"/>
      <c r="F944" s="2"/>
      <c r="G944" s="2"/>
      <c r="H944" s="2"/>
      <c r="I944" s="21"/>
      <c r="J944" s="21"/>
      <c r="K944" s="21"/>
    </row>
    <row r="945" spans="1:11" ht="15.5" x14ac:dyDescent="0.35">
      <c r="A945" s="472" t="s">
        <v>872</v>
      </c>
      <c r="B945" s="473">
        <v>2050</v>
      </c>
      <c r="C945" s="473" t="str">
        <f t="shared" si="24"/>
        <v>Marin_2050</v>
      </c>
      <c r="D945" s="474">
        <v>290.13654687484058</v>
      </c>
      <c r="E945" s="2"/>
      <c r="F945" s="2"/>
      <c r="G945" s="2"/>
      <c r="H945" s="2"/>
      <c r="I945" s="21"/>
      <c r="J945" s="21"/>
      <c r="K945" s="21"/>
    </row>
    <row r="946" spans="1:11" ht="15.5" x14ac:dyDescent="0.35">
      <c r="A946" s="468" t="s">
        <v>875</v>
      </c>
      <c r="B946" s="469">
        <v>2015</v>
      </c>
      <c r="C946" s="470" t="s">
        <v>876</v>
      </c>
      <c r="D946" s="471">
        <v>558.90220799596966</v>
      </c>
      <c r="E946" s="2"/>
      <c r="F946" s="2"/>
      <c r="G946" s="2"/>
      <c r="H946" s="2"/>
      <c r="I946" s="21"/>
      <c r="J946" s="21"/>
      <c r="K946" s="21"/>
    </row>
    <row r="947" spans="1:11" ht="15.5" x14ac:dyDescent="0.35">
      <c r="A947" s="468" t="s">
        <v>875</v>
      </c>
      <c r="B947" s="469">
        <v>2016</v>
      </c>
      <c r="C947" s="470" t="s">
        <v>877</v>
      </c>
      <c r="D947" s="471">
        <v>550.54397583394359</v>
      </c>
      <c r="E947" s="2"/>
      <c r="F947" s="2"/>
      <c r="G947" s="2"/>
      <c r="H947" s="2"/>
      <c r="I947" s="21"/>
      <c r="J947" s="21"/>
      <c r="K947" s="21"/>
    </row>
    <row r="948" spans="1:11" ht="15.5" x14ac:dyDescent="0.35">
      <c r="A948" s="472" t="s">
        <v>875</v>
      </c>
      <c r="B948" s="473">
        <v>2017</v>
      </c>
      <c r="C948" s="473" t="str">
        <f t="shared" ref="C948:C981" si="25">CONCATENATE(A948,"_",B948)</f>
        <v>Mariposa_2017</v>
      </c>
      <c r="D948" s="474">
        <v>538.94546996588338</v>
      </c>
      <c r="E948" s="2"/>
      <c r="F948" s="2"/>
      <c r="G948" s="2"/>
      <c r="H948" s="2"/>
      <c r="I948" s="21"/>
      <c r="J948" s="21"/>
      <c r="K948" s="21"/>
    </row>
    <row r="949" spans="1:11" ht="15.5" x14ac:dyDescent="0.35">
      <c r="A949" s="472" t="s">
        <v>875</v>
      </c>
      <c r="B949" s="473">
        <v>2018</v>
      </c>
      <c r="C949" s="473" t="str">
        <f t="shared" si="25"/>
        <v>Mariposa_2018</v>
      </c>
      <c r="D949" s="474">
        <v>526.72211328894434</v>
      </c>
      <c r="E949" s="2"/>
      <c r="F949" s="2"/>
      <c r="G949" s="2"/>
      <c r="H949" s="2"/>
      <c r="I949" s="21"/>
      <c r="J949" s="21"/>
      <c r="K949" s="21"/>
    </row>
    <row r="950" spans="1:11" ht="15.5" x14ac:dyDescent="0.35">
      <c r="A950" s="472" t="s">
        <v>875</v>
      </c>
      <c r="B950" s="473">
        <v>2019</v>
      </c>
      <c r="C950" s="473" t="str">
        <f t="shared" si="25"/>
        <v>Mariposa_2019</v>
      </c>
      <c r="D950" s="474">
        <v>513.60780505153048</v>
      </c>
      <c r="E950" s="2"/>
      <c r="F950" s="2"/>
      <c r="G950" s="2"/>
      <c r="H950" s="2"/>
      <c r="I950" s="21"/>
      <c r="J950" s="21"/>
      <c r="K950" s="21"/>
    </row>
    <row r="951" spans="1:11" ht="15.5" x14ac:dyDescent="0.35">
      <c r="A951" s="472" t="s">
        <v>875</v>
      </c>
      <c r="B951" s="473">
        <v>2020</v>
      </c>
      <c r="C951" s="473" t="str">
        <f t="shared" si="25"/>
        <v>Mariposa_2020</v>
      </c>
      <c r="D951" s="474">
        <v>499.82262686039752</v>
      </c>
      <c r="E951" s="2"/>
      <c r="F951" s="2"/>
      <c r="G951" s="2"/>
      <c r="H951" s="2"/>
      <c r="I951" s="21"/>
      <c r="J951" s="21"/>
      <c r="K951" s="21"/>
    </row>
    <row r="952" spans="1:11" ht="15.5" x14ac:dyDescent="0.35">
      <c r="A952" s="472" t="s">
        <v>875</v>
      </c>
      <c r="B952" s="473">
        <v>2021</v>
      </c>
      <c r="C952" s="473" t="str">
        <f t="shared" si="25"/>
        <v>Mariposa_2021</v>
      </c>
      <c r="D952" s="474">
        <v>485.21398429697081</v>
      </c>
      <c r="E952" s="2"/>
      <c r="F952" s="2"/>
      <c r="G952" s="2"/>
      <c r="H952" s="2"/>
      <c r="I952" s="21"/>
      <c r="J952" s="21"/>
      <c r="K952" s="21"/>
    </row>
    <row r="953" spans="1:11" ht="15.5" x14ac:dyDescent="0.35">
      <c r="A953" s="472" t="s">
        <v>875</v>
      </c>
      <c r="B953" s="473">
        <v>2022</v>
      </c>
      <c r="C953" s="473" t="str">
        <f t="shared" si="25"/>
        <v>Mariposa_2022</v>
      </c>
      <c r="D953" s="474">
        <v>470.34928435290891</v>
      </c>
      <c r="E953" s="2"/>
      <c r="F953" s="2"/>
      <c r="G953" s="2"/>
      <c r="H953" s="2"/>
      <c r="I953" s="21"/>
      <c r="J953" s="21"/>
      <c r="K953" s="21"/>
    </row>
    <row r="954" spans="1:11" ht="15.5" x14ac:dyDescent="0.35">
      <c r="A954" s="472" t="s">
        <v>875</v>
      </c>
      <c r="B954" s="473">
        <v>2023</v>
      </c>
      <c r="C954" s="473" t="str">
        <f t="shared" si="25"/>
        <v>Mariposa_2023</v>
      </c>
      <c r="D954" s="474">
        <v>455.56436469740436</v>
      </c>
      <c r="E954" s="2"/>
      <c r="F954" s="2"/>
      <c r="G954" s="2"/>
      <c r="H954" s="2"/>
      <c r="I954" s="21"/>
      <c r="J954" s="21"/>
      <c r="K954" s="21"/>
    </row>
    <row r="955" spans="1:11" ht="15.5" x14ac:dyDescent="0.35">
      <c r="A955" s="472" t="s">
        <v>875</v>
      </c>
      <c r="B955" s="473">
        <v>2024</v>
      </c>
      <c r="C955" s="473" t="str">
        <f t="shared" si="25"/>
        <v>Mariposa_2024</v>
      </c>
      <c r="D955" s="474">
        <v>440.7432437315627</v>
      </c>
      <c r="E955" s="2"/>
      <c r="F955" s="2"/>
      <c r="G955" s="2"/>
      <c r="H955" s="2"/>
      <c r="I955" s="21"/>
      <c r="J955" s="21"/>
      <c r="K955" s="21"/>
    </row>
    <row r="956" spans="1:11" ht="15.5" x14ac:dyDescent="0.35">
      <c r="A956" s="472" t="s">
        <v>875</v>
      </c>
      <c r="B956" s="473">
        <v>2025</v>
      </c>
      <c r="C956" s="473" t="str">
        <f t="shared" si="25"/>
        <v>Mariposa_2025</v>
      </c>
      <c r="D956" s="474">
        <v>426.26200098073281</v>
      </c>
      <c r="E956" s="2"/>
      <c r="F956" s="2"/>
      <c r="G956" s="2"/>
      <c r="H956" s="2"/>
      <c r="I956" s="21"/>
      <c r="J956" s="21"/>
      <c r="K956" s="21"/>
    </row>
    <row r="957" spans="1:11" ht="15.5" x14ac:dyDescent="0.35">
      <c r="A957" s="472" t="s">
        <v>875</v>
      </c>
      <c r="B957" s="473">
        <v>2026</v>
      </c>
      <c r="C957" s="473" t="str">
        <f t="shared" si="25"/>
        <v>Mariposa_2026</v>
      </c>
      <c r="D957" s="474">
        <v>412.6652304162389</v>
      </c>
      <c r="E957" s="2"/>
      <c r="F957" s="2"/>
      <c r="G957" s="2"/>
      <c r="H957" s="2"/>
      <c r="I957" s="21"/>
      <c r="J957" s="21"/>
      <c r="K957" s="21"/>
    </row>
    <row r="958" spans="1:11" ht="15.5" x14ac:dyDescent="0.35">
      <c r="A958" s="472" t="s">
        <v>875</v>
      </c>
      <c r="B958" s="473">
        <v>2027</v>
      </c>
      <c r="C958" s="473" t="str">
        <f t="shared" si="25"/>
        <v>Mariposa_2027</v>
      </c>
      <c r="D958" s="474">
        <v>399.80787009470038</v>
      </c>
      <c r="E958" s="2"/>
      <c r="F958" s="2"/>
      <c r="G958" s="2"/>
      <c r="H958" s="2"/>
      <c r="I958" s="21"/>
      <c r="J958" s="21"/>
      <c r="K958" s="21"/>
    </row>
    <row r="959" spans="1:11" ht="15.5" x14ac:dyDescent="0.35">
      <c r="A959" s="472" t="s">
        <v>875</v>
      </c>
      <c r="B959" s="473">
        <v>2028</v>
      </c>
      <c r="C959" s="473" t="str">
        <f t="shared" si="25"/>
        <v>Mariposa_2028</v>
      </c>
      <c r="D959" s="474">
        <v>387.82584645569392</v>
      </c>
      <c r="E959" s="2"/>
      <c r="F959" s="2"/>
      <c r="G959" s="2"/>
      <c r="H959" s="2"/>
      <c r="I959" s="21"/>
      <c r="J959" s="21"/>
      <c r="K959" s="21"/>
    </row>
    <row r="960" spans="1:11" ht="15.5" x14ac:dyDescent="0.35">
      <c r="A960" s="472" t="s">
        <v>875</v>
      </c>
      <c r="B960" s="473">
        <v>2029</v>
      </c>
      <c r="C960" s="473" t="str">
        <f t="shared" si="25"/>
        <v>Mariposa_2029</v>
      </c>
      <c r="D960" s="474">
        <v>376.7732027169094</v>
      </c>
      <c r="E960" s="2"/>
      <c r="F960" s="2"/>
      <c r="G960" s="2"/>
      <c r="H960" s="2"/>
      <c r="I960" s="21"/>
      <c r="J960" s="21"/>
      <c r="K960" s="21"/>
    </row>
    <row r="961" spans="1:11" ht="15.5" x14ac:dyDescent="0.35">
      <c r="A961" s="472" t="s">
        <v>875</v>
      </c>
      <c r="B961" s="473">
        <v>2030</v>
      </c>
      <c r="C961" s="473" t="str">
        <f t="shared" si="25"/>
        <v>Mariposa_2030</v>
      </c>
      <c r="D961" s="474">
        <v>366.59053891100194</v>
      </c>
      <c r="E961" s="2"/>
      <c r="F961" s="2"/>
      <c r="G961" s="2"/>
      <c r="H961" s="2"/>
      <c r="I961" s="21"/>
      <c r="J961" s="21"/>
      <c r="K961" s="21"/>
    </row>
    <row r="962" spans="1:11" ht="15.5" x14ac:dyDescent="0.35">
      <c r="A962" s="472" t="s">
        <v>875</v>
      </c>
      <c r="B962" s="473">
        <v>2031</v>
      </c>
      <c r="C962" s="473" t="str">
        <f t="shared" si="25"/>
        <v>Mariposa_2031</v>
      </c>
      <c r="D962" s="474">
        <v>357.36988993077489</v>
      </c>
      <c r="E962" s="2"/>
      <c r="F962" s="2"/>
      <c r="G962" s="2"/>
      <c r="H962" s="2"/>
      <c r="I962" s="21"/>
      <c r="J962" s="21"/>
      <c r="K962" s="21"/>
    </row>
    <row r="963" spans="1:11" ht="15.5" x14ac:dyDescent="0.35">
      <c r="A963" s="472" t="s">
        <v>875</v>
      </c>
      <c r="B963" s="473">
        <v>2032</v>
      </c>
      <c r="C963" s="473" t="str">
        <f t="shared" si="25"/>
        <v>Mariposa_2032</v>
      </c>
      <c r="D963" s="474">
        <v>349.11987131039496</v>
      </c>
      <c r="E963" s="2"/>
      <c r="F963" s="2"/>
      <c r="G963" s="2"/>
      <c r="H963" s="2"/>
      <c r="I963" s="21"/>
      <c r="J963" s="21"/>
      <c r="K963" s="21"/>
    </row>
    <row r="964" spans="1:11" ht="15.5" x14ac:dyDescent="0.35">
      <c r="A964" s="472" t="s">
        <v>875</v>
      </c>
      <c r="B964" s="473">
        <v>2033</v>
      </c>
      <c r="C964" s="473" t="str">
        <f t="shared" si="25"/>
        <v>Mariposa_2033</v>
      </c>
      <c r="D964" s="474">
        <v>341.63440128384639</v>
      </c>
      <c r="E964" s="2"/>
      <c r="F964" s="2"/>
      <c r="G964" s="2"/>
      <c r="H964" s="2"/>
      <c r="I964" s="21"/>
      <c r="J964" s="21"/>
      <c r="K964" s="21"/>
    </row>
    <row r="965" spans="1:11" ht="15.5" x14ac:dyDescent="0.35">
      <c r="A965" s="472" t="s">
        <v>875</v>
      </c>
      <c r="B965" s="473">
        <v>2034</v>
      </c>
      <c r="C965" s="473" t="str">
        <f t="shared" si="25"/>
        <v>Mariposa_2034</v>
      </c>
      <c r="D965" s="474">
        <v>334.96651380659301</v>
      </c>
      <c r="E965" s="2"/>
      <c r="F965" s="2"/>
      <c r="G965" s="2"/>
      <c r="H965" s="2"/>
      <c r="I965" s="21"/>
      <c r="J965" s="21"/>
      <c r="K965" s="21"/>
    </row>
    <row r="966" spans="1:11" ht="15.5" x14ac:dyDescent="0.35">
      <c r="A966" s="472" t="s">
        <v>875</v>
      </c>
      <c r="B966" s="473">
        <v>2035</v>
      </c>
      <c r="C966" s="473" t="str">
        <f t="shared" si="25"/>
        <v>Mariposa_2035</v>
      </c>
      <c r="D966" s="474">
        <v>328.97114434026633</v>
      </c>
      <c r="E966" s="2"/>
      <c r="F966" s="2"/>
      <c r="G966" s="2"/>
      <c r="H966" s="2"/>
      <c r="I966" s="21"/>
      <c r="J966" s="21"/>
      <c r="K966" s="21"/>
    </row>
    <row r="967" spans="1:11" ht="15.5" x14ac:dyDescent="0.35">
      <c r="A967" s="472" t="s">
        <v>875</v>
      </c>
      <c r="B967" s="473">
        <v>2036</v>
      </c>
      <c r="C967" s="473" t="str">
        <f t="shared" si="25"/>
        <v>Mariposa_2036</v>
      </c>
      <c r="D967" s="474">
        <v>323.81429519345272</v>
      </c>
      <c r="E967" s="2"/>
      <c r="F967" s="2"/>
      <c r="G967" s="2"/>
      <c r="H967" s="2"/>
      <c r="I967" s="21"/>
      <c r="J967" s="21"/>
      <c r="K967" s="21"/>
    </row>
    <row r="968" spans="1:11" ht="15.5" x14ac:dyDescent="0.35">
      <c r="A968" s="472" t="s">
        <v>875</v>
      </c>
      <c r="B968" s="473">
        <v>2037</v>
      </c>
      <c r="C968" s="473" t="str">
        <f t="shared" si="25"/>
        <v>Mariposa_2037</v>
      </c>
      <c r="D968" s="474">
        <v>319.23150094515574</v>
      </c>
      <c r="E968" s="2"/>
      <c r="F968" s="2"/>
      <c r="G968" s="2"/>
      <c r="H968" s="2"/>
      <c r="I968" s="21"/>
      <c r="J968" s="21"/>
      <c r="K968" s="21"/>
    </row>
    <row r="969" spans="1:11" ht="15.5" x14ac:dyDescent="0.35">
      <c r="A969" s="472" t="s">
        <v>875</v>
      </c>
      <c r="B969" s="473">
        <v>2038</v>
      </c>
      <c r="C969" s="473" t="str">
        <f t="shared" si="25"/>
        <v>Mariposa_2038</v>
      </c>
      <c r="D969" s="474">
        <v>315.29459192823373</v>
      </c>
      <c r="E969" s="2"/>
      <c r="F969" s="2"/>
      <c r="G969" s="2"/>
      <c r="H969" s="2"/>
      <c r="I969" s="21"/>
      <c r="J969" s="21"/>
      <c r="K969" s="21"/>
    </row>
    <row r="970" spans="1:11" ht="15.5" x14ac:dyDescent="0.35">
      <c r="A970" s="472" t="s">
        <v>875</v>
      </c>
      <c r="B970" s="473">
        <v>2039</v>
      </c>
      <c r="C970" s="473" t="str">
        <f t="shared" si="25"/>
        <v>Mariposa_2039</v>
      </c>
      <c r="D970" s="474">
        <v>311.84308588938558</v>
      </c>
      <c r="E970" s="2"/>
      <c r="F970" s="2"/>
      <c r="G970" s="2"/>
      <c r="H970" s="2"/>
      <c r="I970" s="21"/>
      <c r="J970" s="21"/>
      <c r="K970" s="21"/>
    </row>
    <row r="971" spans="1:11" ht="15.5" x14ac:dyDescent="0.35">
      <c r="A971" s="472" t="s">
        <v>875</v>
      </c>
      <c r="B971" s="473">
        <v>2040</v>
      </c>
      <c r="C971" s="473" t="str">
        <f t="shared" si="25"/>
        <v>Mariposa_2040</v>
      </c>
      <c r="D971" s="474">
        <v>308.82329633807564</v>
      </c>
      <c r="E971" s="2"/>
      <c r="F971" s="2"/>
      <c r="G971" s="2"/>
      <c r="H971" s="2"/>
      <c r="I971" s="21"/>
      <c r="J971" s="21"/>
      <c r="K971" s="21"/>
    </row>
    <row r="972" spans="1:11" ht="15.5" x14ac:dyDescent="0.35">
      <c r="A972" s="472" t="s">
        <v>875</v>
      </c>
      <c r="B972" s="473">
        <v>2041</v>
      </c>
      <c r="C972" s="473" t="str">
        <f t="shared" si="25"/>
        <v>Mariposa_2041</v>
      </c>
      <c r="D972" s="474">
        <v>306.24567043304023</v>
      </c>
      <c r="E972" s="2"/>
      <c r="F972" s="2"/>
      <c r="G972" s="2"/>
      <c r="H972" s="2"/>
      <c r="I972" s="21"/>
      <c r="J972" s="21"/>
      <c r="K972" s="21"/>
    </row>
    <row r="973" spans="1:11" ht="15.5" x14ac:dyDescent="0.35">
      <c r="A973" s="472" t="s">
        <v>875</v>
      </c>
      <c r="B973" s="473">
        <v>2042</v>
      </c>
      <c r="C973" s="473" t="str">
        <f t="shared" si="25"/>
        <v>Mariposa_2042</v>
      </c>
      <c r="D973" s="474">
        <v>303.93491744724435</v>
      </c>
      <c r="E973" s="2"/>
      <c r="F973" s="2"/>
      <c r="G973" s="2"/>
      <c r="H973" s="2"/>
      <c r="I973" s="21"/>
      <c r="J973" s="21"/>
      <c r="K973" s="21"/>
    </row>
    <row r="974" spans="1:11" ht="15.5" x14ac:dyDescent="0.35">
      <c r="A974" s="472" t="s">
        <v>875</v>
      </c>
      <c r="B974" s="473">
        <v>2043</v>
      </c>
      <c r="C974" s="473" t="str">
        <f t="shared" si="25"/>
        <v>Mariposa_2043</v>
      </c>
      <c r="D974" s="474">
        <v>301.94266648052184</v>
      </c>
      <c r="E974" s="2"/>
      <c r="F974" s="2"/>
      <c r="G974" s="2"/>
      <c r="H974" s="2"/>
      <c r="I974" s="21"/>
      <c r="J974" s="21"/>
      <c r="K974" s="21"/>
    </row>
    <row r="975" spans="1:11" ht="15.5" x14ac:dyDescent="0.35">
      <c r="A975" s="472" t="s">
        <v>875</v>
      </c>
      <c r="B975" s="473">
        <v>2044</v>
      </c>
      <c r="C975" s="473" t="str">
        <f t="shared" si="25"/>
        <v>Mariposa_2044</v>
      </c>
      <c r="D975" s="474">
        <v>300.16516873312355</v>
      </c>
      <c r="E975" s="2"/>
      <c r="F975" s="2"/>
      <c r="G975" s="2"/>
      <c r="H975" s="2"/>
      <c r="I975" s="21"/>
      <c r="J975" s="21"/>
      <c r="K975" s="21"/>
    </row>
    <row r="976" spans="1:11" ht="15.5" x14ac:dyDescent="0.35">
      <c r="A976" s="472" t="s">
        <v>875</v>
      </c>
      <c r="B976" s="473">
        <v>2045</v>
      </c>
      <c r="C976" s="473" t="str">
        <f t="shared" si="25"/>
        <v>Mariposa_2045</v>
      </c>
      <c r="D976" s="474">
        <v>298.5490554502</v>
      </c>
      <c r="E976" s="2"/>
      <c r="F976" s="2"/>
      <c r="G976" s="2"/>
      <c r="H976" s="2"/>
      <c r="I976" s="21"/>
      <c r="J976" s="21"/>
      <c r="K976" s="21"/>
    </row>
    <row r="977" spans="1:11" ht="15.5" x14ac:dyDescent="0.35">
      <c r="A977" s="472" t="s">
        <v>875</v>
      </c>
      <c r="B977" s="473">
        <v>2046</v>
      </c>
      <c r="C977" s="473" t="str">
        <f t="shared" si="25"/>
        <v>Mariposa_2046</v>
      </c>
      <c r="D977" s="474">
        <v>297.15066783537503</v>
      </c>
      <c r="E977" s="2"/>
      <c r="F977" s="2"/>
      <c r="G977" s="2"/>
      <c r="H977" s="2"/>
      <c r="I977" s="21"/>
      <c r="J977" s="21"/>
      <c r="K977" s="21"/>
    </row>
    <row r="978" spans="1:11" ht="15.5" x14ac:dyDescent="0.35">
      <c r="A978" s="472" t="s">
        <v>875</v>
      </c>
      <c r="B978" s="473">
        <v>2047</v>
      </c>
      <c r="C978" s="473" t="str">
        <f t="shared" si="25"/>
        <v>Mariposa_2047</v>
      </c>
      <c r="D978" s="474">
        <v>295.89806278849187</v>
      </c>
      <c r="E978" s="2"/>
      <c r="F978" s="2"/>
      <c r="G978" s="2"/>
      <c r="H978" s="2"/>
      <c r="I978" s="21"/>
      <c r="J978" s="21"/>
      <c r="K978" s="21"/>
    </row>
    <row r="979" spans="1:11" ht="15.5" x14ac:dyDescent="0.35">
      <c r="A979" s="472" t="s">
        <v>875</v>
      </c>
      <c r="B979" s="473">
        <v>2048</v>
      </c>
      <c r="C979" s="473" t="str">
        <f t="shared" si="25"/>
        <v>Mariposa_2048</v>
      </c>
      <c r="D979" s="474">
        <v>294.8295036390179</v>
      </c>
      <c r="E979" s="2"/>
      <c r="F979" s="2"/>
      <c r="G979" s="2"/>
      <c r="H979" s="2"/>
      <c r="I979" s="21"/>
      <c r="J979" s="21"/>
      <c r="K979" s="21"/>
    </row>
    <row r="980" spans="1:11" ht="15.5" x14ac:dyDescent="0.35">
      <c r="A980" s="472" t="s">
        <v>875</v>
      </c>
      <c r="B980" s="473">
        <v>2049</v>
      </c>
      <c r="C980" s="473" t="str">
        <f t="shared" si="25"/>
        <v>Mariposa_2049</v>
      </c>
      <c r="D980" s="474">
        <v>293.88829299279314</v>
      </c>
      <c r="E980" s="2"/>
      <c r="F980" s="2"/>
      <c r="G980" s="2"/>
      <c r="H980" s="2"/>
      <c r="I980" s="21"/>
      <c r="J980" s="21"/>
      <c r="K980" s="21"/>
    </row>
    <row r="981" spans="1:11" ht="15.5" x14ac:dyDescent="0.35">
      <c r="A981" s="472" t="s">
        <v>875</v>
      </c>
      <c r="B981" s="473">
        <v>2050</v>
      </c>
      <c r="C981" s="473" t="str">
        <f t="shared" si="25"/>
        <v>Mariposa_2050</v>
      </c>
      <c r="D981" s="474">
        <v>293.07132099489218</v>
      </c>
      <c r="E981" s="2"/>
      <c r="F981" s="2"/>
      <c r="G981" s="2"/>
      <c r="H981" s="2"/>
      <c r="I981" s="21"/>
      <c r="J981" s="21"/>
      <c r="K981" s="21"/>
    </row>
    <row r="982" spans="1:11" ht="15.5" x14ac:dyDescent="0.35">
      <c r="A982" s="468" t="s">
        <v>878</v>
      </c>
      <c r="B982" s="469">
        <v>2015</v>
      </c>
      <c r="C982" s="470" t="s">
        <v>879</v>
      </c>
      <c r="D982" s="471">
        <v>513.03968055046005</v>
      </c>
      <c r="E982" s="2"/>
      <c r="F982" s="2"/>
      <c r="G982" s="2"/>
      <c r="H982" s="2"/>
      <c r="I982" s="21"/>
      <c r="J982" s="21"/>
      <c r="K982" s="21"/>
    </row>
    <row r="983" spans="1:11" ht="15.5" x14ac:dyDescent="0.35">
      <c r="A983" s="468" t="s">
        <v>878</v>
      </c>
      <c r="B983" s="469">
        <v>2016</v>
      </c>
      <c r="C983" s="470" t="s">
        <v>880</v>
      </c>
      <c r="D983" s="471">
        <v>503.87456644366068</v>
      </c>
      <c r="E983" s="2"/>
      <c r="F983" s="2"/>
      <c r="G983" s="2"/>
      <c r="H983" s="2"/>
      <c r="I983" s="21"/>
      <c r="J983" s="21"/>
      <c r="K983" s="21"/>
    </row>
    <row r="984" spans="1:11" ht="15.5" x14ac:dyDescent="0.35">
      <c r="A984" s="472" t="s">
        <v>878</v>
      </c>
      <c r="B984" s="473">
        <v>2017</v>
      </c>
      <c r="C984" s="473" t="str">
        <f t="shared" ref="C984:C1017" si="26">CONCATENATE(A984,"_",B984)</f>
        <v>Mendocino_2017</v>
      </c>
      <c r="D984" s="474">
        <v>492.54768414934222</v>
      </c>
      <c r="E984" s="2"/>
      <c r="F984" s="2"/>
      <c r="G984" s="2"/>
      <c r="H984" s="2"/>
      <c r="I984" s="21"/>
      <c r="J984" s="21"/>
      <c r="K984" s="21"/>
    </row>
    <row r="985" spans="1:11" ht="15.5" x14ac:dyDescent="0.35">
      <c r="A985" s="472" t="s">
        <v>878</v>
      </c>
      <c r="B985" s="473">
        <v>2018</v>
      </c>
      <c r="C985" s="473" t="str">
        <f t="shared" si="26"/>
        <v>Mendocino_2018</v>
      </c>
      <c r="D985" s="474">
        <v>480.60888819862214</v>
      </c>
      <c r="E985" s="2"/>
      <c r="F985" s="2"/>
      <c r="G985" s="2"/>
      <c r="H985" s="2"/>
      <c r="I985" s="21"/>
      <c r="J985" s="21"/>
      <c r="K985" s="21"/>
    </row>
    <row r="986" spans="1:11" ht="15.5" x14ac:dyDescent="0.35">
      <c r="A986" s="472" t="s">
        <v>878</v>
      </c>
      <c r="B986" s="473">
        <v>2019</v>
      </c>
      <c r="C986" s="473" t="str">
        <f t="shared" si="26"/>
        <v>Mendocino_2019</v>
      </c>
      <c r="D986" s="474">
        <v>468.0927419464436</v>
      </c>
      <c r="E986" s="2"/>
      <c r="F986" s="2"/>
      <c r="G986" s="2"/>
      <c r="H986" s="2"/>
      <c r="I986" s="21"/>
      <c r="J986" s="21"/>
      <c r="K986" s="21"/>
    </row>
    <row r="987" spans="1:11" ht="15.5" x14ac:dyDescent="0.35">
      <c r="A987" s="472" t="s">
        <v>878</v>
      </c>
      <c r="B987" s="473">
        <v>2020</v>
      </c>
      <c r="C987" s="473" t="str">
        <f t="shared" si="26"/>
        <v>Mendocino_2020</v>
      </c>
      <c r="D987" s="474">
        <v>455.27998443876072</v>
      </c>
      <c r="E987" s="2"/>
      <c r="F987" s="2"/>
      <c r="G987" s="2"/>
      <c r="H987" s="2"/>
      <c r="I987" s="21"/>
      <c r="J987" s="21"/>
      <c r="K987" s="21"/>
    </row>
    <row r="988" spans="1:11" ht="15.5" x14ac:dyDescent="0.35">
      <c r="A988" s="472" t="s">
        <v>878</v>
      </c>
      <c r="B988" s="473">
        <v>2021</v>
      </c>
      <c r="C988" s="473" t="str">
        <f t="shared" si="26"/>
        <v>Mendocino_2021</v>
      </c>
      <c r="D988" s="474">
        <v>442.18626432012491</v>
      </c>
      <c r="E988" s="2"/>
      <c r="F988" s="2"/>
      <c r="G988" s="2"/>
      <c r="H988" s="2"/>
      <c r="I988" s="21"/>
      <c r="J988" s="21"/>
      <c r="K988" s="21"/>
    </row>
    <row r="989" spans="1:11" ht="15.5" x14ac:dyDescent="0.35">
      <c r="A989" s="472" t="s">
        <v>878</v>
      </c>
      <c r="B989" s="473">
        <v>2022</v>
      </c>
      <c r="C989" s="473" t="str">
        <f t="shared" si="26"/>
        <v>Mendocino_2022</v>
      </c>
      <c r="D989" s="474">
        <v>429.18652866017152</v>
      </c>
      <c r="E989" s="2"/>
      <c r="F989" s="2"/>
      <c r="G989" s="2"/>
      <c r="H989" s="2"/>
      <c r="I989" s="21"/>
      <c r="J989" s="21"/>
      <c r="K989" s="21"/>
    </row>
    <row r="990" spans="1:11" ht="15.5" x14ac:dyDescent="0.35">
      <c r="A990" s="472" t="s">
        <v>878</v>
      </c>
      <c r="B990" s="473">
        <v>2023</v>
      </c>
      <c r="C990" s="473" t="str">
        <f t="shared" si="26"/>
        <v>Mendocino_2023</v>
      </c>
      <c r="D990" s="474">
        <v>416.22997334259924</v>
      </c>
      <c r="E990" s="2"/>
      <c r="F990" s="2"/>
      <c r="G990" s="2"/>
      <c r="H990" s="2"/>
      <c r="I990" s="21"/>
      <c r="J990" s="21"/>
      <c r="K990" s="21"/>
    </row>
    <row r="991" spans="1:11" ht="15.5" x14ac:dyDescent="0.35">
      <c r="A991" s="472" t="s">
        <v>878</v>
      </c>
      <c r="B991" s="473">
        <v>2024</v>
      </c>
      <c r="C991" s="473" t="str">
        <f t="shared" si="26"/>
        <v>Mendocino_2024</v>
      </c>
      <c r="D991" s="474">
        <v>403.40921306617867</v>
      </c>
      <c r="E991" s="2"/>
      <c r="F991" s="2"/>
      <c r="G991" s="2"/>
      <c r="H991" s="2"/>
      <c r="I991" s="21"/>
      <c r="J991" s="21"/>
      <c r="K991" s="21"/>
    </row>
    <row r="992" spans="1:11" ht="15.5" x14ac:dyDescent="0.35">
      <c r="A992" s="472" t="s">
        <v>878</v>
      </c>
      <c r="B992" s="473">
        <v>2025</v>
      </c>
      <c r="C992" s="473" t="str">
        <f t="shared" si="26"/>
        <v>Mendocino_2025</v>
      </c>
      <c r="D992" s="474">
        <v>390.79640671378593</v>
      </c>
      <c r="E992" s="2"/>
      <c r="F992" s="2"/>
      <c r="G992" s="2"/>
      <c r="H992" s="2"/>
      <c r="I992" s="21"/>
      <c r="J992" s="21"/>
      <c r="K992" s="21"/>
    </row>
    <row r="993" spans="1:11" ht="15.5" x14ac:dyDescent="0.35">
      <c r="A993" s="472" t="s">
        <v>878</v>
      </c>
      <c r="B993" s="473">
        <v>2026</v>
      </c>
      <c r="C993" s="473" t="str">
        <f t="shared" si="26"/>
        <v>Mendocino_2026</v>
      </c>
      <c r="D993" s="474">
        <v>379.17583482493814</v>
      </c>
      <c r="E993" s="2"/>
      <c r="F993" s="2"/>
      <c r="G993" s="2"/>
      <c r="H993" s="2"/>
      <c r="I993" s="21"/>
      <c r="J993" s="21"/>
      <c r="K993" s="21"/>
    </row>
    <row r="994" spans="1:11" ht="15.5" x14ac:dyDescent="0.35">
      <c r="A994" s="472" t="s">
        <v>878</v>
      </c>
      <c r="B994" s="473">
        <v>2027</v>
      </c>
      <c r="C994" s="473" t="str">
        <f t="shared" si="26"/>
        <v>Mendocino_2027</v>
      </c>
      <c r="D994" s="474">
        <v>368.42200963911478</v>
      </c>
      <c r="E994" s="2"/>
      <c r="F994" s="2"/>
      <c r="G994" s="2"/>
      <c r="H994" s="2"/>
      <c r="I994" s="21"/>
      <c r="J994" s="21"/>
      <c r="K994" s="21"/>
    </row>
    <row r="995" spans="1:11" ht="15.5" x14ac:dyDescent="0.35">
      <c r="A995" s="472" t="s">
        <v>878</v>
      </c>
      <c r="B995" s="473">
        <v>2028</v>
      </c>
      <c r="C995" s="473" t="str">
        <f t="shared" si="26"/>
        <v>Mendocino_2028</v>
      </c>
      <c r="D995" s="474">
        <v>358.61628139636491</v>
      </c>
      <c r="E995" s="2"/>
      <c r="F995" s="2"/>
      <c r="G995" s="2"/>
      <c r="H995" s="2"/>
      <c r="I995" s="21"/>
      <c r="J995" s="21"/>
      <c r="K995" s="21"/>
    </row>
    <row r="996" spans="1:11" ht="15.5" x14ac:dyDescent="0.35">
      <c r="A996" s="472" t="s">
        <v>878</v>
      </c>
      <c r="B996" s="473">
        <v>2029</v>
      </c>
      <c r="C996" s="473" t="str">
        <f t="shared" si="26"/>
        <v>Mendocino_2029</v>
      </c>
      <c r="D996" s="474">
        <v>349.67285210270978</v>
      </c>
      <c r="E996" s="2"/>
      <c r="F996" s="2"/>
      <c r="G996" s="2"/>
      <c r="H996" s="2"/>
      <c r="I996" s="21"/>
      <c r="J996" s="21"/>
      <c r="K996" s="21"/>
    </row>
    <row r="997" spans="1:11" ht="15.5" x14ac:dyDescent="0.35">
      <c r="A997" s="472" t="s">
        <v>878</v>
      </c>
      <c r="B997" s="473">
        <v>2030</v>
      </c>
      <c r="C997" s="473" t="str">
        <f t="shared" si="26"/>
        <v>Mendocino_2030</v>
      </c>
      <c r="D997" s="474">
        <v>341.57105595342034</v>
      </c>
      <c r="E997" s="2"/>
      <c r="F997" s="2"/>
      <c r="G997" s="2"/>
      <c r="H997" s="2"/>
      <c r="I997" s="21"/>
      <c r="J997" s="21"/>
      <c r="K997" s="21"/>
    </row>
    <row r="998" spans="1:11" ht="15.5" x14ac:dyDescent="0.35">
      <c r="A998" s="472" t="s">
        <v>878</v>
      </c>
      <c r="B998" s="473">
        <v>2031</v>
      </c>
      <c r="C998" s="473" t="str">
        <f t="shared" si="26"/>
        <v>Mendocino_2031</v>
      </c>
      <c r="D998" s="474">
        <v>334.25478620988531</v>
      </c>
      <c r="E998" s="2"/>
      <c r="F998" s="2"/>
      <c r="G998" s="2"/>
      <c r="H998" s="2"/>
      <c r="I998" s="21"/>
      <c r="J998" s="21"/>
      <c r="K998" s="21"/>
    </row>
    <row r="999" spans="1:11" ht="15.5" x14ac:dyDescent="0.35">
      <c r="A999" s="472" t="s">
        <v>878</v>
      </c>
      <c r="B999" s="473">
        <v>2032</v>
      </c>
      <c r="C999" s="473" t="str">
        <f t="shared" si="26"/>
        <v>Mendocino_2032</v>
      </c>
      <c r="D999" s="474">
        <v>327.68981545965653</v>
      </c>
      <c r="E999" s="2"/>
      <c r="F999" s="2"/>
      <c r="G999" s="2"/>
      <c r="H999" s="2"/>
      <c r="I999" s="21"/>
      <c r="J999" s="21"/>
      <c r="K999" s="21"/>
    </row>
    <row r="1000" spans="1:11" ht="15.5" x14ac:dyDescent="0.35">
      <c r="A1000" s="472" t="s">
        <v>878</v>
      </c>
      <c r="B1000" s="473">
        <v>2033</v>
      </c>
      <c r="C1000" s="473" t="str">
        <f t="shared" si="26"/>
        <v>Mendocino_2033</v>
      </c>
      <c r="D1000" s="474">
        <v>321.82885725482885</v>
      </c>
      <c r="E1000" s="2"/>
      <c r="F1000" s="2"/>
      <c r="G1000" s="2"/>
      <c r="H1000" s="2"/>
      <c r="I1000" s="21"/>
      <c r="J1000" s="21"/>
      <c r="K1000" s="21"/>
    </row>
    <row r="1001" spans="1:11" ht="15.5" x14ac:dyDescent="0.35">
      <c r="A1001" s="472" t="s">
        <v>878</v>
      </c>
      <c r="B1001" s="473">
        <v>2034</v>
      </c>
      <c r="C1001" s="473" t="str">
        <f t="shared" si="26"/>
        <v>Mendocino_2034</v>
      </c>
      <c r="D1001" s="474">
        <v>316.58760429931328</v>
      </c>
      <c r="E1001" s="2"/>
      <c r="F1001" s="2"/>
      <c r="G1001" s="2"/>
      <c r="H1001" s="2"/>
      <c r="I1001" s="21"/>
      <c r="J1001" s="21"/>
      <c r="K1001" s="21"/>
    </row>
    <row r="1002" spans="1:11" ht="15.5" x14ac:dyDescent="0.35">
      <c r="A1002" s="472" t="s">
        <v>878</v>
      </c>
      <c r="B1002" s="473">
        <v>2035</v>
      </c>
      <c r="C1002" s="473" t="str">
        <f t="shared" si="26"/>
        <v>Mendocino_2035</v>
      </c>
      <c r="D1002" s="474">
        <v>311.94791700746498</v>
      </c>
      <c r="E1002" s="2"/>
      <c r="F1002" s="2"/>
      <c r="G1002" s="2"/>
      <c r="H1002" s="2"/>
      <c r="I1002" s="21"/>
      <c r="J1002" s="21"/>
      <c r="K1002" s="21"/>
    </row>
    <row r="1003" spans="1:11" ht="15.5" x14ac:dyDescent="0.35">
      <c r="A1003" s="472" t="s">
        <v>878</v>
      </c>
      <c r="B1003" s="473">
        <v>2036</v>
      </c>
      <c r="C1003" s="473" t="str">
        <f t="shared" si="26"/>
        <v>Mendocino_2036</v>
      </c>
      <c r="D1003" s="474">
        <v>307.85432376979884</v>
      </c>
      <c r="E1003" s="2"/>
      <c r="F1003" s="2"/>
      <c r="G1003" s="2"/>
      <c r="H1003" s="2"/>
      <c r="I1003" s="21"/>
      <c r="J1003" s="21"/>
      <c r="K1003" s="21"/>
    </row>
    <row r="1004" spans="1:11" ht="15.5" x14ac:dyDescent="0.35">
      <c r="A1004" s="472" t="s">
        <v>878</v>
      </c>
      <c r="B1004" s="473">
        <v>2037</v>
      </c>
      <c r="C1004" s="473" t="str">
        <f t="shared" si="26"/>
        <v>Mendocino_2037</v>
      </c>
      <c r="D1004" s="474">
        <v>304.28924877826438</v>
      </c>
      <c r="E1004" s="2"/>
      <c r="F1004" s="2"/>
      <c r="G1004" s="2"/>
      <c r="H1004" s="2"/>
      <c r="I1004" s="21"/>
      <c r="J1004" s="21"/>
      <c r="K1004" s="21"/>
    </row>
    <row r="1005" spans="1:11" ht="15.5" x14ac:dyDescent="0.35">
      <c r="A1005" s="472" t="s">
        <v>878</v>
      </c>
      <c r="B1005" s="473">
        <v>2038</v>
      </c>
      <c r="C1005" s="473" t="str">
        <f t="shared" si="26"/>
        <v>Mendocino_2038</v>
      </c>
      <c r="D1005" s="474">
        <v>301.20235087148967</v>
      </c>
      <c r="E1005" s="2"/>
      <c r="F1005" s="2"/>
      <c r="G1005" s="2"/>
      <c r="H1005" s="2"/>
      <c r="I1005" s="21"/>
      <c r="J1005" s="21"/>
      <c r="K1005" s="21"/>
    </row>
    <row r="1006" spans="1:11" ht="15.5" x14ac:dyDescent="0.35">
      <c r="A1006" s="472" t="s">
        <v>878</v>
      </c>
      <c r="B1006" s="473">
        <v>2039</v>
      </c>
      <c r="C1006" s="473" t="str">
        <f t="shared" si="26"/>
        <v>Mendocino_2039</v>
      </c>
      <c r="D1006" s="474">
        <v>298.51892498856921</v>
      </c>
      <c r="E1006" s="2"/>
      <c r="F1006" s="2"/>
      <c r="G1006" s="2"/>
      <c r="H1006" s="2"/>
      <c r="I1006" s="21"/>
      <c r="J1006" s="21"/>
      <c r="K1006" s="21"/>
    </row>
    <row r="1007" spans="1:11" ht="15.5" x14ac:dyDescent="0.35">
      <c r="A1007" s="472" t="s">
        <v>878</v>
      </c>
      <c r="B1007" s="473">
        <v>2040</v>
      </c>
      <c r="C1007" s="473" t="str">
        <f t="shared" si="26"/>
        <v>Mendocino_2040</v>
      </c>
      <c r="D1007" s="474">
        <v>296.20590508218004</v>
      </c>
      <c r="E1007" s="2"/>
      <c r="F1007" s="2"/>
      <c r="G1007" s="2"/>
      <c r="H1007" s="2"/>
      <c r="I1007" s="21"/>
      <c r="J1007" s="21"/>
      <c r="K1007" s="21"/>
    </row>
    <row r="1008" spans="1:11" ht="15.5" x14ac:dyDescent="0.35">
      <c r="A1008" s="472" t="s">
        <v>878</v>
      </c>
      <c r="B1008" s="473">
        <v>2041</v>
      </c>
      <c r="C1008" s="473" t="str">
        <f t="shared" si="26"/>
        <v>Mendocino_2041</v>
      </c>
      <c r="D1008" s="474">
        <v>294.23696853638785</v>
      </c>
      <c r="E1008" s="2"/>
      <c r="F1008" s="2"/>
      <c r="G1008" s="2"/>
      <c r="H1008" s="2"/>
      <c r="I1008" s="21"/>
      <c r="J1008" s="21"/>
      <c r="K1008" s="21"/>
    </row>
    <row r="1009" spans="1:11" ht="15.5" x14ac:dyDescent="0.35">
      <c r="A1009" s="472" t="s">
        <v>878</v>
      </c>
      <c r="B1009" s="473">
        <v>2042</v>
      </c>
      <c r="C1009" s="473" t="str">
        <f t="shared" si="26"/>
        <v>Mendocino_2042</v>
      </c>
      <c r="D1009" s="474">
        <v>292.53351187022974</v>
      </c>
      <c r="E1009" s="2"/>
      <c r="F1009" s="2"/>
      <c r="G1009" s="2"/>
      <c r="H1009" s="2"/>
      <c r="I1009" s="21"/>
      <c r="J1009" s="21"/>
      <c r="K1009" s="21"/>
    </row>
    <row r="1010" spans="1:11" ht="15.5" x14ac:dyDescent="0.35">
      <c r="A1010" s="472" t="s">
        <v>878</v>
      </c>
      <c r="B1010" s="473">
        <v>2043</v>
      </c>
      <c r="C1010" s="473" t="str">
        <f t="shared" si="26"/>
        <v>Mendocino_2043</v>
      </c>
      <c r="D1010" s="474">
        <v>291.08535008904875</v>
      </c>
      <c r="E1010" s="2"/>
      <c r="F1010" s="2"/>
      <c r="G1010" s="2"/>
      <c r="H1010" s="2"/>
      <c r="I1010" s="21"/>
      <c r="J1010" s="21"/>
      <c r="K1010" s="21"/>
    </row>
    <row r="1011" spans="1:11" ht="15.5" x14ac:dyDescent="0.35">
      <c r="A1011" s="472" t="s">
        <v>878</v>
      </c>
      <c r="B1011" s="473">
        <v>2044</v>
      </c>
      <c r="C1011" s="473" t="str">
        <f t="shared" si="26"/>
        <v>Mendocino_2044</v>
      </c>
      <c r="D1011" s="474">
        <v>289.84551715519331</v>
      </c>
      <c r="E1011" s="2"/>
      <c r="F1011" s="2"/>
      <c r="G1011" s="2"/>
      <c r="H1011" s="2"/>
      <c r="I1011" s="21"/>
      <c r="J1011" s="21"/>
      <c r="K1011" s="21"/>
    </row>
    <row r="1012" spans="1:11" ht="15.5" x14ac:dyDescent="0.35">
      <c r="A1012" s="472" t="s">
        <v>878</v>
      </c>
      <c r="B1012" s="473">
        <v>2045</v>
      </c>
      <c r="C1012" s="473" t="str">
        <f t="shared" si="26"/>
        <v>Mendocino_2045</v>
      </c>
      <c r="D1012" s="474">
        <v>288.76225622986874</v>
      </c>
      <c r="E1012" s="2"/>
      <c r="F1012" s="2"/>
      <c r="G1012" s="2"/>
      <c r="H1012" s="2"/>
      <c r="I1012" s="21"/>
      <c r="J1012" s="21"/>
      <c r="K1012" s="21"/>
    </row>
    <row r="1013" spans="1:11" ht="15.5" x14ac:dyDescent="0.35">
      <c r="A1013" s="472" t="s">
        <v>878</v>
      </c>
      <c r="B1013" s="473">
        <v>2046</v>
      </c>
      <c r="C1013" s="473" t="str">
        <f t="shared" si="26"/>
        <v>Mendocino_2046</v>
      </c>
      <c r="D1013" s="474">
        <v>287.83136339383731</v>
      </c>
      <c r="E1013" s="2"/>
      <c r="F1013" s="2"/>
      <c r="G1013" s="2"/>
      <c r="H1013" s="2"/>
      <c r="I1013" s="21"/>
      <c r="J1013" s="21"/>
      <c r="K1013" s="21"/>
    </row>
    <row r="1014" spans="1:11" ht="15.5" x14ac:dyDescent="0.35">
      <c r="A1014" s="472" t="s">
        <v>878</v>
      </c>
      <c r="B1014" s="473">
        <v>2047</v>
      </c>
      <c r="C1014" s="473" t="str">
        <f t="shared" si="26"/>
        <v>Mendocino_2047</v>
      </c>
      <c r="D1014" s="474">
        <v>287.0474099805221</v>
      </c>
      <c r="E1014" s="2"/>
      <c r="F1014" s="2"/>
      <c r="G1014" s="2"/>
      <c r="H1014" s="2"/>
      <c r="I1014" s="21"/>
      <c r="J1014" s="21"/>
      <c r="K1014" s="21"/>
    </row>
    <row r="1015" spans="1:11" ht="15.5" x14ac:dyDescent="0.35">
      <c r="A1015" s="472" t="s">
        <v>878</v>
      </c>
      <c r="B1015" s="473">
        <v>2048</v>
      </c>
      <c r="C1015" s="473" t="str">
        <f t="shared" si="26"/>
        <v>Mendocino_2048</v>
      </c>
      <c r="D1015" s="474">
        <v>286.38884982991516</v>
      </c>
      <c r="E1015" s="2"/>
      <c r="F1015" s="2"/>
      <c r="G1015" s="2"/>
      <c r="H1015" s="2"/>
      <c r="I1015" s="21"/>
      <c r="J1015" s="21"/>
      <c r="K1015" s="21"/>
    </row>
    <row r="1016" spans="1:11" ht="15.5" x14ac:dyDescent="0.35">
      <c r="A1016" s="472" t="s">
        <v>878</v>
      </c>
      <c r="B1016" s="473">
        <v>2049</v>
      </c>
      <c r="C1016" s="473" t="str">
        <f t="shared" si="26"/>
        <v>Mendocino_2049</v>
      </c>
      <c r="D1016" s="474">
        <v>285.81802526838771</v>
      </c>
      <c r="E1016" s="2"/>
      <c r="F1016" s="2"/>
      <c r="G1016" s="2"/>
      <c r="H1016" s="2"/>
      <c r="I1016" s="21"/>
      <c r="J1016" s="21"/>
      <c r="K1016" s="21"/>
    </row>
    <row r="1017" spans="1:11" ht="15.5" x14ac:dyDescent="0.35">
      <c r="A1017" s="472" t="s">
        <v>878</v>
      </c>
      <c r="B1017" s="473">
        <v>2050</v>
      </c>
      <c r="C1017" s="473" t="str">
        <f t="shared" si="26"/>
        <v>Mendocino_2050</v>
      </c>
      <c r="D1017" s="474">
        <v>285.34219475473282</v>
      </c>
      <c r="E1017" s="2"/>
      <c r="F1017" s="2"/>
      <c r="G1017" s="2"/>
      <c r="H1017" s="2"/>
      <c r="I1017" s="21"/>
      <c r="J1017" s="21"/>
      <c r="K1017" s="21"/>
    </row>
    <row r="1018" spans="1:11" ht="15.5" x14ac:dyDescent="0.35">
      <c r="A1018" s="468" t="s">
        <v>881</v>
      </c>
      <c r="B1018" s="469">
        <v>2015</v>
      </c>
      <c r="C1018" s="470" t="s">
        <v>882</v>
      </c>
      <c r="D1018" s="471">
        <v>529.35015779255298</v>
      </c>
      <c r="E1018" s="2"/>
      <c r="F1018" s="2"/>
      <c r="G1018" s="2"/>
      <c r="H1018" s="2"/>
      <c r="I1018" s="21"/>
      <c r="J1018" s="21"/>
      <c r="K1018" s="21"/>
    </row>
    <row r="1019" spans="1:11" ht="15.5" x14ac:dyDescent="0.35">
      <c r="A1019" s="468" t="s">
        <v>881</v>
      </c>
      <c r="B1019" s="469">
        <v>2016</v>
      </c>
      <c r="C1019" s="470" t="s">
        <v>883</v>
      </c>
      <c r="D1019" s="471">
        <v>518.70245308768335</v>
      </c>
      <c r="E1019" s="2"/>
      <c r="F1019" s="2"/>
      <c r="G1019" s="2"/>
      <c r="H1019" s="2"/>
      <c r="I1019" s="21"/>
      <c r="J1019" s="21"/>
      <c r="K1019" s="21"/>
    </row>
    <row r="1020" spans="1:11" ht="15.5" x14ac:dyDescent="0.35">
      <c r="A1020" s="472" t="s">
        <v>881</v>
      </c>
      <c r="B1020" s="473">
        <v>2017</v>
      </c>
      <c r="C1020" s="473" t="str">
        <f t="shared" ref="C1020:C1053" si="27">CONCATENATE(A1020,"_",B1020)</f>
        <v>Merced_2017</v>
      </c>
      <c r="D1020" s="474">
        <v>506.28143292501528</v>
      </c>
      <c r="E1020" s="2"/>
      <c r="F1020" s="2"/>
      <c r="G1020" s="2"/>
      <c r="H1020" s="2"/>
      <c r="I1020" s="21"/>
      <c r="J1020" s="21"/>
      <c r="K1020" s="21"/>
    </row>
    <row r="1021" spans="1:11" ht="15.5" x14ac:dyDescent="0.35">
      <c r="A1021" s="472" t="s">
        <v>881</v>
      </c>
      <c r="B1021" s="473">
        <v>2018</v>
      </c>
      <c r="C1021" s="473" t="str">
        <f t="shared" si="27"/>
        <v>Merced_2018</v>
      </c>
      <c r="D1021" s="474">
        <v>495.19844003070216</v>
      </c>
      <c r="E1021" s="2"/>
      <c r="F1021" s="2"/>
      <c r="G1021" s="2"/>
      <c r="H1021" s="2"/>
      <c r="I1021" s="21"/>
      <c r="J1021" s="21"/>
      <c r="K1021" s="21"/>
    </row>
    <row r="1022" spans="1:11" ht="15.5" x14ac:dyDescent="0.35">
      <c r="A1022" s="472" t="s">
        <v>881</v>
      </c>
      <c r="B1022" s="473">
        <v>2019</v>
      </c>
      <c r="C1022" s="473" t="str">
        <f t="shared" si="27"/>
        <v>Merced_2019</v>
      </c>
      <c r="D1022" s="474">
        <v>481.19764946860295</v>
      </c>
      <c r="E1022" s="2"/>
      <c r="F1022" s="2"/>
      <c r="G1022" s="2"/>
      <c r="H1022" s="2"/>
      <c r="I1022" s="21"/>
      <c r="J1022" s="21"/>
      <c r="K1022" s="21"/>
    </row>
    <row r="1023" spans="1:11" ht="15.5" x14ac:dyDescent="0.35">
      <c r="A1023" s="472" t="s">
        <v>881</v>
      </c>
      <c r="B1023" s="473">
        <v>2020</v>
      </c>
      <c r="C1023" s="473" t="str">
        <f t="shared" si="27"/>
        <v>Merced_2020</v>
      </c>
      <c r="D1023" s="474">
        <v>466.90003528607957</v>
      </c>
      <c r="E1023" s="2"/>
      <c r="F1023" s="2"/>
      <c r="G1023" s="2"/>
      <c r="H1023" s="2"/>
      <c r="I1023" s="21"/>
      <c r="J1023" s="21"/>
      <c r="K1023" s="21"/>
    </row>
    <row r="1024" spans="1:11" ht="15.5" x14ac:dyDescent="0.35">
      <c r="A1024" s="472" t="s">
        <v>881</v>
      </c>
      <c r="B1024" s="473">
        <v>2021</v>
      </c>
      <c r="C1024" s="473" t="str">
        <f t="shared" si="27"/>
        <v>Merced_2021</v>
      </c>
      <c r="D1024" s="474">
        <v>453.65962450666729</v>
      </c>
      <c r="E1024" s="2"/>
      <c r="F1024" s="2"/>
      <c r="G1024" s="2"/>
      <c r="H1024" s="2"/>
      <c r="I1024" s="21"/>
      <c r="J1024" s="21"/>
      <c r="K1024" s="21"/>
    </row>
    <row r="1025" spans="1:11" ht="15.5" x14ac:dyDescent="0.35">
      <c r="A1025" s="472" t="s">
        <v>881</v>
      </c>
      <c r="B1025" s="473">
        <v>2022</v>
      </c>
      <c r="C1025" s="473" t="str">
        <f t="shared" si="27"/>
        <v>Merced_2022</v>
      </c>
      <c r="D1025" s="474">
        <v>439.30104454147812</v>
      </c>
      <c r="E1025" s="2"/>
      <c r="F1025" s="2"/>
      <c r="G1025" s="2"/>
      <c r="H1025" s="2"/>
      <c r="I1025" s="21"/>
      <c r="J1025" s="21"/>
      <c r="K1025" s="21"/>
    </row>
    <row r="1026" spans="1:11" ht="15.5" x14ac:dyDescent="0.35">
      <c r="A1026" s="472" t="s">
        <v>881</v>
      </c>
      <c r="B1026" s="473">
        <v>2023</v>
      </c>
      <c r="C1026" s="473" t="str">
        <f t="shared" si="27"/>
        <v>Merced_2023</v>
      </c>
      <c r="D1026" s="474">
        <v>425.09482662538159</v>
      </c>
      <c r="E1026" s="2"/>
      <c r="F1026" s="2"/>
      <c r="G1026" s="2"/>
      <c r="H1026" s="2"/>
      <c r="I1026" s="21"/>
      <c r="J1026" s="21"/>
      <c r="K1026" s="21"/>
    </row>
    <row r="1027" spans="1:11" ht="15.5" x14ac:dyDescent="0.35">
      <c r="A1027" s="472" t="s">
        <v>881</v>
      </c>
      <c r="B1027" s="473">
        <v>2024</v>
      </c>
      <c r="C1027" s="473" t="str">
        <f t="shared" si="27"/>
        <v>Merced_2024</v>
      </c>
      <c r="D1027" s="474">
        <v>412.15072623035491</v>
      </c>
      <c r="E1027" s="2"/>
      <c r="F1027" s="2"/>
      <c r="G1027" s="2"/>
      <c r="H1027" s="2"/>
      <c r="I1027" s="21"/>
      <c r="J1027" s="21"/>
      <c r="K1027" s="21"/>
    </row>
    <row r="1028" spans="1:11" ht="15.5" x14ac:dyDescent="0.35">
      <c r="A1028" s="472" t="s">
        <v>881</v>
      </c>
      <c r="B1028" s="473">
        <v>2025</v>
      </c>
      <c r="C1028" s="473" t="str">
        <f t="shared" si="27"/>
        <v>Merced_2025</v>
      </c>
      <c r="D1028" s="474">
        <v>398.3868947507782</v>
      </c>
      <c r="E1028" s="2"/>
      <c r="F1028" s="2"/>
      <c r="G1028" s="2"/>
      <c r="H1028" s="2"/>
      <c r="I1028" s="21"/>
      <c r="J1028" s="21"/>
      <c r="K1028" s="21"/>
    </row>
    <row r="1029" spans="1:11" ht="15.5" x14ac:dyDescent="0.35">
      <c r="A1029" s="472" t="s">
        <v>881</v>
      </c>
      <c r="B1029" s="473">
        <v>2026</v>
      </c>
      <c r="C1029" s="473" t="str">
        <f t="shared" si="27"/>
        <v>Merced_2026</v>
      </c>
      <c r="D1029" s="474">
        <v>387.16913255465738</v>
      </c>
      <c r="E1029" s="2"/>
      <c r="F1029" s="2"/>
      <c r="G1029" s="2"/>
      <c r="H1029" s="2"/>
      <c r="I1029" s="21"/>
      <c r="J1029" s="21"/>
      <c r="K1029" s="21"/>
    </row>
    <row r="1030" spans="1:11" ht="15.5" x14ac:dyDescent="0.35">
      <c r="A1030" s="472" t="s">
        <v>881</v>
      </c>
      <c r="B1030" s="473">
        <v>2027</v>
      </c>
      <c r="C1030" s="473" t="str">
        <f t="shared" si="27"/>
        <v>Merced_2027</v>
      </c>
      <c r="D1030" s="474">
        <v>375.42684068828498</v>
      </c>
      <c r="E1030" s="2"/>
      <c r="F1030" s="2"/>
      <c r="G1030" s="2"/>
      <c r="H1030" s="2"/>
      <c r="I1030" s="21"/>
      <c r="J1030" s="21"/>
      <c r="K1030" s="21"/>
    </row>
    <row r="1031" spans="1:11" ht="15.5" x14ac:dyDescent="0.35">
      <c r="A1031" s="472" t="s">
        <v>881</v>
      </c>
      <c r="B1031" s="473">
        <v>2028</v>
      </c>
      <c r="C1031" s="473" t="str">
        <f t="shared" si="27"/>
        <v>Merced_2028</v>
      </c>
      <c r="D1031" s="474">
        <v>364.77988756140149</v>
      </c>
      <c r="E1031" s="2"/>
      <c r="F1031" s="2"/>
      <c r="G1031" s="2"/>
      <c r="H1031" s="2"/>
      <c r="I1031" s="21"/>
      <c r="J1031" s="21"/>
      <c r="K1031" s="21"/>
    </row>
    <row r="1032" spans="1:11" ht="15.5" x14ac:dyDescent="0.35">
      <c r="A1032" s="472" t="s">
        <v>881</v>
      </c>
      <c r="B1032" s="473">
        <v>2029</v>
      </c>
      <c r="C1032" s="473" t="str">
        <f t="shared" si="27"/>
        <v>Merced_2029</v>
      </c>
      <c r="D1032" s="474">
        <v>355.18237011398293</v>
      </c>
      <c r="E1032" s="2"/>
      <c r="F1032" s="2"/>
      <c r="G1032" s="2"/>
      <c r="H1032" s="2"/>
      <c r="I1032" s="21"/>
      <c r="J1032" s="21"/>
      <c r="K1032" s="21"/>
    </row>
    <row r="1033" spans="1:11" ht="15.5" x14ac:dyDescent="0.35">
      <c r="A1033" s="472" t="s">
        <v>881</v>
      </c>
      <c r="B1033" s="473">
        <v>2030</v>
      </c>
      <c r="C1033" s="473" t="str">
        <f t="shared" si="27"/>
        <v>Merced_2030</v>
      </c>
      <c r="D1033" s="474">
        <v>346.58751155764253</v>
      </c>
      <c r="E1033" s="2"/>
      <c r="F1033" s="2"/>
      <c r="G1033" s="2"/>
      <c r="H1033" s="2"/>
      <c r="I1033" s="21"/>
      <c r="J1033" s="21"/>
      <c r="K1033" s="21"/>
    </row>
    <row r="1034" spans="1:11" ht="15.5" x14ac:dyDescent="0.35">
      <c r="A1034" s="472" t="s">
        <v>881</v>
      </c>
      <c r="B1034" s="473">
        <v>2031</v>
      </c>
      <c r="C1034" s="473" t="str">
        <f t="shared" si="27"/>
        <v>Merced_2031</v>
      </c>
      <c r="D1034" s="474">
        <v>338.92461663278903</v>
      </c>
      <c r="E1034" s="2"/>
      <c r="F1034" s="2"/>
      <c r="G1034" s="2"/>
      <c r="H1034" s="2"/>
      <c r="I1034" s="21"/>
      <c r="J1034" s="21"/>
      <c r="K1034" s="21"/>
    </row>
    <row r="1035" spans="1:11" ht="15.5" x14ac:dyDescent="0.35">
      <c r="A1035" s="472" t="s">
        <v>881</v>
      </c>
      <c r="B1035" s="473">
        <v>2032</v>
      </c>
      <c r="C1035" s="473" t="str">
        <f t="shared" si="27"/>
        <v>Merced_2032</v>
      </c>
      <c r="D1035" s="474">
        <v>332.12582620805898</v>
      </c>
      <c r="E1035" s="2"/>
      <c r="F1035" s="2"/>
      <c r="G1035" s="2"/>
      <c r="H1035" s="2"/>
      <c r="I1035" s="21"/>
      <c r="J1035" s="21"/>
      <c r="K1035" s="21"/>
    </row>
    <row r="1036" spans="1:11" ht="15.5" x14ac:dyDescent="0.35">
      <c r="A1036" s="472" t="s">
        <v>881</v>
      </c>
      <c r="B1036" s="473">
        <v>2033</v>
      </c>
      <c r="C1036" s="473" t="str">
        <f t="shared" si="27"/>
        <v>Merced_2033</v>
      </c>
      <c r="D1036" s="474">
        <v>326.11743229802426</v>
      </c>
      <c r="E1036" s="2"/>
      <c r="F1036" s="2"/>
      <c r="G1036" s="2"/>
      <c r="H1036" s="2"/>
      <c r="I1036" s="21"/>
      <c r="J1036" s="21"/>
      <c r="K1036" s="21"/>
    </row>
    <row r="1037" spans="1:11" ht="15.5" x14ac:dyDescent="0.35">
      <c r="A1037" s="472" t="s">
        <v>881</v>
      </c>
      <c r="B1037" s="473">
        <v>2034</v>
      </c>
      <c r="C1037" s="473" t="str">
        <f t="shared" si="27"/>
        <v>Merced_2034</v>
      </c>
      <c r="D1037" s="474">
        <v>320.8341023216251</v>
      </c>
      <c r="E1037" s="2"/>
      <c r="F1037" s="2"/>
      <c r="G1037" s="2"/>
      <c r="H1037" s="2"/>
      <c r="I1037" s="21"/>
      <c r="J1037" s="21"/>
      <c r="K1037" s="21"/>
    </row>
    <row r="1038" spans="1:11" ht="15.5" x14ac:dyDescent="0.35">
      <c r="A1038" s="472" t="s">
        <v>881</v>
      </c>
      <c r="B1038" s="473">
        <v>2035</v>
      </c>
      <c r="C1038" s="473" t="str">
        <f t="shared" si="27"/>
        <v>Merced_2035</v>
      </c>
      <c r="D1038" s="474">
        <v>316.22319048178656</v>
      </c>
      <c r="E1038" s="2"/>
      <c r="F1038" s="2"/>
      <c r="G1038" s="2"/>
      <c r="H1038" s="2"/>
      <c r="I1038" s="21"/>
      <c r="J1038" s="21"/>
      <c r="K1038" s="21"/>
    </row>
    <row r="1039" spans="1:11" ht="15.5" x14ac:dyDescent="0.35">
      <c r="A1039" s="472" t="s">
        <v>881</v>
      </c>
      <c r="B1039" s="473">
        <v>2036</v>
      </c>
      <c r="C1039" s="473" t="str">
        <f t="shared" si="27"/>
        <v>Merced_2036</v>
      </c>
      <c r="D1039" s="474">
        <v>312.21350687083066</v>
      </c>
      <c r="E1039" s="2"/>
      <c r="F1039" s="2"/>
      <c r="G1039" s="2"/>
      <c r="H1039" s="2"/>
      <c r="I1039" s="21"/>
      <c r="J1039" s="21"/>
      <c r="K1039" s="21"/>
    </row>
    <row r="1040" spans="1:11" ht="15.5" x14ac:dyDescent="0.35">
      <c r="A1040" s="472" t="s">
        <v>881</v>
      </c>
      <c r="B1040" s="473">
        <v>2037</v>
      </c>
      <c r="C1040" s="473" t="str">
        <f t="shared" si="27"/>
        <v>Merced_2037</v>
      </c>
      <c r="D1040" s="474">
        <v>308.76054174456232</v>
      </c>
      <c r="E1040" s="2"/>
      <c r="F1040" s="2"/>
      <c r="G1040" s="2"/>
      <c r="H1040" s="2"/>
      <c r="I1040" s="21"/>
      <c r="J1040" s="21"/>
      <c r="K1040" s="21"/>
    </row>
    <row r="1041" spans="1:11" ht="15.5" x14ac:dyDescent="0.35">
      <c r="A1041" s="472" t="s">
        <v>881</v>
      </c>
      <c r="B1041" s="473">
        <v>2038</v>
      </c>
      <c r="C1041" s="473" t="str">
        <f t="shared" si="27"/>
        <v>Merced_2038</v>
      </c>
      <c r="D1041" s="474">
        <v>305.81496028249398</v>
      </c>
      <c r="E1041" s="2"/>
      <c r="F1041" s="2"/>
      <c r="G1041" s="2"/>
      <c r="H1041" s="2"/>
      <c r="I1041" s="21"/>
      <c r="J1041" s="21"/>
      <c r="K1041" s="21"/>
    </row>
    <row r="1042" spans="1:11" ht="15.5" x14ac:dyDescent="0.35">
      <c r="A1042" s="472" t="s">
        <v>881</v>
      </c>
      <c r="B1042" s="473">
        <v>2039</v>
      </c>
      <c r="C1042" s="473" t="str">
        <f t="shared" si="27"/>
        <v>Merced_2039</v>
      </c>
      <c r="D1042" s="474">
        <v>303.30468735964268</v>
      </c>
      <c r="E1042" s="2"/>
      <c r="F1042" s="2"/>
      <c r="G1042" s="2"/>
      <c r="H1042" s="2"/>
      <c r="I1042" s="21"/>
      <c r="J1042" s="21"/>
      <c r="K1042" s="21"/>
    </row>
    <row r="1043" spans="1:11" ht="15.5" x14ac:dyDescent="0.35">
      <c r="A1043" s="472" t="s">
        <v>881</v>
      </c>
      <c r="B1043" s="473">
        <v>2040</v>
      </c>
      <c r="C1043" s="473" t="str">
        <f t="shared" si="27"/>
        <v>Merced_2040</v>
      </c>
      <c r="D1043" s="474">
        <v>301.19106681898398</v>
      </c>
      <c r="E1043" s="2"/>
      <c r="F1043" s="2"/>
      <c r="G1043" s="2"/>
      <c r="H1043" s="2"/>
      <c r="I1043" s="21"/>
      <c r="J1043" s="21"/>
      <c r="K1043" s="21"/>
    </row>
    <row r="1044" spans="1:11" ht="15.5" x14ac:dyDescent="0.35">
      <c r="A1044" s="472" t="s">
        <v>881</v>
      </c>
      <c r="B1044" s="473">
        <v>2041</v>
      </c>
      <c r="C1044" s="473" t="str">
        <f t="shared" si="27"/>
        <v>Merced_2041</v>
      </c>
      <c r="D1044" s="474">
        <v>299.44345772070795</v>
      </c>
      <c r="E1044" s="2"/>
      <c r="F1044" s="2"/>
      <c r="G1044" s="2"/>
      <c r="H1044" s="2"/>
      <c r="I1044" s="21"/>
      <c r="J1044" s="21"/>
      <c r="K1044" s="21"/>
    </row>
    <row r="1045" spans="1:11" ht="15.5" x14ac:dyDescent="0.35">
      <c r="A1045" s="472" t="s">
        <v>881</v>
      </c>
      <c r="B1045" s="473">
        <v>2042</v>
      </c>
      <c r="C1045" s="473" t="str">
        <f t="shared" si="27"/>
        <v>Merced_2042</v>
      </c>
      <c r="D1045" s="474">
        <v>297.98716916971694</v>
      </c>
      <c r="E1045" s="2"/>
      <c r="F1045" s="2"/>
      <c r="G1045" s="2"/>
      <c r="H1045" s="2"/>
      <c r="I1045" s="21"/>
      <c r="J1045" s="21"/>
      <c r="K1045" s="21"/>
    </row>
    <row r="1046" spans="1:11" ht="15.5" x14ac:dyDescent="0.35">
      <c r="A1046" s="472" t="s">
        <v>881</v>
      </c>
      <c r="B1046" s="473">
        <v>2043</v>
      </c>
      <c r="C1046" s="473" t="str">
        <f t="shared" si="27"/>
        <v>Merced_2043</v>
      </c>
      <c r="D1046" s="474">
        <v>296.79598882655125</v>
      </c>
      <c r="E1046" s="2"/>
      <c r="F1046" s="2"/>
      <c r="G1046" s="2"/>
      <c r="H1046" s="2"/>
      <c r="I1046" s="21"/>
      <c r="J1046" s="21"/>
      <c r="K1046" s="21"/>
    </row>
    <row r="1047" spans="1:11" ht="15.5" x14ac:dyDescent="0.35">
      <c r="A1047" s="472" t="s">
        <v>881</v>
      </c>
      <c r="B1047" s="473">
        <v>2044</v>
      </c>
      <c r="C1047" s="473" t="str">
        <f t="shared" si="27"/>
        <v>Merced_2044</v>
      </c>
      <c r="D1047" s="474">
        <v>295.80275905969376</v>
      </c>
      <c r="E1047" s="2"/>
      <c r="F1047" s="2"/>
      <c r="G1047" s="2"/>
      <c r="H1047" s="2"/>
      <c r="I1047" s="21"/>
      <c r="J1047" s="21"/>
      <c r="K1047" s="21"/>
    </row>
    <row r="1048" spans="1:11" ht="15.5" x14ac:dyDescent="0.35">
      <c r="A1048" s="472" t="s">
        <v>881</v>
      </c>
      <c r="B1048" s="473">
        <v>2045</v>
      </c>
      <c r="C1048" s="473" t="str">
        <f t="shared" si="27"/>
        <v>Merced_2045</v>
      </c>
      <c r="D1048" s="474">
        <v>294.97086422280324</v>
      </c>
      <c r="E1048" s="2"/>
      <c r="F1048" s="2"/>
      <c r="G1048" s="2"/>
      <c r="H1048" s="2"/>
      <c r="I1048" s="21"/>
      <c r="J1048" s="21"/>
      <c r="K1048" s="21"/>
    </row>
    <row r="1049" spans="1:11" ht="15.5" x14ac:dyDescent="0.35">
      <c r="A1049" s="472" t="s">
        <v>881</v>
      </c>
      <c r="B1049" s="473">
        <v>2046</v>
      </c>
      <c r="C1049" s="473" t="str">
        <f t="shared" si="27"/>
        <v>Merced_2046</v>
      </c>
      <c r="D1049" s="474">
        <v>294.27533128252765</v>
      </c>
      <c r="E1049" s="2"/>
      <c r="F1049" s="2"/>
      <c r="G1049" s="2"/>
      <c r="H1049" s="2"/>
      <c r="I1049" s="21"/>
      <c r="J1049" s="21"/>
      <c r="K1049" s="21"/>
    </row>
    <row r="1050" spans="1:11" ht="15.5" x14ac:dyDescent="0.35">
      <c r="A1050" s="472" t="s">
        <v>881</v>
      </c>
      <c r="B1050" s="473">
        <v>2047</v>
      </c>
      <c r="C1050" s="473" t="str">
        <f t="shared" si="27"/>
        <v>Merced_2047</v>
      </c>
      <c r="D1050" s="474">
        <v>293.70447489687211</v>
      </c>
      <c r="E1050" s="2"/>
      <c r="F1050" s="2"/>
      <c r="G1050" s="2"/>
      <c r="H1050" s="2"/>
      <c r="I1050" s="21"/>
      <c r="J1050" s="21"/>
      <c r="K1050" s="21"/>
    </row>
    <row r="1051" spans="1:11" ht="15.5" x14ac:dyDescent="0.35">
      <c r="A1051" s="472" t="s">
        <v>881</v>
      </c>
      <c r="B1051" s="473">
        <v>2048</v>
      </c>
      <c r="C1051" s="473" t="str">
        <f t="shared" si="27"/>
        <v>Merced_2048</v>
      </c>
      <c r="D1051" s="474">
        <v>293.23474320970308</v>
      </c>
      <c r="E1051" s="2"/>
      <c r="F1051" s="2"/>
      <c r="G1051" s="2"/>
      <c r="H1051" s="2"/>
      <c r="I1051" s="21"/>
      <c r="J1051" s="21"/>
      <c r="K1051" s="21"/>
    </row>
    <row r="1052" spans="1:11" ht="15.5" x14ac:dyDescent="0.35">
      <c r="A1052" s="472" t="s">
        <v>881</v>
      </c>
      <c r="B1052" s="473">
        <v>2049</v>
      </c>
      <c r="C1052" s="473" t="str">
        <f t="shared" si="27"/>
        <v>Merced_2049</v>
      </c>
      <c r="D1052" s="474">
        <v>292.85091492991768</v>
      </c>
      <c r="E1052" s="2"/>
      <c r="F1052" s="2"/>
      <c r="G1052" s="2"/>
      <c r="H1052" s="2"/>
      <c r="I1052" s="21"/>
      <c r="J1052" s="21"/>
      <c r="K1052" s="21"/>
    </row>
    <row r="1053" spans="1:11" ht="15.5" x14ac:dyDescent="0.35">
      <c r="A1053" s="472" t="s">
        <v>881</v>
      </c>
      <c r="B1053" s="473">
        <v>2050</v>
      </c>
      <c r="C1053" s="473" t="str">
        <f t="shared" si="27"/>
        <v>Merced_2050</v>
      </c>
      <c r="D1053" s="474">
        <v>292.53618423530156</v>
      </c>
      <c r="E1053" s="2"/>
      <c r="F1053" s="2"/>
      <c r="G1053" s="2"/>
      <c r="H1053" s="2"/>
      <c r="I1053" s="21"/>
      <c r="J1053" s="21"/>
      <c r="K1053" s="21"/>
    </row>
    <row r="1054" spans="1:11" ht="15.5" x14ac:dyDescent="0.35">
      <c r="A1054" s="468" t="s">
        <v>884</v>
      </c>
      <c r="B1054" s="469">
        <v>2015</v>
      </c>
      <c r="C1054" s="470" t="s">
        <v>885</v>
      </c>
      <c r="D1054" s="471">
        <v>583.30558777820056</v>
      </c>
      <c r="E1054" s="2"/>
      <c r="F1054" s="2"/>
      <c r="G1054" s="2"/>
      <c r="H1054" s="2"/>
      <c r="I1054" s="21"/>
      <c r="J1054" s="21"/>
      <c r="K1054" s="21"/>
    </row>
    <row r="1055" spans="1:11" ht="15.5" x14ac:dyDescent="0.35">
      <c r="A1055" s="468" t="s">
        <v>884</v>
      </c>
      <c r="B1055" s="469">
        <v>2016</v>
      </c>
      <c r="C1055" s="470" t="s">
        <v>886</v>
      </c>
      <c r="D1055" s="471">
        <v>572.17906765795249</v>
      </c>
      <c r="E1055" s="2"/>
      <c r="F1055" s="2"/>
      <c r="G1055" s="2"/>
      <c r="H1055" s="2"/>
      <c r="I1055" s="21"/>
      <c r="J1055" s="21"/>
      <c r="K1055" s="21"/>
    </row>
    <row r="1056" spans="1:11" ht="15.5" x14ac:dyDescent="0.35">
      <c r="A1056" s="472" t="s">
        <v>884</v>
      </c>
      <c r="B1056" s="473">
        <v>2017</v>
      </c>
      <c r="C1056" s="473" t="str">
        <f t="shared" ref="C1056:C1119" si="28">CONCATENATE(A1056,"_",B1056)</f>
        <v>Modoc_2017</v>
      </c>
      <c r="D1056" s="474">
        <v>558.07063485802951</v>
      </c>
      <c r="E1056" s="2"/>
      <c r="F1056" s="2"/>
      <c r="G1056" s="2"/>
      <c r="H1056" s="2"/>
      <c r="I1056" s="21"/>
      <c r="J1056" s="21"/>
      <c r="K1056" s="21"/>
    </row>
    <row r="1057" spans="1:11" ht="15.5" x14ac:dyDescent="0.35">
      <c r="A1057" s="472" t="s">
        <v>884</v>
      </c>
      <c r="B1057" s="473">
        <v>2018</v>
      </c>
      <c r="C1057" s="473" t="str">
        <f t="shared" si="28"/>
        <v>Modoc_2018</v>
      </c>
      <c r="D1057" s="474">
        <v>543.7774346828453</v>
      </c>
      <c r="E1057" s="2"/>
      <c r="F1057" s="2"/>
      <c r="G1057" s="2"/>
      <c r="H1057" s="2"/>
      <c r="I1057" s="21"/>
      <c r="J1057" s="21"/>
      <c r="K1057" s="21"/>
    </row>
    <row r="1058" spans="1:11" ht="15.5" x14ac:dyDescent="0.35">
      <c r="A1058" s="472" t="s">
        <v>884</v>
      </c>
      <c r="B1058" s="473">
        <v>2019</v>
      </c>
      <c r="C1058" s="473" t="str">
        <f t="shared" si="28"/>
        <v>Modoc_2019</v>
      </c>
      <c r="D1058" s="474">
        <v>528.88415140443294</v>
      </c>
      <c r="E1058" s="2"/>
      <c r="F1058" s="2"/>
      <c r="G1058" s="2"/>
      <c r="H1058" s="2"/>
      <c r="I1058" s="21"/>
      <c r="J1058" s="21"/>
      <c r="K1058" s="21"/>
    </row>
    <row r="1059" spans="1:11" ht="15.5" x14ac:dyDescent="0.35">
      <c r="A1059" s="472" t="s">
        <v>884</v>
      </c>
      <c r="B1059" s="473">
        <v>2020</v>
      </c>
      <c r="C1059" s="473" t="str">
        <f t="shared" si="28"/>
        <v>Modoc_2020</v>
      </c>
      <c r="D1059" s="474">
        <v>513.65862215397078</v>
      </c>
      <c r="E1059" s="2"/>
      <c r="F1059" s="2"/>
      <c r="G1059" s="2"/>
      <c r="H1059" s="2"/>
      <c r="I1059" s="21"/>
      <c r="J1059" s="21"/>
      <c r="K1059" s="21"/>
    </row>
    <row r="1060" spans="1:11" ht="15.5" x14ac:dyDescent="0.35">
      <c r="A1060" s="472" t="s">
        <v>884</v>
      </c>
      <c r="B1060" s="473">
        <v>2021</v>
      </c>
      <c r="C1060" s="473" t="str">
        <f t="shared" si="28"/>
        <v>Modoc_2021</v>
      </c>
      <c r="D1060" s="474">
        <v>498.18764381725504</v>
      </c>
      <c r="E1060" s="2"/>
      <c r="F1060" s="2"/>
      <c r="G1060" s="2"/>
      <c r="H1060" s="2"/>
      <c r="I1060" s="21"/>
      <c r="J1060" s="21"/>
      <c r="K1060" s="21"/>
    </row>
    <row r="1061" spans="1:11" ht="15.5" x14ac:dyDescent="0.35">
      <c r="A1061" s="472" t="s">
        <v>884</v>
      </c>
      <c r="B1061" s="473">
        <v>2022</v>
      </c>
      <c r="C1061" s="473" t="str">
        <f t="shared" si="28"/>
        <v>Modoc_2022</v>
      </c>
      <c r="D1061" s="474">
        <v>482.78568366167332</v>
      </c>
      <c r="E1061" s="2"/>
      <c r="F1061" s="2"/>
      <c r="G1061" s="2"/>
      <c r="H1061" s="2"/>
      <c r="I1061" s="21"/>
      <c r="J1061" s="21"/>
      <c r="K1061" s="21"/>
    </row>
    <row r="1062" spans="1:11" ht="15.5" x14ac:dyDescent="0.35">
      <c r="A1062" s="472" t="s">
        <v>884</v>
      </c>
      <c r="B1062" s="473">
        <v>2023</v>
      </c>
      <c r="C1062" s="473" t="str">
        <f t="shared" si="28"/>
        <v>Modoc_2023</v>
      </c>
      <c r="D1062" s="474">
        <v>467.51872979106156</v>
      </c>
      <c r="E1062" s="2"/>
      <c r="F1062" s="2"/>
      <c r="G1062" s="2"/>
      <c r="H1062" s="2"/>
      <c r="I1062" s="21"/>
      <c r="J1062" s="21"/>
      <c r="K1062" s="21"/>
    </row>
    <row r="1063" spans="1:11" ht="15.5" x14ac:dyDescent="0.35">
      <c r="A1063" s="472" t="s">
        <v>884</v>
      </c>
      <c r="B1063" s="473">
        <v>2024</v>
      </c>
      <c r="C1063" s="473" t="str">
        <f t="shared" si="28"/>
        <v>Modoc_2024</v>
      </c>
      <c r="D1063" s="474">
        <v>452.52204933328665</v>
      </c>
      <c r="E1063" s="2"/>
      <c r="F1063" s="2"/>
      <c r="G1063" s="2"/>
      <c r="H1063" s="2"/>
      <c r="I1063" s="21"/>
      <c r="J1063" s="21"/>
      <c r="K1063" s="21"/>
    </row>
    <row r="1064" spans="1:11" ht="15.5" x14ac:dyDescent="0.35">
      <c r="A1064" s="472" t="s">
        <v>884</v>
      </c>
      <c r="B1064" s="473">
        <v>2025</v>
      </c>
      <c r="C1064" s="473" t="str">
        <f t="shared" si="28"/>
        <v>Modoc_2025</v>
      </c>
      <c r="D1064" s="474">
        <v>437.90966961122956</v>
      </c>
      <c r="E1064" s="2"/>
      <c r="F1064" s="2"/>
      <c r="G1064" s="2"/>
      <c r="H1064" s="2"/>
      <c r="I1064" s="21"/>
      <c r="J1064" s="21"/>
      <c r="K1064" s="21"/>
    </row>
    <row r="1065" spans="1:11" ht="15.5" x14ac:dyDescent="0.35">
      <c r="A1065" s="472" t="s">
        <v>884</v>
      </c>
      <c r="B1065" s="473">
        <v>2026</v>
      </c>
      <c r="C1065" s="473" t="str">
        <f t="shared" si="28"/>
        <v>Modoc_2026</v>
      </c>
      <c r="D1065" s="474">
        <v>424.54901660838919</v>
      </c>
      <c r="E1065" s="2"/>
      <c r="F1065" s="2"/>
      <c r="G1065" s="2"/>
      <c r="H1065" s="2"/>
      <c r="I1065" s="21"/>
      <c r="J1065" s="21"/>
      <c r="K1065" s="21"/>
    </row>
    <row r="1066" spans="1:11" ht="15.5" x14ac:dyDescent="0.35">
      <c r="A1066" s="472" t="s">
        <v>884</v>
      </c>
      <c r="B1066" s="473">
        <v>2027</v>
      </c>
      <c r="C1066" s="473" t="str">
        <f t="shared" si="28"/>
        <v>Modoc_2027</v>
      </c>
      <c r="D1066" s="474">
        <v>412.32205334220231</v>
      </c>
      <c r="E1066" s="2"/>
      <c r="F1066" s="2"/>
      <c r="G1066" s="2"/>
      <c r="H1066" s="2"/>
      <c r="I1066" s="21"/>
      <c r="J1066" s="21"/>
      <c r="K1066" s="21"/>
    </row>
    <row r="1067" spans="1:11" ht="15.5" x14ac:dyDescent="0.35">
      <c r="A1067" s="472" t="s">
        <v>884</v>
      </c>
      <c r="B1067" s="473">
        <v>2028</v>
      </c>
      <c r="C1067" s="473" t="str">
        <f t="shared" si="28"/>
        <v>Modoc_2028</v>
      </c>
      <c r="D1067" s="474">
        <v>401.27007424451227</v>
      </c>
      <c r="E1067" s="2"/>
      <c r="F1067" s="2"/>
      <c r="G1067" s="2"/>
      <c r="H1067" s="2"/>
      <c r="I1067" s="21"/>
      <c r="J1067" s="21"/>
      <c r="K1067" s="21"/>
    </row>
    <row r="1068" spans="1:11" ht="15.5" x14ac:dyDescent="0.35">
      <c r="A1068" s="472" t="s">
        <v>884</v>
      </c>
      <c r="B1068" s="473">
        <v>2029</v>
      </c>
      <c r="C1068" s="473" t="str">
        <f t="shared" si="28"/>
        <v>Modoc_2029</v>
      </c>
      <c r="D1068" s="474">
        <v>391.26223190533329</v>
      </c>
      <c r="E1068" s="2"/>
      <c r="F1068" s="2"/>
      <c r="G1068" s="2"/>
      <c r="H1068" s="2"/>
      <c r="I1068" s="21"/>
      <c r="J1068" s="21"/>
      <c r="K1068" s="21"/>
    </row>
    <row r="1069" spans="1:11" ht="15.5" x14ac:dyDescent="0.35">
      <c r="A1069" s="472" t="s">
        <v>884</v>
      </c>
      <c r="B1069" s="473">
        <v>2030</v>
      </c>
      <c r="C1069" s="473" t="str">
        <f t="shared" si="28"/>
        <v>Modoc_2030</v>
      </c>
      <c r="D1069" s="474">
        <v>382.26756544297558</v>
      </c>
      <c r="E1069" s="2"/>
      <c r="F1069" s="2"/>
      <c r="G1069" s="2"/>
      <c r="H1069" s="2"/>
      <c r="I1069" s="21"/>
      <c r="J1069" s="21"/>
      <c r="K1069" s="21"/>
    </row>
    <row r="1070" spans="1:11" ht="15.5" x14ac:dyDescent="0.35">
      <c r="A1070" s="472" t="s">
        <v>884</v>
      </c>
      <c r="B1070" s="473">
        <v>2031</v>
      </c>
      <c r="C1070" s="473" t="str">
        <f t="shared" si="28"/>
        <v>Modoc_2031</v>
      </c>
      <c r="D1070" s="474">
        <v>374.22759680837368</v>
      </c>
      <c r="E1070" s="2"/>
      <c r="F1070" s="2"/>
      <c r="G1070" s="2"/>
      <c r="H1070" s="2"/>
      <c r="I1070" s="21"/>
      <c r="J1070" s="21"/>
      <c r="K1070" s="21"/>
    </row>
    <row r="1071" spans="1:11" ht="15.5" x14ac:dyDescent="0.35">
      <c r="A1071" s="472" t="s">
        <v>884</v>
      </c>
      <c r="B1071" s="473">
        <v>2032</v>
      </c>
      <c r="C1071" s="473" t="str">
        <f t="shared" si="28"/>
        <v>Modoc_2032</v>
      </c>
      <c r="D1071" s="474">
        <v>367.0920226140509</v>
      </c>
      <c r="E1071" s="2"/>
      <c r="F1071" s="2"/>
      <c r="G1071" s="2"/>
      <c r="H1071" s="2"/>
      <c r="I1071" s="21"/>
      <c r="J1071" s="21"/>
      <c r="K1071" s="21"/>
    </row>
    <row r="1072" spans="1:11" ht="15.5" x14ac:dyDescent="0.35">
      <c r="A1072" s="472" t="s">
        <v>884</v>
      </c>
      <c r="B1072" s="473">
        <v>2033</v>
      </c>
      <c r="C1072" s="473" t="str">
        <f t="shared" si="28"/>
        <v>Modoc_2033</v>
      </c>
      <c r="D1072" s="474">
        <v>360.75133567341857</v>
      </c>
      <c r="E1072" s="2"/>
      <c r="F1072" s="2"/>
      <c r="G1072" s="2"/>
      <c r="H1072" s="2"/>
      <c r="I1072" s="21"/>
      <c r="J1072" s="21"/>
      <c r="K1072" s="21"/>
    </row>
    <row r="1073" spans="1:11" ht="15.5" x14ac:dyDescent="0.35">
      <c r="A1073" s="472" t="s">
        <v>884</v>
      </c>
      <c r="B1073" s="473">
        <v>2034</v>
      </c>
      <c r="C1073" s="473" t="str">
        <f t="shared" si="28"/>
        <v>Modoc_2034</v>
      </c>
      <c r="D1073" s="474">
        <v>355.1481499470429</v>
      </c>
      <c r="E1073" s="2"/>
      <c r="F1073" s="2"/>
      <c r="G1073" s="2"/>
      <c r="H1073" s="2"/>
      <c r="I1073" s="21"/>
      <c r="J1073" s="21"/>
      <c r="K1073" s="21"/>
    </row>
    <row r="1074" spans="1:11" ht="15.5" x14ac:dyDescent="0.35">
      <c r="A1074" s="472" t="s">
        <v>884</v>
      </c>
      <c r="B1074" s="473">
        <v>2035</v>
      </c>
      <c r="C1074" s="473" t="str">
        <f t="shared" si="28"/>
        <v>Modoc_2035</v>
      </c>
      <c r="D1074" s="474">
        <v>350.2492092199912</v>
      </c>
      <c r="E1074" s="2"/>
      <c r="F1074" s="2"/>
      <c r="G1074" s="2"/>
      <c r="H1074" s="2"/>
      <c r="I1074" s="21"/>
      <c r="J1074" s="21"/>
      <c r="K1074" s="21"/>
    </row>
    <row r="1075" spans="1:11" ht="15.5" x14ac:dyDescent="0.35">
      <c r="A1075" s="472" t="s">
        <v>884</v>
      </c>
      <c r="B1075" s="473">
        <v>2036</v>
      </c>
      <c r="C1075" s="473" t="str">
        <f t="shared" si="28"/>
        <v>Modoc_2036</v>
      </c>
      <c r="D1075" s="474">
        <v>346.01521042910912</v>
      </c>
      <c r="E1075" s="2"/>
      <c r="F1075" s="2"/>
      <c r="G1075" s="2"/>
      <c r="H1075" s="2"/>
      <c r="I1075" s="21"/>
      <c r="J1075" s="21"/>
      <c r="K1075" s="21"/>
    </row>
    <row r="1076" spans="1:11" ht="15.5" x14ac:dyDescent="0.35">
      <c r="A1076" s="472" t="s">
        <v>884</v>
      </c>
      <c r="B1076" s="473">
        <v>2037</v>
      </c>
      <c r="C1076" s="473" t="str">
        <f t="shared" si="28"/>
        <v>Modoc_2037</v>
      </c>
      <c r="D1076" s="474">
        <v>342.33876082808621</v>
      </c>
      <c r="E1076" s="2"/>
      <c r="F1076" s="2"/>
      <c r="G1076" s="2"/>
      <c r="H1076" s="2"/>
      <c r="I1076" s="21"/>
      <c r="J1076" s="21"/>
      <c r="K1076" s="21"/>
    </row>
    <row r="1077" spans="1:11" ht="15.5" x14ac:dyDescent="0.35">
      <c r="A1077" s="472" t="s">
        <v>884</v>
      </c>
      <c r="B1077" s="473">
        <v>2038</v>
      </c>
      <c r="C1077" s="473" t="str">
        <f t="shared" si="28"/>
        <v>Modoc_2038</v>
      </c>
      <c r="D1077" s="474">
        <v>339.19553454731573</v>
      </c>
      <c r="E1077" s="2"/>
      <c r="F1077" s="2"/>
      <c r="G1077" s="2"/>
      <c r="H1077" s="2"/>
      <c r="I1077" s="21"/>
      <c r="J1077" s="21"/>
      <c r="K1077" s="21"/>
    </row>
    <row r="1078" spans="1:11" ht="15.5" x14ac:dyDescent="0.35">
      <c r="A1078" s="472" t="s">
        <v>884</v>
      </c>
      <c r="B1078" s="473">
        <v>2039</v>
      </c>
      <c r="C1078" s="473" t="str">
        <f t="shared" si="28"/>
        <v>Modoc_2039</v>
      </c>
      <c r="D1078" s="474">
        <v>336.51887227857821</v>
      </c>
      <c r="E1078" s="2"/>
      <c r="F1078" s="2"/>
      <c r="G1078" s="2"/>
      <c r="H1078" s="2"/>
      <c r="I1078" s="21"/>
      <c r="J1078" s="21"/>
      <c r="K1078" s="21"/>
    </row>
    <row r="1079" spans="1:11" ht="15.5" x14ac:dyDescent="0.35">
      <c r="A1079" s="472" t="s">
        <v>884</v>
      </c>
      <c r="B1079" s="473">
        <v>2040</v>
      </c>
      <c r="C1079" s="473" t="str">
        <f t="shared" si="28"/>
        <v>Modoc_2040</v>
      </c>
      <c r="D1079" s="474">
        <v>334.25769809482762</v>
      </c>
      <c r="E1079" s="2"/>
      <c r="F1079" s="2"/>
      <c r="G1079" s="2"/>
      <c r="H1079" s="2"/>
      <c r="I1079" s="21"/>
      <c r="J1079" s="21"/>
      <c r="K1079" s="21"/>
    </row>
    <row r="1080" spans="1:11" ht="15.5" x14ac:dyDescent="0.35">
      <c r="A1080" s="472" t="s">
        <v>884</v>
      </c>
      <c r="B1080" s="473">
        <v>2041</v>
      </c>
      <c r="C1080" s="473" t="str">
        <f t="shared" si="28"/>
        <v>Modoc_2041</v>
      </c>
      <c r="D1080" s="474">
        <v>332.40412433807143</v>
      </c>
      <c r="E1080" s="2"/>
      <c r="F1080" s="2"/>
      <c r="G1080" s="2"/>
      <c r="H1080" s="2"/>
      <c r="I1080" s="21"/>
      <c r="J1080" s="21"/>
      <c r="K1080" s="21"/>
    </row>
    <row r="1081" spans="1:11" ht="15.5" x14ac:dyDescent="0.35">
      <c r="A1081" s="472" t="s">
        <v>884</v>
      </c>
      <c r="B1081" s="473">
        <v>2042</v>
      </c>
      <c r="C1081" s="473" t="str">
        <f t="shared" si="28"/>
        <v>Modoc_2042</v>
      </c>
      <c r="D1081" s="474">
        <v>330.81301693663698</v>
      </c>
      <c r="E1081" s="2"/>
      <c r="F1081" s="2"/>
      <c r="G1081" s="2"/>
      <c r="H1081" s="2"/>
      <c r="I1081" s="21"/>
      <c r="J1081" s="21"/>
      <c r="K1081" s="21"/>
    </row>
    <row r="1082" spans="1:11" ht="15.5" x14ac:dyDescent="0.35">
      <c r="A1082" s="472" t="s">
        <v>884</v>
      </c>
      <c r="B1082" s="473">
        <v>2043</v>
      </c>
      <c r="C1082" s="473" t="str">
        <f t="shared" si="28"/>
        <v>Modoc_2043</v>
      </c>
      <c r="D1082" s="474">
        <v>329.46458918845309</v>
      </c>
      <c r="E1082" s="2"/>
      <c r="F1082" s="2"/>
      <c r="G1082" s="2"/>
      <c r="H1082" s="2"/>
      <c r="I1082" s="21"/>
      <c r="J1082" s="21"/>
      <c r="K1082" s="21"/>
    </row>
    <row r="1083" spans="1:11" ht="15.5" x14ac:dyDescent="0.35">
      <c r="A1083" s="472" t="s">
        <v>884</v>
      </c>
      <c r="B1083" s="473">
        <v>2044</v>
      </c>
      <c r="C1083" s="473" t="str">
        <f t="shared" si="28"/>
        <v>Modoc_2044</v>
      </c>
      <c r="D1083" s="474">
        <v>328.35419490346106</v>
      </c>
      <c r="E1083" s="2"/>
      <c r="F1083" s="2"/>
      <c r="G1083" s="2"/>
      <c r="H1083" s="2"/>
      <c r="I1083" s="21"/>
      <c r="J1083" s="21"/>
      <c r="K1083" s="21"/>
    </row>
    <row r="1084" spans="1:11" ht="15.5" x14ac:dyDescent="0.35">
      <c r="A1084" s="472" t="s">
        <v>884</v>
      </c>
      <c r="B1084" s="473">
        <v>2045</v>
      </c>
      <c r="C1084" s="473" t="str">
        <f t="shared" si="28"/>
        <v>Modoc_2045</v>
      </c>
      <c r="D1084" s="474">
        <v>327.38483373502021</v>
      </c>
      <c r="E1084" s="2"/>
      <c r="F1084" s="2"/>
      <c r="G1084" s="2"/>
      <c r="H1084" s="2"/>
      <c r="I1084" s="21"/>
      <c r="J1084" s="21"/>
      <c r="K1084" s="21"/>
    </row>
    <row r="1085" spans="1:11" ht="15.5" x14ac:dyDescent="0.35">
      <c r="A1085" s="472" t="s">
        <v>884</v>
      </c>
      <c r="B1085" s="473">
        <v>2046</v>
      </c>
      <c r="C1085" s="473" t="str">
        <f t="shared" si="28"/>
        <v>Modoc_2046</v>
      </c>
      <c r="D1085" s="474">
        <v>326.56737877711475</v>
      </c>
      <c r="E1085" s="2"/>
      <c r="F1085" s="2"/>
      <c r="G1085" s="2"/>
      <c r="H1085" s="2"/>
      <c r="I1085" s="21"/>
      <c r="J1085" s="21"/>
      <c r="K1085" s="21"/>
    </row>
    <row r="1086" spans="1:11" ht="15.5" x14ac:dyDescent="0.35">
      <c r="A1086" s="472" t="s">
        <v>884</v>
      </c>
      <c r="B1086" s="473">
        <v>2047</v>
      </c>
      <c r="C1086" s="473" t="str">
        <f t="shared" si="28"/>
        <v>Modoc_2047</v>
      </c>
      <c r="D1086" s="474">
        <v>325.88053340115016</v>
      </c>
      <c r="E1086" s="2"/>
      <c r="F1086" s="2"/>
      <c r="G1086" s="2"/>
      <c r="H1086" s="2"/>
      <c r="I1086" s="21"/>
      <c r="J1086" s="21"/>
      <c r="K1086" s="21"/>
    </row>
    <row r="1087" spans="1:11" ht="15.5" x14ac:dyDescent="0.35">
      <c r="A1087" s="472" t="s">
        <v>884</v>
      </c>
      <c r="B1087" s="473">
        <v>2048</v>
      </c>
      <c r="C1087" s="473" t="str">
        <f t="shared" si="28"/>
        <v>Modoc_2048</v>
      </c>
      <c r="D1087" s="474">
        <v>325.30394187885292</v>
      </c>
      <c r="E1087" s="2"/>
      <c r="F1087" s="2"/>
      <c r="G1087" s="2"/>
      <c r="H1087" s="2"/>
      <c r="I1087" s="21"/>
      <c r="J1087" s="21"/>
      <c r="K1087" s="21"/>
    </row>
    <row r="1088" spans="1:11" ht="15.5" x14ac:dyDescent="0.35">
      <c r="A1088" s="472" t="s">
        <v>884</v>
      </c>
      <c r="B1088" s="473">
        <v>2049</v>
      </c>
      <c r="C1088" s="473" t="str">
        <f t="shared" si="28"/>
        <v>Modoc_2049</v>
      </c>
      <c r="D1088" s="474">
        <v>324.80720956396141</v>
      </c>
      <c r="E1088" s="2"/>
      <c r="F1088" s="2"/>
      <c r="G1088" s="2"/>
      <c r="H1088" s="2"/>
      <c r="I1088" s="21"/>
      <c r="J1088" s="21"/>
      <c r="K1088" s="21"/>
    </row>
    <row r="1089" spans="1:11" ht="15.5" x14ac:dyDescent="0.35">
      <c r="A1089" s="472" t="s">
        <v>884</v>
      </c>
      <c r="B1089" s="473">
        <v>2050</v>
      </c>
      <c r="C1089" s="473" t="str">
        <f t="shared" si="28"/>
        <v>Modoc_2050</v>
      </c>
      <c r="D1089" s="474">
        <v>324.40586005049374</v>
      </c>
      <c r="E1089" s="2"/>
      <c r="F1089" s="2"/>
      <c r="G1089" s="2"/>
      <c r="H1089" s="2"/>
      <c r="I1089" s="21"/>
      <c r="J1089" s="21"/>
      <c r="K1089" s="21"/>
    </row>
    <row r="1090" spans="1:11" ht="15.5" x14ac:dyDescent="0.35">
      <c r="A1090" s="475" t="s">
        <v>887</v>
      </c>
      <c r="B1090" s="476">
        <v>2015</v>
      </c>
      <c r="C1090" s="476" t="str">
        <f t="shared" si="28"/>
        <v>Mojave Desert_2015</v>
      </c>
      <c r="D1090" s="471">
        <v>504.49435288227619</v>
      </c>
      <c r="E1090" s="2"/>
      <c r="F1090" s="2"/>
      <c r="G1090" s="2"/>
      <c r="H1090" s="2"/>
      <c r="I1090" s="21"/>
      <c r="J1090" s="21"/>
      <c r="K1090" s="21"/>
    </row>
    <row r="1091" spans="1:11" ht="15.5" x14ac:dyDescent="0.35">
      <c r="A1091" s="475" t="s">
        <v>887</v>
      </c>
      <c r="B1091" s="476">
        <v>2016</v>
      </c>
      <c r="C1091" s="476" t="str">
        <f t="shared" si="28"/>
        <v>Mojave Desert_2016</v>
      </c>
      <c r="D1091" s="471">
        <v>494.47676464144422</v>
      </c>
      <c r="E1091" s="2"/>
      <c r="F1091" s="2"/>
      <c r="G1091" s="2"/>
      <c r="H1091" s="2"/>
      <c r="I1091" s="21"/>
      <c r="J1091" s="21"/>
      <c r="K1091" s="21"/>
    </row>
    <row r="1092" spans="1:11" ht="15.5" x14ac:dyDescent="0.35">
      <c r="A1092" s="477" t="s">
        <v>887</v>
      </c>
      <c r="B1092" s="478">
        <v>2017</v>
      </c>
      <c r="C1092" s="478" t="str">
        <f t="shared" si="28"/>
        <v>Mojave Desert_2017</v>
      </c>
      <c r="D1092" s="474">
        <v>482.75970903416231</v>
      </c>
      <c r="E1092" s="2"/>
      <c r="F1092" s="2"/>
      <c r="G1092" s="2"/>
      <c r="H1092" s="2"/>
      <c r="I1092" s="21"/>
      <c r="J1092" s="21"/>
      <c r="K1092" s="21"/>
    </row>
    <row r="1093" spans="1:11" ht="15.5" x14ac:dyDescent="0.35">
      <c r="A1093" s="477" t="s">
        <v>887</v>
      </c>
      <c r="B1093" s="478">
        <v>2018</v>
      </c>
      <c r="C1093" s="478" t="str">
        <f t="shared" si="28"/>
        <v>Mojave Desert_2018</v>
      </c>
      <c r="D1093" s="474">
        <v>470.38422141104178</v>
      </c>
      <c r="E1093" s="2"/>
      <c r="F1093" s="2"/>
      <c r="G1093" s="2"/>
      <c r="H1093" s="2"/>
      <c r="I1093" s="21"/>
      <c r="J1093" s="21"/>
      <c r="K1093" s="21"/>
    </row>
    <row r="1094" spans="1:11" ht="15.5" x14ac:dyDescent="0.35">
      <c r="A1094" s="477" t="s">
        <v>887</v>
      </c>
      <c r="B1094" s="478">
        <v>2019</v>
      </c>
      <c r="C1094" s="478" t="str">
        <f t="shared" si="28"/>
        <v>Mojave Desert_2019</v>
      </c>
      <c r="D1094" s="474">
        <v>457.47094368915612</v>
      </c>
      <c r="E1094" s="2"/>
      <c r="F1094" s="2"/>
      <c r="G1094" s="2"/>
      <c r="H1094" s="2"/>
      <c r="I1094" s="21"/>
      <c r="J1094" s="21"/>
      <c r="K1094" s="21"/>
    </row>
    <row r="1095" spans="1:11" ht="15.5" x14ac:dyDescent="0.35">
      <c r="A1095" s="477" t="s">
        <v>887</v>
      </c>
      <c r="B1095" s="478">
        <v>2020</v>
      </c>
      <c r="C1095" s="478" t="str">
        <f t="shared" si="28"/>
        <v>Mojave Desert_2020</v>
      </c>
      <c r="D1095" s="474">
        <v>444.47300322631628</v>
      </c>
      <c r="E1095" s="2"/>
      <c r="F1095" s="2"/>
      <c r="G1095" s="2"/>
      <c r="H1095" s="2"/>
      <c r="I1095" s="21"/>
      <c r="J1095" s="21"/>
      <c r="K1095" s="21"/>
    </row>
    <row r="1096" spans="1:11" ht="15.5" x14ac:dyDescent="0.35">
      <c r="A1096" s="477" t="s">
        <v>887</v>
      </c>
      <c r="B1096" s="478">
        <v>2021</v>
      </c>
      <c r="C1096" s="478" t="str">
        <f t="shared" si="28"/>
        <v>Mojave Desert_2021</v>
      </c>
      <c r="D1096" s="474">
        <v>431.10723947606658</v>
      </c>
      <c r="E1096" s="2"/>
      <c r="F1096" s="2"/>
      <c r="G1096" s="2"/>
      <c r="H1096" s="2"/>
      <c r="I1096" s="21"/>
      <c r="J1096" s="21"/>
      <c r="K1096" s="21"/>
    </row>
    <row r="1097" spans="1:11" ht="15.5" x14ac:dyDescent="0.35">
      <c r="A1097" s="477" t="s">
        <v>887</v>
      </c>
      <c r="B1097" s="478">
        <v>2022</v>
      </c>
      <c r="C1097" s="478" t="str">
        <f t="shared" si="28"/>
        <v>Mojave Desert_2022</v>
      </c>
      <c r="D1097" s="474">
        <v>418.06657988683111</v>
      </c>
      <c r="E1097" s="2"/>
      <c r="F1097" s="2"/>
      <c r="G1097" s="2"/>
      <c r="H1097" s="2"/>
      <c r="I1097" s="21"/>
      <c r="J1097" s="21"/>
      <c r="K1097" s="21"/>
    </row>
    <row r="1098" spans="1:11" ht="15.5" x14ac:dyDescent="0.35">
      <c r="A1098" s="477" t="s">
        <v>887</v>
      </c>
      <c r="B1098" s="478">
        <v>2023</v>
      </c>
      <c r="C1098" s="478" t="str">
        <f t="shared" si="28"/>
        <v>Mojave Desert_2023</v>
      </c>
      <c r="D1098" s="474">
        <v>405.12245500889634</v>
      </c>
      <c r="E1098" s="2"/>
      <c r="F1098" s="2"/>
      <c r="G1098" s="2"/>
      <c r="H1098" s="2"/>
      <c r="I1098" s="21"/>
      <c r="J1098" s="21"/>
      <c r="K1098" s="21"/>
    </row>
    <row r="1099" spans="1:11" ht="15.5" x14ac:dyDescent="0.35">
      <c r="A1099" s="477" t="s">
        <v>887</v>
      </c>
      <c r="B1099" s="478">
        <v>2024</v>
      </c>
      <c r="C1099" s="478" t="str">
        <f t="shared" si="28"/>
        <v>Mojave Desert_2024</v>
      </c>
      <c r="D1099" s="474">
        <v>392.66222706710181</v>
      </c>
      <c r="E1099" s="2"/>
      <c r="F1099" s="2"/>
      <c r="G1099" s="2"/>
      <c r="H1099" s="2"/>
      <c r="I1099" s="21"/>
      <c r="J1099" s="21"/>
      <c r="K1099" s="21"/>
    </row>
    <row r="1100" spans="1:11" ht="15.5" x14ac:dyDescent="0.35">
      <c r="A1100" s="477" t="s">
        <v>887</v>
      </c>
      <c r="B1100" s="478">
        <v>2025</v>
      </c>
      <c r="C1100" s="478" t="str">
        <f t="shared" si="28"/>
        <v>Mojave Desert_2025</v>
      </c>
      <c r="D1100" s="474">
        <v>380.03886232169577</v>
      </c>
      <c r="E1100" s="2"/>
      <c r="F1100" s="2"/>
      <c r="G1100" s="2"/>
      <c r="H1100" s="2"/>
      <c r="I1100" s="21"/>
      <c r="J1100" s="21"/>
      <c r="K1100" s="21"/>
    </row>
    <row r="1101" spans="1:11" ht="15.5" x14ac:dyDescent="0.35">
      <c r="A1101" s="477" t="s">
        <v>887</v>
      </c>
      <c r="B1101" s="478">
        <v>2026</v>
      </c>
      <c r="C1101" s="478" t="str">
        <f t="shared" si="28"/>
        <v>Mojave Desert_2026</v>
      </c>
      <c r="D1101" s="474">
        <v>368.57818306951185</v>
      </c>
      <c r="E1101" s="2"/>
      <c r="F1101" s="2"/>
      <c r="G1101" s="2"/>
      <c r="H1101" s="2"/>
      <c r="I1101" s="21"/>
      <c r="J1101" s="21"/>
      <c r="K1101" s="21"/>
    </row>
    <row r="1102" spans="1:11" ht="15.5" x14ac:dyDescent="0.35">
      <c r="A1102" s="477" t="s">
        <v>887</v>
      </c>
      <c r="B1102" s="478">
        <v>2027</v>
      </c>
      <c r="C1102" s="478" t="str">
        <f t="shared" si="28"/>
        <v>Mojave Desert_2027</v>
      </c>
      <c r="D1102" s="474">
        <v>358.14773220385888</v>
      </c>
      <c r="E1102" s="2"/>
      <c r="F1102" s="2"/>
      <c r="G1102" s="2"/>
      <c r="H1102" s="2"/>
      <c r="I1102" s="21"/>
      <c r="J1102" s="21"/>
      <c r="K1102" s="21"/>
    </row>
    <row r="1103" spans="1:11" ht="15.5" x14ac:dyDescent="0.35">
      <c r="A1103" s="477" t="s">
        <v>887</v>
      </c>
      <c r="B1103" s="478">
        <v>2028</v>
      </c>
      <c r="C1103" s="478" t="str">
        <f t="shared" si="28"/>
        <v>Mojave Desert_2028</v>
      </c>
      <c r="D1103" s="474">
        <v>348.79244746619992</v>
      </c>
      <c r="E1103" s="2"/>
      <c r="F1103" s="2"/>
      <c r="G1103" s="2"/>
      <c r="H1103" s="2"/>
      <c r="I1103" s="21"/>
      <c r="J1103" s="21"/>
      <c r="K1103" s="21"/>
    </row>
    <row r="1104" spans="1:11" ht="15.5" x14ac:dyDescent="0.35">
      <c r="A1104" s="477" t="s">
        <v>887</v>
      </c>
      <c r="B1104" s="478">
        <v>2029</v>
      </c>
      <c r="C1104" s="478" t="str">
        <f t="shared" si="28"/>
        <v>Mojave Desert_2029</v>
      </c>
      <c r="D1104" s="474">
        <v>340.4136473733243</v>
      </c>
      <c r="E1104" s="2"/>
      <c r="F1104" s="2"/>
      <c r="G1104" s="2"/>
      <c r="H1104" s="2"/>
      <c r="I1104" s="21"/>
      <c r="J1104" s="21"/>
      <c r="K1104" s="21"/>
    </row>
    <row r="1105" spans="1:11" ht="15.5" x14ac:dyDescent="0.35">
      <c r="A1105" s="477" t="s">
        <v>887</v>
      </c>
      <c r="B1105" s="478">
        <v>2030</v>
      </c>
      <c r="C1105" s="478" t="str">
        <f t="shared" si="28"/>
        <v>Mojave Desert_2030</v>
      </c>
      <c r="D1105" s="474">
        <v>332.95586030990518</v>
      </c>
      <c r="E1105" s="2"/>
      <c r="F1105" s="2"/>
      <c r="G1105" s="2"/>
      <c r="H1105" s="2"/>
      <c r="I1105" s="21"/>
      <c r="J1105" s="21"/>
      <c r="K1105" s="21"/>
    </row>
    <row r="1106" spans="1:11" ht="15.5" x14ac:dyDescent="0.35">
      <c r="A1106" s="477" t="s">
        <v>887</v>
      </c>
      <c r="B1106" s="478">
        <v>2031</v>
      </c>
      <c r="C1106" s="478" t="str">
        <f t="shared" si="28"/>
        <v>Mojave Desert_2031</v>
      </c>
      <c r="D1106" s="474">
        <v>326.5040941088144</v>
      </c>
      <c r="E1106" s="2"/>
      <c r="F1106" s="2"/>
      <c r="G1106" s="2"/>
      <c r="H1106" s="2"/>
      <c r="I1106" s="21"/>
      <c r="J1106" s="21"/>
      <c r="K1106" s="21"/>
    </row>
    <row r="1107" spans="1:11" ht="15.5" x14ac:dyDescent="0.35">
      <c r="A1107" s="477" t="s">
        <v>887</v>
      </c>
      <c r="B1107" s="478">
        <v>2032</v>
      </c>
      <c r="C1107" s="478" t="str">
        <f t="shared" si="28"/>
        <v>Mojave Desert_2032</v>
      </c>
      <c r="D1107" s="474">
        <v>320.64134615401036</v>
      </c>
      <c r="E1107" s="2"/>
      <c r="F1107" s="2"/>
      <c r="G1107" s="2"/>
      <c r="H1107" s="2"/>
      <c r="I1107" s="21"/>
      <c r="J1107" s="21"/>
      <c r="K1107" s="21"/>
    </row>
    <row r="1108" spans="1:11" ht="15.5" x14ac:dyDescent="0.35">
      <c r="A1108" s="477" t="s">
        <v>887</v>
      </c>
      <c r="B1108" s="478">
        <v>2033</v>
      </c>
      <c r="C1108" s="478" t="str">
        <f t="shared" si="28"/>
        <v>Mojave Desert_2033</v>
      </c>
      <c r="D1108" s="474">
        <v>315.47274072428746</v>
      </c>
      <c r="E1108" s="2"/>
      <c r="F1108" s="2"/>
      <c r="G1108" s="2"/>
      <c r="H1108" s="2"/>
      <c r="I1108" s="21"/>
      <c r="J1108" s="21"/>
      <c r="K1108" s="21"/>
    </row>
    <row r="1109" spans="1:11" ht="15.5" x14ac:dyDescent="0.35">
      <c r="A1109" s="477" t="s">
        <v>887</v>
      </c>
      <c r="B1109" s="478">
        <v>2034</v>
      </c>
      <c r="C1109" s="478" t="str">
        <f t="shared" si="28"/>
        <v>Mojave Desert_2034</v>
      </c>
      <c r="D1109" s="474">
        <v>310.93212215542951</v>
      </c>
      <c r="E1109" s="2"/>
      <c r="F1109" s="2"/>
      <c r="G1109" s="2"/>
      <c r="H1109" s="2"/>
      <c r="I1109" s="21"/>
      <c r="J1109" s="21"/>
      <c r="K1109" s="21"/>
    </row>
    <row r="1110" spans="1:11" ht="15.5" x14ac:dyDescent="0.35">
      <c r="A1110" s="477" t="s">
        <v>887</v>
      </c>
      <c r="B1110" s="478">
        <v>2035</v>
      </c>
      <c r="C1110" s="478" t="str">
        <f t="shared" si="28"/>
        <v>Mojave Desert_2035</v>
      </c>
      <c r="D1110" s="474">
        <v>306.97497110719564</v>
      </c>
      <c r="E1110" s="2"/>
      <c r="F1110" s="2"/>
      <c r="G1110" s="2"/>
      <c r="H1110" s="2"/>
      <c r="I1110" s="21"/>
      <c r="J1110" s="21"/>
      <c r="K1110" s="21"/>
    </row>
    <row r="1111" spans="1:11" ht="15.5" x14ac:dyDescent="0.35">
      <c r="A1111" s="477" t="s">
        <v>887</v>
      </c>
      <c r="B1111" s="478">
        <v>2036</v>
      </c>
      <c r="C1111" s="478" t="str">
        <f t="shared" si="28"/>
        <v>Mojave Desert_2036</v>
      </c>
      <c r="D1111" s="474">
        <v>303.54338789750636</v>
      </c>
      <c r="E1111" s="2"/>
      <c r="F1111" s="2"/>
      <c r="G1111" s="2"/>
      <c r="H1111" s="2"/>
      <c r="I1111" s="21"/>
      <c r="J1111" s="21"/>
      <c r="K1111" s="21"/>
    </row>
    <row r="1112" spans="1:11" ht="15.5" x14ac:dyDescent="0.35">
      <c r="A1112" s="477" t="s">
        <v>887</v>
      </c>
      <c r="B1112" s="478">
        <v>2037</v>
      </c>
      <c r="C1112" s="478" t="str">
        <f t="shared" si="28"/>
        <v>Mojave Desert_2037</v>
      </c>
      <c r="D1112" s="474">
        <v>300.59341369408298</v>
      </c>
      <c r="E1112" s="2"/>
      <c r="F1112" s="2"/>
      <c r="G1112" s="2"/>
      <c r="H1112" s="2"/>
      <c r="I1112" s="21"/>
      <c r="J1112" s="21"/>
      <c r="K1112" s="21"/>
    </row>
    <row r="1113" spans="1:11" ht="15.5" x14ac:dyDescent="0.35">
      <c r="A1113" s="477" t="s">
        <v>887</v>
      </c>
      <c r="B1113" s="478">
        <v>2038</v>
      </c>
      <c r="C1113" s="478" t="str">
        <f t="shared" si="28"/>
        <v>Mojave Desert_2038</v>
      </c>
      <c r="D1113" s="474">
        <v>298.07949577157984</v>
      </c>
      <c r="E1113" s="2"/>
      <c r="F1113" s="2"/>
      <c r="G1113" s="2"/>
      <c r="H1113" s="2"/>
      <c r="I1113" s="21"/>
      <c r="J1113" s="21"/>
      <c r="K1113" s="21"/>
    </row>
    <row r="1114" spans="1:11" ht="15.5" x14ac:dyDescent="0.35">
      <c r="A1114" s="477" t="s">
        <v>887</v>
      </c>
      <c r="B1114" s="478">
        <v>2039</v>
      </c>
      <c r="C1114" s="478" t="str">
        <f t="shared" si="28"/>
        <v>Mojave Desert_2039</v>
      </c>
      <c r="D1114" s="474">
        <v>295.93996439765414</v>
      </c>
      <c r="E1114" s="2"/>
      <c r="F1114" s="2"/>
      <c r="G1114" s="2"/>
      <c r="H1114" s="2"/>
      <c r="I1114" s="21"/>
      <c r="J1114" s="21"/>
      <c r="K1114" s="21"/>
    </row>
    <row r="1115" spans="1:11" ht="15.5" x14ac:dyDescent="0.35">
      <c r="A1115" s="477" t="s">
        <v>887</v>
      </c>
      <c r="B1115" s="478">
        <v>2040</v>
      </c>
      <c r="C1115" s="478" t="str">
        <f t="shared" si="28"/>
        <v>Mojave Desert_2040</v>
      </c>
      <c r="D1115" s="474">
        <v>294.13481729973438</v>
      </c>
      <c r="E1115" s="2"/>
      <c r="F1115" s="2"/>
      <c r="G1115" s="2"/>
      <c r="H1115" s="2"/>
      <c r="I1115" s="21"/>
      <c r="J1115" s="21"/>
      <c r="K1115" s="21"/>
    </row>
    <row r="1116" spans="1:11" ht="15.5" x14ac:dyDescent="0.35">
      <c r="A1116" s="477" t="s">
        <v>887</v>
      </c>
      <c r="B1116" s="478">
        <v>2041</v>
      </c>
      <c r="C1116" s="478" t="str">
        <f t="shared" si="28"/>
        <v>Mojave Desert_2041</v>
      </c>
      <c r="D1116" s="474">
        <v>292.63971612853788</v>
      </c>
      <c r="E1116" s="2"/>
      <c r="F1116" s="2"/>
      <c r="G1116" s="2"/>
      <c r="H1116" s="2"/>
      <c r="I1116" s="21"/>
      <c r="J1116" s="21"/>
      <c r="K1116" s="21"/>
    </row>
    <row r="1117" spans="1:11" ht="15.5" x14ac:dyDescent="0.35">
      <c r="A1117" s="477" t="s">
        <v>887</v>
      </c>
      <c r="B1117" s="478">
        <v>2042</v>
      </c>
      <c r="C1117" s="478" t="str">
        <f t="shared" si="28"/>
        <v>Mojave Desert_2042</v>
      </c>
      <c r="D1117" s="474">
        <v>291.38041289426405</v>
      </c>
      <c r="E1117" s="2"/>
      <c r="F1117" s="2"/>
      <c r="G1117" s="2"/>
      <c r="H1117" s="2"/>
      <c r="I1117" s="21"/>
      <c r="J1117" s="21"/>
      <c r="K1117" s="21"/>
    </row>
    <row r="1118" spans="1:11" ht="15.5" x14ac:dyDescent="0.35">
      <c r="A1118" s="477" t="s">
        <v>887</v>
      </c>
      <c r="B1118" s="478">
        <v>2043</v>
      </c>
      <c r="C1118" s="478" t="str">
        <f t="shared" si="28"/>
        <v>Mojave Desert_2043</v>
      </c>
      <c r="D1118" s="474">
        <v>290.33685592707548</v>
      </c>
      <c r="E1118" s="2"/>
      <c r="F1118" s="2"/>
      <c r="G1118" s="2"/>
      <c r="H1118" s="2"/>
      <c r="I1118" s="21"/>
      <c r="J1118" s="21"/>
      <c r="K1118" s="21"/>
    </row>
    <row r="1119" spans="1:11" ht="15.5" x14ac:dyDescent="0.35">
      <c r="A1119" s="477" t="s">
        <v>887</v>
      </c>
      <c r="B1119" s="478">
        <v>2044</v>
      </c>
      <c r="C1119" s="478" t="str">
        <f t="shared" si="28"/>
        <v>Mojave Desert_2044</v>
      </c>
      <c r="D1119" s="474">
        <v>289.46100300772338</v>
      </c>
      <c r="E1119" s="2"/>
      <c r="F1119" s="2"/>
      <c r="G1119" s="2"/>
      <c r="H1119" s="2"/>
      <c r="I1119" s="21"/>
      <c r="J1119" s="21"/>
      <c r="K1119" s="21"/>
    </row>
    <row r="1120" spans="1:11" ht="15.5" x14ac:dyDescent="0.35">
      <c r="A1120" s="477" t="s">
        <v>887</v>
      </c>
      <c r="B1120" s="478">
        <v>2045</v>
      </c>
      <c r="C1120" s="478" t="str">
        <f t="shared" ref="C1120:C1125" si="29">CONCATENATE(A1120,"_",B1120)</f>
        <v>Mojave Desert_2045</v>
      </c>
      <c r="D1120" s="474">
        <v>288.71451346939722</v>
      </c>
      <c r="E1120" s="2"/>
      <c r="F1120" s="2"/>
      <c r="G1120" s="2"/>
      <c r="H1120" s="2"/>
      <c r="I1120" s="21"/>
      <c r="J1120" s="21"/>
      <c r="K1120" s="21"/>
    </row>
    <row r="1121" spans="1:11" ht="15.5" x14ac:dyDescent="0.35">
      <c r="A1121" s="477" t="s">
        <v>887</v>
      </c>
      <c r="B1121" s="478">
        <v>2046</v>
      </c>
      <c r="C1121" s="478" t="str">
        <f t="shared" si="29"/>
        <v>Mojave Desert_2046</v>
      </c>
      <c r="D1121" s="474">
        <v>288.08191761920421</v>
      </c>
      <c r="E1121" s="2"/>
      <c r="F1121" s="2"/>
      <c r="G1121" s="2"/>
      <c r="H1121" s="2"/>
      <c r="I1121" s="21"/>
      <c r="J1121" s="21"/>
      <c r="K1121" s="21"/>
    </row>
    <row r="1122" spans="1:11" ht="15.5" x14ac:dyDescent="0.35">
      <c r="A1122" s="477" t="s">
        <v>887</v>
      </c>
      <c r="B1122" s="478">
        <v>2047</v>
      </c>
      <c r="C1122" s="478" t="str">
        <f t="shared" si="29"/>
        <v>Mojave Desert_2047</v>
      </c>
      <c r="D1122" s="474">
        <v>287.55016965281794</v>
      </c>
      <c r="E1122" s="2"/>
      <c r="F1122" s="2"/>
      <c r="G1122" s="2"/>
      <c r="H1122" s="2"/>
      <c r="I1122" s="21"/>
      <c r="J1122" s="21"/>
      <c r="K1122" s="21"/>
    </row>
    <row r="1123" spans="1:11" ht="15.5" x14ac:dyDescent="0.35">
      <c r="A1123" s="477" t="s">
        <v>887</v>
      </c>
      <c r="B1123" s="478">
        <v>2048</v>
      </c>
      <c r="C1123" s="478" t="str">
        <f t="shared" si="29"/>
        <v>Mojave Desert_2048</v>
      </c>
      <c r="D1123" s="474">
        <v>287.09837955245939</v>
      </c>
      <c r="E1123" s="2"/>
      <c r="F1123" s="2"/>
      <c r="G1123" s="2"/>
      <c r="H1123" s="2"/>
      <c r="I1123" s="21"/>
      <c r="J1123" s="21"/>
      <c r="K1123" s="21"/>
    </row>
    <row r="1124" spans="1:11" ht="15.5" x14ac:dyDescent="0.35">
      <c r="A1124" s="477" t="s">
        <v>887</v>
      </c>
      <c r="B1124" s="478">
        <v>2049</v>
      </c>
      <c r="C1124" s="478" t="str">
        <f t="shared" si="29"/>
        <v>Mojave Desert_2049</v>
      </c>
      <c r="D1124" s="474">
        <v>286.70782712404394</v>
      </c>
      <c r="E1124" s="2"/>
      <c r="F1124" s="2"/>
      <c r="G1124" s="2"/>
      <c r="H1124" s="2"/>
      <c r="I1124" s="21"/>
      <c r="J1124" s="21"/>
      <c r="K1124" s="21"/>
    </row>
    <row r="1125" spans="1:11" ht="15.5" x14ac:dyDescent="0.35">
      <c r="A1125" s="477" t="s">
        <v>887</v>
      </c>
      <c r="B1125" s="478">
        <v>2050</v>
      </c>
      <c r="C1125" s="478" t="str">
        <f t="shared" si="29"/>
        <v>Mojave Desert_2050</v>
      </c>
      <c r="D1125" s="474">
        <v>286.38704040171643</v>
      </c>
      <c r="E1125" s="2"/>
      <c r="F1125" s="2"/>
      <c r="G1125" s="2"/>
      <c r="H1125" s="2"/>
      <c r="I1125" s="21"/>
      <c r="J1125" s="21"/>
      <c r="K1125" s="21"/>
    </row>
    <row r="1126" spans="1:11" ht="15.5" x14ac:dyDescent="0.35">
      <c r="A1126" s="468" t="s">
        <v>888</v>
      </c>
      <c r="B1126" s="469">
        <v>2015</v>
      </c>
      <c r="C1126" s="470" t="s">
        <v>889</v>
      </c>
      <c r="D1126" s="471">
        <v>525.30916476759364</v>
      </c>
      <c r="E1126" s="2"/>
      <c r="F1126" s="2"/>
      <c r="G1126" s="2"/>
      <c r="H1126" s="2"/>
      <c r="I1126" s="21"/>
      <c r="J1126" s="21"/>
      <c r="K1126" s="21"/>
    </row>
    <row r="1127" spans="1:11" ht="15.5" x14ac:dyDescent="0.35">
      <c r="A1127" s="468" t="s">
        <v>888</v>
      </c>
      <c r="B1127" s="469">
        <v>2016</v>
      </c>
      <c r="C1127" s="470" t="s">
        <v>890</v>
      </c>
      <c r="D1127" s="471">
        <v>514.59765678995916</v>
      </c>
      <c r="E1127" s="2"/>
      <c r="F1127" s="2"/>
      <c r="G1127" s="2"/>
      <c r="H1127" s="2"/>
      <c r="I1127" s="21"/>
      <c r="J1127" s="21"/>
      <c r="K1127" s="21"/>
    </row>
    <row r="1128" spans="1:11" ht="15.5" x14ac:dyDescent="0.35">
      <c r="A1128" s="472" t="s">
        <v>888</v>
      </c>
      <c r="B1128" s="473">
        <v>2017</v>
      </c>
      <c r="C1128" s="473" t="str">
        <f t="shared" ref="C1128:C1161" si="30">CONCATENATE(A1128,"_",B1128)</f>
        <v>Mono_2017</v>
      </c>
      <c r="D1128" s="474">
        <v>501.93868735670617</v>
      </c>
      <c r="E1128" s="2"/>
      <c r="F1128" s="2"/>
      <c r="G1128" s="2"/>
      <c r="H1128" s="2"/>
      <c r="I1128" s="21"/>
      <c r="J1128" s="21"/>
      <c r="K1128" s="21"/>
    </row>
    <row r="1129" spans="1:11" ht="15.5" x14ac:dyDescent="0.35">
      <c r="A1129" s="472" t="s">
        <v>888</v>
      </c>
      <c r="B1129" s="473">
        <v>2018</v>
      </c>
      <c r="C1129" s="473" t="str">
        <f t="shared" si="30"/>
        <v>Mono_2018</v>
      </c>
      <c r="D1129" s="474">
        <v>488.69523561930993</v>
      </c>
      <c r="E1129" s="2"/>
      <c r="F1129" s="2"/>
      <c r="G1129" s="2"/>
      <c r="H1129" s="2"/>
      <c r="I1129" s="21"/>
      <c r="J1129" s="21"/>
      <c r="K1129" s="21"/>
    </row>
    <row r="1130" spans="1:11" ht="15.5" x14ac:dyDescent="0.35">
      <c r="A1130" s="472" t="s">
        <v>888</v>
      </c>
      <c r="B1130" s="473">
        <v>2019</v>
      </c>
      <c r="C1130" s="473" t="str">
        <f t="shared" si="30"/>
        <v>Mono_2019</v>
      </c>
      <c r="D1130" s="474">
        <v>475.00689699241462</v>
      </c>
      <c r="E1130" s="2"/>
      <c r="F1130" s="2"/>
      <c r="G1130" s="2"/>
      <c r="H1130" s="2"/>
      <c r="I1130" s="21"/>
      <c r="J1130" s="21"/>
      <c r="K1130" s="21"/>
    </row>
    <row r="1131" spans="1:11" ht="15.5" x14ac:dyDescent="0.35">
      <c r="A1131" s="472" t="s">
        <v>888</v>
      </c>
      <c r="B1131" s="473">
        <v>2020</v>
      </c>
      <c r="C1131" s="473" t="str">
        <f t="shared" si="30"/>
        <v>Mono_2020</v>
      </c>
      <c r="D1131" s="474">
        <v>461.10109254393774</v>
      </c>
      <c r="E1131" s="2"/>
      <c r="F1131" s="2"/>
      <c r="G1131" s="2"/>
      <c r="H1131" s="2"/>
      <c r="I1131" s="21"/>
      <c r="J1131" s="21"/>
      <c r="K1131" s="21"/>
    </row>
    <row r="1132" spans="1:11" ht="15.5" x14ac:dyDescent="0.35">
      <c r="A1132" s="472" t="s">
        <v>888</v>
      </c>
      <c r="B1132" s="473">
        <v>2021</v>
      </c>
      <c r="C1132" s="473" t="str">
        <f t="shared" si="30"/>
        <v>Mono_2021</v>
      </c>
      <c r="D1132" s="474">
        <v>447.03592533909483</v>
      </c>
      <c r="E1132" s="2"/>
      <c r="F1132" s="2"/>
      <c r="G1132" s="2"/>
      <c r="H1132" s="2"/>
      <c r="I1132" s="21"/>
      <c r="J1132" s="21"/>
      <c r="K1132" s="21"/>
    </row>
    <row r="1133" spans="1:11" ht="15.5" x14ac:dyDescent="0.35">
      <c r="A1133" s="472" t="s">
        <v>888</v>
      </c>
      <c r="B1133" s="473">
        <v>2022</v>
      </c>
      <c r="C1133" s="473" t="str">
        <f t="shared" si="30"/>
        <v>Mono_2022</v>
      </c>
      <c r="D1133" s="474">
        <v>433.16133425687599</v>
      </c>
      <c r="E1133" s="2"/>
      <c r="F1133" s="2"/>
      <c r="G1133" s="2"/>
      <c r="H1133" s="2"/>
      <c r="I1133" s="21"/>
      <c r="J1133" s="21"/>
      <c r="K1133" s="21"/>
    </row>
    <row r="1134" spans="1:11" ht="15.5" x14ac:dyDescent="0.35">
      <c r="A1134" s="472" t="s">
        <v>888</v>
      </c>
      <c r="B1134" s="473">
        <v>2023</v>
      </c>
      <c r="C1134" s="473" t="str">
        <f t="shared" si="30"/>
        <v>Mono_2023</v>
      </c>
      <c r="D1134" s="474">
        <v>419.47381124798306</v>
      </c>
      <c r="E1134" s="2"/>
      <c r="F1134" s="2"/>
      <c r="G1134" s="2"/>
      <c r="H1134" s="2"/>
      <c r="I1134" s="21"/>
      <c r="J1134" s="21"/>
      <c r="K1134" s="21"/>
    </row>
    <row r="1135" spans="1:11" ht="15.5" x14ac:dyDescent="0.35">
      <c r="A1135" s="472" t="s">
        <v>888</v>
      </c>
      <c r="B1135" s="473">
        <v>2024</v>
      </c>
      <c r="C1135" s="473" t="str">
        <f t="shared" si="30"/>
        <v>Mono_2024</v>
      </c>
      <c r="D1135" s="474">
        <v>405.97857532591587</v>
      </c>
      <c r="E1135" s="2"/>
      <c r="F1135" s="2"/>
      <c r="G1135" s="2"/>
      <c r="H1135" s="2"/>
      <c r="I1135" s="21"/>
      <c r="J1135" s="21"/>
      <c r="K1135" s="21"/>
    </row>
    <row r="1136" spans="1:11" ht="15.5" x14ac:dyDescent="0.35">
      <c r="A1136" s="472" t="s">
        <v>888</v>
      </c>
      <c r="B1136" s="473">
        <v>2025</v>
      </c>
      <c r="C1136" s="473" t="str">
        <f t="shared" si="30"/>
        <v>Mono_2025</v>
      </c>
      <c r="D1136" s="474">
        <v>392.77804031023919</v>
      </c>
      <c r="E1136" s="2"/>
      <c r="F1136" s="2"/>
      <c r="G1136" s="2"/>
      <c r="H1136" s="2"/>
      <c r="I1136" s="21"/>
      <c r="J1136" s="21"/>
      <c r="K1136" s="21"/>
    </row>
    <row r="1137" spans="1:11" ht="15.5" x14ac:dyDescent="0.35">
      <c r="A1137" s="472" t="s">
        <v>888</v>
      </c>
      <c r="B1137" s="473">
        <v>2026</v>
      </c>
      <c r="C1137" s="473" t="str">
        <f t="shared" si="30"/>
        <v>Mono_2026</v>
      </c>
      <c r="D1137" s="474">
        <v>380.80424518308297</v>
      </c>
      <c r="E1137" s="2"/>
      <c r="F1137" s="2"/>
      <c r="G1137" s="2"/>
      <c r="H1137" s="2"/>
      <c r="I1137" s="21"/>
      <c r="J1137" s="21"/>
      <c r="K1137" s="21"/>
    </row>
    <row r="1138" spans="1:11" ht="15.5" x14ac:dyDescent="0.35">
      <c r="A1138" s="472" t="s">
        <v>888</v>
      </c>
      <c r="B1138" s="473">
        <v>2027</v>
      </c>
      <c r="C1138" s="473" t="str">
        <f t="shared" si="30"/>
        <v>Mono_2027</v>
      </c>
      <c r="D1138" s="474">
        <v>369.88754412812392</v>
      </c>
      <c r="E1138" s="2"/>
      <c r="F1138" s="2"/>
      <c r="G1138" s="2"/>
      <c r="H1138" s="2"/>
      <c r="I1138" s="21"/>
      <c r="J1138" s="21"/>
      <c r="K1138" s="21"/>
    </row>
    <row r="1139" spans="1:11" ht="15.5" x14ac:dyDescent="0.35">
      <c r="A1139" s="472" t="s">
        <v>888</v>
      </c>
      <c r="B1139" s="473">
        <v>2028</v>
      </c>
      <c r="C1139" s="473" t="str">
        <f t="shared" si="30"/>
        <v>Mono_2028</v>
      </c>
      <c r="D1139" s="474">
        <v>360.05639178287743</v>
      </c>
      <c r="E1139" s="2"/>
      <c r="F1139" s="2"/>
      <c r="G1139" s="2"/>
      <c r="H1139" s="2"/>
      <c r="I1139" s="21"/>
      <c r="J1139" s="21"/>
      <c r="K1139" s="21"/>
    </row>
    <row r="1140" spans="1:11" ht="15.5" x14ac:dyDescent="0.35">
      <c r="A1140" s="472" t="s">
        <v>888</v>
      </c>
      <c r="B1140" s="473">
        <v>2029</v>
      </c>
      <c r="C1140" s="473" t="str">
        <f t="shared" si="30"/>
        <v>Mono_2029</v>
      </c>
      <c r="D1140" s="474">
        <v>351.20806880520422</v>
      </c>
      <c r="E1140" s="2"/>
      <c r="F1140" s="2"/>
      <c r="G1140" s="2"/>
      <c r="H1140" s="2"/>
      <c r="I1140" s="21"/>
      <c r="J1140" s="21"/>
      <c r="K1140" s="21"/>
    </row>
    <row r="1141" spans="1:11" ht="15.5" x14ac:dyDescent="0.35">
      <c r="A1141" s="472" t="s">
        <v>888</v>
      </c>
      <c r="B1141" s="473">
        <v>2030</v>
      </c>
      <c r="C1141" s="473" t="str">
        <f t="shared" si="30"/>
        <v>Mono_2030</v>
      </c>
      <c r="D1141" s="474">
        <v>343.29923390339957</v>
      </c>
      <c r="E1141" s="2"/>
      <c r="F1141" s="2"/>
      <c r="G1141" s="2"/>
      <c r="H1141" s="2"/>
      <c r="I1141" s="21"/>
      <c r="J1141" s="21"/>
      <c r="K1141" s="21"/>
    </row>
    <row r="1142" spans="1:11" ht="15.5" x14ac:dyDescent="0.35">
      <c r="A1142" s="472" t="s">
        <v>888</v>
      </c>
      <c r="B1142" s="473">
        <v>2031</v>
      </c>
      <c r="C1142" s="473" t="str">
        <f t="shared" si="30"/>
        <v>Mono_2031</v>
      </c>
      <c r="D1142" s="474">
        <v>336.25464310662124</v>
      </c>
      <c r="E1142" s="2"/>
      <c r="F1142" s="2"/>
      <c r="G1142" s="2"/>
      <c r="H1142" s="2"/>
      <c r="I1142" s="21"/>
      <c r="J1142" s="21"/>
      <c r="K1142" s="21"/>
    </row>
    <row r="1143" spans="1:11" ht="15.5" x14ac:dyDescent="0.35">
      <c r="A1143" s="472" t="s">
        <v>888</v>
      </c>
      <c r="B1143" s="473">
        <v>2032</v>
      </c>
      <c r="C1143" s="473" t="str">
        <f t="shared" si="30"/>
        <v>Mono_2032</v>
      </c>
      <c r="D1143" s="474">
        <v>330.00943461935952</v>
      </c>
      <c r="E1143" s="2"/>
      <c r="F1143" s="2"/>
      <c r="G1143" s="2"/>
      <c r="H1143" s="2"/>
      <c r="I1143" s="21"/>
      <c r="J1143" s="21"/>
      <c r="K1143" s="21"/>
    </row>
    <row r="1144" spans="1:11" ht="15.5" x14ac:dyDescent="0.35">
      <c r="A1144" s="472" t="s">
        <v>888</v>
      </c>
      <c r="B1144" s="473">
        <v>2033</v>
      </c>
      <c r="C1144" s="473" t="str">
        <f t="shared" si="30"/>
        <v>Mono_2033</v>
      </c>
      <c r="D1144" s="474">
        <v>324.50529453069635</v>
      </c>
      <c r="E1144" s="2"/>
      <c r="F1144" s="2"/>
      <c r="G1144" s="2"/>
      <c r="H1144" s="2"/>
      <c r="I1144" s="21"/>
      <c r="J1144" s="21"/>
      <c r="K1144" s="21"/>
    </row>
    <row r="1145" spans="1:11" ht="15.5" x14ac:dyDescent="0.35">
      <c r="A1145" s="472" t="s">
        <v>888</v>
      </c>
      <c r="B1145" s="473">
        <v>2034</v>
      </c>
      <c r="C1145" s="473" t="str">
        <f t="shared" si="30"/>
        <v>Mono_2034</v>
      </c>
      <c r="D1145" s="474">
        <v>319.67120768977685</v>
      </c>
      <c r="E1145" s="2"/>
      <c r="F1145" s="2"/>
      <c r="G1145" s="2"/>
      <c r="H1145" s="2"/>
      <c r="I1145" s="21"/>
      <c r="J1145" s="21"/>
      <c r="K1145" s="21"/>
    </row>
    <row r="1146" spans="1:11" ht="15.5" x14ac:dyDescent="0.35">
      <c r="A1146" s="472" t="s">
        <v>888</v>
      </c>
      <c r="B1146" s="473">
        <v>2035</v>
      </c>
      <c r="C1146" s="473" t="str">
        <f t="shared" si="30"/>
        <v>Mono_2035</v>
      </c>
      <c r="D1146" s="474">
        <v>315.4599207420527</v>
      </c>
      <c r="E1146" s="2"/>
      <c r="F1146" s="2"/>
      <c r="G1146" s="2"/>
      <c r="H1146" s="2"/>
      <c r="I1146" s="21"/>
      <c r="J1146" s="21"/>
      <c r="K1146" s="21"/>
    </row>
    <row r="1147" spans="1:11" ht="15.5" x14ac:dyDescent="0.35">
      <c r="A1147" s="472" t="s">
        <v>888</v>
      </c>
      <c r="B1147" s="473">
        <v>2036</v>
      </c>
      <c r="C1147" s="473" t="str">
        <f t="shared" si="30"/>
        <v>Mono_2036</v>
      </c>
      <c r="D1147" s="474">
        <v>311.80767270406631</v>
      </c>
      <c r="E1147" s="2"/>
      <c r="F1147" s="2"/>
      <c r="G1147" s="2"/>
      <c r="H1147" s="2"/>
      <c r="I1147" s="21"/>
      <c r="J1147" s="21"/>
      <c r="K1147" s="21"/>
    </row>
    <row r="1148" spans="1:11" ht="15.5" x14ac:dyDescent="0.35">
      <c r="A1148" s="472" t="s">
        <v>888</v>
      </c>
      <c r="B1148" s="473">
        <v>2037</v>
      </c>
      <c r="C1148" s="473" t="str">
        <f t="shared" si="30"/>
        <v>Mono_2037</v>
      </c>
      <c r="D1148" s="474">
        <v>308.67388471560383</v>
      </c>
      <c r="E1148" s="2"/>
      <c r="F1148" s="2"/>
      <c r="G1148" s="2"/>
      <c r="H1148" s="2"/>
      <c r="I1148" s="21"/>
      <c r="J1148" s="21"/>
      <c r="K1148" s="21"/>
    </row>
    <row r="1149" spans="1:11" ht="15.5" x14ac:dyDescent="0.35">
      <c r="A1149" s="472" t="s">
        <v>888</v>
      </c>
      <c r="B1149" s="473">
        <v>2038</v>
      </c>
      <c r="C1149" s="473" t="str">
        <f t="shared" si="30"/>
        <v>Mono_2038</v>
      </c>
      <c r="D1149" s="474">
        <v>305.99900598972874</v>
      </c>
      <c r="E1149" s="2"/>
      <c r="F1149" s="2"/>
      <c r="G1149" s="2"/>
      <c r="H1149" s="2"/>
      <c r="I1149" s="21"/>
      <c r="J1149" s="21"/>
      <c r="K1149" s="21"/>
    </row>
    <row r="1150" spans="1:11" ht="15.5" x14ac:dyDescent="0.35">
      <c r="A1150" s="472" t="s">
        <v>888</v>
      </c>
      <c r="B1150" s="473">
        <v>2039</v>
      </c>
      <c r="C1150" s="473" t="str">
        <f t="shared" si="30"/>
        <v>Mono_2039</v>
      </c>
      <c r="D1150" s="474">
        <v>303.7273656585711</v>
      </c>
      <c r="E1150" s="2"/>
      <c r="F1150" s="2"/>
      <c r="G1150" s="2"/>
      <c r="H1150" s="2"/>
      <c r="I1150" s="21"/>
      <c r="J1150" s="21"/>
      <c r="K1150" s="21"/>
    </row>
    <row r="1151" spans="1:11" ht="15.5" x14ac:dyDescent="0.35">
      <c r="A1151" s="472" t="s">
        <v>888</v>
      </c>
      <c r="B1151" s="473">
        <v>2040</v>
      </c>
      <c r="C1151" s="473" t="str">
        <f t="shared" si="30"/>
        <v>Mono_2040</v>
      </c>
      <c r="D1151" s="474">
        <v>301.80372295510767</v>
      </c>
      <c r="E1151" s="2"/>
      <c r="F1151" s="2"/>
      <c r="G1151" s="2"/>
      <c r="H1151" s="2"/>
      <c r="I1151" s="21"/>
      <c r="J1151" s="21"/>
      <c r="K1151" s="21"/>
    </row>
    <row r="1152" spans="1:11" ht="15.5" x14ac:dyDescent="0.35">
      <c r="A1152" s="472" t="s">
        <v>888</v>
      </c>
      <c r="B1152" s="473">
        <v>2041</v>
      </c>
      <c r="C1152" s="473" t="str">
        <f t="shared" si="30"/>
        <v>Mono_2041</v>
      </c>
      <c r="D1152" s="474">
        <v>300.19138819183456</v>
      </c>
      <c r="E1152" s="2"/>
      <c r="F1152" s="2"/>
      <c r="G1152" s="2"/>
      <c r="H1152" s="2"/>
      <c r="I1152" s="21"/>
      <c r="J1152" s="21"/>
      <c r="K1152" s="21"/>
    </row>
    <row r="1153" spans="1:11" ht="15.5" x14ac:dyDescent="0.35">
      <c r="A1153" s="472" t="s">
        <v>888</v>
      </c>
      <c r="B1153" s="473">
        <v>2042</v>
      </c>
      <c r="C1153" s="473" t="str">
        <f t="shared" si="30"/>
        <v>Mono_2042</v>
      </c>
      <c r="D1153" s="474">
        <v>298.83039563689164</v>
      </c>
      <c r="E1153" s="2"/>
      <c r="F1153" s="2"/>
      <c r="G1153" s="2"/>
      <c r="H1153" s="2"/>
      <c r="I1153" s="21"/>
      <c r="J1153" s="21"/>
      <c r="K1153" s="21"/>
    </row>
    <row r="1154" spans="1:11" ht="15.5" x14ac:dyDescent="0.35">
      <c r="A1154" s="472" t="s">
        <v>888</v>
      </c>
      <c r="B1154" s="473">
        <v>2043</v>
      </c>
      <c r="C1154" s="473" t="str">
        <f t="shared" si="30"/>
        <v>Mono_2043</v>
      </c>
      <c r="D1154" s="474">
        <v>297.68309469131782</v>
      </c>
      <c r="E1154" s="2"/>
      <c r="F1154" s="2"/>
      <c r="G1154" s="2"/>
      <c r="H1154" s="2"/>
      <c r="I1154" s="21"/>
      <c r="J1154" s="21"/>
      <c r="K1154" s="21"/>
    </row>
    <row r="1155" spans="1:11" ht="15.5" x14ac:dyDescent="0.35">
      <c r="A1155" s="472" t="s">
        <v>888</v>
      </c>
      <c r="B1155" s="473">
        <v>2044</v>
      </c>
      <c r="C1155" s="473" t="str">
        <f t="shared" si="30"/>
        <v>Mono_2044</v>
      </c>
      <c r="D1155" s="474">
        <v>296.73337894789387</v>
      </c>
      <c r="E1155" s="2"/>
      <c r="F1155" s="2"/>
      <c r="G1155" s="2"/>
      <c r="H1155" s="2"/>
      <c r="I1155" s="21"/>
      <c r="J1155" s="21"/>
      <c r="K1155" s="21"/>
    </row>
    <row r="1156" spans="1:11" ht="15.5" x14ac:dyDescent="0.35">
      <c r="A1156" s="472" t="s">
        <v>888</v>
      </c>
      <c r="B1156" s="473">
        <v>2045</v>
      </c>
      <c r="C1156" s="473" t="str">
        <f t="shared" si="30"/>
        <v>Mono_2045</v>
      </c>
      <c r="D1156" s="474">
        <v>295.91866326336418</v>
      </c>
      <c r="E1156" s="2"/>
      <c r="F1156" s="2"/>
      <c r="G1156" s="2"/>
      <c r="H1156" s="2"/>
      <c r="I1156" s="21"/>
      <c r="J1156" s="21"/>
      <c r="K1156" s="21"/>
    </row>
    <row r="1157" spans="1:11" ht="15.5" x14ac:dyDescent="0.35">
      <c r="A1157" s="472" t="s">
        <v>888</v>
      </c>
      <c r="B1157" s="473">
        <v>2046</v>
      </c>
      <c r="C1157" s="473" t="str">
        <f t="shared" si="30"/>
        <v>Mono_2046</v>
      </c>
      <c r="D1157" s="474">
        <v>295.22551510558037</v>
      </c>
      <c r="E1157" s="2"/>
      <c r="F1157" s="2"/>
      <c r="G1157" s="2"/>
      <c r="H1157" s="2"/>
      <c r="I1157" s="21"/>
      <c r="J1157" s="21"/>
      <c r="K1157" s="21"/>
    </row>
    <row r="1158" spans="1:11" ht="15.5" x14ac:dyDescent="0.35">
      <c r="A1158" s="472" t="s">
        <v>888</v>
      </c>
      <c r="B1158" s="473">
        <v>2047</v>
      </c>
      <c r="C1158" s="473" t="str">
        <f t="shared" si="30"/>
        <v>Mono_2047</v>
      </c>
      <c r="D1158" s="474">
        <v>294.64405999350743</v>
      </c>
      <c r="E1158" s="2"/>
      <c r="F1158" s="2"/>
      <c r="G1158" s="2"/>
      <c r="H1158" s="2"/>
      <c r="I1158" s="21"/>
      <c r="J1158" s="21"/>
      <c r="K1158" s="21"/>
    </row>
    <row r="1159" spans="1:11" ht="15.5" x14ac:dyDescent="0.35">
      <c r="A1159" s="472" t="s">
        <v>888</v>
      </c>
      <c r="B1159" s="473">
        <v>2048</v>
      </c>
      <c r="C1159" s="473" t="str">
        <f t="shared" si="30"/>
        <v>Mono_2048</v>
      </c>
      <c r="D1159" s="474">
        <v>294.16299606610335</v>
      </c>
      <c r="E1159" s="2"/>
      <c r="F1159" s="2"/>
      <c r="G1159" s="2"/>
      <c r="H1159" s="2"/>
      <c r="I1159" s="21"/>
      <c r="J1159" s="21"/>
      <c r="K1159" s="21"/>
    </row>
    <row r="1160" spans="1:11" ht="15.5" x14ac:dyDescent="0.35">
      <c r="A1160" s="472" t="s">
        <v>888</v>
      </c>
      <c r="B1160" s="473">
        <v>2049</v>
      </c>
      <c r="C1160" s="473" t="str">
        <f t="shared" si="30"/>
        <v>Mono_2049</v>
      </c>
      <c r="D1160" s="474">
        <v>293.73884233450042</v>
      </c>
      <c r="E1160" s="2"/>
      <c r="F1160" s="2"/>
      <c r="G1160" s="2"/>
      <c r="H1160" s="2"/>
      <c r="I1160" s="21"/>
      <c r="J1160" s="21"/>
      <c r="K1160" s="21"/>
    </row>
    <row r="1161" spans="1:11" ht="15.5" x14ac:dyDescent="0.35">
      <c r="A1161" s="472" t="s">
        <v>888</v>
      </c>
      <c r="B1161" s="473">
        <v>2050</v>
      </c>
      <c r="C1161" s="473" t="str">
        <f t="shared" si="30"/>
        <v>Mono_2050</v>
      </c>
      <c r="D1161" s="474">
        <v>293.419114547258</v>
      </c>
      <c r="E1161" s="2"/>
      <c r="F1161" s="2"/>
      <c r="G1161" s="2"/>
      <c r="H1161" s="2"/>
      <c r="I1161" s="21"/>
      <c r="J1161" s="21"/>
      <c r="K1161" s="21"/>
    </row>
    <row r="1162" spans="1:11" ht="15.5" x14ac:dyDescent="0.35">
      <c r="A1162" s="468" t="s">
        <v>891</v>
      </c>
      <c r="B1162" s="469">
        <v>2015</v>
      </c>
      <c r="C1162" s="470" t="s">
        <v>892</v>
      </c>
      <c r="D1162" s="471">
        <v>548.22250621603405</v>
      </c>
      <c r="E1162" s="2"/>
      <c r="F1162" s="2"/>
      <c r="G1162" s="2"/>
      <c r="H1162" s="2"/>
      <c r="I1162" s="21"/>
      <c r="J1162" s="21"/>
      <c r="K1162" s="21"/>
    </row>
    <row r="1163" spans="1:11" ht="15.5" x14ac:dyDescent="0.35">
      <c r="A1163" s="468" t="s">
        <v>891</v>
      </c>
      <c r="B1163" s="469">
        <v>2016</v>
      </c>
      <c r="C1163" s="470" t="s">
        <v>893</v>
      </c>
      <c r="D1163" s="471">
        <v>537.53161355599957</v>
      </c>
      <c r="E1163" s="2"/>
      <c r="F1163" s="2"/>
      <c r="G1163" s="2"/>
      <c r="H1163" s="2"/>
      <c r="I1163" s="21"/>
      <c r="J1163" s="21"/>
      <c r="K1163" s="21"/>
    </row>
    <row r="1164" spans="1:11" ht="15.5" x14ac:dyDescent="0.35">
      <c r="A1164" s="472" t="s">
        <v>891</v>
      </c>
      <c r="B1164" s="473">
        <v>2017</v>
      </c>
      <c r="C1164" s="473" t="str">
        <f t="shared" ref="C1164:C1227" si="31">CONCATENATE(A1164,"_",B1164)</f>
        <v>Monterey_2017</v>
      </c>
      <c r="D1164" s="474">
        <v>525.05806876350061</v>
      </c>
      <c r="E1164" s="2"/>
      <c r="F1164" s="2"/>
      <c r="G1164" s="2"/>
      <c r="H1164" s="2"/>
      <c r="I1164" s="21"/>
      <c r="J1164" s="21"/>
      <c r="K1164" s="21"/>
    </row>
    <row r="1165" spans="1:11" ht="15.5" x14ac:dyDescent="0.35">
      <c r="A1165" s="472" t="s">
        <v>891</v>
      </c>
      <c r="B1165" s="473">
        <v>2018</v>
      </c>
      <c r="C1165" s="473" t="str">
        <f t="shared" si="31"/>
        <v>Monterey_2018</v>
      </c>
      <c r="D1165" s="474">
        <v>511.81078016866826</v>
      </c>
      <c r="E1165" s="2"/>
      <c r="F1165" s="2"/>
      <c r="G1165" s="2"/>
      <c r="H1165" s="2"/>
      <c r="I1165" s="21"/>
      <c r="J1165" s="21"/>
      <c r="K1165" s="21"/>
    </row>
    <row r="1166" spans="1:11" ht="15.5" x14ac:dyDescent="0.35">
      <c r="A1166" s="472" t="s">
        <v>891</v>
      </c>
      <c r="B1166" s="473">
        <v>2019</v>
      </c>
      <c r="C1166" s="473" t="str">
        <f t="shared" si="31"/>
        <v>Monterey_2019</v>
      </c>
      <c r="D1166" s="474">
        <v>498.08940905010616</v>
      </c>
      <c r="E1166" s="2"/>
      <c r="F1166" s="2"/>
      <c r="G1166" s="2"/>
      <c r="H1166" s="2"/>
      <c r="I1166" s="21"/>
      <c r="J1166" s="21"/>
      <c r="K1166" s="21"/>
    </row>
    <row r="1167" spans="1:11" ht="15.5" x14ac:dyDescent="0.35">
      <c r="A1167" s="472" t="s">
        <v>891</v>
      </c>
      <c r="B1167" s="473">
        <v>2020</v>
      </c>
      <c r="C1167" s="473" t="str">
        <f t="shared" si="31"/>
        <v>Monterey_2020</v>
      </c>
      <c r="D1167" s="474">
        <v>484.09469255041</v>
      </c>
      <c r="E1167" s="2"/>
      <c r="F1167" s="2"/>
      <c r="G1167" s="2"/>
      <c r="H1167" s="2"/>
      <c r="I1167" s="21"/>
      <c r="J1167" s="21"/>
      <c r="K1167" s="21"/>
    </row>
    <row r="1168" spans="1:11" ht="15.5" x14ac:dyDescent="0.35">
      <c r="A1168" s="472" t="s">
        <v>891</v>
      </c>
      <c r="B1168" s="473">
        <v>2021</v>
      </c>
      <c r="C1168" s="473" t="str">
        <f t="shared" si="31"/>
        <v>Monterey_2021</v>
      </c>
      <c r="D1168" s="474">
        <v>469.37640678546347</v>
      </c>
      <c r="E1168" s="2"/>
      <c r="F1168" s="2"/>
      <c r="G1168" s="2"/>
      <c r="H1168" s="2"/>
      <c r="I1168" s="21"/>
      <c r="J1168" s="21"/>
      <c r="K1168" s="21"/>
    </row>
    <row r="1169" spans="1:11" ht="15.5" x14ac:dyDescent="0.35">
      <c r="A1169" s="472" t="s">
        <v>891</v>
      </c>
      <c r="B1169" s="473">
        <v>2022</v>
      </c>
      <c r="C1169" s="473" t="str">
        <f t="shared" si="31"/>
        <v>Monterey_2022</v>
      </c>
      <c r="D1169" s="474">
        <v>455.41127540138558</v>
      </c>
      <c r="E1169" s="2"/>
      <c r="F1169" s="2"/>
      <c r="G1169" s="2"/>
      <c r="H1169" s="2"/>
      <c r="I1169" s="21"/>
      <c r="J1169" s="21"/>
      <c r="K1169" s="21"/>
    </row>
    <row r="1170" spans="1:11" ht="15.5" x14ac:dyDescent="0.35">
      <c r="A1170" s="472" t="s">
        <v>891</v>
      </c>
      <c r="B1170" s="473">
        <v>2023</v>
      </c>
      <c r="C1170" s="473" t="str">
        <f t="shared" si="31"/>
        <v>Monterey_2023</v>
      </c>
      <c r="D1170" s="474">
        <v>441.55341739790168</v>
      </c>
      <c r="E1170" s="2"/>
      <c r="F1170" s="2"/>
      <c r="G1170" s="2"/>
      <c r="H1170" s="2"/>
      <c r="I1170" s="21"/>
      <c r="J1170" s="21"/>
      <c r="K1170" s="21"/>
    </row>
    <row r="1171" spans="1:11" ht="15.5" x14ac:dyDescent="0.35">
      <c r="A1171" s="472" t="s">
        <v>891</v>
      </c>
      <c r="B1171" s="473">
        <v>2024</v>
      </c>
      <c r="C1171" s="473" t="str">
        <f t="shared" si="31"/>
        <v>Monterey_2024</v>
      </c>
      <c r="D1171" s="474">
        <v>427.8623401645001</v>
      </c>
      <c r="E1171" s="2"/>
      <c r="F1171" s="2"/>
      <c r="G1171" s="2"/>
      <c r="H1171" s="2"/>
      <c r="I1171" s="21"/>
      <c r="J1171" s="21"/>
      <c r="K1171" s="21"/>
    </row>
    <row r="1172" spans="1:11" ht="15.5" x14ac:dyDescent="0.35">
      <c r="A1172" s="472" t="s">
        <v>891</v>
      </c>
      <c r="B1172" s="473">
        <v>2025</v>
      </c>
      <c r="C1172" s="473" t="str">
        <f t="shared" si="31"/>
        <v>Monterey_2025</v>
      </c>
      <c r="D1172" s="474">
        <v>414.3730344698447</v>
      </c>
      <c r="E1172" s="2"/>
      <c r="F1172" s="2"/>
      <c r="G1172" s="2"/>
      <c r="H1172" s="2"/>
      <c r="I1172" s="21"/>
      <c r="J1172" s="21"/>
      <c r="K1172" s="21"/>
    </row>
    <row r="1173" spans="1:11" ht="15.5" x14ac:dyDescent="0.35">
      <c r="A1173" s="472" t="s">
        <v>891</v>
      </c>
      <c r="B1173" s="473">
        <v>2026</v>
      </c>
      <c r="C1173" s="473" t="str">
        <f t="shared" si="31"/>
        <v>Monterey_2026</v>
      </c>
      <c r="D1173" s="474">
        <v>400.98669770348943</v>
      </c>
      <c r="E1173" s="2"/>
      <c r="F1173" s="2"/>
      <c r="G1173" s="2"/>
      <c r="H1173" s="2"/>
      <c r="I1173" s="21"/>
      <c r="J1173" s="21"/>
      <c r="K1173" s="21"/>
    </row>
    <row r="1174" spans="1:11" ht="15.5" x14ac:dyDescent="0.35">
      <c r="A1174" s="472" t="s">
        <v>891</v>
      </c>
      <c r="B1174" s="473">
        <v>2027</v>
      </c>
      <c r="C1174" s="473" t="str">
        <f t="shared" si="31"/>
        <v>Monterey_2027</v>
      </c>
      <c r="D1174" s="474">
        <v>389.48747216894293</v>
      </c>
      <c r="E1174" s="2"/>
      <c r="F1174" s="2"/>
      <c r="G1174" s="2"/>
      <c r="H1174" s="2"/>
      <c r="I1174" s="21"/>
      <c r="J1174" s="21"/>
      <c r="K1174" s="21"/>
    </row>
    <row r="1175" spans="1:11" ht="15.5" x14ac:dyDescent="0.35">
      <c r="A1175" s="472" t="s">
        <v>891</v>
      </c>
      <c r="B1175" s="473">
        <v>2028</v>
      </c>
      <c r="C1175" s="473" t="str">
        <f t="shared" si="31"/>
        <v>Monterey_2028</v>
      </c>
      <c r="D1175" s="474">
        <v>378.99847121786757</v>
      </c>
      <c r="E1175" s="2"/>
      <c r="F1175" s="2"/>
      <c r="G1175" s="2"/>
      <c r="H1175" s="2"/>
      <c r="I1175" s="21"/>
      <c r="J1175" s="21"/>
      <c r="K1175" s="21"/>
    </row>
    <row r="1176" spans="1:11" ht="15.5" x14ac:dyDescent="0.35">
      <c r="A1176" s="472" t="s">
        <v>891</v>
      </c>
      <c r="B1176" s="473">
        <v>2029</v>
      </c>
      <c r="C1176" s="473" t="str">
        <f t="shared" si="31"/>
        <v>Monterey_2029</v>
      </c>
      <c r="D1176" s="474">
        <v>369.48399356478785</v>
      </c>
      <c r="E1176" s="2"/>
      <c r="F1176" s="2"/>
      <c r="G1176" s="2"/>
      <c r="H1176" s="2"/>
      <c r="I1176" s="21"/>
      <c r="J1176" s="21"/>
      <c r="K1176" s="21"/>
    </row>
    <row r="1177" spans="1:11" ht="15.5" x14ac:dyDescent="0.35">
      <c r="A1177" s="472" t="s">
        <v>891</v>
      </c>
      <c r="B1177" s="473">
        <v>2030</v>
      </c>
      <c r="C1177" s="473" t="str">
        <f t="shared" si="31"/>
        <v>Monterey_2030</v>
      </c>
      <c r="D1177" s="474">
        <v>360.90457870018287</v>
      </c>
      <c r="E1177" s="2"/>
      <c r="F1177" s="2"/>
      <c r="G1177" s="2"/>
      <c r="H1177" s="2"/>
      <c r="I1177" s="21"/>
      <c r="J1177" s="21"/>
      <c r="K1177" s="21"/>
    </row>
    <row r="1178" spans="1:11" ht="15.5" x14ac:dyDescent="0.35">
      <c r="A1178" s="472" t="s">
        <v>891</v>
      </c>
      <c r="B1178" s="473">
        <v>2031</v>
      </c>
      <c r="C1178" s="473" t="str">
        <f t="shared" si="31"/>
        <v>Monterey_2031</v>
      </c>
      <c r="D1178" s="474">
        <v>353.20330090772001</v>
      </c>
      <c r="E1178" s="2"/>
      <c r="F1178" s="2"/>
      <c r="G1178" s="2"/>
      <c r="H1178" s="2"/>
      <c r="I1178" s="21"/>
      <c r="J1178" s="21"/>
      <c r="K1178" s="21"/>
    </row>
    <row r="1179" spans="1:11" ht="15.5" x14ac:dyDescent="0.35">
      <c r="A1179" s="472" t="s">
        <v>891</v>
      </c>
      <c r="B1179" s="473">
        <v>2032</v>
      </c>
      <c r="C1179" s="473" t="str">
        <f t="shared" si="31"/>
        <v>Monterey_2032</v>
      </c>
      <c r="D1179" s="474">
        <v>346.31835944532463</v>
      </c>
      <c r="E1179" s="2"/>
      <c r="F1179" s="2"/>
      <c r="G1179" s="2"/>
      <c r="H1179" s="2"/>
      <c r="I1179" s="21"/>
      <c r="J1179" s="21"/>
      <c r="K1179" s="21"/>
    </row>
    <row r="1180" spans="1:11" ht="15.5" x14ac:dyDescent="0.35">
      <c r="A1180" s="472" t="s">
        <v>891</v>
      </c>
      <c r="B1180" s="473">
        <v>2033</v>
      </c>
      <c r="C1180" s="473" t="str">
        <f t="shared" si="31"/>
        <v>Monterey_2033</v>
      </c>
      <c r="D1180" s="474">
        <v>340.18150640184427</v>
      </c>
      <c r="E1180" s="2"/>
      <c r="F1180" s="2"/>
      <c r="G1180" s="2"/>
      <c r="H1180" s="2"/>
      <c r="I1180" s="21"/>
      <c r="J1180" s="21"/>
      <c r="K1180" s="21"/>
    </row>
    <row r="1181" spans="1:11" ht="15.5" x14ac:dyDescent="0.35">
      <c r="A1181" s="472" t="s">
        <v>891</v>
      </c>
      <c r="B1181" s="473">
        <v>2034</v>
      </c>
      <c r="C1181" s="473" t="str">
        <f t="shared" si="31"/>
        <v>Monterey_2034</v>
      </c>
      <c r="D1181" s="474">
        <v>334.73600480191203</v>
      </c>
      <c r="E1181" s="2"/>
      <c r="F1181" s="2"/>
      <c r="G1181" s="2"/>
      <c r="H1181" s="2"/>
      <c r="I1181" s="21"/>
      <c r="J1181" s="21"/>
      <c r="K1181" s="21"/>
    </row>
    <row r="1182" spans="1:11" ht="15.5" x14ac:dyDescent="0.35">
      <c r="A1182" s="472" t="s">
        <v>891</v>
      </c>
      <c r="B1182" s="473">
        <v>2035</v>
      </c>
      <c r="C1182" s="473" t="str">
        <f t="shared" si="31"/>
        <v>Monterey_2035</v>
      </c>
      <c r="D1182" s="474">
        <v>329.91460109520381</v>
      </c>
      <c r="E1182" s="2"/>
      <c r="F1182" s="2"/>
      <c r="G1182" s="2"/>
      <c r="H1182" s="2"/>
      <c r="I1182" s="21"/>
      <c r="J1182" s="21"/>
      <c r="K1182" s="21"/>
    </row>
    <row r="1183" spans="1:11" ht="15.5" x14ac:dyDescent="0.35">
      <c r="A1183" s="472" t="s">
        <v>891</v>
      </c>
      <c r="B1183" s="473">
        <v>2036</v>
      </c>
      <c r="C1183" s="473" t="str">
        <f t="shared" si="31"/>
        <v>Monterey_2036</v>
      </c>
      <c r="D1183" s="474">
        <v>325.67240631166533</v>
      </c>
      <c r="E1183" s="2"/>
      <c r="F1183" s="2"/>
      <c r="G1183" s="2"/>
      <c r="H1183" s="2"/>
      <c r="I1183" s="21"/>
      <c r="J1183" s="21"/>
      <c r="K1183" s="21"/>
    </row>
    <row r="1184" spans="1:11" ht="15.5" x14ac:dyDescent="0.35">
      <c r="A1184" s="472" t="s">
        <v>891</v>
      </c>
      <c r="B1184" s="473">
        <v>2037</v>
      </c>
      <c r="C1184" s="473" t="str">
        <f t="shared" si="31"/>
        <v>Monterey_2037</v>
      </c>
      <c r="D1184" s="474">
        <v>321.99017305889538</v>
      </c>
      <c r="E1184" s="2"/>
      <c r="F1184" s="2"/>
      <c r="G1184" s="2"/>
      <c r="H1184" s="2"/>
      <c r="I1184" s="21"/>
      <c r="J1184" s="21"/>
      <c r="K1184" s="21"/>
    </row>
    <row r="1185" spans="1:11" ht="15.5" x14ac:dyDescent="0.35">
      <c r="A1185" s="472" t="s">
        <v>891</v>
      </c>
      <c r="B1185" s="473">
        <v>2038</v>
      </c>
      <c r="C1185" s="473" t="str">
        <f t="shared" si="31"/>
        <v>Monterey_2038</v>
      </c>
      <c r="D1185" s="474">
        <v>318.80494510811286</v>
      </c>
      <c r="E1185" s="2"/>
      <c r="F1185" s="2"/>
      <c r="G1185" s="2"/>
      <c r="H1185" s="2"/>
      <c r="I1185" s="21"/>
      <c r="J1185" s="21"/>
      <c r="K1185" s="21"/>
    </row>
    <row r="1186" spans="1:11" ht="15.5" x14ac:dyDescent="0.35">
      <c r="A1186" s="472" t="s">
        <v>891</v>
      </c>
      <c r="B1186" s="473">
        <v>2039</v>
      </c>
      <c r="C1186" s="473" t="str">
        <f t="shared" si="31"/>
        <v>Monterey_2039</v>
      </c>
      <c r="D1186" s="474">
        <v>316.05065009732914</v>
      </c>
      <c r="E1186" s="2"/>
      <c r="F1186" s="2"/>
      <c r="G1186" s="2"/>
      <c r="H1186" s="2"/>
      <c r="I1186" s="21"/>
      <c r="J1186" s="21"/>
      <c r="K1186" s="21"/>
    </row>
    <row r="1187" spans="1:11" ht="15.5" x14ac:dyDescent="0.35">
      <c r="A1187" s="472" t="s">
        <v>891</v>
      </c>
      <c r="B1187" s="473">
        <v>2040</v>
      </c>
      <c r="C1187" s="473" t="str">
        <f t="shared" si="31"/>
        <v>Monterey_2040</v>
      </c>
      <c r="D1187" s="474">
        <v>313.68897753769124</v>
      </c>
      <c r="E1187" s="2"/>
      <c r="F1187" s="2"/>
      <c r="G1187" s="2"/>
      <c r="H1187" s="2"/>
      <c r="I1187" s="21"/>
      <c r="J1187" s="21"/>
      <c r="K1187" s="21"/>
    </row>
    <row r="1188" spans="1:11" ht="15.5" x14ac:dyDescent="0.35">
      <c r="A1188" s="472" t="s">
        <v>891</v>
      </c>
      <c r="B1188" s="473">
        <v>2041</v>
      </c>
      <c r="C1188" s="473" t="str">
        <f t="shared" si="31"/>
        <v>Monterey_2041</v>
      </c>
      <c r="D1188" s="474">
        <v>311.69540343158957</v>
      </c>
      <c r="E1188" s="2"/>
      <c r="F1188" s="2"/>
      <c r="G1188" s="2"/>
      <c r="H1188" s="2"/>
      <c r="I1188" s="21"/>
      <c r="J1188" s="21"/>
      <c r="K1188" s="21"/>
    </row>
    <row r="1189" spans="1:11" ht="15.5" x14ac:dyDescent="0.35">
      <c r="A1189" s="472" t="s">
        <v>891</v>
      </c>
      <c r="B1189" s="473">
        <v>2042</v>
      </c>
      <c r="C1189" s="473" t="str">
        <f t="shared" si="31"/>
        <v>Monterey_2042</v>
      </c>
      <c r="D1189" s="474">
        <v>309.9885927825448</v>
      </c>
      <c r="E1189" s="2"/>
      <c r="F1189" s="2"/>
      <c r="G1189" s="2"/>
      <c r="H1189" s="2"/>
      <c r="I1189" s="21"/>
      <c r="J1189" s="21"/>
      <c r="K1189" s="21"/>
    </row>
    <row r="1190" spans="1:11" ht="15.5" x14ac:dyDescent="0.35">
      <c r="A1190" s="472" t="s">
        <v>891</v>
      </c>
      <c r="B1190" s="473">
        <v>2043</v>
      </c>
      <c r="C1190" s="473" t="str">
        <f t="shared" si="31"/>
        <v>Monterey_2043</v>
      </c>
      <c r="D1190" s="474">
        <v>308.55092000955068</v>
      </c>
      <c r="E1190" s="2"/>
      <c r="F1190" s="2"/>
      <c r="G1190" s="2"/>
      <c r="H1190" s="2"/>
      <c r="I1190" s="21"/>
      <c r="J1190" s="21"/>
      <c r="K1190" s="21"/>
    </row>
    <row r="1191" spans="1:11" ht="15.5" x14ac:dyDescent="0.35">
      <c r="A1191" s="472" t="s">
        <v>891</v>
      </c>
      <c r="B1191" s="473">
        <v>2044</v>
      </c>
      <c r="C1191" s="473" t="str">
        <f t="shared" si="31"/>
        <v>Monterey_2044</v>
      </c>
      <c r="D1191" s="474">
        <v>307.32419361531458</v>
      </c>
      <c r="E1191" s="2"/>
      <c r="F1191" s="2"/>
      <c r="G1191" s="2"/>
      <c r="H1191" s="2"/>
      <c r="I1191" s="21"/>
      <c r="J1191" s="21"/>
      <c r="K1191" s="21"/>
    </row>
    <row r="1192" spans="1:11" ht="15.5" x14ac:dyDescent="0.35">
      <c r="A1192" s="472" t="s">
        <v>891</v>
      </c>
      <c r="B1192" s="473">
        <v>2045</v>
      </c>
      <c r="C1192" s="473" t="str">
        <f t="shared" si="31"/>
        <v>Monterey_2045</v>
      </c>
      <c r="D1192" s="474">
        <v>306.26176781474061</v>
      </c>
      <c r="E1192" s="2"/>
      <c r="F1192" s="2"/>
      <c r="G1192" s="2"/>
      <c r="H1192" s="2"/>
      <c r="I1192" s="21"/>
      <c r="J1192" s="21"/>
      <c r="K1192" s="21"/>
    </row>
    <row r="1193" spans="1:11" ht="15.5" x14ac:dyDescent="0.35">
      <c r="A1193" s="472" t="s">
        <v>891</v>
      </c>
      <c r="B1193" s="473">
        <v>2046</v>
      </c>
      <c r="C1193" s="473" t="str">
        <f t="shared" si="31"/>
        <v>Monterey_2046</v>
      </c>
      <c r="D1193" s="474">
        <v>305.34569890003621</v>
      </c>
      <c r="E1193" s="2"/>
      <c r="F1193" s="2"/>
      <c r="G1193" s="2"/>
      <c r="H1193" s="2"/>
      <c r="I1193" s="21"/>
      <c r="J1193" s="21"/>
      <c r="K1193" s="21"/>
    </row>
    <row r="1194" spans="1:11" ht="15.5" x14ac:dyDescent="0.35">
      <c r="A1194" s="472" t="s">
        <v>891</v>
      </c>
      <c r="B1194" s="473">
        <v>2047</v>
      </c>
      <c r="C1194" s="473" t="str">
        <f t="shared" si="31"/>
        <v>Monterey_2047</v>
      </c>
      <c r="D1194" s="474">
        <v>304.58683879668439</v>
      </c>
      <c r="E1194" s="2"/>
      <c r="F1194" s="2"/>
      <c r="G1194" s="2"/>
      <c r="H1194" s="2"/>
      <c r="I1194" s="21"/>
      <c r="J1194" s="21"/>
      <c r="K1194" s="21"/>
    </row>
    <row r="1195" spans="1:11" ht="15.5" x14ac:dyDescent="0.35">
      <c r="A1195" s="472" t="s">
        <v>891</v>
      </c>
      <c r="B1195" s="473">
        <v>2048</v>
      </c>
      <c r="C1195" s="473" t="str">
        <f t="shared" si="31"/>
        <v>Monterey_2048</v>
      </c>
      <c r="D1195" s="474">
        <v>303.94243519475572</v>
      </c>
      <c r="E1195" s="2"/>
      <c r="F1195" s="2"/>
      <c r="G1195" s="2"/>
      <c r="H1195" s="2"/>
      <c r="I1195" s="21"/>
      <c r="J1195" s="21"/>
      <c r="K1195" s="21"/>
    </row>
    <row r="1196" spans="1:11" ht="15.5" x14ac:dyDescent="0.35">
      <c r="A1196" s="472" t="s">
        <v>891</v>
      </c>
      <c r="B1196" s="473">
        <v>2049</v>
      </c>
      <c r="C1196" s="473" t="str">
        <f t="shared" si="31"/>
        <v>Monterey_2049</v>
      </c>
      <c r="D1196" s="474">
        <v>303.39397551261408</v>
      </c>
      <c r="E1196" s="2"/>
      <c r="F1196" s="2"/>
      <c r="G1196" s="2"/>
      <c r="H1196" s="2"/>
      <c r="I1196" s="21"/>
      <c r="J1196" s="21"/>
      <c r="K1196" s="21"/>
    </row>
    <row r="1197" spans="1:11" ht="15.5" x14ac:dyDescent="0.35">
      <c r="A1197" s="472" t="s">
        <v>891</v>
      </c>
      <c r="B1197" s="473">
        <v>2050</v>
      </c>
      <c r="C1197" s="473" t="str">
        <f t="shared" si="31"/>
        <v>Monterey_2050</v>
      </c>
      <c r="D1197" s="474">
        <v>302.9578950502235</v>
      </c>
      <c r="E1197" s="2"/>
      <c r="F1197" s="2"/>
      <c r="G1197" s="2"/>
      <c r="H1197" s="2"/>
      <c r="I1197" s="21"/>
      <c r="J1197" s="21"/>
      <c r="K1197" s="21"/>
    </row>
    <row r="1198" spans="1:11" ht="15.5" x14ac:dyDescent="0.35">
      <c r="A1198" s="475" t="s">
        <v>894</v>
      </c>
      <c r="B1198" s="476">
        <v>2015</v>
      </c>
      <c r="C1198" s="476" t="str">
        <f t="shared" si="31"/>
        <v>Mountain Counties_2015</v>
      </c>
      <c r="D1198" s="471">
        <v>529.42148289598606</v>
      </c>
      <c r="E1198" s="2"/>
      <c r="F1198" s="2"/>
      <c r="G1198" s="2"/>
      <c r="H1198" s="2"/>
      <c r="I1198" s="21"/>
      <c r="J1198" s="21"/>
      <c r="K1198" s="21"/>
    </row>
    <row r="1199" spans="1:11" ht="15.5" x14ac:dyDescent="0.35">
      <c r="A1199" s="475" t="s">
        <v>894</v>
      </c>
      <c r="B1199" s="476">
        <v>2016</v>
      </c>
      <c r="C1199" s="476" t="str">
        <f t="shared" si="31"/>
        <v>Mountain Counties_2016</v>
      </c>
      <c r="D1199" s="471">
        <v>520.36158597072836</v>
      </c>
      <c r="E1199" s="2"/>
      <c r="F1199" s="2"/>
      <c r="G1199" s="2"/>
      <c r="H1199" s="2"/>
      <c r="I1199" s="21"/>
      <c r="J1199" s="21"/>
      <c r="K1199" s="21"/>
    </row>
    <row r="1200" spans="1:11" ht="15.5" x14ac:dyDescent="0.35">
      <c r="A1200" s="477" t="s">
        <v>894</v>
      </c>
      <c r="B1200" s="478">
        <v>2017</v>
      </c>
      <c r="C1200" s="478" t="str">
        <f t="shared" si="31"/>
        <v>Mountain Counties_2017</v>
      </c>
      <c r="D1200" s="474">
        <v>508.88250496862844</v>
      </c>
      <c r="E1200" s="2"/>
      <c r="F1200" s="2"/>
      <c r="G1200" s="2"/>
      <c r="H1200" s="2"/>
      <c r="I1200" s="21"/>
      <c r="J1200" s="21"/>
      <c r="K1200" s="21"/>
    </row>
    <row r="1201" spans="1:11" ht="15.5" x14ac:dyDescent="0.35">
      <c r="A1201" s="477" t="s">
        <v>894</v>
      </c>
      <c r="B1201" s="478">
        <v>2018</v>
      </c>
      <c r="C1201" s="478" t="str">
        <f t="shared" si="31"/>
        <v>Mountain Counties_2018</v>
      </c>
      <c r="D1201" s="474">
        <v>496.25544476980008</v>
      </c>
      <c r="E1201" s="2"/>
      <c r="F1201" s="2"/>
      <c r="G1201" s="2"/>
      <c r="H1201" s="2"/>
      <c r="I1201" s="21"/>
      <c r="J1201" s="21"/>
      <c r="K1201" s="21"/>
    </row>
    <row r="1202" spans="1:11" ht="15.5" x14ac:dyDescent="0.35">
      <c r="A1202" s="477" t="s">
        <v>894</v>
      </c>
      <c r="B1202" s="478">
        <v>2019</v>
      </c>
      <c r="C1202" s="478" t="str">
        <f t="shared" si="31"/>
        <v>Mountain Counties_2019</v>
      </c>
      <c r="D1202" s="474">
        <v>482.24913495358516</v>
      </c>
      <c r="E1202" s="2"/>
      <c r="F1202" s="2"/>
      <c r="G1202" s="2"/>
      <c r="H1202" s="2"/>
      <c r="I1202" s="21"/>
      <c r="J1202" s="21"/>
      <c r="K1202" s="21"/>
    </row>
    <row r="1203" spans="1:11" ht="15.5" x14ac:dyDescent="0.35">
      <c r="A1203" s="477" t="s">
        <v>894</v>
      </c>
      <c r="B1203" s="478">
        <v>2020</v>
      </c>
      <c r="C1203" s="478" t="str">
        <f t="shared" si="31"/>
        <v>Mountain Counties_2020</v>
      </c>
      <c r="D1203" s="474">
        <v>468.64744599227174</v>
      </c>
      <c r="E1203" s="2"/>
      <c r="F1203" s="2"/>
      <c r="G1203" s="2"/>
      <c r="H1203" s="2"/>
      <c r="I1203" s="21"/>
      <c r="J1203" s="21"/>
      <c r="K1203" s="21"/>
    </row>
    <row r="1204" spans="1:11" ht="15.5" x14ac:dyDescent="0.35">
      <c r="A1204" s="477" t="s">
        <v>894</v>
      </c>
      <c r="B1204" s="478">
        <v>2021</v>
      </c>
      <c r="C1204" s="478" t="str">
        <f t="shared" si="31"/>
        <v>Mountain Counties_2021</v>
      </c>
      <c r="D1204" s="474">
        <v>454.74397311553884</v>
      </c>
      <c r="E1204" s="2"/>
      <c r="F1204" s="2"/>
      <c r="G1204" s="2"/>
      <c r="H1204" s="2"/>
      <c r="I1204" s="21"/>
      <c r="J1204" s="21"/>
      <c r="K1204" s="21"/>
    </row>
    <row r="1205" spans="1:11" ht="15.5" x14ac:dyDescent="0.35">
      <c r="A1205" s="477" t="s">
        <v>894</v>
      </c>
      <c r="B1205" s="478">
        <v>2022</v>
      </c>
      <c r="C1205" s="478" t="str">
        <f t="shared" si="31"/>
        <v>Mountain Counties_2022</v>
      </c>
      <c r="D1205" s="474">
        <v>440.881616634659</v>
      </c>
      <c r="E1205" s="2"/>
      <c r="F1205" s="2"/>
      <c r="G1205" s="2"/>
      <c r="H1205" s="2"/>
      <c r="I1205" s="21"/>
      <c r="J1205" s="21"/>
      <c r="K1205" s="21"/>
    </row>
    <row r="1206" spans="1:11" ht="15.5" x14ac:dyDescent="0.35">
      <c r="A1206" s="477" t="s">
        <v>894</v>
      </c>
      <c r="B1206" s="478">
        <v>2023</v>
      </c>
      <c r="C1206" s="478" t="str">
        <f t="shared" si="31"/>
        <v>Mountain Counties_2023</v>
      </c>
      <c r="D1206" s="474">
        <v>427.10632211445994</v>
      </c>
      <c r="E1206" s="2"/>
      <c r="F1206" s="2"/>
      <c r="G1206" s="2"/>
      <c r="H1206" s="2"/>
      <c r="I1206" s="21"/>
      <c r="J1206" s="21"/>
      <c r="K1206" s="21"/>
    </row>
    <row r="1207" spans="1:11" ht="15.5" x14ac:dyDescent="0.35">
      <c r="A1207" s="477" t="s">
        <v>894</v>
      </c>
      <c r="B1207" s="478">
        <v>2024</v>
      </c>
      <c r="C1207" s="478" t="str">
        <f t="shared" si="31"/>
        <v>Mountain Counties_2024</v>
      </c>
      <c r="D1207" s="474">
        <v>413.47318914430139</v>
      </c>
      <c r="E1207" s="2"/>
      <c r="F1207" s="2"/>
      <c r="G1207" s="2"/>
      <c r="H1207" s="2"/>
      <c r="I1207" s="21"/>
      <c r="J1207" s="21"/>
      <c r="K1207" s="21"/>
    </row>
    <row r="1208" spans="1:11" ht="15.5" x14ac:dyDescent="0.35">
      <c r="A1208" s="477" t="s">
        <v>894</v>
      </c>
      <c r="B1208" s="478">
        <v>2025</v>
      </c>
      <c r="C1208" s="478" t="str">
        <f t="shared" si="31"/>
        <v>Mountain Counties_2025</v>
      </c>
      <c r="D1208" s="474">
        <v>400.08172870073105</v>
      </c>
      <c r="E1208" s="2"/>
      <c r="F1208" s="2"/>
      <c r="G1208" s="2"/>
      <c r="H1208" s="2"/>
      <c r="I1208" s="21"/>
      <c r="J1208" s="21"/>
      <c r="K1208" s="21"/>
    </row>
    <row r="1209" spans="1:11" ht="15.5" x14ac:dyDescent="0.35">
      <c r="A1209" s="477" t="s">
        <v>894</v>
      </c>
      <c r="B1209" s="478">
        <v>2026</v>
      </c>
      <c r="C1209" s="478" t="str">
        <f t="shared" si="31"/>
        <v>Mountain Counties_2026</v>
      </c>
      <c r="D1209" s="474">
        <v>387.72170705505471</v>
      </c>
      <c r="E1209" s="2"/>
      <c r="F1209" s="2"/>
      <c r="G1209" s="2"/>
      <c r="H1209" s="2"/>
      <c r="I1209" s="21"/>
      <c r="J1209" s="21"/>
      <c r="K1209" s="21"/>
    </row>
    <row r="1210" spans="1:11" ht="15.5" x14ac:dyDescent="0.35">
      <c r="A1210" s="477" t="s">
        <v>894</v>
      </c>
      <c r="B1210" s="478">
        <v>2027</v>
      </c>
      <c r="C1210" s="478" t="str">
        <f t="shared" si="31"/>
        <v>Mountain Counties_2027</v>
      </c>
      <c r="D1210" s="474">
        <v>376.27092507799711</v>
      </c>
      <c r="E1210" s="2"/>
      <c r="F1210" s="2"/>
      <c r="G1210" s="2"/>
      <c r="H1210" s="2"/>
      <c r="I1210" s="21"/>
      <c r="J1210" s="21"/>
      <c r="K1210" s="21"/>
    </row>
    <row r="1211" spans="1:11" ht="15.5" x14ac:dyDescent="0.35">
      <c r="A1211" s="477" t="s">
        <v>894</v>
      </c>
      <c r="B1211" s="478">
        <v>2028</v>
      </c>
      <c r="C1211" s="478" t="str">
        <f t="shared" si="31"/>
        <v>Mountain Counties_2028</v>
      </c>
      <c r="D1211" s="474">
        <v>365.80993563731795</v>
      </c>
      <c r="E1211" s="2"/>
      <c r="F1211" s="2"/>
      <c r="G1211" s="2"/>
      <c r="H1211" s="2"/>
      <c r="I1211" s="21"/>
      <c r="J1211" s="21"/>
      <c r="K1211" s="21"/>
    </row>
    <row r="1212" spans="1:11" ht="15.5" x14ac:dyDescent="0.35">
      <c r="A1212" s="477" t="s">
        <v>894</v>
      </c>
      <c r="B1212" s="478">
        <v>2029</v>
      </c>
      <c r="C1212" s="478" t="str">
        <f t="shared" si="31"/>
        <v>Mountain Counties_2029</v>
      </c>
      <c r="D1212" s="474">
        <v>356.29482183633331</v>
      </c>
      <c r="E1212" s="2"/>
      <c r="F1212" s="2"/>
      <c r="G1212" s="2"/>
      <c r="H1212" s="2"/>
      <c r="I1212" s="21"/>
      <c r="J1212" s="21"/>
      <c r="K1212" s="21"/>
    </row>
    <row r="1213" spans="1:11" ht="15.5" x14ac:dyDescent="0.35">
      <c r="A1213" s="477" t="s">
        <v>894</v>
      </c>
      <c r="B1213" s="478">
        <v>2030</v>
      </c>
      <c r="C1213" s="478" t="str">
        <f t="shared" si="31"/>
        <v>Mountain Counties_2030</v>
      </c>
      <c r="D1213" s="474">
        <v>347.69501534671588</v>
      </c>
      <c r="E1213" s="2"/>
      <c r="F1213" s="2"/>
      <c r="G1213" s="2"/>
      <c r="H1213" s="2"/>
      <c r="I1213" s="21"/>
      <c r="J1213" s="21"/>
      <c r="K1213" s="21"/>
    </row>
    <row r="1214" spans="1:11" ht="15.5" x14ac:dyDescent="0.35">
      <c r="A1214" s="477" t="s">
        <v>894</v>
      </c>
      <c r="B1214" s="478">
        <v>2031</v>
      </c>
      <c r="C1214" s="478" t="str">
        <f t="shared" si="31"/>
        <v>Mountain Counties_2031</v>
      </c>
      <c r="D1214" s="474">
        <v>339.9662029802256</v>
      </c>
      <c r="E1214" s="2"/>
      <c r="F1214" s="2"/>
      <c r="G1214" s="2"/>
      <c r="H1214" s="2"/>
      <c r="I1214" s="21"/>
      <c r="J1214" s="21"/>
      <c r="K1214" s="21"/>
    </row>
    <row r="1215" spans="1:11" ht="15.5" x14ac:dyDescent="0.35">
      <c r="A1215" s="477" t="s">
        <v>894</v>
      </c>
      <c r="B1215" s="478">
        <v>2032</v>
      </c>
      <c r="C1215" s="478" t="str">
        <f t="shared" si="31"/>
        <v>Mountain Counties_2032</v>
      </c>
      <c r="D1215" s="474">
        <v>333.08415997414619</v>
      </c>
      <c r="E1215" s="2"/>
      <c r="F1215" s="2"/>
      <c r="G1215" s="2"/>
      <c r="H1215" s="2"/>
      <c r="I1215" s="21"/>
      <c r="J1215" s="21"/>
      <c r="K1215" s="21"/>
    </row>
    <row r="1216" spans="1:11" ht="15.5" x14ac:dyDescent="0.35">
      <c r="A1216" s="477" t="s">
        <v>894</v>
      </c>
      <c r="B1216" s="478">
        <v>2033</v>
      </c>
      <c r="C1216" s="478" t="str">
        <f t="shared" si="31"/>
        <v>Mountain Counties_2033</v>
      </c>
      <c r="D1216" s="474">
        <v>326.96950816637815</v>
      </c>
      <c r="E1216" s="2"/>
      <c r="F1216" s="2"/>
      <c r="G1216" s="2"/>
      <c r="H1216" s="2"/>
      <c r="I1216" s="21"/>
      <c r="J1216" s="21"/>
      <c r="K1216" s="21"/>
    </row>
    <row r="1217" spans="1:11" ht="15.5" x14ac:dyDescent="0.35">
      <c r="A1217" s="477" t="s">
        <v>894</v>
      </c>
      <c r="B1217" s="478">
        <v>2034</v>
      </c>
      <c r="C1217" s="478" t="str">
        <f t="shared" si="31"/>
        <v>Mountain Counties_2034</v>
      </c>
      <c r="D1217" s="474">
        <v>321.54618362254138</v>
      </c>
      <c r="E1217" s="2"/>
      <c r="F1217" s="2"/>
      <c r="G1217" s="2"/>
      <c r="H1217" s="2"/>
      <c r="I1217" s="21"/>
      <c r="J1217" s="21"/>
      <c r="K1217" s="21"/>
    </row>
    <row r="1218" spans="1:11" ht="15.5" x14ac:dyDescent="0.35">
      <c r="A1218" s="477" t="s">
        <v>894</v>
      </c>
      <c r="B1218" s="478">
        <v>2035</v>
      </c>
      <c r="C1218" s="478" t="str">
        <f t="shared" si="31"/>
        <v>Mountain Counties_2035</v>
      </c>
      <c r="D1218" s="474">
        <v>316.77956474115592</v>
      </c>
      <c r="E1218" s="2"/>
      <c r="F1218" s="2"/>
      <c r="G1218" s="2"/>
      <c r="H1218" s="2"/>
      <c r="I1218" s="21"/>
      <c r="J1218" s="21"/>
      <c r="K1218" s="21"/>
    </row>
    <row r="1219" spans="1:11" ht="15.5" x14ac:dyDescent="0.35">
      <c r="A1219" s="477" t="s">
        <v>894</v>
      </c>
      <c r="B1219" s="478">
        <v>2036</v>
      </c>
      <c r="C1219" s="478" t="str">
        <f t="shared" si="31"/>
        <v>Mountain Counties_2036</v>
      </c>
      <c r="D1219" s="474">
        <v>312.62316729600269</v>
      </c>
      <c r="E1219" s="2"/>
      <c r="F1219" s="2"/>
      <c r="G1219" s="2"/>
      <c r="H1219" s="2"/>
      <c r="I1219" s="21"/>
      <c r="J1219" s="21"/>
      <c r="K1219" s="21"/>
    </row>
    <row r="1220" spans="1:11" ht="15.5" x14ac:dyDescent="0.35">
      <c r="A1220" s="477" t="s">
        <v>894</v>
      </c>
      <c r="B1220" s="478">
        <v>2037</v>
      </c>
      <c r="C1220" s="478" t="str">
        <f t="shared" si="31"/>
        <v>Mountain Counties_2037</v>
      </c>
      <c r="D1220" s="474">
        <v>309.01462921944227</v>
      </c>
      <c r="E1220" s="2"/>
      <c r="F1220" s="2"/>
      <c r="G1220" s="2"/>
      <c r="H1220" s="2"/>
      <c r="I1220" s="21"/>
      <c r="J1220" s="21"/>
      <c r="K1220" s="21"/>
    </row>
    <row r="1221" spans="1:11" ht="15.5" x14ac:dyDescent="0.35">
      <c r="A1221" s="477" t="s">
        <v>894</v>
      </c>
      <c r="B1221" s="478">
        <v>2038</v>
      </c>
      <c r="C1221" s="478" t="str">
        <f t="shared" si="31"/>
        <v>Mountain Counties_2038</v>
      </c>
      <c r="D1221" s="474">
        <v>305.91304898188906</v>
      </c>
      <c r="E1221" s="2"/>
      <c r="F1221" s="2"/>
      <c r="G1221" s="2"/>
      <c r="H1221" s="2"/>
      <c r="I1221" s="21"/>
      <c r="J1221" s="21"/>
      <c r="K1221" s="21"/>
    </row>
    <row r="1222" spans="1:11" ht="15.5" x14ac:dyDescent="0.35">
      <c r="A1222" s="477" t="s">
        <v>894</v>
      </c>
      <c r="B1222" s="478">
        <v>2039</v>
      </c>
      <c r="C1222" s="478" t="str">
        <f t="shared" si="31"/>
        <v>Mountain Counties_2039</v>
      </c>
      <c r="D1222" s="474">
        <v>303.23195795633649</v>
      </c>
      <c r="E1222" s="2"/>
      <c r="F1222" s="2"/>
      <c r="G1222" s="2"/>
      <c r="H1222" s="2"/>
      <c r="I1222" s="21"/>
      <c r="J1222" s="21"/>
      <c r="K1222" s="21"/>
    </row>
    <row r="1223" spans="1:11" ht="15.5" x14ac:dyDescent="0.35">
      <c r="A1223" s="477" t="s">
        <v>894</v>
      </c>
      <c r="B1223" s="478">
        <v>2040</v>
      </c>
      <c r="C1223" s="478" t="str">
        <f t="shared" si="31"/>
        <v>Mountain Counties_2040</v>
      </c>
      <c r="D1223" s="474">
        <v>300.92404194613721</v>
      </c>
      <c r="E1223" s="2"/>
      <c r="F1223" s="2"/>
      <c r="G1223" s="2"/>
      <c r="H1223" s="2"/>
      <c r="I1223" s="21"/>
      <c r="J1223" s="21"/>
      <c r="K1223" s="21"/>
    </row>
    <row r="1224" spans="1:11" ht="15.5" x14ac:dyDescent="0.35">
      <c r="A1224" s="477" t="s">
        <v>894</v>
      </c>
      <c r="B1224" s="478">
        <v>2041</v>
      </c>
      <c r="C1224" s="478" t="str">
        <f t="shared" si="31"/>
        <v>Mountain Counties_2041</v>
      </c>
      <c r="D1224" s="474">
        <v>298.97222594190271</v>
      </c>
      <c r="E1224" s="2"/>
      <c r="F1224" s="2"/>
      <c r="G1224" s="2"/>
      <c r="H1224" s="2"/>
      <c r="I1224" s="21"/>
      <c r="J1224" s="21"/>
      <c r="K1224" s="21"/>
    </row>
    <row r="1225" spans="1:11" ht="15.5" x14ac:dyDescent="0.35">
      <c r="A1225" s="477" t="s">
        <v>894</v>
      </c>
      <c r="B1225" s="478">
        <v>2042</v>
      </c>
      <c r="C1225" s="478" t="str">
        <f t="shared" si="31"/>
        <v>Mountain Counties_2042</v>
      </c>
      <c r="D1225" s="474">
        <v>297.28130410853015</v>
      </c>
      <c r="E1225" s="2"/>
      <c r="F1225" s="2"/>
      <c r="G1225" s="2"/>
      <c r="H1225" s="2"/>
      <c r="I1225" s="21"/>
      <c r="J1225" s="21"/>
      <c r="K1225" s="21"/>
    </row>
    <row r="1226" spans="1:11" ht="15.5" x14ac:dyDescent="0.35">
      <c r="A1226" s="477" t="s">
        <v>894</v>
      </c>
      <c r="B1226" s="478">
        <v>2043</v>
      </c>
      <c r="C1226" s="478" t="str">
        <f t="shared" si="31"/>
        <v>Mountain Counties_2043</v>
      </c>
      <c r="D1226" s="474">
        <v>295.83686875842454</v>
      </c>
      <c r="E1226" s="2"/>
      <c r="F1226" s="2"/>
      <c r="G1226" s="2"/>
      <c r="H1226" s="2"/>
      <c r="I1226" s="21"/>
      <c r="J1226" s="21"/>
      <c r="K1226" s="21"/>
    </row>
    <row r="1227" spans="1:11" ht="15.5" x14ac:dyDescent="0.35">
      <c r="A1227" s="477" t="s">
        <v>894</v>
      </c>
      <c r="B1227" s="478">
        <v>2044</v>
      </c>
      <c r="C1227" s="478" t="str">
        <f t="shared" si="31"/>
        <v>Mountain Counties_2044</v>
      </c>
      <c r="D1227" s="474">
        <v>294.57900281300255</v>
      </c>
      <c r="E1227" s="2"/>
      <c r="F1227" s="2"/>
      <c r="G1227" s="2"/>
      <c r="H1227" s="2"/>
      <c r="I1227" s="21"/>
      <c r="J1227" s="21"/>
      <c r="K1227" s="21"/>
    </row>
    <row r="1228" spans="1:11" ht="15.5" x14ac:dyDescent="0.35">
      <c r="A1228" s="477" t="s">
        <v>894</v>
      </c>
      <c r="B1228" s="478">
        <v>2045</v>
      </c>
      <c r="C1228" s="478" t="str">
        <f t="shared" ref="C1228:C1233" si="32">CONCATENATE(A1228,"_",B1228)</f>
        <v>Mountain Counties_2045</v>
      </c>
      <c r="D1228" s="474">
        <v>293.47099776255789</v>
      </c>
      <c r="E1228" s="2"/>
      <c r="F1228" s="2"/>
      <c r="G1228" s="2"/>
      <c r="H1228" s="2"/>
      <c r="I1228" s="21"/>
      <c r="J1228" s="21"/>
      <c r="K1228" s="21"/>
    </row>
    <row r="1229" spans="1:11" ht="15.5" x14ac:dyDescent="0.35">
      <c r="A1229" s="477" t="s">
        <v>894</v>
      </c>
      <c r="B1229" s="478">
        <v>2046</v>
      </c>
      <c r="C1229" s="478" t="str">
        <f t="shared" si="32"/>
        <v>Mountain Counties_2046</v>
      </c>
      <c r="D1229" s="474">
        <v>292.51152654767321</v>
      </c>
      <c r="E1229" s="2"/>
      <c r="F1229" s="2"/>
      <c r="G1229" s="2"/>
      <c r="H1229" s="2"/>
      <c r="I1229" s="21"/>
      <c r="J1229" s="21"/>
      <c r="K1229" s="21"/>
    </row>
    <row r="1230" spans="1:11" ht="15.5" x14ac:dyDescent="0.35">
      <c r="A1230" s="477" t="s">
        <v>894</v>
      </c>
      <c r="B1230" s="478">
        <v>2047</v>
      </c>
      <c r="C1230" s="478" t="str">
        <f t="shared" si="32"/>
        <v>Mountain Counties_2047</v>
      </c>
      <c r="D1230" s="474">
        <v>291.68500245292165</v>
      </c>
      <c r="E1230" s="2"/>
      <c r="F1230" s="2"/>
      <c r="G1230" s="2"/>
      <c r="H1230" s="2"/>
      <c r="I1230" s="21"/>
      <c r="J1230" s="21"/>
      <c r="K1230" s="21"/>
    </row>
    <row r="1231" spans="1:11" ht="15.5" x14ac:dyDescent="0.35">
      <c r="A1231" s="477" t="s">
        <v>894</v>
      </c>
      <c r="B1231" s="478">
        <v>2048</v>
      </c>
      <c r="C1231" s="478" t="str">
        <f t="shared" si="32"/>
        <v>Mountain Counties_2048</v>
      </c>
      <c r="D1231" s="474">
        <v>290.9748550185351</v>
      </c>
      <c r="E1231" s="2"/>
      <c r="F1231" s="2"/>
      <c r="G1231" s="2"/>
      <c r="H1231" s="2"/>
      <c r="I1231" s="21"/>
      <c r="J1231" s="21"/>
      <c r="K1231" s="21"/>
    </row>
    <row r="1232" spans="1:11" ht="15.5" x14ac:dyDescent="0.35">
      <c r="A1232" s="477" t="s">
        <v>894</v>
      </c>
      <c r="B1232" s="478">
        <v>2049</v>
      </c>
      <c r="C1232" s="478" t="str">
        <f t="shared" si="32"/>
        <v>Mountain Counties_2049</v>
      </c>
      <c r="D1232" s="474">
        <v>290.36219295121026</v>
      </c>
      <c r="E1232" s="2"/>
      <c r="F1232" s="2"/>
      <c r="G1232" s="2"/>
      <c r="H1232" s="2"/>
      <c r="I1232" s="21"/>
      <c r="J1232" s="21"/>
      <c r="K1232" s="21"/>
    </row>
    <row r="1233" spans="1:11" ht="15.5" x14ac:dyDescent="0.35">
      <c r="A1233" s="477" t="s">
        <v>894</v>
      </c>
      <c r="B1233" s="478">
        <v>2050</v>
      </c>
      <c r="C1233" s="478" t="str">
        <f t="shared" si="32"/>
        <v>Mountain Counties_2050</v>
      </c>
      <c r="D1233" s="474">
        <v>289.83239799694286</v>
      </c>
      <c r="E1233" s="2"/>
      <c r="F1233" s="2"/>
      <c r="G1233" s="2"/>
      <c r="H1233" s="2"/>
      <c r="I1233" s="21"/>
      <c r="J1233" s="21"/>
      <c r="K1233" s="21"/>
    </row>
    <row r="1234" spans="1:11" ht="15.5" x14ac:dyDescent="0.35">
      <c r="A1234" s="468" t="s">
        <v>895</v>
      </c>
      <c r="B1234" s="469">
        <v>2015</v>
      </c>
      <c r="C1234" s="470" t="s">
        <v>896</v>
      </c>
      <c r="D1234" s="471">
        <v>493.26864492762775</v>
      </c>
      <c r="E1234" s="2"/>
      <c r="F1234" s="2"/>
      <c r="G1234" s="2"/>
      <c r="H1234" s="2"/>
      <c r="I1234" s="21"/>
      <c r="J1234" s="21"/>
      <c r="K1234" s="21"/>
    </row>
    <row r="1235" spans="1:11" ht="15.5" x14ac:dyDescent="0.35">
      <c r="A1235" s="468" t="s">
        <v>895</v>
      </c>
      <c r="B1235" s="469">
        <v>2016</v>
      </c>
      <c r="C1235" s="470" t="s">
        <v>897</v>
      </c>
      <c r="D1235" s="471">
        <v>483.64054988910635</v>
      </c>
      <c r="E1235" s="2"/>
      <c r="F1235" s="2"/>
      <c r="G1235" s="2"/>
      <c r="H1235" s="2"/>
      <c r="I1235" s="21"/>
      <c r="J1235" s="21"/>
      <c r="K1235" s="21"/>
    </row>
    <row r="1236" spans="1:11" ht="15.5" x14ac:dyDescent="0.35">
      <c r="A1236" s="472" t="s">
        <v>895</v>
      </c>
      <c r="B1236" s="473">
        <v>2017</v>
      </c>
      <c r="C1236" s="473" t="str">
        <f t="shared" ref="C1236:C1269" si="33">CONCATENATE(A1236,"_",B1236)</f>
        <v>Napa_2017</v>
      </c>
      <c r="D1236" s="474">
        <v>471.55245151843599</v>
      </c>
      <c r="E1236" s="2"/>
      <c r="F1236" s="2"/>
      <c r="G1236" s="2"/>
      <c r="H1236" s="2"/>
      <c r="I1236" s="21"/>
      <c r="J1236" s="21"/>
      <c r="K1236" s="21"/>
    </row>
    <row r="1237" spans="1:11" ht="15.5" x14ac:dyDescent="0.35">
      <c r="A1237" s="472" t="s">
        <v>895</v>
      </c>
      <c r="B1237" s="473">
        <v>2018</v>
      </c>
      <c r="C1237" s="473" t="str">
        <f t="shared" si="33"/>
        <v>Napa_2018</v>
      </c>
      <c r="D1237" s="474">
        <v>459.00815926911883</v>
      </c>
      <c r="E1237" s="2"/>
      <c r="F1237" s="2"/>
      <c r="G1237" s="2"/>
      <c r="H1237" s="2"/>
      <c r="I1237" s="21"/>
      <c r="J1237" s="21"/>
      <c r="K1237" s="21"/>
    </row>
    <row r="1238" spans="1:11" ht="15.5" x14ac:dyDescent="0.35">
      <c r="A1238" s="472" t="s">
        <v>895</v>
      </c>
      <c r="B1238" s="473">
        <v>2019</v>
      </c>
      <c r="C1238" s="473" t="str">
        <f t="shared" si="33"/>
        <v>Napa_2019</v>
      </c>
      <c r="D1238" s="474">
        <v>446.12115079122708</v>
      </c>
      <c r="E1238" s="2"/>
      <c r="F1238" s="2"/>
      <c r="G1238" s="2"/>
      <c r="H1238" s="2"/>
      <c r="I1238" s="21"/>
      <c r="J1238" s="21"/>
      <c r="K1238" s="21"/>
    </row>
    <row r="1239" spans="1:11" ht="15.5" x14ac:dyDescent="0.35">
      <c r="A1239" s="472" t="s">
        <v>895</v>
      </c>
      <c r="B1239" s="473">
        <v>2020</v>
      </c>
      <c r="C1239" s="473" t="str">
        <f t="shared" si="33"/>
        <v>Napa_2020</v>
      </c>
      <c r="D1239" s="474">
        <v>433.04007515715028</v>
      </c>
      <c r="E1239" s="2"/>
      <c r="F1239" s="2"/>
      <c r="G1239" s="2"/>
      <c r="H1239" s="2"/>
      <c r="I1239" s="21"/>
      <c r="J1239" s="21"/>
      <c r="K1239" s="21"/>
    </row>
    <row r="1240" spans="1:11" ht="15.5" x14ac:dyDescent="0.35">
      <c r="A1240" s="472" t="s">
        <v>895</v>
      </c>
      <c r="B1240" s="473">
        <v>2021</v>
      </c>
      <c r="C1240" s="473" t="str">
        <f t="shared" si="33"/>
        <v>Napa_2021</v>
      </c>
      <c r="D1240" s="474">
        <v>419.81550419263402</v>
      </c>
      <c r="E1240" s="2"/>
      <c r="F1240" s="2"/>
      <c r="G1240" s="2"/>
      <c r="H1240" s="2"/>
      <c r="I1240" s="21"/>
      <c r="J1240" s="21"/>
      <c r="K1240" s="21"/>
    </row>
    <row r="1241" spans="1:11" ht="15.5" x14ac:dyDescent="0.35">
      <c r="A1241" s="472" t="s">
        <v>895</v>
      </c>
      <c r="B1241" s="473">
        <v>2022</v>
      </c>
      <c r="C1241" s="473" t="str">
        <f t="shared" si="33"/>
        <v>Napa_2022</v>
      </c>
      <c r="D1241" s="474">
        <v>406.80884787316688</v>
      </c>
      <c r="E1241" s="2"/>
      <c r="F1241" s="2"/>
      <c r="G1241" s="2"/>
      <c r="H1241" s="2"/>
      <c r="I1241" s="21"/>
      <c r="J1241" s="21"/>
      <c r="K1241" s="21"/>
    </row>
    <row r="1242" spans="1:11" ht="15.5" x14ac:dyDescent="0.35">
      <c r="A1242" s="472" t="s">
        <v>895</v>
      </c>
      <c r="B1242" s="473">
        <v>2023</v>
      </c>
      <c r="C1242" s="473" t="str">
        <f t="shared" si="33"/>
        <v>Napa_2023</v>
      </c>
      <c r="D1242" s="474">
        <v>393.9162311139383</v>
      </c>
      <c r="E1242" s="2"/>
      <c r="F1242" s="2"/>
      <c r="G1242" s="2"/>
      <c r="H1242" s="2"/>
      <c r="I1242" s="21"/>
      <c r="J1242" s="21"/>
      <c r="K1242" s="21"/>
    </row>
    <row r="1243" spans="1:11" ht="15.5" x14ac:dyDescent="0.35">
      <c r="A1243" s="472" t="s">
        <v>895</v>
      </c>
      <c r="B1243" s="473">
        <v>2024</v>
      </c>
      <c r="C1243" s="473" t="str">
        <f t="shared" si="33"/>
        <v>Napa_2024</v>
      </c>
      <c r="D1243" s="474">
        <v>381.23321969230869</v>
      </c>
      <c r="E1243" s="2"/>
      <c r="F1243" s="2"/>
      <c r="G1243" s="2"/>
      <c r="H1243" s="2"/>
      <c r="I1243" s="21"/>
      <c r="J1243" s="21"/>
      <c r="K1243" s="21"/>
    </row>
    <row r="1244" spans="1:11" ht="15.5" x14ac:dyDescent="0.35">
      <c r="A1244" s="472" t="s">
        <v>895</v>
      </c>
      <c r="B1244" s="473">
        <v>2025</v>
      </c>
      <c r="C1244" s="473" t="str">
        <f t="shared" si="33"/>
        <v>Napa_2025</v>
      </c>
      <c r="D1244" s="474">
        <v>368.73425332256483</v>
      </c>
      <c r="E1244" s="2"/>
      <c r="F1244" s="2"/>
      <c r="G1244" s="2"/>
      <c r="H1244" s="2"/>
      <c r="I1244" s="21"/>
      <c r="J1244" s="21"/>
      <c r="K1244" s="21"/>
    </row>
    <row r="1245" spans="1:11" ht="15.5" x14ac:dyDescent="0.35">
      <c r="A1245" s="472" t="s">
        <v>895</v>
      </c>
      <c r="B1245" s="473">
        <v>2026</v>
      </c>
      <c r="C1245" s="473" t="str">
        <f t="shared" si="33"/>
        <v>Napa_2026</v>
      </c>
      <c r="D1245" s="474">
        <v>357.32688081894304</v>
      </c>
      <c r="E1245" s="2"/>
      <c r="F1245" s="2"/>
      <c r="G1245" s="2"/>
      <c r="H1245" s="2"/>
      <c r="I1245" s="21"/>
      <c r="J1245" s="21"/>
      <c r="K1245" s="21"/>
    </row>
    <row r="1246" spans="1:11" ht="15.5" x14ac:dyDescent="0.35">
      <c r="A1246" s="472" t="s">
        <v>895</v>
      </c>
      <c r="B1246" s="473">
        <v>2027</v>
      </c>
      <c r="C1246" s="473" t="str">
        <f t="shared" si="33"/>
        <v>Napa_2027</v>
      </c>
      <c r="D1246" s="474">
        <v>346.89142930775722</v>
      </c>
      <c r="E1246" s="2"/>
      <c r="F1246" s="2"/>
      <c r="G1246" s="2"/>
      <c r="H1246" s="2"/>
      <c r="I1246" s="21"/>
      <c r="J1246" s="21"/>
      <c r="K1246" s="21"/>
    </row>
    <row r="1247" spans="1:11" ht="15.5" x14ac:dyDescent="0.35">
      <c r="A1247" s="472" t="s">
        <v>895</v>
      </c>
      <c r="B1247" s="473">
        <v>2028</v>
      </c>
      <c r="C1247" s="473" t="str">
        <f t="shared" si="33"/>
        <v>Napa_2028</v>
      </c>
      <c r="D1247" s="474">
        <v>337.47334625963003</v>
      </c>
      <c r="E1247" s="2"/>
      <c r="F1247" s="2"/>
      <c r="G1247" s="2"/>
      <c r="H1247" s="2"/>
      <c r="I1247" s="21"/>
      <c r="J1247" s="21"/>
      <c r="K1247" s="21"/>
    </row>
    <row r="1248" spans="1:11" ht="15.5" x14ac:dyDescent="0.35">
      <c r="A1248" s="472" t="s">
        <v>895</v>
      </c>
      <c r="B1248" s="473">
        <v>2029</v>
      </c>
      <c r="C1248" s="473" t="str">
        <f t="shared" si="33"/>
        <v>Napa_2029</v>
      </c>
      <c r="D1248" s="474">
        <v>329.02089613186678</v>
      </c>
      <c r="E1248" s="2"/>
      <c r="F1248" s="2"/>
      <c r="G1248" s="2"/>
      <c r="H1248" s="2"/>
      <c r="I1248" s="21"/>
      <c r="J1248" s="21"/>
      <c r="K1248" s="21"/>
    </row>
    <row r="1249" spans="1:11" ht="15.5" x14ac:dyDescent="0.35">
      <c r="A1249" s="472" t="s">
        <v>895</v>
      </c>
      <c r="B1249" s="473">
        <v>2030</v>
      </c>
      <c r="C1249" s="473" t="str">
        <f t="shared" si="33"/>
        <v>Napa_2030</v>
      </c>
      <c r="D1249" s="474">
        <v>321.48978148508797</v>
      </c>
      <c r="E1249" s="2"/>
      <c r="F1249" s="2"/>
      <c r="G1249" s="2"/>
      <c r="H1249" s="2"/>
      <c r="I1249" s="21"/>
      <c r="J1249" s="21"/>
      <c r="K1249" s="21"/>
    </row>
    <row r="1250" spans="1:11" ht="15.5" x14ac:dyDescent="0.35">
      <c r="A1250" s="472" t="s">
        <v>895</v>
      </c>
      <c r="B1250" s="473">
        <v>2031</v>
      </c>
      <c r="C1250" s="473" t="str">
        <f t="shared" si="33"/>
        <v>Napa_2031</v>
      </c>
      <c r="D1250" s="474">
        <v>314.80875594117015</v>
      </c>
      <c r="E1250" s="2"/>
      <c r="F1250" s="2"/>
      <c r="G1250" s="2"/>
      <c r="H1250" s="2"/>
      <c r="I1250" s="21"/>
      <c r="J1250" s="21"/>
      <c r="K1250" s="21"/>
    </row>
    <row r="1251" spans="1:11" ht="15.5" x14ac:dyDescent="0.35">
      <c r="A1251" s="472" t="s">
        <v>895</v>
      </c>
      <c r="B1251" s="473">
        <v>2032</v>
      </c>
      <c r="C1251" s="473" t="str">
        <f t="shared" si="33"/>
        <v>Napa_2032</v>
      </c>
      <c r="D1251" s="474">
        <v>308.90368691293617</v>
      </c>
      <c r="E1251" s="2"/>
      <c r="F1251" s="2"/>
      <c r="G1251" s="2"/>
      <c r="H1251" s="2"/>
      <c r="I1251" s="21"/>
      <c r="J1251" s="21"/>
      <c r="K1251" s="21"/>
    </row>
    <row r="1252" spans="1:11" ht="15.5" x14ac:dyDescent="0.35">
      <c r="A1252" s="472" t="s">
        <v>895</v>
      </c>
      <c r="B1252" s="473">
        <v>2033</v>
      </c>
      <c r="C1252" s="473" t="str">
        <f t="shared" si="33"/>
        <v>Napa_2033</v>
      </c>
      <c r="D1252" s="474">
        <v>303.7175452384011</v>
      </c>
      <c r="E1252" s="2"/>
      <c r="F1252" s="2"/>
      <c r="G1252" s="2"/>
      <c r="H1252" s="2"/>
      <c r="I1252" s="21"/>
      <c r="J1252" s="21"/>
      <c r="K1252" s="21"/>
    </row>
    <row r="1253" spans="1:11" ht="15.5" x14ac:dyDescent="0.35">
      <c r="A1253" s="472" t="s">
        <v>895</v>
      </c>
      <c r="B1253" s="473">
        <v>2034</v>
      </c>
      <c r="C1253" s="473" t="str">
        <f t="shared" si="33"/>
        <v>Napa_2034</v>
      </c>
      <c r="D1253" s="474">
        <v>299.17515614887333</v>
      </c>
      <c r="E1253" s="2"/>
      <c r="F1253" s="2"/>
      <c r="G1253" s="2"/>
      <c r="H1253" s="2"/>
      <c r="I1253" s="21"/>
      <c r="J1253" s="21"/>
      <c r="K1253" s="21"/>
    </row>
    <row r="1254" spans="1:11" ht="15.5" x14ac:dyDescent="0.35">
      <c r="A1254" s="472" t="s">
        <v>895</v>
      </c>
      <c r="B1254" s="473">
        <v>2035</v>
      </c>
      <c r="C1254" s="473" t="str">
        <f t="shared" si="33"/>
        <v>Napa_2035</v>
      </c>
      <c r="D1254" s="474">
        <v>295.23106358541207</v>
      </c>
      <c r="E1254" s="2"/>
      <c r="F1254" s="2"/>
      <c r="G1254" s="2"/>
      <c r="H1254" s="2"/>
      <c r="I1254" s="21"/>
      <c r="J1254" s="21"/>
      <c r="K1254" s="21"/>
    </row>
    <row r="1255" spans="1:11" ht="15.5" x14ac:dyDescent="0.35">
      <c r="A1255" s="472" t="s">
        <v>895</v>
      </c>
      <c r="B1255" s="473">
        <v>2036</v>
      </c>
      <c r="C1255" s="473" t="str">
        <f t="shared" si="33"/>
        <v>Napa_2036</v>
      </c>
      <c r="D1255" s="474">
        <v>291.83472420952666</v>
      </c>
      <c r="E1255" s="2"/>
      <c r="F1255" s="2"/>
      <c r="G1255" s="2"/>
      <c r="H1255" s="2"/>
      <c r="I1255" s="21"/>
      <c r="J1255" s="21"/>
      <c r="K1255" s="21"/>
    </row>
    <row r="1256" spans="1:11" ht="15.5" x14ac:dyDescent="0.35">
      <c r="A1256" s="472" t="s">
        <v>895</v>
      </c>
      <c r="B1256" s="473">
        <v>2037</v>
      </c>
      <c r="C1256" s="473" t="str">
        <f t="shared" si="33"/>
        <v>Napa_2037</v>
      </c>
      <c r="D1256" s="474">
        <v>288.94109680478391</v>
      </c>
      <c r="E1256" s="2"/>
      <c r="F1256" s="2"/>
      <c r="G1256" s="2"/>
      <c r="H1256" s="2"/>
      <c r="I1256" s="21"/>
      <c r="J1256" s="21"/>
      <c r="K1256" s="21"/>
    </row>
    <row r="1257" spans="1:11" ht="15.5" x14ac:dyDescent="0.35">
      <c r="A1257" s="472" t="s">
        <v>895</v>
      </c>
      <c r="B1257" s="473">
        <v>2038</v>
      </c>
      <c r="C1257" s="473" t="str">
        <f t="shared" si="33"/>
        <v>Napa_2038</v>
      </c>
      <c r="D1257" s="474">
        <v>286.49582907231837</v>
      </c>
      <c r="E1257" s="2"/>
      <c r="F1257" s="2"/>
      <c r="G1257" s="2"/>
      <c r="H1257" s="2"/>
      <c r="I1257" s="21"/>
      <c r="J1257" s="21"/>
      <c r="K1257" s="21"/>
    </row>
    <row r="1258" spans="1:11" ht="15.5" x14ac:dyDescent="0.35">
      <c r="A1258" s="472" t="s">
        <v>895</v>
      </c>
      <c r="B1258" s="473">
        <v>2039</v>
      </c>
      <c r="C1258" s="473" t="str">
        <f t="shared" si="33"/>
        <v>Napa_2039</v>
      </c>
      <c r="D1258" s="474">
        <v>284.44222272458956</v>
      </c>
      <c r="E1258" s="2"/>
      <c r="F1258" s="2"/>
      <c r="G1258" s="2"/>
      <c r="H1258" s="2"/>
      <c r="I1258" s="21"/>
      <c r="J1258" s="21"/>
      <c r="K1258" s="21"/>
    </row>
    <row r="1259" spans="1:11" ht="15.5" x14ac:dyDescent="0.35">
      <c r="A1259" s="472" t="s">
        <v>895</v>
      </c>
      <c r="B1259" s="473">
        <v>2040</v>
      </c>
      <c r="C1259" s="473" t="str">
        <f t="shared" si="33"/>
        <v>Napa_2040</v>
      </c>
      <c r="D1259" s="474">
        <v>282.71327839005517</v>
      </c>
      <c r="E1259" s="2"/>
      <c r="F1259" s="2"/>
      <c r="G1259" s="2"/>
      <c r="H1259" s="2"/>
      <c r="I1259" s="21"/>
      <c r="J1259" s="21"/>
      <c r="K1259" s="21"/>
    </row>
    <row r="1260" spans="1:11" ht="15.5" x14ac:dyDescent="0.35">
      <c r="A1260" s="472" t="s">
        <v>895</v>
      </c>
      <c r="B1260" s="473">
        <v>2041</v>
      </c>
      <c r="C1260" s="473" t="str">
        <f t="shared" si="33"/>
        <v>Napa_2041</v>
      </c>
      <c r="D1260" s="474">
        <v>281.30115101066519</v>
      </c>
      <c r="E1260" s="2"/>
      <c r="F1260" s="2"/>
      <c r="G1260" s="2"/>
      <c r="H1260" s="2"/>
      <c r="I1260" s="21"/>
      <c r="J1260" s="21"/>
      <c r="K1260" s="21"/>
    </row>
    <row r="1261" spans="1:11" ht="15.5" x14ac:dyDescent="0.35">
      <c r="A1261" s="472" t="s">
        <v>895</v>
      </c>
      <c r="B1261" s="473">
        <v>2042</v>
      </c>
      <c r="C1261" s="473" t="str">
        <f t="shared" si="33"/>
        <v>Napa_2042</v>
      </c>
      <c r="D1261" s="474">
        <v>280.13979162041073</v>
      </c>
      <c r="E1261" s="2"/>
      <c r="F1261" s="2"/>
      <c r="G1261" s="2"/>
      <c r="H1261" s="2"/>
      <c r="I1261" s="21"/>
      <c r="J1261" s="21"/>
      <c r="K1261" s="21"/>
    </row>
    <row r="1262" spans="1:11" ht="15.5" x14ac:dyDescent="0.35">
      <c r="A1262" s="472" t="s">
        <v>895</v>
      </c>
      <c r="B1262" s="473">
        <v>2043</v>
      </c>
      <c r="C1262" s="473" t="str">
        <f t="shared" si="33"/>
        <v>Napa_2043</v>
      </c>
      <c r="D1262" s="474">
        <v>279.1858631366606</v>
      </c>
      <c r="E1262" s="2"/>
      <c r="F1262" s="2"/>
      <c r="G1262" s="2"/>
      <c r="H1262" s="2"/>
      <c r="I1262" s="21"/>
      <c r="J1262" s="21"/>
      <c r="K1262" s="21"/>
    </row>
    <row r="1263" spans="1:11" ht="15.5" x14ac:dyDescent="0.35">
      <c r="A1263" s="472" t="s">
        <v>895</v>
      </c>
      <c r="B1263" s="473">
        <v>2044</v>
      </c>
      <c r="C1263" s="473" t="str">
        <f t="shared" si="33"/>
        <v>Napa_2044</v>
      </c>
      <c r="D1263" s="474">
        <v>278.40086157950202</v>
      </c>
      <c r="E1263" s="2"/>
      <c r="F1263" s="2"/>
      <c r="G1263" s="2"/>
      <c r="H1263" s="2"/>
      <c r="I1263" s="21"/>
      <c r="J1263" s="21"/>
      <c r="K1263" s="21"/>
    </row>
    <row r="1264" spans="1:11" ht="15.5" x14ac:dyDescent="0.35">
      <c r="A1264" s="472" t="s">
        <v>895</v>
      </c>
      <c r="B1264" s="473">
        <v>2045</v>
      </c>
      <c r="C1264" s="473" t="str">
        <f t="shared" si="33"/>
        <v>Napa_2045</v>
      </c>
      <c r="D1264" s="474">
        <v>277.73604782929056</v>
      </c>
      <c r="E1264" s="2"/>
      <c r="F1264" s="2"/>
      <c r="G1264" s="2"/>
      <c r="H1264" s="2"/>
      <c r="I1264" s="21"/>
      <c r="J1264" s="21"/>
      <c r="K1264" s="21"/>
    </row>
    <row r="1265" spans="1:11" ht="15.5" x14ac:dyDescent="0.35">
      <c r="A1265" s="472" t="s">
        <v>895</v>
      </c>
      <c r="B1265" s="473">
        <v>2046</v>
      </c>
      <c r="C1265" s="473" t="str">
        <f t="shared" si="33"/>
        <v>Napa_2046</v>
      </c>
      <c r="D1265" s="474">
        <v>277.18719973557614</v>
      </c>
      <c r="E1265" s="2"/>
      <c r="F1265" s="2"/>
      <c r="G1265" s="2"/>
      <c r="H1265" s="2"/>
      <c r="I1265" s="21"/>
      <c r="J1265" s="21"/>
      <c r="K1265" s="21"/>
    </row>
    <row r="1266" spans="1:11" ht="15.5" x14ac:dyDescent="0.35">
      <c r="A1266" s="472" t="s">
        <v>895</v>
      </c>
      <c r="B1266" s="473">
        <v>2047</v>
      </c>
      <c r="C1266" s="473" t="str">
        <f t="shared" si="33"/>
        <v>Napa_2047</v>
      </c>
      <c r="D1266" s="474">
        <v>276.7280305242308</v>
      </c>
      <c r="E1266" s="2"/>
      <c r="F1266" s="2"/>
      <c r="G1266" s="2"/>
      <c r="H1266" s="2"/>
      <c r="I1266" s="21"/>
      <c r="J1266" s="21"/>
      <c r="K1266" s="21"/>
    </row>
    <row r="1267" spans="1:11" ht="15.5" x14ac:dyDescent="0.35">
      <c r="A1267" s="472" t="s">
        <v>895</v>
      </c>
      <c r="B1267" s="473">
        <v>2048</v>
      </c>
      <c r="C1267" s="473" t="str">
        <f t="shared" si="33"/>
        <v>Napa_2048</v>
      </c>
      <c r="D1267" s="474">
        <v>276.35369108434185</v>
      </c>
      <c r="E1267" s="2"/>
      <c r="F1267" s="2"/>
      <c r="G1267" s="2"/>
      <c r="H1267" s="2"/>
      <c r="I1267" s="21"/>
      <c r="J1267" s="21"/>
      <c r="K1267" s="21"/>
    </row>
    <row r="1268" spans="1:11" ht="15.5" x14ac:dyDescent="0.35">
      <c r="A1268" s="472" t="s">
        <v>895</v>
      </c>
      <c r="B1268" s="473">
        <v>2049</v>
      </c>
      <c r="C1268" s="473" t="str">
        <f t="shared" si="33"/>
        <v>Napa_2049</v>
      </c>
      <c r="D1268" s="474">
        <v>276.03810384391187</v>
      </c>
      <c r="E1268" s="2"/>
      <c r="F1268" s="2"/>
      <c r="G1268" s="2"/>
      <c r="H1268" s="2"/>
      <c r="I1268" s="21"/>
      <c r="J1268" s="21"/>
      <c r="K1268" s="21"/>
    </row>
    <row r="1269" spans="1:11" ht="15.5" x14ac:dyDescent="0.35">
      <c r="A1269" s="472" t="s">
        <v>895</v>
      </c>
      <c r="B1269" s="473">
        <v>2050</v>
      </c>
      <c r="C1269" s="473" t="str">
        <f t="shared" si="33"/>
        <v>Napa_2050</v>
      </c>
      <c r="D1269" s="474">
        <v>275.7896916534595</v>
      </c>
      <c r="E1269" s="2"/>
      <c r="F1269" s="2"/>
      <c r="G1269" s="2"/>
      <c r="H1269" s="2"/>
      <c r="I1269" s="21"/>
      <c r="J1269" s="21"/>
      <c r="K1269" s="21"/>
    </row>
    <row r="1270" spans="1:11" ht="15.5" x14ac:dyDescent="0.35">
      <c r="A1270" s="468" t="s">
        <v>898</v>
      </c>
      <c r="B1270" s="469">
        <v>2015</v>
      </c>
      <c r="C1270" s="470" t="s">
        <v>899</v>
      </c>
      <c r="D1270" s="471">
        <v>526.17394972336047</v>
      </c>
      <c r="E1270" s="2"/>
      <c r="F1270" s="2"/>
      <c r="G1270" s="2"/>
      <c r="H1270" s="2"/>
      <c r="I1270" s="21"/>
      <c r="J1270" s="21"/>
      <c r="K1270" s="21"/>
    </row>
    <row r="1271" spans="1:11" ht="15.5" x14ac:dyDescent="0.35">
      <c r="A1271" s="468" t="s">
        <v>898</v>
      </c>
      <c r="B1271" s="469">
        <v>2016</v>
      </c>
      <c r="C1271" s="470" t="s">
        <v>900</v>
      </c>
      <c r="D1271" s="471">
        <v>517.57062420643854</v>
      </c>
      <c r="E1271" s="2"/>
      <c r="F1271" s="2"/>
      <c r="G1271" s="2"/>
      <c r="H1271" s="2"/>
      <c r="I1271" s="21"/>
      <c r="J1271" s="21"/>
      <c r="K1271" s="21"/>
    </row>
    <row r="1272" spans="1:11" ht="15.5" x14ac:dyDescent="0.35">
      <c r="A1272" s="472" t="s">
        <v>898</v>
      </c>
      <c r="B1272" s="473">
        <v>2017</v>
      </c>
      <c r="C1272" s="473" t="str">
        <f t="shared" ref="C1272:C1335" si="34">CONCATENATE(A1272,"_",B1272)</f>
        <v>Nevada_2017</v>
      </c>
      <c r="D1272" s="474">
        <v>506.62128800518843</v>
      </c>
      <c r="E1272" s="2"/>
      <c r="F1272" s="2"/>
      <c r="G1272" s="2"/>
      <c r="H1272" s="2"/>
      <c r="I1272" s="21"/>
      <c r="J1272" s="21"/>
      <c r="K1272" s="21"/>
    </row>
    <row r="1273" spans="1:11" ht="15.5" x14ac:dyDescent="0.35">
      <c r="A1273" s="472" t="s">
        <v>898</v>
      </c>
      <c r="B1273" s="473">
        <v>2018</v>
      </c>
      <c r="C1273" s="473" t="str">
        <f t="shared" si="34"/>
        <v>Nevada_2018</v>
      </c>
      <c r="D1273" s="474">
        <v>494.84316054986647</v>
      </c>
      <c r="E1273" s="2"/>
      <c r="F1273" s="2"/>
      <c r="G1273" s="2"/>
      <c r="H1273" s="2"/>
      <c r="I1273" s="21"/>
      <c r="J1273" s="21"/>
      <c r="K1273" s="21"/>
    </row>
    <row r="1274" spans="1:11" ht="15.5" x14ac:dyDescent="0.35">
      <c r="A1274" s="472" t="s">
        <v>898</v>
      </c>
      <c r="B1274" s="473">
        <v>2019</v>
      </c>
      <c r="C1274" s="473" t="str">
        <f t="shared" si="34"/>
        <v>Nevada_2019</v>
      </c>
      <c r="D1274" s="474">
        <v>482.37493692674127</v>
      </c>
      <c r="E1274" s="2"/>
      <c r="F1274" s="2"/>
      <c r="G1274" s="2"/>
      <c r="H1274" s="2"/>
      <c r="I1274" s="21"/>
      <c r="J1274" s="21"/>
      <c r="K1274" s="21"/>
    </row>
    <row r="1275" spans="1:11" ht="15.5" x14ac:dyDescent="0.35">
      <c r="A1275" s="472" t="s">
        <v>898</v>
      </c>
      <c r="B1275" s="473">
        <v>2020</v>
      </c>
      <c r="C1275" s="473" t="str">
        <f t="shared" si="34"/>
        <v>Nevada_2020</v>
      </c>
      <c r="D1275" s="474">
        <v>469.42266911994398</v>
      </c>
      <c r="E1275" s="2"/>
      <c r="F1275" s="2"/>
      <c r="G1275" s="2"/>
      <c r="H1275" s="2"/>
      <c r="I1275" s="21"/>
      <c r="J1275" s="21"/>
      <c r="K1275" s="21"/>
    </row>
    <row r="1276" spans="1:11" ht="15.5" x14ac:dyDescent="0.35">
      <c r="A1276" s="472" t="s">
        <v>898</v>
      </c>
      <c r="B1276" s="473">
        <v>2021</v>
      </c>
      <c r="C1276" s="473" t="str">
        <f t="shared" si="34"/>
        <v>Nevada_2021</v>
      </c>
      <c r="D1276" s="474">
        <v>456.08875206950353</v>
      </c>
      <c r="E1276" s="2"/>
      <c r="F1276" s="2"/>
      <c r="G1276" s="2"/>
      <c r="H1276" s="2"/>
      <c r="I1276" s="21"/>
      <c r="J1276" s="21"/>
      <c r="K1276" s="21"/>
    </row>
    <row r="1277" spans="1:11" ht="15.5" x14ac:dyDescent="0.35">
      <c r="A1277" s="472" t="s">
        <v>898</v>
      </c>
      <c r="B1277" s="473">
        <v>2022</v>
      </c>
      <c r="C1277" s="473" t="str">
        <f t="shared" si="34"/>
        <v>Nevada_2022</v>
      </c>
      <c r="D1277" s="474">
        <v>442.6929240150352</v>
      </c>
      <c r="E1277" s="2"/>
      <c r="F1277" s="2"/>
      <c r="G1277" s="2"/>
      <c r="H1277" s="2"/>
      <c r="I1277" s="21"/>
      <c r="J1277" s="21"/>
      <c r="K1277" s="21"/>
    </row>
    <row r="1278" spans="1:11" ht="15.5" x14ac:dyDescent="0.35">
      <c r="A1278" s="472" t="s">
        <v>898</v>
      </c>
      <c r="B1278" s="473">
        <v>2023</v>
      </c>
      <c r="C1278" s="473" t="str">
        <f t="shared" si="34"/>
        <v>Nevada_2023</v>
      </c>
      <c r="D1278" s="474">
        <v>429.33871738645206</v>
      </c>
      <c r="E1278" s="2"/>
      <c r="F1278" s="2"/>
      <c r="G1278" s="2"/>
      <c r="H1278" s="2"/>
      <c r="I1278" s="21"/>
      <c r="J1278" s="21"/>
      <c r="K1278" s="21"/>
    </row>
    <row r="1279" spans="1:11" ht="15.5" x14ac:dyDescent="0.35">
      <c r="A1279" s="472" t="s">
        <v>898</v>
      </c>
      <c r="B1279" s="473">
        <v>2024</v>
      </c>
      <c r="C1279" s="473" t="str">
        <f t="shared" si="34"/>
        <v>Nevada_2024</v>
      </c>
      <c r="D1279" s="474">
        <v>416.07717961096091</v>
      </c>
      <c r="E1279" s="2"/>
      <c r="F1279" s="2"/>
      <c r="G1279" s="2"/>
      <c r="H1279" s="2"/>
      <c r="I1279" s="21"/>
      <c r="J1279" s="21"/>
      <c r="K1279" s="21"/>
    </row>
    <row r="1280" spans="1:11" ht="15.5" x14ac:dyDescent="0.35">
      <c r="A1280" s="472" t="s">
        <v>898</v>
      </c>
      <c r="B1280" s="473">
        <v>2025</v>
      </c>
      <c r="C1280" s="473" t="str">
        <f t="shared" si="34"/>
        <v>Nevada_2025</v>
      </c>
      <c r="D1280" s="474">
        <v>402.97142041958557</v>
      </c>
      <c r="E1280" s="2"/>
      <c r="F1280" s="2"/>
      <c r="G1280" s="2"/>
      <c r="H1280" s="2"/>
      <c r="I1280" s="21"/>
      <c r="J1280" s="21"/>
      <c r="K1280" s="21"/>
    </row>
    <row r="1281" spans="1:11" ht="15.5" x14ac:dyDescent="0.35">
      <c r="A1281" s="472" t="s">
        <v>898</v>
      </c>
      <c r="B1281" s="473">
        <v>2026</v>
      </c>
      <c r="C1281" s="473" t="str">
        <f t="shared" si="34"/>
        <v>Nevada_2026</v>
      </c>
      <c r="D1281" s="474">
        <v>390.71884755639496</v>
      </c>
      <c r="E1281" s="2"/>
      <c r="F1281" s="2"/>
      <c r="G1281" s="2"/>
      <c r="H1281" s="2"/>
      <c r="I1281" s="21"/>
      <c r="J1281" s="21"/>
      <c r="K1281" s="21"/>
    </row>
    <row r="1282" spans="1:11" ht="15.5" x14ac:dyDescent="0.35">
      <c r="A1282" s="472" t="s">
        <v>898</v>
      </c>
      <c r="B1282" s="473">
        <v>2027</v>
      </c>
      <c r="C1282" s="473" t="str">
        <f t="shared" si="34"/>
        <v>Nevada_2027</v>
      </c>
      <c r="D1282" s="474">
        <v>379.22202903568689</v>
      </c>
      <c r="E1282" s="2"/>
      <c r="F1282" s="2"/>
      <c r="G1282" s="2"/>
      <c r="H1282" s="2"/>
      <c r="I1282" s="21"/>
      <c r="J1282" s="21"/>
      <c r="K1282" s="21"/>
    </row>
    <row r="1283" spans="1:11" ht="15.5" x14ac:dyDescent="0.35">
      <c r="A1283" s="472" t="s">
        <v>898</v>
      </c>
      <c r="B1283" s="473">
        <v>2028</v>
      </c>
      <c r="C1283" s="473" t="str">
        <f t="shared" si="34"/>
        <v>Nevada_2028</v>
      </c>
      <c r="D1283" s="474">
        <v>368.61106551897467</v>
      </c>
      <c r="E1283" s="2"/>
      <c r="F1283" s="2"/>
      <c r="G1283" s="2"/>
      <c r="H1283" s="2"/>
      <c r="I1283" s="21"/>
      <c r="J1283" s="21"/>
      <c r="K1283" s="21"/>
    </row>
    <row r="1284" spans="1:11" ht="15.5" x14ac:dyDescent="0.35">
      <c r="A1284" s="472" t="s">
        <v>898</v>
      </c>
      <c r="B1284" s="473">
        <v>2029</v>
      </c>
      <c r="C1284" s="473" t="str">
        <f t="shared" si="34"/>
        <v>Nevada_2029</v>
      </c>
      <c r="D1284" s="474">
        <v>358.86108510051679</v>
      </c>
      <c r="E1284" s="2"/>
      <c r="F1284" s="2"/>
      <c r="G1284" s="2"/>
      <c r="H1284" s="2"/>
      <c r="I1284" s="21"/>
      <c r="J1284" s="21"/>
      <c r="K1284" s="21"/>
    </row>
    <row r="1285" spans="1:11" ht="15.5" x14ac:dyDescent="0.35">
      <c r="A1285" s="472" t="s">
        <v>898</v>
      </c>
      <c r="B1285" s="473">
        <v>2030</v>
      </c>
      <c r="C1285" s="473" t="str">
        <f t="shared" si="34"/>
        <v>Nevada_2030</v>
      </c>
      <c r="D1285" s="474">
        <v>349.9414893594664</v>
      </c>
      <c r="E1285" s="2"/>
      <c r="F1285" s="2"/>
      <c r="G1285" s="2"/>
      <c r="H1285" s="2"/>
      <c r="I1285" s="21"/>
      <c r="J1285" s="21"/>
      <c r="K1285" s="21"/>
    </row>
    <row r="1286" spans="1:11" ht="15.5" x14ac:dyDescent="0.35">
      <c r="A1286" s="472" t="s">
        <v>898</v>
      </c>
      <c r="B1286" s="473">
        <v>2031</v>
      </c>
      <c r="C1286" s="473" t="str">
        <f t="shared" si="34"/>
        <v>Nevada_2031</v>
      </c>
      <c r="D1286" s="474">
        <v>341.82144378250109</v>
      </c>
      <c r="E1286" s="2"/>
      <c r="F1286" s="2"/>
      <c r="G1286" s="2"/>
      <c r="H1286" s="2"/>
      <c r="I1286" s="21"/>
      <c r="J1286" s="21"/>
      <c r="K1286" s="21"/>
    </row>
    <row r="1287" spans="1:11" ht="15.5" x14ac:dyDescent="0.35">
      <c r="A1287" s="472" t="s">
        <v>898</v>
      </c>
      <c r="B1287" s="473">
        <v>2032</v>
      </c>
      <c r="C1287" s="473" t="str">
        <f t="shared" si="34"/>
        <v>Nevada_2032</v>
      </c>
      <c r="D1287" s="474">
        <v>334.51553088283509</v>
      </c>
      <c r="E1287" s="2"/>
      <c r="F1287" s="2"/>
      <c r="G1287" s="2"/>
      <c r="H1287" s="2"/>
      <c r="I1287" s="21"/>
      <c r="J1287" s="21"/>
      <c r="K1287" s="21"/>
    </row>
    <row r="1288" spans="1:11" ht="15.5" x14ac:dyDescent="0.35">
      <c r="A1288" s="472" t="s">
        <v>898</v>
      </c>
      <c r="B1288" s="473">
        <v>2033</v>
      </c>
      <c r="C1288" s="473" t="str">
        <f t="shared" si="34"/>
        <v>Nevada_2033</v>
      </c>
      <c r="D1288" s="474">
        <v>327.94682610056168</v>
      </c>
      <c r="E1288" s="2"/>
      <c r="F1288" s="2"/>
      <c r="G1288" s="2"/>
      <c r="H1288" s="2"/>
      <c r="I1288" s="21"/>
      <c r="J1288" s="21"/>
      <c r="K1288" s="21"/>
    </row>
    <row r="1289" spans="1:11" ht="15.5" x14ac:dyDescent="0.35">
      <c r="A1289" s="472" t="s">
        <v>898</v>
      </c>
      <c r="B1289" s="473">
        <v>2034</v>
      </c>
      <c r="C1289" s="473" t="str">
        <f t="shared" si="34"/>
        <v>Nevada_2034</v>
      </c>
      <c r="D1289" s="474">
        <v>322.04137599553212</v>
      </c>
      <c r="E1289" s="2"/>
      <c r="F1289" s="2"/>
      <c r="G1289" s="2"/>
      <c r="H1289" s="2"/>
      <c r="I1289" s="21"/>
      <c r="J1289" s="21"/>
      <c r="K1289" s="21"/>
    </row>
    <row r="1290" spans="1:11" ht="15.5" x14ac:dyDescent="0.35">
      <c r="A1290" s="472" t="s">
        <v>898</v>
      </c>
      <c r="B1290" s="473">
        <v>2035</v>
      </c>
      <c r="C1290" s="473" t="str">
        <f t="shared" si="34"/>
        <v>Nevada_2035</v>
      </c>
      <c r="D1290" s="474">
        <v>316.80430869545995</v>
      </c>
      <c r="E1290" s="2"/>
      <c r="F1290" s="2"/>
      <c r="G1290" s="2"/>
      <c r="H1290" s="2"/>
      <c r="I1290" s="21"/>
      <c r="J1290" s="21"/>
      <c r="K1290" s="21"/>
    </row>
    <row r="1291" spans="1:11" ht="15.5" x14ac:dyDescent="0.35">
      <c r="A1291" s="472" t="s">
        <v>898</v>
      </c>
      <c r="B1291" s="473">
        <v>2036</v>
      </c>
      <c r="C1291" s="473" t="str">
        <f t="shared" si="34"/>
        <v>Nevada_2036</v>
      </c>
      <c r="D1291" s="474">
        <v>312.17472856847752</v>
      </c>
      <c r="E1291" s="2"/>
      <c r="F1291" s="2"/>
      <c r="G1291" s="2"/>
      <c r="H1291" s="2"/>
      <c r="I1291" s="21"/>
      <c r="J1291" s="21"/>
      <c r="K1291" s="21"/>
    </row>
    <row r="1292" spans="1:11" ht="15.5" x14ac:dyDescent="0.35">
      <c r="A1292" s="472" t="s">
        <v>898</v>
      </c>
      <c r="B1292" s="473">
        <v>2037</v>
      </c>
      <c r="C1292" s="473" t="str">
        <f t="shared" si="34"/>
        <v>Nevada_2037</v>
      </c>
      <c r="D1292" s="474">
        <v>308.12251375321239</v>
      </c>
      <c r="E1292" s="2"/>
      <c r="F1292" s="2"/>
      <c r="G1292" s="2"/>
      <c r="H1292" s="2"/>
      <c r="I1292" s="21"/>
      <c r="J1292" s="21"/>
      <c r="K1292" s="21"/>
    </row>
    <row r="1293" spans="1:11" ht="15.5" x14ac:dyDescent="0.35">
      <c r="A1293" s="472" t="s">
        <v>898</v>
      </c>
      <c r="B1293" s="473">
        <v>2038</v>
      </c>
      <c r="C1293" s="473" t="str">
        <f t="shared" si="34"/>
        <v>Nevada_2038</v>
      </c>
      <c r="D1293" s="474">
        <v>304.59727868498771</v>
      </c>
      <c r="E1293" s="2"/>
      <c r="F1293" s="2"/>
      <c r="G1293" s="2"/>
      <c r="H1293" s="2"/>
      <c r="I1293" s="21"/>
      <c r="J1293" s="21"/>
      <c r="K1293" s="21"/>
    </row>
    <row r="1294" spans="1:11" ht="15.5" x14ac:dyDescent="0.35">
      <c r="A1294" s="472" t="s">
        <v>898</v>
      </c>
      <c r="B1294" s="473">
        <v>2039</v>
      </c>
      <c r="C1294" s="473" t="str">
        <f t="shared" si="34"/>
        <v>Nevada_2039</v>
      </c>
      <c r="D1294" s="474">
        <v>301.52126014609826</v>
      </c>
      <c r="E1294" s="2"/>
      <c r="F1294" s="2"/>
      <c r="G1294" s="2"/>
      <c r="H1294" s="2"/>
      <c r="I1294" s="21"/>
      <c r="J1294" s="21"/>
      <c r="K1294" s="21"/>
    </row>
    <row r="1295" spans="1:11" ht="15.5" x14ac:dyDescent="0.35">
      <c r="A1295" s="472" t="s">
        <v>898</v>
      </c>
      <c r="B1295" s="473">
        <v>2040</v>
      </c>
      <c r="C1295" s="473" t="str">
        <f t="shared" si="34"/>
        <v>Nevada_2040</v>
      </c>
      <c r="D1295" s="474">
        <v>298.85603685714426</v>
      </c>
      <c r="E1295" s="2"/>
      <c r="F1295" s="2"/>
      <c r="G1295" s="2"/>
      <c r="H1295" s="2"/>
      <c r="I1295" s="21"/>
      <c r="J1295" s="21"/>
      <c r="K1295" s="21"/>
    </row>
    <row r="1296" spans="1:11" ht="15.5" x14ac:dyDescent="0.35">
      <c r="A1296" s="472" t="s">
        <v>898</v>
      </c>
      <c r="B1296" s="473">
        <v>2041</v>
      </c>
      <c r="C1296" s="473" t="str">
        <f t="shared" si="34"/>
        <v>Nevada_2041</v>
      </c>
      <c r="D1296" s="474">
        <v>296.58187632444987</v>
      </c>
      <c r="E1296" s="2"/>
      <c r="F1296" s="2"/>
      <c r="G1296" s="2"/>
      <c r="H1296" s="2"/>
      <c r="I1296" s="21"/>
      <c r="J1296" s="21"/>
      <c r="K1296" s="21"/>
    </row>
    <row r="1297" spans="1:11" ht="15.5" x14ac:dyDescent="0.35">
      <c r="A1297" s="472" t="s">
        <v>898</v>
      </c>
      <c r="B1297" s="473">
        <v>2042</v>
      </c>
      <c r="C1297" s="473" t="str">
        <f t="shared" si="34"/>
        <v>Nevada_2042</v>
      </c>
      <c r="D1297" s="474">
        <v>294.5912192690368</v>
      </c>
      <c r="E1297" s="2"/>
      <c r="F1297" s="2"/>
      <c r="G1297" s="2"/>
      <c r="H1297" s="2"/>
      <c r="I1297" s="21"/>
      <c r="J1297" s="21"/>
      <c r="K1297" s="21"/>
    </row>
    <row r="1298" spans="1:11" ht="15.5" x14ac:dyDescent="0.35">
      <c r="A1298" s="472" t="s">
        <v>898</v>
      </c>
      <c r="B1298" s="473">
        <v>2043</v>
      </c>
      <c r="C1298" s="473" t="str">
        <f t="shared" si="34"/>
        <v>Nevada_2043</v>
      </c>
      <c r="D1298" s="474">
        <v>292.87648317970087</v>
      </c>
      <c r="E1298" s="2"/>
      <c r="F1298" s="2"/>
      <c r="G1298" s="2"/>
      <c r="H1298" s="2"/>
      <c r="I1298" s="21"/>
      <c r="J1298" s="21"/>
      <c r="K1298" s="21"/>
    </row>
    <row r="1299" spans="1:11" ht="15.5" x14ac:dyDescent="0.35">
      <c r="A1299" s="472" t="s">
        <v>898</v>
      </c>
      <c r="B1299" s="473">
        <v>2044</v>
      </c>
      <c r="C1299" s="473" t="str">
        <f t="shared" si="34"/>
        <v>Nevada_2044</v>
      </c>
      <c r="D1299" s="474">
        <v>291.34874257136988</v>
      </c>
      <c r="E1299" s="2"/>
      <c r="F1299" s="2"/>
      <c r="G1299" s="2"/>
      <c r="H1299" s="2"/>
      <c r="I1299" s="21"/>
      <c r="J1299" s="21"/>
      <c r="K1299" s="21"/>
    </row>
    <row r="1300" spans="1:11" ht="15.5" x14ac:dyDescent="0.35">
      <c r="A1300" s="472" t="s">
        <v>898</v>
      </c>
      <c r="B1300" s="473">
        <v>2045</v>
      </c>
      <c r="C1300" s="473" t="str">
        <f t="shared" si="34"/>
        <v>Nevada_2045</v>
      </c>
      <c r="D1300" s="474">
        <v>289.98600434518153</v>
      </c>
      <c r="E1300" s="2"/>
      <c r="F1300" s="2"/>
      <c r="G1300" s="2"/>
      <c r="H1300" s="2"/>
      <c r="I1300" s="21"/>
      <c r="J1300" s="21"/>
      <c r="K1300" s="21"/>
    </row>
    <row r="1301" spans="1:11" ht="15.5" x14ac:dyDescent="0.35">
      <c r="A1301" s="472" t="s">
        <v>898</v>
      </c>
      <c r="B1301" s="473">
        <v>2046</v>
      </c>
      <c r="C1301" s="473" t="str">
        <f t="shared" si="34"/>
        <v>Nevada_2046</v>
      </c>
      <c r="D1301" s="474">
        <v>288.80535266717408</v>
      </c>
      <c r="E1301" s="2"/>
      <c r="F1301" s="2"/>
      <c r="G1301" s="2"/>
      <c r="H1301" s="2"/>
      <c r="I1301" s="21"/>
      <c r="J1301" s="21"/>
      <c r="K1301" s="21"/>
    </row>
    <row r="1302" spans="1:11" ht="15.5" x14ac:dyDescent="0.35">
      <c r="A1302" s="472" t="s">
        <v>898</v>
      </c>
      <c r="B1302" s="473">
        <v>2047</v>
      </c>
      <c r="C1302" s="473" t="str">
        <f t="shared" si="34"/>
        <v>Nevada_2047</v>
      </c>
      <c r="D1302" s="474">
        <v>287.77083584754996</v>
      </c>
      <c r="E1302" s="2"/>
      <c r="F1302" s="2"/>
      <c r="G1302" s="2"/>
      <c r="H1302" s="2"/>
      <c r="I1302" s="21"/>
      <c r="J1302" s="21"/>
      <c r="K1302" s="21"/>
    </row>
    <row r="1303" spans="1:11" ht="15.5" x14ac:dyDescent="0.35">
      <c r="A1303" s="472" t="s">
        <v>898</v>
      </c>
      <c r="B1303" s="473">
        <v>2048</v>
      </c>
      <c r="C1303" s="473" t="str">
        <f t="shared" si="34"/>
        <v>Nevada_2048</v>
      </c>
      <c r="D1303" s="474">
        <v>286.88411748372715</v>
      </c>
      <c r="E1303" s="2"/>
      <c r="F1303" s="2"/>
      <c r="G1303" s="2"/>
      <c r="H1303" s="2"/>
      <c r="I1303" s="21"/>
      <c r="J1303" s="21"/>
      <c r="K1303" s="21"/>
    </row>
    <row r="1304" spans="1:11" ht="15.5" x14ac:dyDescent="0.35">
      <c r="A1304" s="472" t="s">
        <v>898</v>
      </c>
      <c r="B1304" s="473">
        <v>2049</v>
      </c>
      <c r="C1304" s="473" t="str">
        <f t="shared" si="34"/>
        <v>Nevada_2049</v>
      </c>
      <c r="D1304" s="474">
        <v>286.09605762982676</v>
      </c>
      <c r="E1304" s="2"/>
      <c r="F1304" s="2"/>
      <c r="G1304" s="2"/>
      <c r="H1304" s="2"/>
      <c r="I1304" s="21"/>
      <c r="J1304" s="21"/>
      <c r="K1304" s="21"/>
    </row>
    <row r="1305" spans="1:11" ht="15.5" x14ac:dyDescent="0.35">
      <c r="A1305" s="472" t="s">
        <v>898</v>
      </c>
      <c r="B1305" s="473">
        <v>2050</v>
      </c>
      <c r="C1305" s="473" t="str">
        <f t="shared" si="34"/>
        <v>Nevada_2050</v>
      </c>
      <c r="D1305" s="474">
        <v>285.41998105860694</v>
      </c>
      <c r="E1305" s="2"/>
      <c r="F1305" s="2"/>
      <c r="G1305" s="2"/>
      <c r="H1305" s="2"/>
      <c r="I1305" s="21"/>
      <c r="J1305" s="21"/>
      <c r="K1305" s="21"/>
    </row>
    <row r="1306" spans="1:11" ht="15.5" x14ac:dyDescent="0.35">
      <c r="A1306" s="475" t="s">
        <v>901</v>
      </c>
      <c r="B1306" s="476">
        <v>2015</v>
      </c>
      <c r="C1306" s="476" t="str">
        <f t="shared" si="34"/>
        <v>North Central Coast_2015</v>
      </c>
      <c r="D1306" s="471">
        <v>537.08274691575321</v>
      </c>
      <c r="E1306" s="2"/>
      <c r="F1306" s="2"/>
      <c r="G1306" s="2"/>
      <c r="H1306" s="2"/>
      <c r="I1306" s="21"/>
      <c r="J1306" s="21"/>
      <c r="K1306" s="21"/>
    </row>
    <row r="1307" spans="1:11" ht="15.5" x14ac:dyDescent="0.35">
      <c r="A1307" s="475" t="s">
        <v>901</v>
      </c>
      <c r="B1307" s="476">
        <v>2016</v>
      </c>
      <c r="C1307" s="476" t="str">
        <f t="shared" si="34"/>
        <v>North Central Coast_2016</v>
      </c>
      <c r="D1307" s="471">
        <v>526.74210167979459</v>
      </c>
      <c r="E1307" s="2"/>
      <c r="F1307" s="2"/>
      <c r="G1307" s="2"/>
      <c r="H1307" s="2"/>
      <c r="I1307" s="21"/>
      <c r="J1307" s="21"/>
      <c r="K1307" s="21"/>
    </row>
    <row r="1308" spans="1:11" ht="15.5" x14ac:dyDescent="0.35">
      <c r="A1308" s="477" t="s">
        <v>901</v>
      </c>
      <c r="B1308" s="478">
        <v>2017</v>
      </c>
      <c r="C1308" s="478" t="str">
        <f t="shared" si="34"/>
        <v>North Central Coast_2017</v>
      </c>
      <c r="D1308" s="474">
        <v>514.34425439844313</v>
      </c>
      <c r="E1308" s="2"/>
      <c r="F1308" s="2"/>
      <c r="G1308" s="2"/>
      <c r="H1308" s="2"/>
      <c r="I1308" s="21"/>
      <c r="J1308" s="21"/>
      <c r="K1308" s="21"/>
    </row>
    <row r="1309" spans="1:11" ht="15.5" x14ac:dyDescent="0.35">
      <c r="A1309" s="477" t="s">
        <v>901</v>
      </c>
      <c r="B1309" s="478">
        <v>2018</v>
      </c>
      <c r="C1309" s="478" t="str">
        <f t="shared" si="34"/>
        <v>North Central Coast_2018</v>
      </c>
      <c r="D1309" s="474">
        <v>501.24437407945811</v>
      </c>
      <c r="E1309" s="2"/>
      <c r="F1309" s="2"/>
      <c r="G1309" s="2"/>
      <c r="H1309" s="2"/>
      <c r="I1309" s="21"/>
      <c r="J1309" s="21"/>
      <c r="K1309" s="21"/>
    </row>
    <row r="1310" spans="1:11" ht="15.5" x14ac:dyDescent="0.35">
      <c r="A1310" s="477" t="s">
        <v>901</v>
      </c>
      <c r="B1310" s="478">
        <v>2019</v>
      </c>
      <c r="C1310" s="478" t="str">
        <f t="shared" si="34"/>
        <v>North Central Coast_2019</v>
      </c>
      <c r="D1310" s="474">
        <v>487.70660288771995</v>
      </c>
      <c r="E1310" s="2"/>
      <c r="F1310" s="2"/>
      <c r="G1310" s="2"/>
      <c r="H1310" s="2"/>
      <c r="I1310" s="21"/>
      <c r="J1310" s="21"/>
      <c r="K1310" s="21"/>
    </row>
    <row r="1311" spans="1:11" ht="15.5" x14ac:dyDescent="0.35">
      <c r="A1311" s="477" t="s">
        <v>901</v>
      </c>
      <c r="B1311" s="478">
        <v>2020</v>
      </c>
      <c r="C1311" s="478" t="str">
        <f t="shared" si="34"/>
        <v>North Central Coast_2020</v>
      </c>
      <c r="D1311" s="474">
        <v>473.92096653716919</v>
      </c>
      <c r="E1311" s="2"/>
      <c r="F1311" s="2"/>
      <c r="G1311" s="2"/>
      <c r="H1311" s="2"/>
      <c r="I1311" s="21"/>
      <c r="J1311" s="21"/>
      <c r="K1311" s="21"/>
    </row>
    <row r="1312" spans="1:11" ht="15.5" x14ac:dyDescent="0.35">
      <c r="A1312" s="477" t="s">
        <v>901</v>
      </c>
      <c r="B1312" s="478">
        <v>2021</v>
      </c>
      <c r="C1312" s="478" t="str">
        <f t="shared" si="34"/>
        <v>North Central Coast_2021</v>
      </c>
      <c r="D1312" s="474">
        <v>460.03240262900891</v>
      </c>
      <c r="E1312" s="2"/>
      <c r="F1312" s="2"/>
      <c r="G1312" s="2"/>
      <c r="H1312" s="2"/>
      <c r="I1312" s="21"/>
      <c r="J1312" s="21"/>
      <c r="K1312" s="21"/>
    </row>
    <row r="1313" spans="1:11" ht="15.5" x14ac:dyDescent="0.35">
      <c r="A1313" s="477" t="s">
        <v>901</v>
      </c>
      <c r="B1313" s="478">
        <v>2022</v>
      </c>
      <c r="C1313" s="478" t="str">
        <f t="shared" si="34"/>
        <v>North Central Coast_2022</v>
      </c>
      <c r="D1313" s="474">
        <v>446.28677871680509</v>
      </c>
      <c r="E1313" s="2"/>
      <c r="F1313" s="2"/>
      <c r="G1313" s="2"/>
      <c r="H1313" s="2"/>
      <c r="I1313" s="21"/>
      <c r="J1313" s="21"/>
      <c r="K1313" s="21"/>
    </row>
    <row r="1314" spans="1:11" ht="15.5" x14ac:dyDescent="0.35">
      <c r="A1314" s="477" t="s">
        <v>901</v>
      </c>
      <c r="B1314" s="478">
        <v>2023</v>
      </c>
      <c r="C1314" s="478" t="str">
        <f t="shared" si="34"/>
        <v>North Central Coast_2023</v>
      </c>
      <c r="D1314" s="474">
        <v>432.65837255123773</v>
      </c>
      <c r="E1314" s="2"/>
      <c r="F1314" s="2"/>
      <c r="G1314" s="2"/>
      <c r="H1314" s="2"/>
      <c r="I1314" s="21"/>
      <c r="J1314" s="21"/>
      <c r="K1314" s="21"/>
    </row>
    <row r="1315" spans="1:11" ht="15.5" x14ac:dyDescent="0.35">
      <c r="A1315" s="477" t="s">
        <v>901</v>
      </c>
      <c r="B1315" s="478">
        <v>2024</v>
      </c>
      <c r="C1315" s="478" t="str">
        <f t="shared" si="34"/>
        <v>North Central Coast_2024</v>
      </c>
      <c r="D1315" s="474">
        <v>419.21935824409275</v>
      </c>
      <c r="E1315" s="2"/>
      <c r="F1315" s="2"/>
      <c r="G1315" s="2"/>
      <c r="H1315" s="2"/>
      <c r="I1315" s="21"/>
      <c r="J1315" s="21"/>
      <c r="K1315" s="21"/>
    </row>
    <row r="1316" spans="1:11" ht="15.5" x14ac:dyDescent="0.35">
      <c r="A1316" s="477" t="s">
        <v>901</v>
      </c>
      <c r="B1316" s="478">
        <v>2025</v>
      </c>
      <c r="C1316" s="478" t="str">
        <f t="shared" si="34"/>
        <v>North Central Coast_2025</v>
      </c>
      <c r="D1316" s="474">
        <v>405.98885236584215</v>
      </c>
      <c r="E1316" s="2"/>
      <c r="F1316" s="2"/>
      <c r="G1316" s="2"/>
      <c r="H1316" s="2"/>
      <c r="I1316" s="21"/>
      <c r="J1316" s="21"/>
      <c r="K1316" s="21"/>
    </row>
    <row r="1317" spans="1:11" ht="15.5" x14ac:dyDescent="0.35">
      <c r="A1317" s="477" t="s">
        <v>901</v>
      </c>
      <c r="B1317" s="478">
        <v>2026</v>
      </c>
      <c r="C1317" s="478" t="str">
        <f t="shared" si="34"/>
        <v>North Central Coast_2026</v>
      </c>
      <c r="D1317" s="474">
        <v>393.18364215298305</v>
      </c>
      <c r="E1317" s="2"/>
      <c r="F1317" s="2"/>
      <c r="G1317" s="2"/>
      <c r="H1317" s="2"/>
      <c r="I1317" s="21"/>
      <c r="J1317" s="21"/>
      <c r="K1317" s="21"/>
    </row>
    <row r="1318" spans="1:11" ht="15.5" x14ac:dyDescent="0.35">
      <c r="A1318" s="477" t="s">
        <v>901</v>
      </c>
      <c r="B1318" s="478">
        <v>2027</v>
      </c>
      <c r="C1318" s="478" t="str">
        <f t="shared" si="34"/>
        <v>North Central Coast_2027</v>
      </c>
      <c r="D1318" s="474">
        <v>381.90955899031633</v>
      </c>
      <c r="E1318" s="2"/>
      <c r="F1318" s="2"/>
      <c r="G1318" s="2"/>
      <c r="H1318" s="2"/>
      <c r="I1318" s="21"/>
      <c r="J1318" s="21"/>
      <c r="K1318" s="21"/>
    </row>
    <row r="1319" spans="1:11" ht="15.5" x14ac:dyDescent="0.35">
      <c r="A1319" s="477" t="s">
        <v>901</v>
      </c>
      <c r="B1319" s="478">
        <v>2028</v>
      </c>
      <c r="C1319" s="478" t="str">
        <f t="shared" si="34"/>
        <v>North Central Coast_2028</v>
      </c>
      <c r="D1319" s="474">
        <v>371.63236609889907</v>
      </c>
      <c r="E1319" s="2"/>
      <c r="F1319" s="2"/>
      <c r="G1319" s="2"/>
      <c r="H1319" s="2"/>
      <c r="I1319" s="21"/>
      <c r="J1319" s="21"/>
      <c r="K1319" s="21"/>
    </row>
    <row r="1320" spans="1:11" ht="15.5" x14ac:dyDescent="0.35">
      <c r="A1320" s="477" t="s">
        <v>901</v>
      </c>
      <c r="B1320" s="478">
        <v>2029</v>
      </c>
      <c r="C1320" s="478" t="str">
        <f t="shared" si="34"/>
        <v>North Central Coast_2029</v>
      </c>
      <c r="D1320" s="474">
        <v>362.30464739439219</v>
      </c>
      <c r="E1320" s="2"/>
      <c r="F1320" s="2"/>
      <c r="G1320" s="2"/>
      <c r="H1320" s="2"/>
      <c r="I1320" s="21"/>
      <c r="J1320" s="21"/>
      <c r="K1320" s="21"/>
    </row>
    <row r="1321" spans="1:11" ht="15.5" x14ac:dyDescent="0.35">
      <c r="A1321" s="477" t="s">
        <v>901</v>
      </c>
      <c r="B1321" s="478">
        <v>2030</v>
      </c>
      <c r="C1321" s="478" t="str">
        <f t="shared" si="34"/>
        <v>North Central Coast_2030</v>
      </c>
      <c r="D1321" s="474">
        <v>353.9037013422224</v>
      </c>
      <c r="E1321" s="2"/>
      <c r="F1321" s="2"/>
      <c r="G1321" s="2"/>
      <c r="H1321" s="2"/>
      <c r="I1321" s="21"/>
      <c r="J1321" s="21"/>
      <c r="K1321" s="21"/>
    </row>
    <row r="1322" spans="1:11" ht="15.5" x14ac:dyDescent="0.35">
      <c r="A1322" s="477" t="s">
        <v>901</v>
      </c>
      <c r="B1322" s="478">
        <v>2031</v>
      </c>
      <c r="C1322" s="478" t="str">
        <f t="shared" si="34"/>
        <v>North Central Coast_2031</v>
      </c>
      <c r="D1322" s="474">
        <v>346.36525378040449</v>
      </c>
      <c r="E1322" s="2"/>
      <c r="F1322" s="2"/>
      <c r="G1322" s="2"/>
      <c r="H1322" s="2"/>
      <c r="I1322" s="21"/>
      <c r="J1322" s="21"/>
      <c r="K1322" s="21"/>
    </row>
    <row r="1323" spans="1:11" ht="15.5" x14ac:dyDescent="0.35">
      <c r="A1323" s="477" t="s">
        <v>901</v>
      </c>
      <c r="B1323" s="478">
        <v>2032</v>
      </c>
      <c r="C1323" s="478" t="str">
        <f t="shared" si="34"/>
        <v>North Central Coast_2032</v>
      </c>
      <c r="D1323" s="474">
        <v>339.63237745556432</v>
      </c>
      <c r="E1323" s="2"/>
      <c r="F1323" s="2"/>
      <c r="G1323" s="2"/>
      <c r="H1323" s="2"/>
      <c r="I1323" s="21"/>
      <c r="J1323" s="21"/>
      <c r="K1323" s="21"/>
    </row>
    <row r="1324" spans="1:11" ht="15.5" x14ac:dyDescent="0.35">
      <c r="A1324" s="477" t="s">
        <v>901</v>
      </c>
      <c r="B1324" s="478">
        <v>2033</v>
      </c>
      <c r="C1324" s="478" t="str">
        <f t="shared" si="34"/>
        <v>North Central Coast_2033</v>
      </c>
      <c r="D1324" s="474">
        <v>333.64378103604514</v>
      </c>
      <c r="E1324" s="2"/>
      <c r="F1324" s="2"/>
      <c r="G1324" s="2"/>
      <c r="H1324" s="2"/>
      <c r="I1324" s="21"/>
      <c r="J1324" s="21"/>
      <c r="K1324" s="21"/>
    </row>
    <row r="1325" spans="1:11" ht="15.5" x14ac:dyDescent="0.35">
      <c r="A1325" s="477" t="s">
        <v>901</v>
      </c>
      <c r="B1325" s="478">
        <v>2034</v>
      </c>
      <c r="C1325" s="478" t="str">
        <f t="shared" si="34"/>
        <v>North Central Coast_2034</v>
      </c>
      <c r="D1325" s="474">
        <v>328.33181018747348</v>
      </c>
      <c r="E1325" s="2"/>
      <c r="F1325" s="2"/>
      <c r="G1325" s="2"/>
      <c r="H1325" s="2"/>
      <c r="I1325" s="21"/>
      <c r="J1325" s="21"/>
      <c r="K1325" s="21"/>
    </row>
    <row r="1326" spans="1:11" ht="15.5" x14ac:dyDescent="0.35">
      <c r="A1326" s="477" t="s">
        <v>901</v>
      </c>
      <c r="B1326" s="478">
        <v>2035</v>
      </c>
      <c r="C1326" s="478" t="str">
        <f t="shared" si="34"/>
        <v>North Central Coast_2035</v>
      </c>
      <c r="D1326" s="474">
        <v>323.64273543926436</v>
      </c>
      <c r="E1326" s="2"/>
      <c r="F1326" s="2"/>
      <c r="G1326" s="2"/>
      <c r="H1326" s="2"/>
      <c r="I1326" s="21"/>
      <c r="J1326" s="21"/>
      <c r="K1326" s="21"/>
    </row>
    <row r="1327" spans="1:11" ht="15.5" x14ac:dyDescent="0.35">
      <c r="A1327" s="477" t="s">
        <v>901</v>
      </c>
      <c r="B1327" s="478">
        <v>2036</v>
      </c>
      <c r="C1327" s="478" t="str">
        <f t="shared" si="34"/>
        <v>North Central Coast_2036</v>
      </c>
      <c r="D1327" s="474">
        <v>319.5259796908735</v>
      </c>
      <c r="E1327" s="2"/>
      <c r="F1327" s="2"/>
      <c r="G1327" s="2"/>
      <c r="H1327" s="2"/>
      <c r="I1327" s="21"/>
      <c r="J1327" s="21"/>
      <c r="K1327" s="21"/>
    </row>
    <row r="1328" spans="1:11" ht="15.5" x14ac:dyDescent="0.35">
      <c r="A1328" s="477" t="s">
        <v>901</v>
      </c>
      <c r="B1328" s="478">
        <v>2037</v>
      </c>
      <c r="C1328" s="478" t="str">
        <f t="shared" si="34"/>
        <v>North Central Coast_2037</v>
      </c>
      <c r="D1328" s="474">
        <v>315.95765429920129</v>
      </c>
      <c r="E1328" s="2"/>
      <c r="F1328" s="2"/>
      <c r="G1328" s="2"/>
      <c r="H1328" s="2"/>
      <c r="I1328" s="21"/>
      <c r="J1328" s="21"/>
      <c r="K1328" s="21"/>
    </row>
    <row r="1329" spans="1:11" ht="15.5" x14ac:dyDescent="0.35">
      <c r="A1329" s="477" t="s">
        <v>901</v>
      </c>
      <c r="B1329" s="478">
        <v>2038</v>
      </c>
      <c r="C1329" s="478" t="str">
        <f t="shared" si="34"/>
        <v>North Central Coast_2038</v>
      </c>
      <c r="D1329" s="474">
        <v>312.87641649614375</v>
      </c>
      <c r="E1329" s="2"/>
      <c r="F1329" s="2"/>
      <c r="G1329" s="2"/>
      <c r="H1329" s="2"/>
      <c r="I1329" s="21"/>
      <c r="J1329" s="21"/>
      <c r="K1329" s="21"/>
    </row>
    <row r="1330" spans="1:11" ht="15.5" x14ac:dyDescent="0.35">
      <c r="A1330" s="477" t="s">
        <v>901</v>
      </c>
      <c r="B1330" s="478">
        <v>2039</v>
      </c>
      <c r="C1330" s="478" t="str">
        <f t="shared" si="34"/>
        <v>North Central Coast_2039</v>
      </c>
      <c r="D1330" s="474">
        <v>310.22048216034392</v>
      </c>
      <c r="E1330" s="2"/>
      <c r="F1330" s="2"/>
      <c r="G1330" s="2"/>
      <c r="H1330" s="2"/>
      <c r="I1330" s="21"/>
      <c r="J1330" s="21"/>
      <c r="K1330" s="21"/>
    </row>
    <row r="1331" spans="1:11" ht="15.5" x14ac:dyDescent="0.35">
      <c r="A1331" s="477" t="s">
        <v>901</v>
      </c>
      <c r="B1331" s="478">
        <v>2040</v>
      </c>
      <c r="C1331" s="478" t="str">
        <f t="shared" si="34"/>
        <v>North Central Coast_2040</v>
      </c>
      <c r="D1331" s="474">
        <v>307.94642780849</v>
      </c>
      <c r="E1331" s="2"/>
      <c r="F1331" s="2"/>
      <c r="G1331" s="2"/>
      <c r="H1331" s="2"/>
      <c r="I1331" s="21"/>
      <c r="J1331" s="21"/>
      <c r="K1331" s="21"/>
    </row>
    <row r="1332" spans="1:11" ht="15.5" x14ac:dyDescent="0.35">
      <c r="A1332" s="477" t="s">
        <v>901</v>
      </c>
      <c r="B1332" s="478">
        <v>2041</v>
      </c>
      <c r="C1332" s="478" t="str">
        <f t="shared" si="34"/>
        <v>North Central Coast_2041</v>
      </c>
      <c r="D1332" s="474">
        <v>306.02802856520861</v>
      </c>
      <c r="E1332" s="2"/>
      <c r="F1332" s="2"/>
      <c r="G1332" s="2"/>
      <c r="H1332" s="2"/>
      <c r="I1332" s="21"/>
      <c r="J1332" s="21"/>
      <c r="K1332" s="21"/>
    </row>
    <row r="1333" spans="1:11" ht="15.5" x14ac:dyDescent="0.35">
      <c r="A1333" s="477" t="s">
        <v>901</v>
      </c>
      <c r="B1333" s="478">
        <v>2042</v>
      </c>
      <c r="C1333" s="478" t="str">
        <f t="shared" si="34"/>
        <v>North Central Coast_2042</v>
      </c>
      <c r="D1333" s="474">
        <v>304.3861938039571</v>
      </c>
      <c r="E1333" s="2"/>
      <c r="F1333" s="2"/>
      <c r="G1333" s="2"/>
      <c r="H1333" s="2"/>
      <c r="I1333" s="21"/>
      <c r="J1333" s="21"/>
      <c r="K1333" s="21"/>
    </row>
    <row r="1334" spans="1:11" ht="15.5" x14ac:dyDescent="0.35">
      <c r="A1334" s="477" t="s">
        <v>901</v>
      </c>
      <c r="B1334" s="478">
        <v>2043</v>
      </c>
      <c r="C1334" s="478" t="str">
        <f t="shared" si="34"/>
        <v>North Central Coast_2043</v>
      </c>
      <c r="D1334" s="474">
        <v>303.00616699519628</v>
      </c>
      <c r="E1334" s="2"/>
      <c r="F1334" s="2"/>
      <c r="G1334" s="2"/>
      <c r="H1334" s="2"/>
      <c r="I1334" s="21"/>
      <c r="J1334" s="21"/>
      <c r="K1334" s="21"/>
    </row>
    <row r="1335" spans="1:11" ht="15.5" x14ac:dyDescent="0.35">
      <c r="A1335" s="477" t="s">
        <v>901</v>
      </c>
      <c r="B1335" s="478">
        <v>2044</v>
      </c>
      <c r="C1335" s="478" t="str">
        <f t="shared" si="34"/>
        <v>North Central Coast_2044</v>
      </c>
      <c r="D1335" s="474">
        <v>301.83345548122952</v>
      </c>
      <c r="E1335" s="2"/>
      <c r="F1335" s="2"/>
      <c r="G1335" s="2"/>
      <c r="H1335" s="2"/>
      <c r="I1335" s="21"/>
      <c r="J1335" s="21"/>
      <c r="K1335" s="21"/>
    </row>
    <row r="1336" spans="1:11" ht="15.5" x14ac:dyDescent="0.35">
      <c r="A1336" s="477" t="s">
        <v>901</v>
      </c>
      <c r="B1336" s="478">
        <v>2045</v>
      </c>
      <c r="C1336" s="478" t="str">
        <f t="shared" ref="C1336:C1399" si="35">CONCATENATE(A1336,"_",B1336)</f>
        <v>North Central Coast_2045</v>
      </c>
      <c r="D1336" s="474">
        <v>300.81648513231977</v>
      </c>
      <c r="E1336" s="2"/>
      <c r="F1336" s="2"/>
      <c r="G1336" s="2"/>
      <c r="H1336" s="2"/>
      <c r="I1336" s="21"/>
      <c r="J1336" s="21"/>
      <c r="K1336" s="21"/>
    </row>
    <row r="1337" spans="1:11" ht="15.5" x14ac:dyDescent="0.35">
      <c r="A1337" s="477" t="s">
        <v>901</v>
      </c>
      <c r="B1337" s="478">
        <v>2046</v>
      </c>
      <c r="C1337" s="478" t="str">
        <f t="shared" si="35"/>
        <v>North Central Coast_2046</v>
      </c>
      <c r="D1337" s="474">
        <v>299.94241829105886</v>
      </c>
      <c r="E1337" s="2"/>
      <c r="F1337" s="2"/>
      <c r="G1337" s="2"/>
      <c r="H1337" s="2"/>
      <c r="I1337" s="21"/>
      <c r="J1337" s="21"/>
      <c r="K1337" s="21"/>
    </row>
    <row r="1338" spans="1:11" ht="15.5" x14ac:dyDescent="0.35">
      <c r="A1338" s="477" t="s">
        <v>901</v>
      </c>
      <c r="B1338" s="478">
        <v>2047</v>
      </c>
      <c r="C1338" s="478" t="str">
        <f t="shared" si="35"/>
        <v>North Central Coast_2047</v>
      </c>
      <c r="D1338" s="474">
        <v>299.2197170890089</v>
      </c>
      <c r="E1338" s="2"/>
      <c r="F1338" s="2"/>
      <c r="G1338" s="2"/>
      <c r="H1338" s="2"/>
      <c r="I1338" s="21"/>
      <c r="J1338" s="21"/>
      <c r="K1338" s="21"/>
    </row>
    <row r="1339" spans="1:11" ht="15.5" x14ac:dyDescent="0.35">
      <c r="A1339" s="477" t="s">
        <v>901</v>
      </c>
      <c r="B1339" s="478">
        <v>2048</v>
      </c>
      <c r="C1339" s="478" t="str">
        <f t="shared" si="35"/>
        <v>North Central Coast_2048</v>
      </c>
      <c r="D1339" s="474">
        <v>298.61185707370311</v>
      </c>
      <c r="E1339" s="2"/>
      <c r="F1339" s="2"/>
      <c r="G1339" s="2"/>
      <c r="H1339" s="2"/>
      <c r="I1339" s="21"/>
      <c r="J1339" s="21"/>
      <c r="K1339" s="21"/>
    </row>
    <row r="1340" spans="1:11" ht="15.5" x14ac:dyDescent="0.35">
      <c r="A1340" s="477" t="s">
        <v>901</v>
      </c>
      <c r="B1340" s="478">
        <v>2049</v>
      </c>
      <c r="C1340" s="478" t="str">
        <f t="shared" si="35"/>
        <v>North Central Coast_2049</v>
      </c>
      <c r="D1340" s="474">
        <v>298.09178079243748</v>
      </c>
      <c r="E1340" s="2"/>
      <c r="F1340" s="2"/>
      <c r="G1340" s="2"/>
      <c r="H1340" s="2"/>
      <c r="I1340" s="21"/>
      <c r="J1340" s="21"/>
      <c r="K1340" s="21"/>
    </row>
    <row r="1341" spans="1:11" ht="15.5" x14ac:dyDescent="0.35">
      <c r="A1341" s="477" t="s">
        <v>901</v>
      </c>
      <c r="B1341" s="478">
        <v>2050</v>
      </c>
      <c r="C1341" s="478" t="str">
        <f t="shared" si="35"/>
        <v>North Central Coast_2050</v>
      </c>
      <c r="D1341" s="474">
        <v>297.67651204569398</v>
      </c>
      <c r="E1341" s="2"/>
      <c r="F1341" s="2"/>
      <c r="G1341" s="2"/>
      <c r="H1341" s="2"/>
      <c r="I1341" s="21"/>
      <c r="J1341" s="21"/>
      <c r="K1341" s="21"/>
    </row>
    <row r="1342" spans="1:11" ht="15.5" x14ac:dyDescent="0.35">
      <c r="A1342" s="475" t="s">
        <v>902</v>
      </c>
      <c r="B1342" s="476">
        <v>2015</v>
      </c>
      <c r="C1342" s="476" t="str">
        <f t="shared" si="35"/>
        <v>North Coast_2015</v>
      </c>
      <c r="D1342" s="471">
        <v>533.58579353587027</v>
      </c>
      <c r="E1342" s="2"/>
      <c r="F1342" s="2"/>
      <c r="G1342" s="2"/>
      <c r="H1342" s="2"/>
      <c r="I1342" s="21"/>
      <c r="J1342" s="21"/>
      <c r="K1342" s="21"/>
    </row>
    <row r="1343" spans="1:11" ht="15.5" x14ac:dyDescent="0.35">
      <c r="A1343" s="475" t="s">
        <v>902</v>
      </c>
      <c r="B1343" s="476">
        <v>2016</v>
      </c>
      <c r="C1343" s="476" t="str">
        <f t="shared" si="35"/>
        <v>North Coast_2016</v>
      </c>
      <c r="D1343" s="471">
        <v>524.21758273965747</v>
      </c>
      <c r="E1343" s="2"/>
      <c r="F1343" s="2"/>
      <c r="G1343" s="2"/>
      <c r="H1343" s="2"/>
      <c r="I1343" s="21"/>
      <c r="J1343" s="21"/>
      <c r="K1343" s="21"/>
    </row>
    <row r="1344" spans="1:11" ht="15.5" x14ac:dyDescent="0.35">
      <c r="A1344" s="477" t="s">
        <v>902</v>
      </c>
      <c r="B1344" s="478">
        <v>2017</v>
      </c>
      <c r="C1344" s="478" t="str">
        <f t="shared" si="35"/>
        <v>North Coast_2017</v>
      </c>
      <c r="D1344" s="474">
        <v>512.6429399263186</v>
      </c>
      <c r="E1344" s="2"/>
      <c r="F1344" s="2"/>
      <c r="G1344" s="2"/>
      <c r="H1344" s="2"/>
      <c r="I1344" s="21"/>
      <c r="J1344" s="21"/>
      <c r="K1344" s="21"/>
    </row>
    <row r="1345" spans="1:11" ht="15.5" x14ac:dyDescent="0.35">
      <c r="A1345" s="477" t="s">
        <v>902</v>
      </c>
      <c r="B1345" s="478">
        <v>2018</v>
      </c>
      <c r="C1345" s="478" t="str">
        <f t="shared" si="35"/>
        <v>North Coast_2018</v>
      </c>
      <c r="D1345" s="474">
        <v>500.2703802461358</v>
      </c>
      <c r="E1345" s="2"/>
      <c r="F1345" s="2"/>
      <c r="G1345" s="2"/>
      <c r="H1345" s="2"/>
      <c r="I1345" s="21"/>
      <c r="J1345" s="21"/>
      <c r="K1345" s="21"/>
    </row>
    <row r="1346" spans="1:11" ht="15.5" x14ac:dyDescent="0.35">
      <c r="A1346" s="477" t="s">
        <v>902</v>
      </c>
      <c r="B1346" s="478">
        <v>2019</v>
      </c>
      <c r="C1346" s="478" t="str">
        <f t="shared" si="35"/>
        <v>North Coast_2019</v>
      </c>
      <c r="D1346" s="474">
        <v>487.25732265931242</v>
      </c>
      <c r="E1346" s="2"/>
      <c r="F1346" s="2"/>
      <c r="G1346" s="2"/>
      <c r="H1346" s="2"/>
      <c r="I1346" s="21"/>
      <c r="J1346" s="21"/>
      <c r="K1346" s="21"/>
    </row>
    <row r="1347" spans="1:11" ht="15.5" x14ac:dyDescent="0.35">
      <c r="A1347" s="477" t="s">
        <v>902</v>
      </c>
      <c r="B1347" s="478">
        <v>2020</v>
      </c>
      <c r="C1347" s="478" t="str">
        <f t="shared" si="35"/>
        <v>North Coast_2020</v>
      </c>
      <c r="D1347" s="474">
        <v>473.85398775122957</v>
      </c>
      <c r="E1347" s="2"/>
      <c r="F1347" s="2"/>
      <c r="G1347" s="2"/>
      <c r="H1347" s="2"/>
      <c r="I1347" s="21"/>
      <c r="J1347" s="21"/>
      <c r="K1347" s="21"/>
    </row>
    <row r="1348" spans="1:11" ht="15.5" x14ac:dyDescent="0.35">
      <c r="A1348" s="477" t="s">
        <v>902</v>
      </c>
      <c r="B1348" s="478">
        <v>2021</v>
      </c>
      <c r="C1348" s="478" t="str">
        <f t="shared" si="35"/>
        <v>North Coast_2021</v>
      </c>
      <c r="D1348" s="474">
        <v>460.10201057293938</v>
      </c>
      <c r="E1348" s="2"/>
      <c r="F1348" s="2"/>
      <c r="G1348" s="2"/>
      <c r="H1348" s="2"/>
      <c r="I1348" s="21"/>
      <c r="J1348" s="21"/>
      <c r="K1348" s="21"/>
    </row>
    <row r="1349" spans="1:11" ht="15.5" x14ac:dyDescent="0.35">
      <c r="A1349" s="477" t="s">
        <v>902</v>
      </c>
      <c r="B1349" s="478">
        <v>2022</v>
      </c>
      <c r="C1349" s="478" t="str">
        <f t="shared" si="35"/>
        <v>North Coast_2022</v>
      </c>
      <c r="D1349" s="474">
        <v>446.38539929320621</v>
      </c>
      <c r="E1349" s="2"/>
      <c r="F1349" s="2"/>
      <c r="G1349" s="2"/>
      <c r="H1349" s="2"/>
      <c r="I1349" s="21"/>
      <c r="J1349" s="21"/>
      <c r="K1349" s="21"/>
    </row>
    <row r="1350" spans="1:11" ht="15.5" x14ac:dyDescent="0.35">
      <c r="A1350" s="477" t="s">
        <v>902</v>
      </c>
      <c r="B1350" s="478">
        <v>2023</v>
      </c>
      <c r="C1350" s="478" t="str">
        <f t="shared" si="35"/>
        <v>North Coast_2023</v>
      </c>
      <c r="D1350" s="474">
        <v>432.71175377895037</v>
      </c>
      <c r="E1350" s="2"/>
      <c r="F1350" s="2"/>
      <c r="G1350" s="2"/>
      <c r="H1350" s="2"/>
      <c r="I1350" s="21"/>
      <c r="J1350" s="21"/>
      <c r="K1350" s="21"/>
    </row>
    <row r="1351" spans="1:11" ht="15.5" x14ac:dyDescent="0.35">
      <c r="A1351" s="477" t="s">
        <v>902</v>
      </c>
      <c r="B1351" s="478">
        <v>2024</v>
      </c>
      <c r="C1351" s="478" t="str">
        <f t="shared" si="35"/>
        <v>North Coast_2024</v>
      </c>
      <c r="D1351" s="474">
        <v>419.18347316363923</v>
      </c>
      <c r="E1351" s="2"/>
      <c r="F1351" s="2"/>
      <c r="G1351" s="2"/>
      <c r="H1351" s="2"/>
      <c r="I1351" s="21"/>
      <c r="J1351" s="21"/>
      <c r="K1351" s="21"/>
    </row>
    <row r="1352" spans="1:11" ht="15.5" x14ac:dyDescent="0.35">
      <c r="A1352" s="477" t="s">
        <v>902</v>
      </c>
      <c r="B1352" s="478">
        <v>2025</v>
      </c>
      <c r="C1352" s="478" t="str">
        <f t="shared" si="35"/>
        <v>North Coast_2025</v>
      </c>
      <c r="D1352" s="474">
        <v>405.8805378788619</v>
      </c>
      <c r="E1352" s="2"/>
      <c r="F1352" s="2"/>
      <c r="G1352" s="2"/>
      <c r="H1352" s="2"/>
      <c r="I1352" s="21"/>
      <c r="J1352" s="21"/>
      <c r="K1352" s="21"/>
    </row>
    <row r="1353" spans="1:11" ht="15.5" x14ac:dyDescent="0.35">
      <c r="A1353" s="477" t="s">
        <v>902</v>
      </c>
      <c r="B1353" s="478">
        <v>2026</v>
      </c>
      <c r="C1353" s="478" t="str">
        <f t="shared" si="35"/>
        <v>North Coast_2026</v>
      </c>
      <c r="D1353" s="474">
        <v>393.48885902905516</v>
      </c>
      <c r="E1353" s="2"/>
      <c r="F1353" s="2"/>
      <c r="G1353" s="2"/>
      <c r="H1353" s="2"/>
      <c r="I1353" s="21"/>
      <c r="J1353" s="21"/>
      <c r="K1353" s="21"/>
    </row>
    <row r="1354" spans="1:11" ht="15.5" x14ac:dyDescent="0.35">
      <c r="A1354" s="477" t="s">
        <v>902</v>
      </c>
      <c r="B1354" s="478">
        <v>2027</v>
      </c>
      <c r="C1354" s="478" t="str">
        <f t="shared" si="35"/>
        <v>North Coast_2027</v>
      </c>
      <c r="D1354" s="474">
        <v>382.09911035137907</v>
      </c>
      <c r="E1354" s="2"/>
      <c r="F1354" s="2"/>
      <c r="G1354" s="2"/>
      <c r="H1354" s="2"/>
      <c r="I1354" s="21"/>
      <c r="J1354" s="21"/>
      <c r="K1354" s="21"/>
    </row>
    <row r="1355" spans="1:11" ht="15.5" x14ac:dyDescent="0.35">
      <c r="A1355" s="477" t="s">
        <v>902</v>
      </c>
      <c r="B1355" s="478">
        <v>2028</v>
      </c>
      <c r="C1355" s="478" t="str">
        <f t="shared" si="35"/>
        <v>North Coast_2028</v>
      </c>
      <c r="D1355" s="474">
        <v>371.68505971032073</v>
      </c>
      <c r="E1355" s="2"/>
      <c r="F1355" s="2"/>
      <c r="G1355" s="2"/>
      <c r="H1355" s="2"/>
      <c r="I1355" s="21"/>
      <c r="J1355" s="21"/>
      <c r="K1355" s="21"/>
    </row>
    <row r="1356" spans="1:11" ht="15.5" x14ac:dyDescent="0.35">
      <c r="A1356" s="477" t="s">
        <v>902</v>
      </c>
      <c r="B1356" s="478">
        <v>2029</v>
      </c>
      <c r="C1356" s="478" t="str">
        <f t="shared" si="35"/>
        <v>North Coast_2029</v>
      </c>
      <c r="D1356" s="474">
        <v>362.19969606846792</v>
      </c>
      <c r="E1356" s="2"/>
      <c r="F1356" s="2"/>
      <c r="G1356" s="2"/>
      <c r="H1356" s="2"/>
      <c r="I1356" s="21"/>
      <c r="J1356" s="21"/>
      <c r="K1356" s="21"/>
    </row>
    <row r="1357" spans="1:11" ht="15.5" x14ac:dyDescent="0.35">
      <c r="A1357" s="477" t="s">
        <v>902</v>
      </c>
      <c r="B1357" s="478">
        <v>2030</v>
      </c>
      <c r="C1357" s="478" t="str">
        <f t="shared" si="35"/>
        <v>North Coast_2030</v>
      </c>
      <c r="D1357" s="474">
        <v>353.58908013368909</v>
      </c>
      <c r="E1357" s="2"/>
      <c r="F1357" s="2"/>
      <c r="G1357" s="2"/>
      <c r="H1357" s="2"/>
      <c r="I1357" s="21"/>
      <c r="J1357" s="21"/>
      <c r="K1357" s="21"/>
    </row>
    <row r="1358" spans="1:11" ht="15.5" x14ac:dyDescent="0.35">
      <c r="A1358" s="477" t="s">
        <v>902</v>
      </c>
      <c r="B1358" s="478">
        <v>2031</v>
      </c>
      <c r="C1358" s="478" t="str">
        <f t="shared" si="35"/>
        <v>North Coast_2031</v>
      </c>
      <c r="D1358" s="474">
        <v>345.80939311636911</v>
      </c>
      <c r="E1358" s="2"/>
      <c r="F1358" s="2"/>
      <c r="G1358" s="2"/>
      <c r="H1358" s="2"/>
      <c r="I1358" s="21"/>
      <c r="J1358" s="21"/>
      <c r="K1358" s="21"/>
    </row>
    <row r="1359" spans="1:11" ht="15.5" x14ac:dyDescent="0.35">
      <c r="A1359" s="477" t="s">
        <v>902</v>
      </c>
      <c r="B1359" s="478">
        <v>2032</v>
      </c>
      <c r="C1359" s="478" t="str">
        <f t="shared" si="35"/>
        <v>North Coast_2032</v>
      </c>
      <c r="D1359" s="474">
        <v>338.82917511864304</v>
      </c>
      <c r="E1359" s="2"/>
      <c r="F1359" s="2"/>
      <c r="G1359" s="2"/>
      <c r="H1359" s="2"/>
      <c r="I1359" s="21"/>
      <c r="J1359" s="21"/>
      <c r="K1359" s="21"/>
    </row>
    <row r="1360" spans="1:11" ht="15.5" x14ac:dyDescent="0.35">
      <c r="A1360" s="477" t="s">
        <v>902</v>
      </c>
      <c r="B1360" s="478">
        <v>2033</v>
      </c>
      <c r="C1360" s="478" t="str">
        <f t="shared" si="35"/>
        <v>North Coast_2033</v>
      </c>
      <c r="D1360" s="474">
        <v>332.60087794895219</v>
      </c>
      <c r="E1360" s="2"/>
      <c r="F1360" s="2"/>
      <c r="G1360" s="2"/>
      <c r="H1360" s="2"/>
      <c r="I1360" s="21"/>
      <c r="J1360" s="21"/>
      <c r="K1360" s="21"/>
    </row>
    <row r="1361" spans="1:11" ht="15.5" x14ac:dyDescent="0.35">
      <c r="A1361" s="477" t="s">
        <v>902</v>
      </c>
      <c r="B1361" s="478">
        <v>2034</v>
      </c>
      <c r="C1361" s="478" t="str">
        <f t="shared" si="35"/>
        <v>North Coast_2034</v>
      </c>
      <c r="D1361" s="474">
        <v>327.03546134219113</v>
      </c>
      <c r="E1361" s="2"/>
      <c r="F1361" s="2"/>
      <c r="G1361" s="2"/>
      <c r="H1361" s="2"/>
      <c r="I1361" s="21"/>
      <c r="J1361" s="21"/>
      <c r="K1361" s="21"/>
    </row>
    <row r="1362" spans="1:11" ht="15.5" x14ac:dyDescent="0.35">
      <c r="A1362" s="477" t="s">
        <v>902</v>
      </c>
      <c r="B1362" s="478">
        <v>2035</v>
      </c>
      <c r="C1362" s="478" t="str">
        <f t="shared" si="35"/>
        <v>North Coast_2035</v>
      </c>
      <c r="D1362" s="474">
        <v>322.11789060275589</v>
      </c>
      <c r="E1362" s="2"/>
      <c r="F1362" s="2"/>
      <c r="G1362" s="2"/>
      <c r="H1362" s="2"/>
      <c r="I1362" s="21"/>
      <c r="J1362" s="21"/>
      <c r="K1362" s="21"/>
    </row>
    <row r="1363" spans="1:11" ht="15.5" x14ac:dyDescent="0.35">
      <c r="A1363" s="477" t="s">
        <v>902</v>
      </c>
      <c r="B1363" s="478">
        <v>2036</v>
      </c>
      <c r="C1363" s="478" t="str">
        <f t="shared" si="35"/>
        <v>North Coast_2036</v>
      </c>
      <c r="D1363" s="474">
        <v>317.78046534198648</v>
      </c>
      <c r="E1363" s="2"/>
      <c r="F1363" s="2"/>
      <c r="G1363" s="2"/>
      <c r="H1363" s="2"/>
      <c r="I1363" s="21"/>
      <c r="J1363" s="21"/>
      <c r="K1363" s="21"/>
    </row>
    <row r="1364" spans="1:11" ht="15.5" x14ac:dyDescent="0.35">
      <c r="A1364" s="477" t="s">
        <v>902</v>
      </c>
      <c r="B1364" s="478">
        <v>2037</v>
      </c>
      <c r="C1364" s="478" t="str">
        <f t="shared" si="35"/>
        <v>North Coast_2037</v>
      </c>
      <c r="D1364" s="474">
        <v>314.01486308684878</v>
      </c>
      <c r="E1364" s="2"/>
      <c r="F1364" s="2"/>
      <c r="G1364" s="2"/>
      <c r="H1364" s="2"/>
      <c r="I1364" s="21"/>
      <c r="J1364" s="21"/>
      <c r="K1364" s="21"/>
    </row>
    <row r="1365" spans="1:11" ht="15.5" x14ac:dyDescent="0.35">
      <c r="A1365" s="477" t="s">
        <v>902</v>
      </c>
      <c r="B1365" s="478">
        <v>2038</v>
      </c>
      <c r="C1365" s="478" t="str">
        <f t="shared" si="35"/>
        <v>North Coast_2038</v>
      </c>
      <c r="D1365" s="474">
        <v>310.75003915630742</v>
      </c>
      <c r="E1365" s="2"/>
      <c r="F1365" s="2"/>
      <c r="G1365" s="2"/>
      <c r="H1365" s="2"/>
      <c r="I1365" s="21"/>
      <c r="J1365" s="21"/>
      <c r="K1365" s="21"/>
    </row>
    <row r="1366" spans="1:11" ht="15.5" x14ac:dyDescent="0.35">
      <c r="A1366" s="477" t="s">
        <v>902</v>
      </c>
      <c r="B1366" s="478">
        <v>2039</v>
      </c>
      <c r="C1366" s="478" t="str">
        <f t="shared" si="35"/>
        <v>North Coast_2039</v>
      </c>
      <c r="D1366" s="474">
        <v>307.92598376500206</v>
      </c>
      <c r="E1366" s="2"/>
      <c r="F1366" s="2"/>
      <c r="G1366" s="2"/>
      <c r="H1366" s="2"/>
      <c r="I1366" s="21"/>
      <c r="J1366" s="21"/>
      <c r="K1366" s="21"/>
    </row>
    <row r="1367" spans="1:11" ht="15.5" x14ac:dyDescent="0.35">
      <c r="A1367" s="477" t="s">
        <v>902</v>
      </c>
      <c r="B1367" s="478">
        <v>2040</v>
      </c>
      <c r="C1367" s="478" t="str">
        <f t="shared" si="35"/>
        <v>North Coast_2040</v>
      </c>
      <c r="D1367" s="474">
        <v>305.49560821753909</v>
      </c>
      <c r="E1367" s="2"/>
      <c r="F1367" s="2"/>
      <c r="G1367" s="2"/>
      <c r="H1367" s="2"/>
      <c r="I1367" s="21"/>
      <c r="J1367" s="21"/>
      <c r="K1367" s="21"/>
    </row>
    <row r="1368" spans="1:11" ht="15.5" x14ac:dyDescent="0.35">
      <c r="A1368" s="477" t="s">
        <v>902</v>
      </c>
      <c r="B1368" s="478">
        <v>2041</v>
      </c>
      <c r="C1368" s="478" t="str">
        <f t="shared" si="35"/>
        <v>North Coast_2041</v>
      </c>
      <c r="D1368" s="474">
        <v>303.43857737101041</v>
      </c>
      <c r="E1368" s="2"/>
      <c r="F1368" s="2"/>
      <c r="G1368" s="2"/>
      <c r="H1368" s="2"/>
      <c r="I1368" s="21"/>
      <c r="J1368" s="21"/>
      <c r="K1368" s="21"/>
    </row>
    <row r="1369" spans="1:11" ht="15.5" x14ac:dyDescent="0.35">
      <c r="A1369" s="477" t="s">
        <v>902</v>
      </c>
      <c r="B1369" s="478">
        <v>2042</v>
      </c>
      <c r="C1369" s="478" t="str">
        <f t="shared" si="35"/>
        <v>North Coast_2042</v>
      </c>
      <c r="D1369" s="474">
        <v>301.66472172346425</v>
      </c>
      <c r="E1369" s="2"/>
      <c r="F1369" s="2"/>
      <c r="G1369" s="2"/>
      <c r="H1369" s="2"/>
      <c r="I1369" s="21"/>
      <c r="J1369" s="21"/>
      <c r="K1369" s="21"/>
    </row>
    <row r="1370" spans="1:11" ht="15.5" x14ac:dyDescent="0.35">
      <c r="A1370" s="477" t="s">
        <v>902</v>
      </c>
      <c r="B1370" s="478">
        <v>2043</v>
      </c>
      <c r="C1370" s="478" t="str">
        <f t="shared" si="35"/>
        <v>North Coast_2043</v>
      </c>
      <c r="D1370" s="474">
        <v>300.16423105744661</v>
      </c>
      <c r="E1370" s="2"/>
      <c r="F1370" s="2"/>
      <c r="G1370" s="2"/>
      <c r="H1370" s="2"/>
      <c r="I1370" s="21"/>
      <c r="J1370" s="21"/>
      <c r="K1370" s="21"/>
    </row>
    <row r="1371" spans="1:11" ht="15.5" x14ac:dyDescent="0.35">
      <c r="A1371" s="477" t="s">
        <v>902</v>
      </c>
      <c r="B1371" s="478">
        <v>2044</v>
      </c>
      <c r="C1371" s="478" t="str">
        <f t="shared" si="35"/>
        <v>North Coast_2044</v>
      </c>
      <c r="D1371" s="474">
        <v>298.89222253038207</v>
      </c>
      <c r="E1371" s="2"/>
      <c r="F1371" s="2"/>
      <c r="G1371" s="2"/>
      <c r="H1371" s="2"/>
      <c r="I1371" s="21"/>
      <c r="J1371" s="21"/>
      <c r="K1371" s="21"/>
    </row>
    <row r="1372" spans="1:11" ht="15.5" x14ac:dyDescent="0.35">
      <c r="A1372" s="477" t="s">
        <v>902</v>
      </c>
      <c r="B1372" s="478">
        <v>2045</v>
      </c>
      <c r="C1372" s="478" t="str">
        <f t="shared" si="35"/>
        <v>North Coast_2045</v>
      </c>
      <c r="D1372" s="474">
        <v>297.77660308137206</v>
      </c>
      <c r="E1372" s="2"/>
      <c r="F1372" s="2"/>
      <c r="G1372" s="2"/>
      <c r="H1372" s="2"/>
      <c r="I1372" s="21"/>
      <c r="J1372" s="21"/>
      <c r="K1372" s="21"/>
    </row>
    <row r="1373" spans="1:11" ht="15.5" x14ac:dyDescent="0.35">
      <c r="A1373" s="477" t="s">
        <v>902</v>
      </c>
      <c r="B1373" s="478">
        <v>2046</v>
      </c>
      <c r="C1373" s="478" t="str">
        <f t="shared" si="35"/>
        <v>North Coast_2046</v>
      </c>
      <c r="D1373" s="474">
        <v>296.83416361169452</v>
      </c>
      <c r="E1373" s="2"/>
      <c r="F1373" s="2"/>
      <c r="G1373" s="2"/>
      <c r="H1373" s="2"/>
      <c r="I1373" s="21"/>
      <c r="J1373" s="21"/>
      <c r="K1373" s="21"/>
    </row>
    <row r="1374" spans="1:11" ht="15.5" x14ac:dyDescent="0.35">
      <c r="A1374" s="477" t="s">
        <v>902</v>
      </c>
      <c r="B1374" s="478">
        <v>2047</v>
      </c>
      <c r="C1374" s="478" t="str">
        <f t="shared" si="35"/>
        <v>North Coast_2047</v>
      </c>
      <c r="D1374" s="474">
        <v>296.03533810378383</v>
      </c>
      <c r="E1374" s="2"/>
      <c r="F1374" s="2"/>
      <c r="G1374" s="2"/>
      <c r="H1374" s="2"/>
      <c r="I1374" s="21"/>
      <c r="J1374" s="21"/>
      <c r="K1374" s="21"/>
    </row>
    <row r="1375" spans="1:11" ht="15.5" x14ac:dyDescent="0.35">
      <c r="A1375" s="477" t="s">
        <v>902</v>
      </c>
      <c r="B1375" s="478">
        <v>2048</v>
      </c>
      <c r="C1375" s="478" t="str">
        <f t="shared" si="35"/>
        <v>North Coast_2048</v>
      </c>
      <c r="D1375" s="474">
        <v>295.3551725376152</v>
      </c>
      <c r="E1375" s="2"/>
      <c r="F1375" s="2"/>
      <c r="G1375" s="2"/>
      <c r="H1375" s="2"/>
      <c r="I1375" s="21"/>
      <c r="J1375" s="21"/>
      <c r="K1375" s="21"/>
    </row>
    <row r="1376" spans="1:11" ht="15.5" x14ac:dyDescent="0.35">
      <c r="A1376" s="477" t="s">
        <v>902</v>
      </c>
      <c r="B1376" s="478">
        <v>2049</v>
      </c>
      <c r="C1376" s="478" t="str">
        <f t="shared" si="35"/>
        <v>North Coast_2049</v>
      </c>
      <c r="D1376" s="474">
        <v>294.77164795665095</v>
      </c>
      <c r="E1376" s="2"/>
      <c r="F1376" s="2"/>
      <c r="G1376" s="2"/>
      <c r="H1376" s="2"/>
      <c r="I1376" s="21"/>
      <c r="J1376" s="21"/>
      <c r="K1376" s="21"/>
    </row>
    <row r="1377" spans="1:11" ht="15.5" x14ac:dyDescent="0.35">
      <c r="A1377" s="477" t="s">
        <v>902</v>
      </c>
      <c r="B1377" s="478">
        <v>2050</v>
      </c>
      <c r="C1377" s="478" t="str">
        <f t="shared" si="35"/>
        <v>North Coast_2050</v>
      </c>
      <c r="D1377" s="474">
        <v>294.29143688670251</v>
      </c>
      <c r="E1377" s="2"/>
      <c r="F1377" s="2"/>
      <c r="G1377" s="2"/>
      <c r="H1377" s="2"/>
      <c r="I1377" s="21"/>
      <c r="J1377" s="21"/>
      <c r="K1377" s="21"/>
    </row>
    <row r="1378" spans="1:11" ht="15.5" x14ac:dyDescent="0.35">
      <c r="A1378" s="475" t="s">
        <v>903</v>
      </c>
      <c r="B1378" s="476">
        <v>2015</v>
      </c>
      <c r="C1378" s="476" t="str">
        <f t="shared" si="35"/>
        <v>Northeast Plateau_2015</v>
      </c>
      <c r="D1378" s="471">
        <v>556.98982010032228</v>
      </c>
      <c r="E1378" s="2"/>
      <c r="F1378" s="2"/>
      <c r="G1378" s="2"/>
      <c r="H1378" s="2"/>
      <c r="I1378" s="21"/>
      <c r="J1378" s="21"/>
      <c r="K1378" s="21"/>
    </row>
    <row r="1379" spans="1:11" ht="15.5" x14ac:dyDescent="0.35">
      <c r="A1379" s="475" t="s">
        <v>903</v>
      </c>
      <c r="B1379" s="476">
        <v>2016</v>
      </c>
      <c r="C1379" s="476" t="str">
        <f t="shared" si="35"/>
        <v>Northeast Plateau_2016</v>
      </c>
      <c r="D1379" s="471">
        <v>546.53069103431221</v>
      </c>
      <c r="E1379" s="2"/>
      <c r="F1379" s="2"/>
      <c r="G1379" s="2"/>
      <c r="H1379" s="2"/>
      <c r="I1379" s="21"/>
      <c r="J1379" s="21"/>
      <c r="K1379" s="21"/>
    </row>
    <row r="1380" spans="1:11" ht="15.5" x14ac:dyDescent="0.35">
      <c r="A1380" s="477" t="s">
        <v>903</v>
      </c>
      <c r="B1380" s="478">
        <v>2017</v>
      </c>
      <c r="C1380" s="478" t="str">
        <f t="shared" si="35"/>
        <v>Northeast Plateau_2017</v>
      </c>
      <c r="D1380" s="474">
        <v>533.45329519153836</v>
      </c>
      <c r="E1380" s="2"/>
      <c r="F1380" s="2"/>
      <c r="G1380" s="2"/>
      <c r="H1380" s="2"/>
      <c r="I1380" s="21"/>
      <c r="J1380" s="21"/>
      <c r="K1380" s="21"/>
    </row>
    <row r="1381" spans="1:11" ht="15.5" x14ac:dyDescent="0.35">
      <c r="A1381" s="477" t="s">
        <v>903</v>
      </c>
      <c r="B1381" s="478">
        <v>2018</v>
      </c>
      <c r="C1381" s="478" t="str">
        <f t="shared" si="35"/>
        <v>Northeast Plateau_2018</v>
      </c>
      <c r="D1381" s="474">
        <v>519.89516545727429</v>
      </c>
      <c r="E1381" s="2"/>
      <c r="F1381" s="2"/>
      <c r="G1381" s="2"/>
      <c r="H1381" s="2"/>
      <c r="I1381" s="21"/>
      <c r="J1381" s="21"/>
      <c r="K1381" s="21"/>
    </row>
    <row r="1382" spans="1:11" ht="15.5" x14ac:dyDescent="0.35">
      <c r="A1382" s="477" t="s">
        <v>903</v>
      </c>
      <c r="B1382" s="478">
        <v>2019</v>
      </c>
      <c r="C1382" s="478" t="str">
        <f t="shared" si="35"/>
        <v>Northeast Plateau_2019</v>
      </c>
      <c r="D1382" s="474">
        <v>505.73647045243604</v>
      </c>
      <c r="E1382" s="2"/>
      <c r="F1382" s="2"/>
      <c r="G1382" s="2"/>
      <c r="H1382" s="2"/>
      <c r="I1382" s="21"/>
      <c r="J1382" s="21"/>
      <c r="K1382" s="21"/>
    </row>
    <row r="1383" spans="1:11" ht="15.5" x14ac:dyDescent="0.35">
      <c r="A1383" s="477" t="s">
        <v>903</v>
      </c>
      <c r="B1383" s="478">
        <v>2020</v>
      </c>
      <c r="C1383" s="478" t="str">
        <f t="shared" si="35"/>
        <v>Northeast Plateau_2020</v>
      </c>
      <c r="D1383" s="474">
        <v>491.29926180828227</v>
      </c>
      <c r="E1383" s="2"/>
      <c r="F1383" s="2"/>
      <c r="G1383" s="2"/>
      <c r="H1383" s="2"/>
      <c r="I1383" s="21"/>
      <c r="J1383" s="21"/>
      <c r="K1383" s="21"/>
    </row>
    <row r="1384" spans="1:11" ht="15.5" x14ac:dyDescent="0.35">
      <c r="A1384" s="477" t="s">
        <v>903</v>
      </c>
      <c r="B1384" s="478">
        <v>2021</v>
      </c>
      <c r="C1384" s="478" t="str">
        <f t="shared" si="35"/>
        <v>Northeast Plateau_2021</v>
      </c>
      <c r="D1384" s="474">
        <v>476.63029642625884</v>
      </c>
      <c r="E1384" s="2"/>
      <c r="F1384" s="2"/>
      <c r="G1384" s="2"/>
      <c r="H1384" s="2"/>
      <c r="I1384" s="21"/>
      <c r="J1384" s="21"/>
      <c r="K1384" s="21"/>
    </row>
    <row r="1385" spans="1:11" ht="15.5" x14ac:dyDescent="0.35">
      <c r="A1385" s="477" t="s">
        <v>903</v>
      </c>
      <c r="B1385" s="478">
        <v>2022</v>
      </c>
      <c r="C1385" s="478" t="str">
        <f t="shared" si="35"/>
        <v>Northeast Plateau_2022</v>
      </c>
      <c r="D1385" s="474">
        <v>462.00221781776975</v>
      </c>
      <c r="E1385" s="2"/>
      <c r="F1385" s="2"/>
      <c r="G1385" s="2"/>
      <c r="H1385" s="2"/>
      <c r="I1385" s="21"/>
      <c r="J1385" s="21"/>
      <c r="K1385" s="21"/>
    </row>
    <row r="1386" spans="1:11" ht="15.5" x14ac:dyDescent="0.35">
      <c r="A1386" s="477" t="s">
        <v>903</v>
      </c>
      <c r="B1386" s="478">
        <v>2023</v>
      </c>
      <c r="C1386" s="478" t="str">
        <f t="shared" si="35"/>
        <v>Northeast Plateau_2023</v>
      </c>
      <c r="D1386" s="474">
        <v>447.57572398568533</v>
      </c>
      <c r="E1386" s="2"/>
      <c r="F1386" s="2"/>
      <c r="G1386" s="2"/>
      <c r="H1386" s="2"/>
      <c r="I1386" s="21"/>
      <c r="J1386" s="21"/>
      <c r="K1386" s="21"/>
    </row>
    <row r="1387" spans="1:11" ht="15.5" x14ac:dyDescent="0.35">
      <c r="A1387" s="477" t="s">
        <v>903</v>
      </c>
      <c r="B1387" s="478">
        <v>2024</v>
      </c>
      <c r="C1387" s="478" t="str">
        <f t="shared" si="35"/>
        <v>Northeast Plateau_2024</v>
      </c>
      <c r="D1387" s="474">
        <v>433.37427491640761</v>
      </c>
      <c r="E1387" s="2"/>
      <c r="F1387" s="2"/>
      <c r="G1387" s="2"/>
      <c r="H1387" s="2"/>
      <c r="I1387" s="21"/>
      <c r="J1387" s="21"/>
      <c r="K1387" s="21"/>
    </row>
    <row r="1388" spans="1:11" ht="15.5" x14ac:dyDescent="0.35">
      <c r="A1388" s="477" t="s">
        <v>903</v>
      </c>
      <c r="B1388" s="478">
        <v>2025</v>
      </c>
      <c r="C1388" s="478" t="str">
        <f t="shared" si="35"/>
        <v>Northeast Plateau_2025</v>
      </c>
      <c r="D1388" s="474">
        <v>419.47077384677908</v>
      </c>
      <c r="E1388" s="2"/>
      <c r="F1388" s="2"/>
      <c r="G1388" s="2"/>
      <c r="H1388" s="2"/>
      <c r="I1388" s="21"/>
      <c r="J1388" s="21"/>
      <c r="K1388" s="21"/>
    </row>
    <row r="1389" spans="1:11" ht="15.5" x14ac:dyDescent="0.35">
      <c r="A1389" s="477" t="s">
        <v>903</v>
      </c>
      <c r="B1389" s="478">
        <v>2026</v>
      </c>
      <c r="C1389" s="478" t="str">
        <f t="shared" si="35"/>
        <v>Northeast Plateau_2026</v>
      </c>
      <c r="D1389" s="474">
        <v>406.77902483444967</v>
      </c>
      <c r="E1389" s="2"/>
      <c r="F1389" s="2"/>
      <c r="G1389" s="2"/>
      <c r="H1389" s="2"/>
      <c r="I1389" s="21"/>
      <c r="J1389" s="21"/>
      <c r="K1389" s="21"/>
    </row>
    <row r="1390" spans="1:11" ht="15.5" x14ac:dyDescent="0.35">
      <c r="A1390" s="477" t="s">
        <v>903</v>
      </c>
      <c r="B1390" s="478">
        <v>2027</v>
      </c>
      <c r="C1390" s="478" t="str">
        <f t="shared" si="35"/>
        <v>Northeast Plateau_2027</v>
      </c>
      <c r="D1390" s="474">
        <v>395.12982788352036</v>
      </c>
      <c r="E1390" s="2"/>
      <c r="F1390" s="2"/>
      <c r="G1390" s="2"/>
      <c r="H1390" s="2"/>
      <c r="I1390" s="21"/>
      <c r="J1390" s="21"/>
      <c r="K1390" s="21"/>
    </row>
    <row r="1391" spans="1:11" ht="15.5" x14ac:dyDescent="0.35">
      <c r="A1391" s="477" t="s">
        <v>903</v>
      </c>
      <c r="B1391" s="478">
        <v>2028</v>
      </c>
      <c r="C1391" s="478" t="str">
        <f t="shared" si="35"/>
        <v>Northeast Plateau_2028</v>
      </c>
      <c r="D1391" s="474">
        <v>384.58447603272373</v>
      </c>
      <c r="E1391" s="2"/>
      <c r="F1391" s="2"/>
      <c r="G1391" s="2"/>
      <c r="H1391" s="2"/>
      <c r="I1391" s="21"/>
      <c r="J1391" s="21"/>
      <c r="K1391" s="21"/>
    </row>
    <row r="1392" spans="1:11" ht="15.5" x14ac:dyDescent="0.35">
      <c r="A1392" s="477" t="s">
        <v>903</v>
      </c>
      <c r="B1392" s="478">
        <v>2029</v>
      </c>
      <c r="C1392" s="478" t="str">
        <f t="shared" si="35"/>
        <v>Northeast Plateau_2029</v>
      </c>
      <c r="D1392" s="474">
        <v>375.04014706392985</v>
      </c>
      <c r="E1392" s="2"/>
      <c r="F1392" s="2"/>
      <c r="G1392" s="2"/>
      <c r="H1392" s="2"/>
      <c r="I1392" s="21"/>
      <c r="J1392" s="21"/>
      <c r="K1392" s="21"/>
    </row>
    <row r="1393" spans="1:11" ht="15.5" x14ac:dyDescent="0.35">
      <c r="A1393" s="477" t="s">
        <v>903</v>
      </c>
      <c r="B1393" s="478">
        <v>2030</v>
      </c>
      <c r="C1393" s="478" t="str">
        <f t="shared" si="35"/>
        <v>Northeast Plateau_2030</v>
      </c>
      <c r="D1393" s="474">
        <v>366.45440505115852</v>
      </c>
      <c r="E1393" s="2"/>
      <c r="F1393" s="2"/>
      <c r="G1393" s="2"/>
      <c r="H1393" s="2"/>
      <c r="I1393" s="21"/>
      <c r="J1393" s="21"/>
      <c r="K1393" s="21"/>
    </row>
    <row r="1394" spans="1:11" ht="15.5" x14ac:dyDescent="0.35">
      <c r="A1394" s="477" t="s">
        <v>903</v>
      </c>
      <c r="B1394" s="478">
        <v>2031</v>
      </c>
      <c r="C1394" s="478" t="str">
        <f t="shared" si="35"/>
        <v>Northeast Plateau_2031</v>
      </c>
      <c r="D1394" s="474">
        <v>358.76610012966876</v>
      </c>
      <c r="E1394" s="2"/>
      <c r="F1394" s="2"/>
      <c r="G1394" s="2"/>
      <c r="H1394" s="2"/>
      <c r="I1394" s="21"/>
      <c r="J1394" s="21"/>
      <c r="K1394" s="21"/>
    </row>
    <row r="1395" spans="1:11" ht="15.5" x14ac:dyDescent="0.35">
      <c r="A1395" s="477" t="s">
        <v>903</v>
      </c>
      <c r="B1395" s="478">
        <v>2032</v>
      </c>
      <c r="C1395" s="478" t="str">
        <f t="shared" si="35"/>
        <v>Northeast Plateau_2032</v>
      </c>
      <c r="D1395" s="474">
        <v>351.92677268474336</v>
      </c>
      <c r="E1395" s="2"/>
      <c r="F1395" s="2"/>
      <c r="G1395" s="2"/>
      <c r="H1395" s="2"/>
      <c r="I1395" s="21"/>
      <c r="J1395" s="21"/>
      <c r="K1395" s="21"/>
    </row>
    <row r="1396" spans="1:11" ht="15.5" x14ac:dyDescent="0.35">
      <c r="A1396" s="477" t="s">
        <v>903</v>
      </c>
      <c r="B1396" s="478">
        <v>2033</v>
      </c>
      <c r="C1396" s="478" t="str">
        <f t="shared" si="35"/>
        <v>Northeast Plateau_2033</v>
      </c>
      <c r="D1396" s="474">
        <v>345.84942489105799</v>
      </c>
      <c r="E1396" s="2"/>
      <c r="F1396" s="2"/>
      <c r="G1396" s="2"/>
      <c r="H1396" s="2"/>
      <c r="I1396" s="21"/>
      <c r="J1396" s="21"/>
      <c r="K1396" s="21"/>
    </row>
    <row r="1397" spans="1:11" ht="15.5" x14ac:dyDescent="0.35">
      <c r="A1397" s="477" t="s">
        <v>903</v>
      </c>
      <c r="B1397" s="478">
        <v>2034</v>
      </c>
      <c r="C1397" s="478" t="str">
        <f t="shared" si="35"/>
        <v>Northeast Plateau_2034</v>
      </c>
      <c r="D1397" s="474">
        <v>340.47569810708785</v>
      </c>
      <c r="E1397" s="2"/>
      <c r="F1397" s="2"/>
      <c r="G1397" s="2"/>
      <c r="H1397" s="2"/>
      <c r="I1397" s="21"/>
      <c r="J1397" s="21"/>
      <c r="K1397" s="21"/>
    </row>
    <row r="1398" spans="1:11" ht="15.5" x14ac:dyDescent="0.35">
      <c r="A1398" s="477" t="s">
        <v>903</v>
      </c>
      <c r="B1398" s="478">
        <v>2035</v>
      </c>
      <c r="C1398" s="478" t="str">
        <f t="shared" si="35"/>
        <v>Northeast Plateau_2035</v>
      </c>
      <c r="D1398" s="474">
        <v>335.75645986295547</v>
      </c>
      <c r="E1398" s="2"/>
      <c r="F1398" s="2"/>
      <c r="G1398" s="2"/>
      <c r="H1398" s="2"/>
      <c r="I1398" s="21"/>
      <c r="J1398" s="21"/>
      <c r="K1398" s="21"/>
    </row>
    <row r="1399" spans="1:11" ht="15.5" x14ac:dyDescent="0.35">
      <c r="A1399" s="477" t="s">
        <v>903</v>
      </c>
      <c r="B1399" s="478">
        <v>2036</v>
      </c>
      <c r="C1399" s="478" t="str">
        <f t="shared" si="35"/>
        <v>Northeast Plateau_2036</v>
      </c>
      <c r="D1399" s="474">
        <v>331.64731617557572</v>
      </c>
      <c r="E1399" s="2"/>
      <c r="F1399" s="2"/>
      <c r="G1399" s="2"/>
      <c r="H1399" s="2"/>
      <c r="I1399" s="21"/>
      <c r="J1399" s="21"/>
      <c r="K1399" s="21"/>
    </row>
    <row r="1400" spans="1:11" ht="15.5" x14ac:dyDescent="0.35">
      <c r="A1400" s="477" t="s">
        <v>903</v>
      </c>
      <c r="B1400" s="478">
        <v>2037</v>
      </c>
      <c r="C1400" s="478" t="str">
        <f t="shared" ref="C1400:C1413" si="36">CONCATENATE(A1400,"_",B1400)</f>
        <v>Northeast Plateau_2037</v>
      </c>
      <c r="D1400" s="474">
        <v>328.08841752858876</v>
      </c>
      <c r="E1400" s="2"/>
      <c r="F1400" s="2"/>
      <c r="G1400" s="2"/>
      <c r="H1400" s="2"/>
      <c r="I1400" s="21"/>
      <c r="J1400" s="21"/>
      <c r="K1400" s="21"/>
    </row>
    <row r="1401" spans="1:11" ht="15.5" x14ac:dyDescent="0.35">
      <c r="A1401" s="477" t="s">
        <v>903</v>
      </c>
      <c r="B1401" s="478">
        <v>2038</v>
      </c>
      <c r="C1401" s="478" t="str">
        <f t="shared" si="36"/>
        <v>Northeast Plateau_2038</v>
      </c>
      <c r="D1401" s="474">
        <v>325.04106623212255</v>
      </c>
      <c r="E1401" s="2"/>
      <c r="F1401" s="2"/>
      <c r="G1401" s="2"/>
      <c r="H1401" s="2"/>
      <c r="I1401" s="21"/>
      <c r="J1401" s="21"/>
      <c r="K1401" s="21"/>
    </row>
    <row r="1402" spans="1:11" ht="15.5" x14ac:dyDescent="0.35">
      <c r="A1402" s="477" t="s">
        <v>903</v>
      </c>
      <c r="B1402" s="478">
        <v>2039</v>
      </c>
      <c r="C1402" s="478" t="str">
        <f t="shared" si="36"/>
        <v>Northeast Plateau_2039</v>
      </c>
      <c r="D1402" s="474">
        <v>322.42317858999075</v>
      </c>
      <c r="E1402" s="2"/>
      <c r="F1402" s="2"/>
      <c r="G1402" s="2"/>
      <c r="H1402" s="2"/>
      <c r="I1402" s="21"/>
      <c r="J1402" s="21"/>
      <c r="K1402" s="21"/>
    </row>
    <row r="1403" spans="1:11" ht="15.5" x14ac:dyDescent="0.35">
      <c r="A1403" s="477" t="s">
        <v>903</v>
      </c>
      <c r="B1403" s="478">
        <v>2040</v>
      </c>
      <c r="C1403" s="478" t="str">
        <f t="shared" si="36"/>
        <v>Northeast Plateau_2040</v>
      </c>
      <c r="D1403" s="474">
        <v>320.19601736507428</v>
      </c>
      <c r="E1403" s="2"/>
      <c r="F1403" s="2"/>
      <c r="G1403" s="2"/>
      <c r="H1403" s="2"/>
      <c r="I1403" s="21"/>
      <c r="J1403" s="21"/>
      <c r="K1403" s="21"/>
    </row>
    <row r="1404" spans="1:11" ht="15.5" x14ac:dyDescent="0.35">
      <c r="A1404" s="477" t="s">
        <v>903</v>
      </c>
      <c r="B1404" s="478">
        <v>2041</v>
      </c>
      <c r="C1404" s="478" t="str">
        <f t="shared" si="36"/>
        <v>Northeast Plateau_2041</v>
      </c>
      <c r="D1404" s="474">
        <v>318.34073102326897</v>
      </c>
      <c r="E1404" s="2"/>
      <c r="F1404" s="2"/>
      <c r="G1404" s="2"/>
      <c r="H1404" s="2"/>
      <c r="I1404" s="21"/>
      <c r="J1404" s="21"/>
      <c r="K1404" s="21"/>
    </row>
    <row r="1405" spans="1:11" ht="15.5" x14ac:dyDescent="0.35">
      <c r="A1405" s="477" t="s">
        <v>903</v>
      </c>
      <c r="B1405" s="478">
        <v>2042</v>
      </c>
      <c r="C1405" s="478" t="str">
        <f t="shared" si="36"/>
        <v>Northeast Plateau_2042</v>
      </c>
      <c r="D1405" s="474">
        <v>316.75931295434606</v>
      </c>
      <c r="E1405" s="2"/>
      <c r="F1405" s="2"/>
      <c r="G1405" s="2"/>
      <c r="H1405" s="2"/>
      <c r="I1405" s="21"/>
      <c r="J1405" s="21"/>
      <c r="K1405" s="21"/>
    </row>
    <row r="1406" spans="1:11" ht="15.5" x14ac:dyDescent="0.35">
      <c r="A1406" s="477" t="s">
        <v>903</v>
      </c>
      <c r="B1406" s="478">
        <v>2043</v>
      </c>
      <c r="C1406" s="478" t="str">
        <f t="shared" si="36"/>
        <v>Northeast Plateau_2043</v>
      </c>
      <c r="D1406" s="474">
        <v>315.43139311941491</v>
      </c>
      <c r="E1406" s="2"/>
      <c r="F1406" s="2"/>
      <c r="G1406" s="2"/>
      <c r="H1406" s="2"/>
      <c r="I1406" s="21"/>
      <c r="J1406" s="21"/>
      <c r="K1406" s="21"/>
    </row>
    <row r="1407" spans="1:11" ht="15.5" x14ac:dyDescent="0.35">
      <c r="A1407" s="477" t="s">
        <v>903</v>
      </c>
      <c r="B1407" s="478">
        <v>2044</v>
      </c>
      <c r="C1407" s="478" t="str">
        <f t="shared" si="36"/>
        <v>Northeast Plateau_2044</v>
      </c>
      <c r="D1407" s="474">
        <v>314.30350655762703</v>
      </c>
      <c r="E1407" s="2"/>
      <c r="F1407" s="2"/>
      <c r="G1407" s="2"/>
      <c r="H1407" s="2"/>
      <c r="I1407" s="21"/>
      <c r="J1407" s="21"/>
      <c r="K1407" s="21"/>
    </row>
    <row r="1408" spans="1:11" ht="15.5" x14ac:dyDescent="0.35">
      <c r="A1408" s="477" t="s">
        <v>903</v>
      </c>
      <c r="B1408" s="478">
        <v>2045</v>
      </c>
      <c r="C1408" s="478" t="str">
        <f t="shared" si="36"/>
        <v>Northeast Plateau_2045</v>
      </c>
      <c r="D1408" s="474">
        <v>313.32591805840809</v>
      </c>
      <c r="E1408" s="2"/>
      <c r="F1408" s="2"/>
      <c r="G1408" s="2"/>
      <c r="H1408" s="2"/>
      <c r="I1408" s="21"/>
      <c r="J1408" s="21"/>
      <c r="K1408" s="21"/>
    </row>
    <row r="1409" spans="1:11" ht="15.5" x14ac:dyDescent="0.35">
      <c r="A1409" s="477" t="s">
        <v>903</v>
      </c>
      <c r="B1409" s="478">
        <v>2046</v>
      </c>
      <c r="C1409" s="478" t="str">
        <f t="shared" si="36"/>
        <v>Northeast Plateau_2046</v>
      </c>
      <c r="D1409" s="474">
        <v>312.49132054050045</v>
      </c>
      <c r="E1409" s="2"/>
      <c r="F1409" s="2"/>
      <c r="G1409" s="2"/>
      <c r="H1409" s="2"/>
      <c r="I1409" s="21"/>
      <c r="J1409" s="21"/>
      <c r="K1409" s="21"/>
    </row>
    <row r="1410" spans="1:11" ht="15.5" x14ac:dyDescent="0.35">
      <c r="A1410" s="477" t="s">
        <v>903</v>
      </c>
      <c r="B1410" s="478">
        <v>2047</v>
      </c>
      <c r="C1410" s="478" t="str">
        <f t="shared" si="36"/>
        <v>Northeast Plateau_2047</v>
      </c>
      <c r="D1410" s="474">
        <v>311.79688122470401</v>
      </c>
      <c r="E1410" s="2"/>
      <c r="F1410" s="2"/>
      <c r="G1410" s="2"/>
      <c r="H1410" s="2"/>
      <c r="I1410" s="21"/>
      <c r="J1410" s="21"/>
      <c r="K1410" s="21"/>
    </row>
    <row r="1411" spans="1:11" ht="15.5" x14ac:dyDescent="0.35">
      <c r="A1411" s="477" t="s">
        <v>903</v>
      </c>
      <c r="B1411" s="478">
        <v>2048</v>
      </c>
      <c r="C1411" s="478" t="str">
        <f t="shared" si="36"/>
        <v>Northeast Plateau_2048</v>
      </c>
      <c r="D1411" s="474">
        <v>311.21158137943019</v>
      </c>
      <c r="E1411" s="2"/>
      <c r="F1411" s="2"/>
      <c r="G1411" s="2"/>
      <c r="H1411" s="2"/>
      <c r="I1411" s="21"/>
      <c r="J1411" s="21"/>
      <c r="K1411" s="21"/>
    </row>
    <row r="1412" spans="1:11" ht="15.5" x14ac:dyDescent="0.35">
      <c r="A1412" s="477" t="s">
        <v>903</v>
      </c>
      <c r="B1412" s="478">
        <v>2049</v>
      </c>
      <c r="C1412" s="478" t="str">
        <f t="shared" si="36"/>
        <v>Northeast Plateau_2049</v>
      </c>
      <c r="D1412" s="474">
        <v>310.70361827064642</v>
      </c>
      <c r="E1412" s="2"/>
      <c r="F1412" s="2"/>
      <c r="G1412" s="2"/>
      <c r="H1412" s="2"/>
      <c r="I1412" s="21"/>
      <c r="J1412" s="21"/>
      <c r="K1412" s="21"/>
    </row>
    <row r="1413" spans="1:11" ht="15.5" x14ac:dyDescent="0.35">
      <c r="A1413" s="477" t="s">
        <v>903</v>
      </c>
      <c r="B1413" s="478">
        <v>2050</v>
      </c>
      <c r="C1413" s="478" t="str">
        <f t="shared" si="36"/>
        <v>Northeast Plateau_2050</v>
      </c>
      <c r="D1413" s="474">
        <v>310.27758073585721</v>
      </c>
      <c r="E1413" s="2"/>
      <c r="F1413" s="2"/>
      <c r="G1413" s="2"/>
      <c r="H1413" s="2"/>
      <c r="I1413" s="21"/>
      <c r="J1413" s="21"/>
      <c r="K1413" s="21"/>
    </row>
    <row r="1414" spans="1:11" ht="15.5" x14ac:dyDescent="0.35">
      <c r="A1414" s="468" t="s">
        <v>904</v>
      </c>
      <c r="B1414" s="469">
        <v>2015</v>
      </c>
      <c r="C1414" s="470" t="s">
        <v>905</v>
      </c>
      <c r="D1414" s="471">
        <v>494.42964040418445</v>
      </c>
      <c r="E1414" s="2"/>
      <c r="F1414" s="2"/>
      <c r="G1414" s="2"/>
      <c r="H1414" s="2"/>
      <c r="I1414" s="21"/>
      <c r="J1414" s="21"/>
      <c r="K1414" s="21"/>
    </row>
    <row r="1415" spans="1:11" ht="15.5" x14ac:dyDescent="0.35">
      <c r="A1415" s="468" t="s">
        <v>904</v>
      </c>
      <c r="B1415" s="469">
        <v>2016</v>
      </c>
      <c r="C1415" s="470" t="s">
        <v>906</v>
      </c>
      <c r="D1415" s="471">
        <v>484.20765067813238</v>
      </c>
      <c r="E1415" s="2"/>
      <c r="F1415" s="2"/>
      <c r="G1415" s="2"/>
      <c r="H1415" s="2"/>
      <c r="I1415" s="21"/>
      <c r="J1415" s="21"/>
      <c r="K1415" s="21"/>
    </row>
    <row r="1416" spans="1:11" ht="15.5" x14ac:dyDescent="0.35">
      <c r="A1416" s="472" t="s">
        <v>904</v>
      </c>
      <c r="B1416" s="473">
        <v>2017</v>
      </c>
      <c r="C1416" s="473" t="str">
        <f t="shared" ref="C1416:C1449" si="37">CONCATENATE(A1416,"_",B1416)</f>
        <v>Orange_2017</v>
      </c>
      <c r="D1416" s="474">
        <v>472.75033113894136</v>
      </c>
      <c r="E1416" s="2"/>
      <c r="F1416" s="2"/>
      <c r="G1416" s="2"/>
      <c r="H1416" s="2"/>
      <c r="I1416" s="21"/>
      <c r="J1416" s="21"/>
      <c r="K1416" s="21"/>
    </row>
    <row r="1417" spans="1:11" ht="15.5" x14ac:dyDescent="0.35">
      <c r="A1417" s="472" t="s">
        <v>904</v>
      </c>
      <c r="B1417" s="473">
        <v>2018</v>
      </c>
      <c r="C1417" s="473" t="str">
        <f t="shared" si="37"/>
        <v>Orange_2018</v>
      </c>
      <c r="D1417" s="474">
        <v>460.84712529448689</v>
      </c>
      <c r="E1417" s="2"/>
      <c r="F1417" s="2"/>
      <c r="G1417" s="2"/>
      <c r="H1417" s="2"/>
      <c r="I1417" s="21"/>
      <c r="J1417" s="21"/>
      <c r="K1417" s="21"/>
    </row>
    <row r="1418" spans="1:11" ht="15.5" x14ac:dyDescent="0.35">
      <c r="A1418" s="472" t="s">
        <v>904</v>
      </c>
      <c r="B1418" s="473">
        <v>2019</v>
      </c>
      <c r="C1418" s="473" t="str">
        <f t="shared" si="37"/>
        <v>Orange_2019</v>
      </c>
      <c r="D1418" s="474">
        <v>449.90923364270213</v>
      </c>
      <c r="E1418" s="2"/>
      <c r="F1418" s="2"/>
      <c r="G1418" s="2"/>
      <c r="H1418" s="2"/>
      <c r="I1418" s="21"/>
      <c r="J1418" s="21"/>
      <c r="K1418" s="21"/>
    </row>
    <row r="1419" spans="1:11" ht="15.5" x14ac:dyDescent="0.35">
      <c r="A1419" s="472" t="s">
        <v>904</v>
      </c>
      <c r="B1419" s="473">
        <v>2020</v>
      </c>
      <c r="C1419" s="473" t="str">
        <f t="shared" si="37"/>
        <v>Orange_2020</v>
      </c>
      <c r="D1419" s="474">
        <v>437.3597566614402</v>
      </c>
      <c r="E1419" s="2"/>
      <c r="F1419" s="2"/>
      <c r="G1419" s="2"/>
      <c r="H1419" s="2"/>
      <c r="I1419" s="21"/>
      <c r="J1419" s="21"/>
      <c r="K1419" s="21"/>
    </row>
    <row r="1420" spans="1:11" ht="15.5" x14ac:dyDescent="0.35">
      <c r="A1420" s="472" t="s">
        <v>904</v>
      </c>
      <c r="B1420" s="473">
        <v>2021</v>
      </c>
      <c r="C1420" s="473" t="str">
        <f t="shared" si="37"/>
        <v>Orange_2021</v>
      </c>
      <c r="D1420" s="474">
        <v>424.90912374728919</v>
      </c>
      <c r="E1420" s="2"/>
      <c r="F1420" s="2"/>
      <c r="G1420" s="2"/>
      <c r="H1420" s="2"/>
      <c r="I1420" s="21"/>
      <c r="J1420" s="21"/>
      <c r="K1420" s="21"/>
    </row>
    <row r="1421" spans="1:11" ht="15.5" x14ac:dyDescent="0.35">
      <c r="A1421" s="472" t="s">
        <v>904</v>
      </c>
      <c r="B1421" s="473">
        <v>2022</v>
      </c>
      <c r="C1421" s="473" t="str">
        <f t="shared" si="37"/>
        <v>Orange_2022</v>
      </c>
      <c r="D1421" s="474">
        <v>412.38706513434573</v>
      </c>
      <c r="E1421" s="2"/>
      <c r="F1421" s="2"/>
      <c r="G1421" s="2"/>
      <c r="H1421" s="2"/>
      <c r="I1421" s="21"/>
      <c r="J1421" s="21"/>
      <c r="K1421" s="21"/>
    </row>
    <row r="1422" spans="1:11" ht="15.5" x14ac:dyDescent="0.35">
      <c r="A1422" s="472" t="s">
        <v>904</v>
      </c>
      <c r="B1422" s="473">
        <v>2023</v>
      </c>
      <c r="C1422" s="473" t="str">
        <f t="shared" si="37"/>
        <v>Orange_2023</v>
      </c>
      <c r="D1422" s="474">
        <v>399.93820678097154</v>
      </c>
      <c r="E1422" s="2"/>
      <c r="F1422" s="2"/>
      <c r="G1422" s="2"/>
      <c r="H1422" s="2"/>
      <c r="I1422" s="21"/>
      <c r="J1422" s="21"/>
      <c r="K1422" s="21"/>
    </row>
    <row r="1423" spans="1:11" ht="15.5" x14ac:dyDescent="0.35">
      <c r="A1423" s="472" t="s">
        <v>904</v>
      </c>
      <c r="B1423" s="473">
        <v>2024</v>
      </c>
      <c r="C1423" s="473" t="str">
        <f t="shared" si="37"/>
        <v>Orange_2024</v>
      </c>
      <c r="D1423" s="474">
        <v>388.02906473646897</v>
      </c>
      <c r="E1423" s="2"/>
      <c r="F1423" s="2"/>
      <c r="G1423" s="2"/>
      <c r="H1423" s="2"/>
      <c r="I1423" s="21"/>
      <c r="J1423" s="21"/>
      <c r="K1423" s="21"/>
    </row>
    <row r="1424" spans="1:11" ht="15.5" x14ac:dyDescent="0.35">
      <c r="A1424" s="472" t="s">
        <v>904</v>
      </c>
      <c r="B1424" s="473">
        <v>2025</v>
      </c>
      <c r="C1424" s="473" t="str">
        <f t="shared" si="37"/>
        <v>Orange_2025</v>
      </c>
      <c r="D1424" s="474">
        <v>375.76801887761997</v>
      </c>
      <c r="E1424" s="2"/>
      <c r="F1424" s="2"/>
      <c r="G1424" s="2"/>
      <c r="H1424" s="2"/>
      <c r="I1424" s="21"/>
      <c r="J1424" s="21"/>
      <c r="K1424" s="21"/>
    </row>
    <row r="1425" spans="1:11" ht="15.5" x14ac:dyDescent="0.35">
      <c r="A1425" s="472" t="s">
        <v>904</v>
      </c>
      <c r="B1425" s="473">
        <v>2026</v>
      </c>
      <c r="C1425" s="473" t="str">
        <f t="shared" si="37"/>
        <v>Orange_2026</v>
      </c>
      <c r="D1425" s="474">
        <v>364.80080718934227</v>
      </c>
      <c r="E1425" s="2"/>
      <c r="F1425" s="2"/>
      <c r="G1425" s="2"/>
      <c r="H1425" s="2"/>
      <c r="I1425" s="21"/>
      <c r="J1425" s="21"/>
      <c r="K1425" s="21"/>
    </row>
    <row r="1426" spans="1:11" ht="15.5" x14ac:dyDescent="0.35">
      <c r="A1426" s="472" t="s">
        <v>904</v>
      </c>
      <c r="B1426" s="473">
        <v>2027</v>
      </c>
      <c r="C1426" s="473" t="str">
        <f t="shared" si="37"/>
        <v>Orange_2027</v>
      </c>
      <c r="D1426" s="474">
        <v>354.95841595012797</v>
      </c>
      <c r="E1426" s="2"/>
      <c r="F1426" s="2"/>
      <c r="G1426" s="2"/>
      <c r="H1426" s="2"/>
      <c r="I1426" s="21"/>
      <c r="J1426" s="21"/>
      <c r="K1426" s="21"/>
    </row>
    <row r="1427" spans="1:11" ht="15.5" x14ac:dyDescent="0.35">
      <c r="A1427" s="472" t="s">
        <v>904</v>
      </c>
      <c r="B1427" s="473">
        <v>2028</v>
      </c>
      <c r="C1427" s="473" t="str">
        <f t="shared" si="37"/>
        <v>Orange_2028</v>
      </c>
      <c r="D1427" s="474">
        <v>346.2138490436202</v>
      </c>
      <c r="E1427" s="2"/>
      <c r="F1427" s="2"/>
      <c r="G1427" s="2"/>
      <c r="H1427" s="2"/>
      <c r="I1427" s="21"/>
      <c r="J1427" s="21"/>
      <c r="K1427" s="21"/>
    </row>
    <row r="1428" spans="1:11" ht="15.5" x14ac:dyDescent="0.35">
      <c r="A1428" s="472" t="s">
        <v>904</v>
      </c>
      <c r="B1428" s="473">
        <v>2029</v>
      </c>
      <c r="C1428" s="473" t="str">
        <f t="shared" si="37"/>
        <v>Orange_2029</v>
      </c>
      <c r="D1428" s="474">
        <v>338.43727089319333</v>
      </c>
      <c r="E1428" s="2"/>
      <c r="F1428" s="2"/>
      <c r="G1428" s="2"/>
      <c r="H1428" s="2"/>
      <c r="I1428" s="21"/>
      <c r="J1428" s="21"/>
      <c r="K1428" s="21"/>
    </row>
    <row r="1429" spans="1:11" ht="15.5" x14ac:dyDescent="0.35">
      <c r="A1429" s="472" t="s">
        <v>904</v>
      </c>
      <c r="B1429" s="473">
        <v>2030</v>
      </c>
      <c r="C1429" s="473" t="str">
        <f t="shared" si="37"/>
        <v>Orange_2030</v>
      </c>
      <c r="D1429" s="474">
        <v>331.54993229361378</v>
      </c>
      <c r="E1429" s="2"/>
      <c r="F1429" s="2"/>
      <c r="G1429" s="2"/>
      <c r="H1429" s="2"/>
      <c r="I1429" s="21"/>
      <c r="J1429" s="21"/>
      <c r="K1429" s="21"/>
    </row>
    <row r="1430" spans="1:11" ht="15.5" x14ac:dyDescent="0.35">
      <c r="A1430" s="472" t="s">
        <v>904</v>
      </c>
      <c r="B1430" s="473">
        <v>2031</v>
      </c>
      <c r="C1430" s="473" t="str">
        <f t="shared" si="37"/>
        <v>Orange_2031</v>
      </c>
      <c r="D1430" s="474">
        <v>324.95719061691926</v>
      </c>
      <c r="E1430" s="2"/>
      <c r="F1430" s="2"/>
      <c r="G1430" s="2"/>
      <c r="H1430" s="2"/>
      <c r="I1430" s="21"/>
      <c r="J1430" s="21"/>
      <c r="K1430" s="21"/>
    </row>
    <row r="1431" spans="1:11" ht="15.5" x14ac:dyDescent="0.35">
      <c r="A1431" s="472" t="s">
        <v>904</v>
      </c>
      <c r="B1431" s="473">
        <v>2032</v>
      </c>
      <c r="C1431" s="473" t="str">
        <f t="shared" si="37"/>
        <v>Orange_2032</v>
      </c>
      <c r="D1431" s="474">
        <v>319.62207004614743</v>
      </c>
      <c r="E1431" s="2"/>
      <c r="F1431" s="2"/>
      <c r="G1431" s="2"/>
      <c r="H1431" s="2"/>
      <c r="I1431" s="21"/>
      <c r="J1431" s="21"/>
      <c r="K1431" s="21"/>
    </row>
    <row r="1432" spans="1:11" ht="15.5" x14ac:dyDescent="0.35">
      <c r="A1432" s="472" t="s">
        <v>904</v>
      </c>
      <c r="B1432" s="473">
        <v>2033</v>
      </c>
      <c r="C1432" s="473" t="str">
        <f t="shared" si="37"/>
        <v>Orange_2033</v>
      </c>
      <c r="D1432" s="474">
        <v>314.9615287472181</v>
      </c>
      <c r="E1432" s="2"/>
      <c r="F1432" s="2"/>
      <c r="G1432" s="2"/>
      <c r="H1432" s="2"/>
      <c r="I1432" s="21"/>
      <c r="J1432" s="21"/>
      <c r="K1432" s="21"/>
    </row>
    <row r="1433" spans="1:11" ht="15.5" x14ac:dyDescent="0.35">
      <c r="A1433" s="472" t="s">
        <v>904</v>
      </c>
      <c r="B1433" s="473">
        <v>2034</v>
      </c>
      <c r="C1433" s="473" t="str">
        <f t="shared" si="37"/>
        <v>Orange_2034</v>
      </c>
      <c r="D1433" s="474">
        <v>310.90685065437617</v>
      </c>
      <c r="E1433" s="2"/>
      <c r="F1433" s="2"/>
      <c r="G1433" s="2"/>
      <c r="H1433" s="2"/>
      <c r="I1433" s="21"/>
      <c r="J1433" s="21"/>
      <c r="K1433" s="21"/>
    </row>
    <row r="1434" spans="1:11" ht="15.5" x14ac:dyDescent="0.35">
      <c r="A1434" s="472" t="s">
        <v>904</v>
      </c>
      <c r="B1434" s="473">
        <v>2035</v>
      </c>
      <c r="C1434" s="473" t="str">
        <f t="shared" si="37"/>
        <v>Orange_2035</v>
      </c>
      <c r="D1434" s="474">
        <v>307.41473181138849</v>
      </c>
      <c r="E1434" s="2"/>
      <c r="F1434" s="2"/>
      <c r="G1434" s="2"/>
      <c r="H1434" s="2"/>
      <c r="I1434" s="21"/>
      <c r="J1434" s="21"/>
      <c r="K1434" s="21"/>
    </row>
    <row r="1435" spans="1:11" ht="15.5" x14ac:dyDescent="0.35">
      <c r="A1435" s="472" t="s">
        <v>904</v>
      </c>
      <c r="B1435" s="473">
        <v>2036</v>
      </c>
      <c r="C1435" s="473" t="str">
        <f t="shared" si="37"/>
        <v>Orange_2036</v>
      </c>
      <c r="D1435" s="474">
        <v>304.42433232334861</v>
      </c>
      <c r="E1435" s="2"/>
      <c r="F1435" s="2"/>
      <c r="G1435" s="2"/>
      <c r="H1435" s="2"/>
      <c r="I1435" s="21"/>
      <c r="J1435" s="21"/>
      <c r="K1435" s="21"/>
    </row>
    <row r="1436" spans="1:11" ht="15.5" x14ac:dyDescent="0.35">
      <c r="A1436" s="472" t="s">
        <v>904</v>
      </c>
      <c r="B1436" s="473">
        <v>2037</v>
      </c>
      <c r="C1436" s="473" t="str">
        <f t="shared" si="37"/>
        <v>Orange_2037</v>
      </c>
      <c r="D1436" s="474">
        <v>301.88762152874796</v>
      </c>
      <c r="E1436" s="2"/>
      <c r="F1436" s="2"/>
      <c r="G1436" s="2"/>
      <c r="H1436" s="2"/>
      <c r="I1436" s="21"/>
      <c r="J1436" s="21"/>
      <c r="K1436" s="21"/>
    </row>
    <row r="1437" spans="1:11" ht="15.5" x14ac:dyDescent="0.35">
      <c r="A1437" s="472" t="s">
        <v>904</v>
      </c>
      <c r="B1437" s="473">
        <v>2038</v>
      </c>
      <c r="C1437" s="473" t="str">
        <f t="shared" si="37"/>
        <v>Orange_2038</v>
      </c>
      <c r="D1437" s="474">
        <v>299.74966476977534</v>
      </c>
      <c r="E1437" s="2"/>
      <c r="F1437" s="2"/>
      <c r="G1437" s="2"/>
      <c r="H1437" s="2"/>
      <c r="I1437" s="21"/>
      <c r="J1437" s="21"/>
      <c r="K1437" s="21"/>
    </row>
    <row r="1438" spans="1:11" ht="15.5" x14ac:dyDescent="0.35">
      <c r="A1438" s="472" t="s">
        <v>904</v>
      </c>
      <c r="B1438" s="473">
        <v>2039</v>
      </c>
      <c r="C1438" s="473" t="str">
        <f t="shared" si="37"/>
        <v>Orange_2039</v>
      </c>
      <c r="D1438" s="474">
        <v>297.9592663138958</v>
      </c>
      <c r="E1438" s="2"/>
      <c r="F1438" s="2"/>
      <c r="G1438" s="2"/>
      <c r="H1438" s="2"/>
      <c r="I1438" s="21"/>
      <c r="J1438" s="21"/>
      <c r="K1438" s="21"/>
    </row>
    <row r="1439" spans="1:11" ht="15.5" x14ac:dyDescent="0.35">
      <c r="A1439" s="472" t="s">
        <v>904</v>
      </c>
      <c r="B1439" s="473">
        <v>2040</v>
      </c>
      <c r="C1439" s="473" t="str">
        <f t="shared" si="37"/>
        <v>Orange_2040</v>
      </c>
      <c r="D1439" s="474">
        <v>296.46995795492961</v>
      </c>
      <c r="E1439" s="2"/>
      <c r="F1439" s="2"/>
      <c r="G1439" s="2"/>
      <c r="H1439" s="2"/>
      <c r="I1439" s="21"/>
      <c r="J1439" s="21"/>
      <c r="K1439" s="21"/>
    </row>
    <row r="1440" spans="1:11" ht="15.5" x14ac:dyDescent="0.35">
      <c r="A1440" s="472" t="s">
        <v>904</v>
      </c>
      <c r="B1440" s="473">
        <v>2041</v>
      </c>
      <c r="C1440" s="473" t="str">
        <f t="shared" si="37"/>
        <v>Orange_2041</v>
      </c>
      <c r="D1440" s="474">
        <v>295.25172400140997</v>
      </c>
      <c r="E1440" s="2"/>
      <c r="F1440" s="2"/>
      <c r="G1440" s="2"/>
      <c r="H1440" s="2"/>
      <c r="I1440" s="21"/>
      <c r="J1440" s="21"/>
      <c r="K1440" s="21"/>
    </row>
    <row r="1441" spans="1:11" ht="15.5" x14ac:dyDescent="0.35">
      <c r="A1441" s="472" t="s">
        <v>904</v>
      </c>
      <c r="B1441" s="473">
        <v>2042</v>
      </c>
      <c r="C1441" s="473" t="str">
        <f t="shared" si="37"/>
        <v>Orange_2042</v>
      </c>
      <c r="D1441" s="474">
        <v>294.24414823710907</v>
      </c>
      <c r="E1441" s="2"/>
      <c r="F1441" s="2"/>
      <c r="G1441" s="2"/>
      <c r="H1441" s="2"/>
      <c r="I1441" s="21"/>
      <c r="J1441" s="21"/>
      <c r="K1441" s="21"/>
    </row>
    <row r="1442" spans="1:11" ht="15.5" x14ac:dyDescent="0.35">
      <c r="A1442" s="472" t="s">
        <v>904</v>
      </c>
      <c r="B1442" s="473">
        <v>2043</v>
      </c>
      <c r="C1442" s="473" t="str">
        <f t="shared" si="37"/>
        <v>Orange_2043</v>
      </c>
      <c r="D1442" s="474">
        <v>293.42375777255404</v>
      </c>
      <c r="E1442" s="2"/>
      <c r="F1442" s="2"/>
      <c r="G1442" s="2"/>
      <c r="H1442" s="2"/>
      <c r="I1442" s="21"/>
      <c r="J1442" s="21"/>
      <c r="K1442" s="21"/>
    </row>
    <row r="1443" spans="1:11" ht="15.5" x14ac:dyDescent="0.35">
      <c r="A1443" s="472" t="s">
        <v>904</v>
      </c>
      <c r="B1443" s="473">
        <v>2044</v>
      </c>
      <c r="C1443" s="473" t="str">
        <f t="shared" si="37"/>
        <v>Orange_2044</v>
      </c>
      <c r="D1443" s="474">
        <v>292.74758060659747</v>
      </c>
      <c r="E1443" s="2"/>
      <c r="F1443" s="2"/>
      <c r="G1443" s="2"/>
      <c r="H1443" s="2"/>
      <c r="I1443" s="21"/>
      <c r="J1443" s="21"/>
      <c r="K1443" s="21"/>
    </row>
    <row r="1444" spans="1:11" ht="15.5" x14ac:dyDescent="0.35">
      <c r="A1444" s="472" t="s">
        <v>904</v>
      </c>
      <c r="B1444" s="473">
        <v>2045</v>
      </c>
      <c r="C1444" s="473" t="str">
        <f t="shared" si="37"/>
        <v>Orange_2045</v>
      </c>
      <c r="D1444" s="474">
        <v>292.17733393829747</v>
      </c>
      <c r="E1444" s="2"/>
      <c r="F1444" s="2"/>
      <c r="G1444" s="2"/>
      <c r="H1444" s="2"/>
      <c r="I1444" s="21"/>
      <c r="J1444" s="21"/>
      <c r="K1444" s="21"/>
    </row>
    <row r="1445" spans="1:11" ht="15.5" x14ac:dyDescent="0.35">
      <c r="A1445" s="472" t="s">
        <v>904</v>
      </c>
      <c r="B1445" s="473">
        <v>2046</v>
      </c>
      <c r="C1445" s="473" t="str">
        <f t="shared" si="37"/>
        <v>Orange_2046</v>
      </c>
      <c r="D1445" s="474">
        <v>291.706428948949</v>
      </c>
      <c r="E1445" s="2"/>
      <c r="F1445" s="2"/>
      <c r="G1445" s="2"/>
      <c r="H1445" s="2"/>
      <c r="I1445" s="21"/>
      <c r="J1445" s="21"/>
      <c r="K1445" s="21"/>
    </row>
    <row r="1446" spans="1:11" ht="15.5" x14ac:dyDescent="0.35">
      <c r="A1446" s="472" t="s">
        <v>904</v>
      </c>
      <c r="B1446" s="473">
        <v>2047</v>
      </c>
      <c r="C1446" s="473" t="str">
        <f t="shared" si="37"/>
        <v>Orange_2047</v>
      </c>
      <c r="D1446" s="474">
        <v>291.31098008457013</v>
      </c>
      <c r="E1446" s="2"/>
      <c r="F1446" s="2"/>
      <c r="G1446" s="2"/>
      <c r="H1446" s="2"/>
      <c r="I1446" s="21"/>
      <c r="J1446" s="21"/>
      <c r="K1446" s="21"/>
    </row>
    <row r="1447" spans="1:11" ht="15.5" x14ac:dyDescent="0.35">
      <c r="A1447" s="472" t="s">
        <v>904</v>
      </c>
      <c r="B1447" s="473">
        <v>2048</v>
      </c>
      <c r="C1447" s="473" t="str">
        <f t="shared" si="37"/>
        <v>Orange_2048</v>
      </c>
      <c r="D1447" s="474">
        <v>290.97591645306238</v>
      </c>
      <c r="E1447" s="2"/>
      <c r="F1447" s="2"/>
      <c r="G1447" s="2"/>
      <c r="H1447" s="2"/>
      <c r="I1447" s="21"/>
      <c r="J1447" s="21"/>
      <c r="K1447" s="21"/>
    </row>
    <row r="1448" spans="1:11" ht="15.5" x14ac:dyDescent="0.35">
      <c r="A1448" s="472" t="s">
        <v>904</v>
      </c>
      <c r="B1448" s="473">
        <v>2049</v>
      </c>
      <c r="C1448" s="473" t="str">
        <f t="shared" si="37"/>
        <v>Orange_2049</v>
      </c>
      <c r="D1448" s="474">
        <v>290.69323665753814</v>
      </c>
      <c r="E1448" s="2"/>
      <c r="F1448" s="2"/>
      <c r="G1448" s="2"/>
      <c r="H1448" s="2"/>
      <c r="I1448" s="21"/>
      <c r="J1448" s="21"/>
      <c r="K1448" s="21"/>
    </row>
    <row r="1449" spans="1:11" ht="15.5" x14ac:dyDescent="0.35">
      <c r="A1449" s="472" t="s">
        <v>904</v>
      </c>
      <c r="B1449" s="473">
        <v>2050</v>
      </c>
      <c r="C1449" s="473" t="str">
        <f t="shared" si="37"/>
        <v>Orange_2050</v>
      </c>
      <c r="D1449" s="474">
        <v>290.47364593381872</v>
      </c>
      <c r="E1449" s="2"/>
      <c r="F1449" s="2"/>
      <c r="G1449" s="2"/>
      <c r="H1449" s="2"/>
      <c r="I1449" s="21"/>
      <c r="J1449" s="21"/>
      <c r="K1449" s="21"/>
    </row>
    <row r="1450" spans="1:11" ht="15.5" x14ac:dyDescent="0.35">
      <c r="A1450" s="468" t="s">
        <v>907</v>
      </c>
      <c r="B1450" s="469">
        <v>2015</v>
      </c>
      <c r="C1450" s="470" t="s">
        <v>908</v>
      </c>
      <c r="D1450" s="471">
        <v>503.9009138140409</v>
      </c>
      <c r="E1450" s="2"/>
      <c r="F1450" s="2"/>
      <c r="G1450" s="2"/>
      <c r="H1450" s="2"/>
      <c r="I1450" s="21"/>
      <c r="J1450" s="21"/>
      <c r="K1450" s="21"/>
    </row>
    <row r="1451" spans="1:11" ht="15.5" x14ac:dyDescent="0.35">
      <c r="A1451" s="468" t="s">
        <v>907</v>
      </c>
      <c r="B1451" s="469">
        <v>2016</v>
      </c>
      <c r="C1451" s="470" t="s">
        <v>909</v>
      </c>
      <c r="D1451" s="471">
        <v>493.70931535486579</v>
      </c>
      <c r="E1451" s="2"/>
      <c r="F1451" s="2"/>
      <c r="G1451" s="2"/>
      <c r="H1451" s="2"/>
      <c r="I1451" s="21"/>
      <c r="J1451" s="21"/>
      <c r="K1451" s="21"/>
    </row>
    <row r="1452" spans="1:11" ht="15.5" x14ac:dyDescent="0.35">
      <c r="A1452" s="472" t="s">
        <v>907</v>
      </c>
      <c r="B1452" s="473">
        <v>2017</v>
      </c>
      <c r="C1452" s="473" t="str">
        <f t="shared" ref="C1452:C1485" si="38">CONCATENATE(A1452,"_",B1452)</f>
        <v>Placer_2017</v>
      </c>
      <c r="D1452" s="474">
        <v>482.63580944775777</v>
      </c>
      <c r="E1452" s="2"/>
      <c r="F1452" s="2"/>
      <c r="G1452" s="2"/>
      <c r="H1452" s="2"/>
      <c r="I1452" s="21"/>
      <c r="J1452" s="21"/>
      <c r="K1452" s="21"/>
    </row>
    <row r="1453" spans="1:11" ht="15.5" x14ac:dyDescent="0.35">
      <c r="A1453" s="472" t="s">
        <v>907</v>
      </c>
      <c r="B1453" s="473">
        <v>2018</v>
      </c>
      <c r="C1453" s="473" t="str">
        <f t="shared" si="38"/>
        <v>Placer_2018</v>
      </c>
      <c r="D1453" s="474">
        <v>470.51395202964068</v>
      </c>
      <c r="E1453" s="2"/>
      <c r="F1453" s="2"/>
      <c r="G1453" s="2"/>
      <c r="H1453" s="2"/>
      <c r="I1453" s="21"/>
      <c r="J1453" s="21"/>
      <c r="K1453" s="21"/>
    </row>
    <row r="1454" spans="1:11" ht="15.5" x14ac:dyDescent="0.35">
      <c r="A1454" s="472" t="s">
        <v>907</v>
      </c>
      <c r="B1454" s="473">
        <v>2019</v>
      </c>
      <c r="C1454" s="473" t="str">
        <f t="shared" si="38"/>
        <v>Placer_2019</v>
      </c>
      <c r="D1454" s="474">
        <v>457.44173748745402</v>
      </c>
      <c r="E1454" s="2"/>
      <c r="F1454" s="2"/>
      <c r="G1454" s="2"/>
      <c r="H1454" s="2"/>
      <c r="I1454" s="21"/>
      <c r="J1454" s="21"/>
      <c r="K1454" s="21"/>
    </row>
    <row r="1455" spans="1:11" ht="15.5" x14ac:dyDescent="0.35">
      <c r="A1455" s="472" t="s">
        <v>907</v>
      </c>
      <c r="B1455" s="473">
        <v>2020</v>
      </c>
      <c r="C1455" s="473" t="str">
        <f t="shared" si="38"/>
        <v>Placer_2020</v>
      </c>
      <c r="D1455" s="474">
        <v>444.54329595564275</v>
      </c>
      <c r="E1455" s="2"/>
      <c r="F1455" s="2"/>
      <c r="G1455" s="2"/>
      <c r="H1455" s="2"/>
      <c r="I1455" s="21"/>
      <c r="J1455" s="21"/>
      <c r="K1455" s="21"/>
    </row>
    <row r="1456" spans="1:11" ht="15.5" x14ac:dyDescent="0.35">
      <c r="A1456" s="472" t="s">
        <v>907</v>
      </c>
      <c r="B1456" s="473">
        <v>2021</v>
      </c>
      <c r="C1456" s="473" t="str">
        <f t="shared" si="38"/>
        <v>Placer_2021</v>
      </c>
      <c r="D1456" s="474">
        <v>431.41048482232827</v>
      </c>
      <c r="E1456" s="2"/>
      <c r="F1456" s="2"/>
      <c r="G1456" s="2"/>
      <c r="H1456" s="2"/>
      <c r="I1456" s="21"/>
      <c r="J1456" s="21"/>
      <c r="K1456" s="21"/>
    </row>
    <row r="1457" spans="1:11" ht="15.5" x14ac:dyDescent="0.35">
      <c r="A1457" s="472" t="s">
        <v>907</v>
      </c>
      <c r="B1457" s="473">
        <v>2022</v>
      </c>
      <c r="C1457" s="473" t="str">
        <f t="shared" si="38"/>
        <v>Placer_2022</v>
      </c>
      <c r="D1457" s="474">
        <v>418.38836229220431</v>
      </c>
      <c r="E1457" s="2"/>
      <c r="F1457" s="2"/>
      <c r="G1457" s="2"/>
      <c r="H1457" s="2"/>
      <c r="I1457" s="21"/>
      <c r="J1457" s="21"/>
      <c r="K1457" s="21"/>
    </row>
    <row r="1458" spans="1:11" ht="15.5" x14ac:dyDescent="0.35">
      <c r="A1458" s="472" t="s">
        <v>907</v>
      </c>
      <c r="B1458" s="473">
        <v>2023</v>
      </c>
      <c r="C1458" s="473" t="str">
        <f t="shared" si="38"/>
        <v>Placer_2023</v>
      </c>
      <c r="D1458" s="474">
        <v>405.42504056039922</v>
      </c>
      <c r="E1458" s="2"/>
      <c r="F1458" s="2"/>
      <c r="G1458" s="2"/>
      <c r="H1458" s="2"/>
      <c r="I1458" s="21"/>
      <c r="J1458" s="21"/>
      <c r="K1458" s="21"/>
    </row>
    <row r="1459" spans="1:11" ht="15.5" x14ac:dyDescent="0.35">
      <c r="A1459" s="472" t="s">
        <v>907</v>
      </c>
      <c r="B1459" s="473">
        <v>2024</v>
      </c>
      <c r="C1459" s="473" t="str">
        <f t="shared" si="38"/>
        <v>Placer_2024</v>
      </c>
      <c r="D1459" s="474">
        <v>392.58088521267365</v>
      </c>
      <c r="E1459" s="2"/>
      <c r="F1459" s="2"/>
      <c r="G1459" s="2"/>
      <c r="H1459" s="2"/>
      <c r="I1459" s="21"/>
      <c r="J1459" s="21"/>
      <c r="K1459" s="21"/>
    </row>
    <row r="1460" spans="1:11" ht="15.5" x14ac:dyDescent="0.35">
      <c r="A1460" s="472" t="s">
        <v>907</v>
      </c>
      <c r="B1460" s="473">
        <v>2025</v>
      </c>
      <c r="C1460" s="473" t="str">
        <f t="shared" si="38"/>
        <v>Placer_2025</v>
      </c>
      <c r="D1460" s="474">
        <v>379.85103968630557</v>
      </c>
      <c r="E1460" s="2"/>
      <c r="F1460" s="2"/>
      <c r="G1460" s="2"/>
      <c r="H1460" s="2"/>
      <c r="I1460" s="21"/>
      <c r="J1460" s="21"/>
      <c r="K1460" s="21"/>
    </row>
    <row r="1461" spans="1:11" ht="15.5" x14ac:dyDescent="0.35">
      <c r="A1461" s="472" t="s">
        <v>907</v>
      </c>
      <c r="B1461" s="473">
        <v>2026</v>
      </c>
      <c r="C1461" s="473" t="str">
        <f t="shared" si="38"/>
        <v>Placer_2026</v>
      </c>
      <c r="D1461" s="474">
        <v>368.28780061622086</v>
      </c>
      <c r="E1461" s="2"/>
      <c r="F1461" s="2"/>
      <c r="G1461" s="2"/>
      <c r="H1461" s="2"/>
      <c r="I1461" s="21"/>
      <c r="J1461" s="21"/>
      <c r="K1461" s="21"/>
    </row>
    <row r="1462" spans="1:11" ht="15.5" x14ac:dyDescent="0.35">
      <c r="A1462" s="472" t="s">
        <v>907</v>
      </c>
      <c r="B1462" s="473">
        <v>2027</v>
      </c>
      <c r="C1462" s="473" t="str">
        <f t="shared" si="38"/>
        <v>Placer_2027</v>
      </c>
      <c r="D1462" s="474">
        <v>357.76036722089583</v>
      </c>
      <c r="E1462" s="2"/>
      <c r="F1462" s="2"/>
      <c r="G1462" s="2"/>
      <c r="H1462" s="2"/>
      <c r="I1462" s="21"/>
      <c r="J1462" s="21"/>
      <c r="K1462" s="21"/>
    </row>
    <row r="1463" spans="1:11" ht="15.5" x14ac:dyDescent="0.35">
      <c r="A1463" s="472" t="s">
        <v>907</v>
      </c>
      <c r="B1463" s="473">
        <v>2028</v>
      </c>
      <c r="C1463" s="473" t="str">
        <f t="shared" si="38"/>
        <v>Placer_2028</v>
      </c>
      <c r="D1463" s="474">
        <v>348.29128897898823</v>
      </c>
      <c r="E1463" s="2"/>
      <c r="F1463" s="2"/>
      <c r="G1463" s="2"/>
      <c r="H1463" s="2"/>
      <c r="I1463" s="21"/>
      <c r="J1463" s="21"/>
      <c r="K1463" s="21"/>
    </row>
    <row r="1464" spans="1:11" ht="15.5" x14ac:dyDescent="0.35">
      <c r="A1464" s="472" t="s">
        <v>907</v>
      </c>
      <c r="B1464" s="473">
        <v>2029</v>
      </c>
      <c r="C1464" s="473" t="str">
        <f t="shared" si="38"/>
        <v>Placer_2029</v>
      </c>
      <c r="D1464" s="474">
        <v>339.81937246120714</v>
      </c>
      <c r="E1464" s="2"/>
      <c r="F1464" s="2"/>
      <c r="G1464" s="2"/>
      <c r="H1464" s="2"/>
      <c r="I1464" s="21"/>
      <c r="J1464" s="21"/>
      <c r="K1464" s="21"/>
    </row>
    <row r="1465" spans="1:11" ht="15.5" x14ac:dyDescent="0.35">
      <c r="A1465" s="472" t="s">
        <v>907</v>
      </c>
      <c r="B1465" s="473">
        <v>2030</v>
      </c>
      <c r="C1465" s="473" t="str">
        <f t="shared" si="38"/>
        <v>Placer_2030</v>
      </c>
      <c r="D1465" s="474">
        <v>332.28842298900037</v>
      </c>
      <c r="E1465" s="2"/>
      <c r="F1465" s="2"/>
      <c r="G1465" s="2"/>
      <c r="H1465" s="2"/>
      <c r="I1465" s="21"/>
      <c r="J1465" s="21"/>
      <c r="K1465" s="21"/>
    </row>
    <row r="1466" spans="1:11" ht="15.5" x14ac:dyDescent="0.35">
      <c r="A1466" s="472" t="s">
        <v>907</v>
      </c>
      <c r="B1466" s="473">
        <v>2031</v>
      </c>
      <c r="C1466" s="473" t="str">
        <f t="shared" si="38"/>
        <v>Placer_2031</v>
      </c>
      <c r="D1466" s="474">
        <v>325.63806091808272</v>
      </c>
      <c r="E1466" s="2"/>
      <c r="F1466" s="2"/>
      <c r="G1466" s="2"/>
      <c r="H1466" s="2"/>
      <c r="I1466" s="21"/>
      <c r="J1466" s="21"/>
      <c r="K1466" s="21"/>
    </row>
    <row r="1467" spans="1:11" ht="15.5" x14ac:dyDescent="0.35">
      <c r="A1467" s="472" t="s">
        <v>907</v>
      </c>
      <c r="B1467" s="473">
        <v>2032</v>
      </c>
      <c r="C1467" s="473" t="str">
        <f t="shared" si="38"/>
        <v>Placer_2032</v>
      </c>
      <c r="D1467" s="474">
        <v>319.79771316082923</v>
      </c>
      <c r="E1467" s="2"/>
      <c r="F1467" s="2"/>
      <c r="G1467" s="2"/>
      <c r="H1467" s="2"/>
      <c r="I1467" s="21"/>
      <c r="J1467" s="21"/>
      <c r="K1467" s="21"/>
    </row>
    <row r="1468" spans="1:11" ht="15.5" x14ac:dyDescent="0.35">
      <c r="A1468" s="472" t="s">
        <v>907</v>
      </c>
      <c r="B1468" s="473">
        <v>2033</v>
      </c>
      <c r="C1468" s="473" t="str">
        <f t="shared" si="38"/>
        <v>Placer_2033</v>
      </c>
      <c r="D1468" s="474">
        <v>314.70350751594628</v>
      </c>
      <c r="E1468" s="2"/>
      <c r="F1468" s="2"/>
      <c r="G1468" s="2"/>
      <c r="H1468" s="2"/>
      <c r="I1468" s="21"/>
      <c r="J1468" s="21"/>
      <c r="K1468" s="21"/>
    </row>
    <row r="1469" spans="1:11" ht="15.5" x14ac:dyDescent="0.35">
      <c r="A1469" s="472" t="s">
        <v>907</v>
      </c>
      <c r="B1469" s="473">
        <v>2034</v>
      </c>
      <c r="C1469" s="473" t="str">
        <f t="shared" si="38"/>
        <v>Placer_2034</v>
      </c>
      <c r="D1469" s="474">
        <v>310.28571412675194</v>
      </c>
      <c r="E1469" s="2"/>
      <c r="F1469" s="2"/>
      <c r="G1469" s="2"/>
      <c r="H1469" s="2"/>
      <c r="I1469" s="21"/>
      <c r="J1469" s="21"/>
      <c r="K1469" s="21"/>
    </row>
    <row r="1470" spans="1:11" ht="15.5" x14ac:dyDescent="0.35">
      <c r="A1470" s="472" t="s">
        <v>907</v>
      </c>
      <c r="B1470" s="473">
        <v>2035</v>
      </c>
      <c r="C1470" s="473" t="str">
        <f t="shared" si="38"/>
        <v>Placer_2035</v>
      </c>
      <c r="D1470" s="474">
        <v>306.48944335589528</v>
      </c>
      <c r="E1470" s="2"/>
      <c r="F1470" s="2"/>
      <c r="G1470" s="2"/>
      <c r="H1470" s="2"/>
      <c r="I1470" s="21"/>
      <c r="J1470" s="21"/>
      <c r="K1470" s="21"/>
    </row>
    <row r="1471" spans="1:11" ht="15.5" x14ac:dyDescent="0.35">
      <c r="A1471" s="472" t="s">
        <v>907</v>
      </c>
      <c r="B1471" s="473">
        <v>2036</v>
      </c>
      <c r="C1471" s="473" t="str">
        <f t="shared" si="38"/>
        <v>Placer_2036</v>
      </c>
      <c r="D1471" s="474">
        <v>303.24117342176442</v>
      </c>
      <c r="E1471" s="2"/>
      <c r="F1471" s="2"/>
      <c r="G1471" s="2"/>
      <c r="H1471" s="2"/>
      <c r="I1471" s="21"/>
      <c r="J1471" s="21"/>
      <c r="K1471" s="21"/>
    </row>
    <row r="1472" spans="1:11" ht="15.5" x14ac:dyDescent="0.35">
      <c r="A1472" s="472" t="s">
        <v>907</v>
      </c>
      <c r="B1472" s="473">
        <v>2037</v>
      </c>
      <c r="C1472" s="473" t="str">
        <f t="shared" si="38"/>
        <v>Placer_2037</v>
      </c>
      <c r="D1472" s="474">
        <v>300.49157952865676</v>
      </c>
      <c r="E1472" s="2"/>
      <c r="F1472" s="2"/>
      <c r="G1472" s="2"/>
      <c r="H1472" s="2"/>
      <c r="I1472" s="21"/>
      <c r="J1472" s="21"/>
      <c r="K1472" s="21"/>
    </row>
    <row r="1473" spans="1:11" ht="15.5" x14ac:dyDescent="0.35">
      <c r="A1473" s="472" t="s">
        <v>907</v>
      </c>
      <c r="B1473" s="473">
        <v>2038</v>
      </c>
      <c r="C1473" s="473" t="str">
        <f t="shared" si="38"/>
        <v>Placer_2038</v>
      </c>
      <c r="D1473" s="474">
        <v>298.18317738974019</v>
      </c>
      <c r="E1473" s="2"/>
      <c r="F1473" s="2"/>
      <c r="G1473" s="2"/>
      <c r="H1473" s="2"/>
      <c r="I1473" s="21"/>
      <c r="J1473" s="21"/>
      <c r="K1473" s="21"/>
    </row>
    <row r="1474" spans="1:11" ht="15.5" x14ac:dyDescent="0.35">
      <c r="A1474" s="472" t="s">
        <v>907</v>
      </c>
      <c r="B1474" s="473">
        <v>2039</v>
      </c>
      <c r="C1474" s="473" t="str">
        <f t="shared" si="38"/>
        <v>Placer_2039</v>
      </c>
      <c r="D1474" s="474">
        <v>296.25106437703641</v>
      </c>
      <c r="E1474" s="2"/>
      <c r="F1474" s="2"/>
      <c r="G1474" s="2"/>
      <c r="H1474" s="2"/>
      <c r="I1474" s="21"/>
      <c r="J1474" s="21"/>
      <c r="K1474" s="21"/>
    </row>
    <row r="1475" spans="1:11" ht="15.5" x14ac:dyDescent="0.35">
      <c r="A1475" s="472" t="s">
        <v>907</v>
      </c>
      <c r="B1475" s="473">
        <v>2040</v>
      </c>
      <c r="C1475" s="473" t="str">
        <f t="shared" si="38"/>
        <v>Placer_2040</v>
      </c>
      <c r="D1475" s="474">
        <v>294.64041864050029</v>
      </c>
      <c r="E1475" s="2"/>
      <c r="F1475" s="2"/>
      <c r="G1475" s="2"/>
      <c r="H1475" s="2"/>
      <c r="I1475" s="21"/>
      <c r="J1475" s="21"/>
      <c r="K1475" s="21"/>
    </row>
    <row r="1476" spans="1:11" ht="15.5" x14ac:dyDescent="0.35">
      <c r="A1476" s="472" t="s">
        <v>907</v>
      </c>
      <c r="B1476" s="473">
        <v>2041</v>
      </c>
      <c r="C1476" s="473" t="str">
        <f t="shared" si="38"/>
        <v>Placer_2041</v>
      </c>
      <c r="D1476" s="474">
        <v>293.31687275627468</v>
      </c>
      <c r="E1476" s="2"/>
      <c r="F1476" s="2"/>
      <c r="G1476" s="2"/>
      <c r="H1476" s="2"/>
      <c r="I1476" s="21"/>
      <c r="J1476" s="21"/>
      <c r="K1476" s="21"/>
    </row>
    <row r="1477" spans="1:11" ht="15.5" x14ac:dyDescent="0.35">
      <c r="A1477" s="472" t="s">
        <v>907</v>
      </c>
      <c r="B1477" s="473">
        <v>2042</v>
      </c>
      <c r="C1477" s="473" t="str">
        <f t="shared" si="38"/>
        <v>Placer_2042</v>
      </c>
      <c r="D1477" s="474">
        <v>292.22118915974914</v>
      </c>
      <c r="E1477" s="2"/>
      <c r="F1477" s="2"/>
      <c r="G1477" s="2"/>
      <c r="H1477" s="2"/>
      <c r="I1477" s="21"/>
      <c r="J1477" s="21"/>
      <c r="K1477" s="21"/>
    </row>
    <row r="1478" spans="1:11" ht="15.5" x14ac:dyDescent="0.35">
      <c r="A1478" s="472" t="s">
        <v>907</v>
      </c>
      <c r="B1478" s="473">
        <v>2043</v>
      </c>
      <c r="C1478" s="473" t="str">
        <f t="shared" si="38"/>
        <v>Placer_2043</v>
      </c>
      <c r="D1478" s="474">
        <v>291.32551537782388</v>
      </c>
      <c r="E1478" s="2"/>
      <c r="F1478" s="2"/>
      <c r="G1478" s="2"/>
      <c r="H1478" s="2"/>
      <c r="I1478" s="21"/>
      <c r="J1478" s="21"/>
      <c r="K1478" s="21"/>
    </row>
    <row r="1479" spans="1:11" ht="15.5" x14ac:dyDescent="0.35">
      <c r="A1479" s="472" t="s">
        <v>907</v>
      </c>
      <c r="B1479" s="473">
        <v>2044</v>
      </c>
      <c r="C1479" s="473" t="str">
        <f t="shared" si="38"/>
        <v>Placer_2044</v>
      </c>
      <c r="D1479" s="474">
        <v>290.58627558278636</v>
      </c>
      <c r="E1479" s="2"/>
      <c r="F1479" s="2"/>
      <c r="G1479" s="2"/>
      <c r="H1479" s="2"/>
      <c r="I1479" s="21"/>
      <c r="J1479" s="21"/>
      <c r="K1479" s="21"/>
    </row>
    <row r="1480" spans="1:11" ht="15.5" x14ac:dyDescent="0.35">
      <c r="A1480" s="472" t="s">
        <v>907</v>
      </c>
      <c r="B1480" s="473">
        <v>2045</v>
      </c>
      <c r="C1480" s="473" t="str">
        <f t="shared" si="38"/>
        <v>Placer_2045</v>
      </c>
      <c r="D1480" s="474">
        <v>289.96536098751295</v>
      </c>
      <c r="E1480" s="2"/>
      <c r="F1480" s="2"/>
      <c r="G1480" s="2"/>
      <c r="H1480" s="2"/>
      <c r="I1480" s="21"/>
      <c r="J1480" s="21"/>
      <c r="K1480" s="21"/>
    </row>
    <row r="1481" spans="1:11" ht="15.5" x14ac:dyDescent="0.35">
      <c r="A1481" s="472" t="s">
        <v>907</v>
      </c>
      <c r="B1481" s="473">
        <v>2046</v>
      </c>
      <c r="C1481" s="473" t="str">
        <f t="shared" si="38"/>
        <v>Placer_2046</v>
      </c>
      <c r="D1481" s="474">
        <v>289.44535857009311</v>
      </c>
      <c r="E1481" s="2"/>
      <c r="F1481" s="2"/>
      <c r="G1481" s="2"/>
      <c r="H1481" s="2"/>
      <c r="I1481" s="21"/>
      <c r="J1481" s="21"/>
      <c r="K1481" s="21"/>
    </row>
    <row r="1482" spans="1:11" ht="15.5" x14ac:dyDescent="0.35">
      <c r="A1482" s="472" t="s">
        <v>907</v>
      </c>
      <c r="B1482" s="473">
        <v>2047</v>
      </c>
      <c r="C1482" s="473" t="str">
        <f t="shared" si="38"/>
        <v>Placer_2047</v>
      </c>
      <c r="D1482" s="474">
        <v>289.00978886413839</v>
      </c>
      <c r="E1482" s="2"/>
      <c r="F1482" s="2"/>
      <c r="G1482" s="2"/>
      <c r="H1482" s="2"/>
      <c r="I1482" s="21"/>
      <c r="J1482" s="21"/>
      <c r="K1482" s="21"/>
    </row>
    <row r="1483" spans="1:11" ht="15.5" x14ac:dyDescent="0.35">
      <c r="A1483" s="472" t="s">
        <v>907</v>
      </c>
      <c r="B1483" s="473">
        <v>2048</v>
      </c>
      <c r="C1483" s="473" t="str">
        <f t="shared" si="38"/>
        <v>Placer_2048</v>
      </c>
      <c r="D1483" s="474">
        <v>288.64655549089946</v>
      </c>
      <c r="E1483" s="2"/>
      <c r="F1483" s="2"/>
      <c r="G1483" s="2"/>
      <c r="H1483" s="2"/>
      <c r="I1483" s="21"/>
      <c r="J1483" s="21"/>
      <c r="K1483" s="21"/>
    </row>
    <row r="1484" spans="1:11" ht="15.5" x14ac:dyDescent="0.35">
      <c r="A1484" s="472" t="s">
        <v>907</v>
      </c>
      <c r="B1484" s="473">
        <v>2049</v>
      </c>
      <c r="C1484" s="473" t="str">
        <f t="shared" si="38"/>
        <v>Placer_2049</v>
      </c>
      <c r="D1484" s="474">
        <v>288.3394523625646</v>
      </c>
      <c r="E1484" s="2"/>
      <c r="F1484" s="2"/>
      <c r="G1484" s="2"/>
      <c r="H1484" s="2"/>
      <c r="I1484" s="21"/>
      <c r="J1484" s="21"/>
      <c r="K1484" s="21"/>
    </row>
    <row r="1485" spans="1:11" ht="15.5" x14ac:dyDescent="0.35">
      <c r="A1485" s="472" t="s">
        <v>907</v>
      </c>
      <c r="B1485" s="473">
        <v>2050</v>
      </c>
      <c r="C1485" s="473" t="str">
        <f t="shared" si="38"/>
        <v>Placer_2050</v>
      </c>
      <c r="D1485" s="474">
        <v>288.08709468358279</v>
      </c>
      <c r="E1485" s="2"/>
      <c r="F1485" s="2"/>
      <c r="G1485" s="2"/>
      <c r="H1485" s="2"/>
      <c r="I1485" s="21"/>
      <c r="J1485" s="21"/>
      <c r="K1485" s="21"/>
    </row>
    <row r="1486" spans="1:11" ht="15.5" x14ac:dyDescent="0.35">
      <c r="A1486" s="468" t="s">
        <v>910</v>
      </c>
      <c r="B1486" s="469">
        <v>2015</v>
      </c>
      <c r="C1486" s="470" t="s">
        <v>911</v>
      </c>
      <c r="D1486" s="471">
        <v>573.4299977358429</v>
      </c>
      <c r="E1486" s="2"/>
      <c r="F1486" s="2"/>
      <c r="G1486" s="2"/>
      <c r="H1486" s="2"/>
      <c r="I1486" s="21"/>
      <c r="J1486" s="21"/>
      <c r="K1486" s="21"/>
    </row>
    <row r="1487" spans="1:11" ht="15.5" x14ac:dyDescent="0.35">
      <c r="A1487" s="468" t="s">
        <v>910</v>
      </c>
      <c r="B1487" s="469">
        <v>2016</v>
      </c>
      <c r="C1487" s="470" t="s">
        <v>912</v>
      </c>
      <c r="D1487" s="471">
        <v>563.83565550776859</v>
      </c>
      <c r="E1487" s="2"/>
      <c r="F1487" s="2"/>
      <c r="G1487" s="2"/>
      <c r="H1487" s="2"/>
      <c r="I1487" s="21"/>
      <c r="J1487" s="21"/>
      <c r="K1487" s="21"/>
    </row>
    <row r="1488" spans="1:11" ht="15.5" x14ac:dyDescent="0.35">
      <c r="A1488" s="472" t="s">
        <v>910</v>
      </c>
      <c r="B1488" s="473">
        <v>2017</v>
      </c>
      <c r="C1488" s="473" t="str">
        <f t="shared" ref="C1488:C1521" si="39">CONCATENATE(A1488,"_",B1488)</f>
        <v>Plumas_2017</v>
      </c>
      <c r="D1488" s="474">
        <v>550.4751407588044</v>
      </c>
      <c r="E1488" s="2"/>
      <c r="F1488" s="2"/>
      <c r="G1488" s="2"/>
      <c r="H1488" s="2"/>
      <c r="I1488" s="21"/>
      <c r="J1488" s="21"/>
      <c r="K1488" s="21"/>
    </row>
    <row r="1489" spans="1:11" ht="15.5" x14ac:dyDescent="0.35">
      <c r="A1489" s="472" t="s">
        <v>910</v>
      </c>
      <c r="B1489" s="473">
        <v>2018</v>
      </c>
      <c r="C1489" s="473" t="str">
        <f t="shared" si="39"/>
        <v>Plumas_2018</v>
      </c>
      <c r="D1489" s="474">
        <v>536.69167352083036</v>
      </c>
      <c r="E1489" s="2"/>
      <c r="F1489" s="2"/>
      <c r="G1489" s="2"/>
      <c r="H1489" s="2"/>
      <c r="I1489" s="21"/>
      <c r="J1489" s="21"/>
      <c r="K1489" s="21"/>
    </row>
    <row r="1490" spans="1:11" ht="15.5" x14ac:dyDescent="0.35">
      <c r="A1490" s="472" t="s">
        <v>910</v>
      </c>
      <c r="B1490" s="473">
        <v>2019</v>
      </c>
      <c r="C1490" s="473" t="str">
        <f t="shared" si="39"/>
        <v>Plumas_2019</v>
      </c>
      <c r="D1490" s="474">
        <v>522.24375657101359</v>
      </c>
      <c r="E1490" s="2"/>
      <c r="F1490" s="2"/>
      <c r="G1490" s="2"/>
      <c r="H1490" s="2"/>
      <c r="I1490" s="21"/>
      <c r="J1490" s="21"/>
      <c r="K1490" s="21"/>
    </row>
    <row r="1491" spans="1:11" ht="15.5" x14ac:dyDescent="0.35">
      <c r="A1491" s="472" t="s">
        <v>910</v>
      </c>
      <c r="B1491" s="473">
        <v>2020</v>
      </c>
      <c r="C1491" s="473" t="str">
        <f t="shared" si="39"/>
        <v>Plumas_2020</v>
      </c>
      <c r="D1491" s="474">
        <v>507.39522173963638</v>
      </c>
      <c r="E1491" s="2"/>
      <c r="F1491" s="2"/>
      <c r="G1491" s="2"/>
      <c r="H1491" s="2"/>
      <c r="I1491" s="21"/>
      <c r="J1491" s="21"/>
      <c r="K1491" s="21"/>
    </row>
    <row r="1492" spans="1:11" ht="15.5" x14ac:dyDescent="0.35">
      <c r="A1492" s="472" t="s">
        <v>910</v>
      </c>
      <c r="B1492" s="473">
        <v>2021</v>
      </c>
      <c r="C1492" s="473" t="str">
        <f t="shared" si="39"/>
        <v>Plumas_2021</v>
      </c>
      <c r="D1492" s="474">
        <v>492.15974478096058</v>
      </c>
      <c r="E1492" s="2"/>
      <c r="F1492" s="2"/>
      <c r="G1492" s="2"/>
      <c r="H1492" s="2"/>
      <c r="I1492" s="21"/>
      <c r="J1492" s="21"/>
      <c r="K1492" s="21"/>
    </row>
    <row r="1493" spans="1:11" ht="15.5" x14ac:dyDescent="0.35">
      <c r="A1493" s="472" t="s">
        <v>910</v>
      </c>
      <c r="B1493" s="473">
        <v>2022</v>
      </c>
      <c r="C1493" s="473" t="str">
        <f t="shared" si="39"/>
        <v>Plumas_2022</v>
      </c>
      <c r="D1493" s="474">
        <v>476.95402070929947</v>
      </c>
      <c r="E1493" s="2"/>
      <c r="F1493" s="2"/>
      <c r="G1493" s="2"/>
      <c r="H1493" s="2"/>
      <c r="I1493" s="21"/>
      <c r="J1493" s="21"/>
      <c r="K1493" s="21"/>
    </row>
    <row r="1494" spans="1:11" ht="15.5" x14ac:dyDescent="0.35">
      <c r="A1494" s="472" t="s">
        <v>910</v>
      </c>
      <c r="B1494" s="473">
        <v>2023</v>
      </c>
      <c r="C1494" s="473" t="str">
        <f t="shared" si="39"/>
        <v>Plumas_2023</v>
      </c>
      <c r="D1494" s="474">
        <v>461.91197880947846</v>
      </c>
      <c r="E1494" s="2"/>
      <c r="F1494" s="2"/>
      <c r="G1494" s="2"/>
      <c r="H1494" s="2"/>
      <c r="I1494" s="21"/>
      <c r="J1494" s="21"/>
      <c r="K1494" s="21"/>
    </row>
    <row r="1495" spans="1:11" ht="15.5" x14ac:dyDescent="0.35">
      <c r="A1495" s="472" t="s">
        <v>910</v>
      </c>
      <c r="B1495" s="473">
        <v>2024</v>
      </c>
      <c r="C1495" s="473" t="str">
        <f t="shared" si="39"/>
        <v>Plumas_2024</v>
      </c>
      <c r="D1495" s="474">
        <v>447.10240486349693</v>
      </c>
      <c r="E1495" s="2"/>
      <c r="F1495" s="2"/>
      <c r="G1495" s="2"/>
      <c r="H1495" s="2"/>
      <c r="I1495" s="21"/>
      <c r="J1495" s="21"/>
      <c r="K1495" s="21"/>
    </row>
    <row r="1496" spans="1:11" ht="15.5" x14ac:dyDescent="0.35">
      <c r="A1496" s="472" t="s">
        <v>910</v>
      </c>
      <c r="B1496" s="473">
        <v>2025</v>
      </c>
      <c r="C1496" s="473" t="str">
        <f t="shared" si="39"/>
        <v>Plumas_2025</v>
      </c>
      <c r="D1496" s="474">
        <v>432.69387769131396</v>
      </c>
      <c r="E1496" s="2"/>
      <c r="F1496" s="2"/>
      <c r="G1496" s="2"/>
      <c r="H1496" s="2"/>
      <c r="I1496" s="21"/>
      <c r="J1496" s="21"/>
      <c r="K1496" s="21"/>
    </row>
    <row r="1497" spans="1:11" ht="15.5" x14ac:dyDescent="0.35">
      <c r="A1497" s="472" t="s">
        <v>910</v>
      </c>
      <c r="B1497" s="473">
        <v>2026</v>
      </c>
      <c r="C1497" s="473" t="str">
        <f t="shared" si="39"/>
        <v>Plumas_2026</v>
      </c>
      <c r="D1497" s="474">
        <v>419.38489191781139</v>
      </c>
      <c r="E1497" s="2"/>
      <c r="F1497" s="2"/>
      <c r="G1497" s="2"/>
      <c r="H1497" s="2"/>
      <c r="I1497" s="21"/>
      <c r="J1497" s="21"/>
      <c r="K1497" s="21"/>
    </row>
    <row r="1498" spans="1:11" ht="15.5" x14ac:dyDescent="0.35">
      <c r="A1498" s="472" t="s">
        <v>910</v>
      </c>
      <c r="B1498" s="473">
        <v>2027</v>
      </c>
      <c r="C1498" s="473" t="str">
        <f t="shared" si="39"/>
        <v>Plumas_2027</v>
      </c>
      <c r="D1498" s="474">
        <v>407.08477256621615</v>
      </c>
      <c r="E1498" s="2"/>
      <c r="F1498" s="2"/>
      <c r="G1498" s="2"/>
      <c r="H1498" s="2"/>
      <c r="I1498" s="21"/>
      <c r="J1498" s="21"/>
      <c r="K1498" s="21"/>
    </row>
    <row r="1499" spans="1:11" ht="15.5" x14ac:dyDescent="0.35">
      <c r="A1499" s="472" t="s">
        <v>910</v>
      </c>
      <c r="B1499" s="473">
        <v>2028</v>
      </c>
      <c r="C1499" s="473" t="str">
        <f t="shared" si="39"/>
        <v>Plumas_2028</v>
      </c>
      <c r="D1499" s="474">
        <v>395.81493120748559</v>
      </c>
      <c r="E1499" s="2"/>
      <c r="F1499" s="2"/>
      <c r="G1499" s="2"/>
      <c r="H1499" s="2"/>
      <c r="I1499" s="21"/>
      <c r="J1499" s="21"/>
      <c r="K1499" s="21"/>
    </row>
    <row r="1500" spans="1:11" ht="15.5" x14ac:dyDescent="0.35">
      <c r="A1500" s="472" t="s">
        <v>910</v>
      </c>
      <c r="B1500" s="473">
        <v>2029</v>
      </c>
      <c r="C1500" s="473" t="str">
        <f t="shared" si="39"/>
        <v>Plumas_2029</v>
      </c>
      <c r="D1500" s="474">
        <v>385.45729069010861</v>
      </c>
      <c r="E1500" s="2"/>
      <c r="F1500" s="2"/>
      <c r="G1500" s="2"/>
      <c r="H1500" s="2"/>
      <c r="I1500" s="21"/>
      <c r="J1500" s="21"/>
      <c r="K1500" s="21"/>
    </row>
    <row r="1501" spans="1:11" ht="15.5" x14ac:dyDescent="0.35">
      <c r="A1501" s="472" t="s">
        <v>910</v>
      </c>
      <c r="B1501" s="473">
        <v>2030</v>
      </c>
      <c r="C1501" s="473" t="str">
        <f t="shared" si="39"/>
        <v>Plumas_2030</v>
      </c>
      <c r="D1501" s="474">
        <v>376.06164855153173</v>
      </c>
      <c r="E1501" s="2"/>
      <c r="F1501" s="2"/>
      <c r="G1501" s="2"/>
      <c r="H1501" s="2"/>
      <c r="I1501" s="21"/>
      <c r="J1501" s="21"/>
      <c r="K1501" s="21"/>
    </row>
    <row r="1502" spans="1:11" ht="15.5" x14ac:dyDescent="0.35">
      <c r="A1502" s="472" t="s">
        <v>910</v>
      </c>
      <c r="B1502" s="473">
        <v>2031</v>
      </c>
      <c r="C1502" s="473" t="str">
        <f t="shared" si="39"/>
        <v>Plumas_2031</v>
      </c>
      <c r="D1502" s="474">
        <v>367.56000556408895</v>
      </c>
      <c r="E1502" s="2"/>
      <c r="F1502" s="2"/>
      <c r="G1502" s="2"/>
      <c r="H1502" s="2"/>
      <c r="I1502" s="21"/>
      <c r="J1502" s="21"/>
      <c r="K1502" s="21"/>
    </row>
    <row r="1503" spans="1:11" ht="15.5" x14ac:dyDescent="0.35">
      <c r="A1503" s="472" t="s">
        <v>910</v>
      </c>
      <c r="B1503" s="473">
        <v>2032</v>
      </c>
      <c r="C1503" s="473" t="str">
        <f t="shared" si="39"/>
        <v>Plumas_2032</v>
      </c>
      <c r="D1503" s="474">
        <v>359.9515273332961</v>
      </c>
      <c r="E1503" s="2"/>
      <c r="F1503" s="2"/>
      <c r="G1503" s="2"/>
      <c r="H1503" s="2"/>
      <c r="I1503" s="21"/>
      <c r="J1503" s="21"/>
      <c r="K1503" s="21"/>
    </row>
    <row r="1504" spans="1:11" ht="15.5" x14ac:dyDescent="0.35">
      <c r="A1504" s="472" t="s">
        <v>910</v>
      </c>
      <c r="B1504" s="473">
        <v>2033</v>
      </c>
      <c r="C1504" s="473" t="str">
        <f t="shared" si="39"/>
        <v>Plumas_2033</v>
      </c>
      <c r="D1504" s="474">
        <v>353.12108688353101</v>
      </c>
      <c r="E1504" s="2"/>
      <c r="F1504" s="2"/>
      <c r="G1504" s="2"/>
      <c r="H1504" s="2"/>
      <c r="I1504" s="21"/>
      <c r="J1504" s="21"/>
      <c r="K1504" s="21"/>
    </row>
    <row r="1505" spans="1:11" ht="15.5" x14ac:dyDescent="0.35">
      <c r="A1505" s="472" t="s">
        <v>910</v>
      </c>
      <c r="B1505" s="473">
        <v>2034</v>
      </c>
      <c r="C1505" s="473" t="str">
        <f t="shared" si="39"/>
        <v>Plumas_2034</v>
      </c>
      <c r="D1505" s="474">
        <v>347.03919554051816</v>
      </c>
      <c r="E1505" s="2"/>
      <c r="F1505" s="2"/>
      <c r="G1505" s="2"/>
      <c r="H1505" s="2"/>
      <c r="I1505" s="21"/>
      <c r="J1505" s="21"/>
      <c r="K1505" s="21"/>
    </row>
    <row r="1506" spans="1:11" ht="15.5" x14ac:dyDescent="0.35">
      <c r="A1506" s="472" t="s">
        <v>910</v>
      </c>
      <c r="B1506" s="473">
        <v>2035</v>
      </c>
      <c r="C1506" s="473" t="str">
        <f t="shared" si="39"/>
        <v>Plumas_2035</v>
      </c>
      <c r="D1506" s="474">
        <v>341.64563790994714</v>
      </c>
      <c r="E1506" s="2"/>
      <c r="F1506" s="2"/>
      <c r="G1506" s="2"/>
      <c r="H1506" s="2"/>
      <c r="I1506" s="21"/>
      <c r="J1506" s="21"/>
      <c r="K1506" s="21"/>
    </row>
    <row r="1507" spans="1:11" ht="15.5" x14ac:dyDescent="0.35">
      <c r="A1507" s="472" t="s">
        <v>910</v>
      </c>
      <c r="B1507" s="473">
        <v>2036</v>
      </c>
      <c r="C1507" s="473" t="str">
        <f t="shared" si="39"/>
        <v>Plumas_2036</v>
      </c>
      <c r="D1507" s="474">
        <v>336.95519554147103</v>
      </c>
      <c r="E1507" s="2"/>
      <c r="F1507" s="2"/>
      <c r="G1507" s="2"/>
      <c r="H1507" s="2"/>
      <c r="I1507" s="21"/>
      <c r="J1507" s="21"/>
      <c r="K1507" s="21"/>
    </row>
    <row r="1508" spans="1:11" ht="15.5" x14ac:dyDescent="0.35">
      <c r="A1508" s="472" t="s">
        <v>910</v>
      </c>
      <c r="B1508" s="473">
        <v>2037</v>
      </c>
      <c r="C1508" s="473" t="str">
        <f t="shared" si="39"/>
        <v>Plumas_2037</v>
      </c>
      <c r="D1508" s="474">
        <v>332.84936269861265</v>
      </c>
      <c r="E1508" s="2"/>
      <c r="F1508" s="2"/>
      <c r="G1508" s="2"/>
      <c r="H1508" s="2"/>
      <c r="I1508" s="21"/>
      <c r="J1508" s="21"/>
      <c r="K1508" s="21"/>
    </row>
    <row r="1509" spans="1:11" ht="15.5" x14ac:dyDescent="0.35">
      <c r="A1509" s="472" t="s">
        <v>910</v>
      </c>
      <c r="B1509" s="473">
        <v>2038</v>
      </c>
      <c r="C1509" s="473" t="str">
        <f t="shared" si="39"/>
        <v>Plumas_2038</v>
      </c>
      <c r="D1509" s="474">
        <v>329.30314236037503</v>
      </c>
      <c r="E1509" s="2"/>
      <c r="F1509" s="2"/>
      <c r="G1509" s="2"/>
      <c r="H1509" s="2"/>
      <c r="I1509" s="21"/>
      <c r="J1509" s="21"/>
      <c r="K1509" s="21"/>
    </row>
    <row r="1510" spans="1:11" ht="15.5" x14ac:dyDescent="0.35">
      <c r="A1510" s="472" t="s">
        <v>910</v>
      </c>
      <c r="B1510" s="473">
        <v>2039</v>
      </c>
      <c r="C1510" s="473" t="str">
        <f t="shared" si="39"/>
        <v>Plumas_2039</v>
      </c>
      <c r="D1510" s="474">
        <v>326.23668154120566</v>
      </c>
      <c r="E1510" s="2"/>
      <c r="F1510" s="2"/>
      <c r="G1510" s="2"/>
      <c r="H1510" s="2"/>
      <c r="I1510" s="21"/>
      <c r="J1510" s="21"/>
      <c r="K1510" s="21"/>
    </row>
    <row r="1511" spans="1:11" ht="15.5" x14ac:dyDescent="0.35">
      <c r="A1511" s="472" t="s">
        <v>910</v>
      </c>
      <c r="B1511" s="473">
        <v>2040</v>
      </c>
      <c r="C1511" s="473" t="str">
        <f t="shared" si="39"/>
        <v>Plumas_2040</v>
      </c>
      <c r="D1511" s="474">
        <v>323.58099942336241</v>
      </c>
      <c r="E1511" s="2"/>
      <c r="F1511" s="2"/>
      <c r="G1511" s="2"/>
      <c r="H1511" s="2"/>
      <c r="I1511" s="21"/>
      <c r="J1511" s="21"/>
      <c r="K1511" s="21"/>
    </row>
    <row r="1512" spans="1:11" ht="15.5" x14ac:dyDescent="0.35">
      <c r="A1512" s="472" t="s">
        <v>910</v>
      </c>
      <c r="B1512" s="473">
        <v>2041</v>
      </c>
      <c r="C1512" s="473" t="str">
        <f t="shared" si="39"/>
        <v>Plumas_2041</v>
      </c>
      <c r="D1512" s="474">
        <v>321.32466124021511</v>
      </c>
      <c r="E1512" s="2"/>
      <c r="F1512" s="2"/>
      <c r="G1512" s="2"/>
      <c r="H1512" s="2"/>
      <c r="I1512" s="21"/>
      <c r="J1512" s="21"/>
      <c r="K1512" s="21"/>
    </row>
    <row r="1513" spans="1:11" ht="15.5" x14ac:dyDescent="0.35">
      <c r="A1513" s="472" t="s">
        <v>910</v>
      </c>
      <c r="B1513" s="473">
        <v>2042</v>
      </c>
      <c r="C1513" s="473" t="str">
        <f t="shared" si="39"/>
        <v>Plumas_2042</v>
      </c>
      <c r="D1513" s="474">
        <v>319.3636237777979</v>
      </c>
      <c r="E1513" s="2"/>
      <c r="F1513" s="2"/>
      <c r="G1513" s="2"/>
      <c r="H1513" s="2"/>
      <c r="I1513" s="21"/>
      <c r="J1513" s="21"/>
      <c r="K1513" s="21"/>
    </row>
    <row r="1514" spans="1:11" ht="15.5" x14ac:dyDescent="0.35">
      <c r="A1514" s="472" t="s">
        <v>910</v>
      </c>
      <c r="B1514" s="473">
        <v>2043</v>
      </c>
      <c r="C1514" s="473" t="str">
        <f t="shared" si="39"/>
        <v>Plumas_2043</v>
      </c>
      <c r="D1514" s="474">
        <v>317.68858563727781</v>
      </c>
      <c r="E1514" s="2"/>
      <c r="F1514" s="2"/>
      <c r="G1514" s="2"/>
      <c r="H1514" s="2"/>
      <c r="I1514" s="21"/>
      <c r="J1514" s="21"/>
      <c r="K1514" s="21"/>
    </row>
    <row r="1515" spans="1:11" ht="15.5" x14ac:dyDescent="0.35">
      <c r="A1515" s="472" t="s">
        <v>910</v>
      </c>
      <c r="B1515" s="473">
        <v>2044</v>
      </c>
      <c r="C1515" s="473" t="str">
        <f t="shared" si="39"/>
        <v>Plumas_2044</v>
      </c>
      <c r="D1515" s="474">
        <v>316.23631857122894</v>
      </c>
      <c r="E1515" s="2"/>
      <c r="F1515" s="2"/>
      <c r="G1515" s="2"/>
      <c r="H1515" s="2"/>
      <c r="I1515" s="21"/>
      <c r="J1515" s="21"/>
      <c r="K1515" s="21"/>
    </row>
    <row r="1516" spans="1:11" ht="15.5" x14ac:dyDescent="0.35">
      <c r="A1516" s="472" t="s">
        <v>910</v>
      </c>
      <c r="B1516" s="473">
        <v>2045</v>
      </c>
      <c r="C1516" s="473" t="str">
        <f t="shared" si="39"/>
        <v>Plumas_2045</v>
      </c>
      <c r="D1516" s="474">
        <v>314.97433980608514</v>
      </c>
      <c r="E1516" s="2"/>
      <c r="F1516" s="2"/>
      <c r="G1516" s="2"/>
      <c r="H1516" s="2"/>
      <c r="I1516" s="21"/>
      <c r="J1516" s="21"/>
      <c r="K1516" s="21"/>
    </row>
    <row r="1517" spans="1:11" ht="15.5" x14ac:dyDescent="0.35">
      <c r="A1517" s="472" t="s">
        <v>910</v>
      </c>
      <c r="B1517" s="473">
        <v>2046</v>
      </c>
      <c r="C1517" s="473" t="str">
        <f t="shared" si="39"/>
        <v>Plumas_2046</v>
      </c>
      <c r="D1517" s="474">
        <v>313.84128351454535</v>
      </c>
      <c r="E1517" s="2"/>
      <c r="F1517" s="2"/>
      <c r="G1517" s="2"/>
      <c r="H1517" s="2"/>
      <c r="I1517" s="21"/>
      <c r="J1517" s="21"/>
      <c r="K1517" s="21"/>
    </row>
    <row r="1518" spans="1:11" ht="15.5" x14ac:dyDescent="0.35">
      <c r="A1518" s="472" t="s">
        <v>910</v>
      </c>
      <c r="B1518" s="473">
        <v>2047</v>
      </c>
      <c r="C1518" s="473" t="str">
        <f t="shared" si="39"/>
        <v>Plumas_2047</v>
      </c>
      <c r="D1518" s="474">
        <v>312.88999388680469</v>
      </c>
      <c r="E1518" s="2"/>
      <c r="F1518" s="2"/>
      <c r="G1518" s="2"/>
      <c r="H1518" s="2"/>
      <c r="I1518" s="21"/>
      <c r="J1518" s="21"/>
      <c r="K1518" s="21"/>
    </row>
    <row r="1519" spans="1:11" ht="15.5" x14ac:dyDescent="0.35">
      <c r="A1519" s="472" t="s">
        <v>910</v>
      </c>
      <c r="B1519" s="473">
        <v>2048</v>
      </c>
      <c r="C1519" s="473" t="str">
        <f t="shared" si="39"/>
        <v>Plumas_2048</v>
      </c>
      <c r="D1519" s="474">
        <v>312.06736407128727</v>
      </c>
      <c r="E1519" s="2"/>
      <c r="F1519" s="2"/>
      <c r="G1519" s="2"/>
      <c r="H1519" s="2"/>
      <c r="I1519" s="21"/>
      <c r="J1519" s="21"/>
      <c r="K1519" s="21"/>
    </row>
    <row r="1520" spans="1:11" ht="15.5" x14ac:dyDescent="0.35">
      <c r="A1520" s="472" t="s">
        <v>910</v>
      </c>
      <c r="B1520" s="473">
        <v>2049</v>
      </c>
      <c r="C1520" s="473" t="str">
        <f t="shared" si="39"/>
        <v>Plumas_2049</v>
      </c>
      <c r="D1520" s="474">
        <v>311.36845482784008</v>
      </c>
      <c r="E1520" s="2"/>
      <c r="F1520" s="2"/>
      <c r="G1520" s="2"/>
      <c r="H1520" s="2"/>
      <c r="I1520" s="21"/>
      <c r="J1520" s="21"/>
      <c r="K1520" s="21"/>
    </row>
    <row r="1521" spans="1:11" ht="15.5" x14ac:dyDescent="0.35">
      <c r="A1521" s="472" t="s">
        <v>910</v>
      </c>
      <c r="B1521" s="473">
        <v>2050</v>
      </c>
      <c r="C1521" s="473" t="str">
        <f t="shared" si="39"/>
        <v>Plumas_2050</v>
      </c>
      <c r="D1521" s="474">
        <v>310.74947244500578</v>
      </c>
      <c r="E1521" s="2"/>
      <c r="F1521" s="2"/>
      <c r="G1521" s="2"/>
      <c r="H1521" s="2"/>
      <c r="I1521" s="21"/>
      <c r="J1521" s="21"/>
      <c r="K1521" s="21"/>
    </row>
    <row r="1522" spans="1:11" ht="15.5" x14ac:dyDescent="0.35">
      <c r="A1522" s="468" t="s">
        <v>913</v>
      </c>
      <c r="B1522" s="469">
        <v>2015</v>
      </c>
      <c r="C1522" s="470" t="s">
        <v>914</v>
      </c>
      <c r="D1522" s="471">
        <v>497.05796648859035</v>
      </c>
      <c r="E1522" s="2"/>
      <c r="F1522" s="2"/>
      <c r="G1522" s="2"/>
      <c r="H1522" s="2"/>
      <c r="I1522" s="21"/>
      <c r="J1522" s="21"/>
      <c r="K1522" s="21"/>
    </row>
    <row r="1523" spans="1:11" ht="15.5" x14ac:dyDescent="0.35">
      <c r="A1523" s="468" t="s">
        <v>913</v>
      </c>
      <c r="B1523" s="469">
        <v>2016</v>
      </c>
      <c r="C1523" s="470" t="s">
        <v>915</v>
      </c>
      <c r="D1523" s="471">
        <v>486.6215396173406</v>
      </c>
      <c r="E1523" s="2"/>
      <c r="F1523" s="2"/>
      <c r="G1523" s="2"/>
      <c r="H1523" s="2"/>
      <c r="I1523" s="21"/>
      <c r="J1523" s="21"/>
      <c r="K1523" s="21"/>
    </row>
    <row r="1524" spans="1:11" ht="15.5" x14ac:dyDescent="0.35">
      <c r="A1524" s="472" t="s">
        <v>913</v>
      </c>
      <c r="B1524" s="473">
        <v>2017</v>
      </c>
      <c r="C1524" s="473" t="str">
        <f t="shared" ref="C1524:C1587" si="40">CONCATENATE(A1524,"_",B1524)</f>
        <v>Riverside_2017</v>
      </c>
      <c r="D1524" s="474">
        <v>475.18518054619364</v>
      </c>
      <c r="E1524" s="2"/>
      <c r="F1524" s="2"/>
      <c r="G1524" s="2"/>
      <c r="H1524" s="2"/>
      <c r="I1524" s="21"/>
      <c r="J1524" s="21"/>
      <c r="K1524" s="21"/>
    </row>
    <row r="1525" spans="1:11" ht="15.5" x14ac:dyDescent="0.35">
      <c r="A1525" s="472" t="s">
        <v>913</v>
      </c>
      <c r="B1525" s="473">
        <v>2018</v>
      </c>
      <c r="C1525" s="473" t="str">
        <f t="shared" si="40"/>
        <v>Riverside_2018</v>
      </c>
      <c r="D1525" s="474">
        <v>462.92344219439889</v>
      </c>
      <c r="E1525" s="2"/>
      <c r="F1525" s="2"/>
      <c r="G1525" s="2"/>
      <c r="H1525" s="2"/>
      <c r="I1525" s="21"/>
      <c r="J1525" s="21"/>
      <c r="K1525" s="21"/>
    </row>
    <row r="1526" spans="1:11" ht="15.5" x14ac:dyDescent="0.35">
      <c r="A1526" s="472" t="s">
        <v>913</v>
      </c>
      <c r="B1526" s="473">
        <v>2019</v>
      </c>
      <c r="C1526" s="473" t="str">
        <f t="shared" si="40"/>
        <v>Riverside_2019</v>
      </c>
      <c r="D1526" s="474">
        <v>450.3271668657701</v>
      </c>
      <c r="E1526" s="2"/>
      <c r="F1526" s="2"/>
      <c r="G1526" s="2"/>
      <c r="H1526" s="2"/>
      <c r="I1526" s="21"/>
      <c r="J1526" s="21"/>
      <c r="K1526" s="21"/>
    </row>
    <row r="1527" spans="1:11" ht="15.5" x14ac:dyDescent="0.35">
      <c r="A1527" s="472" t="s">
        <v>913</v>
      </c>
      <c r="B1527" s="473">
        <v>2020</v>
      </c>
      <c r="C1527" s="473" t="str">
        <f t="shared" si="40"/>
        <v>Riverside_2020</v>
      </c>
      <c r="D1527" s="474">
        <v>437.55534176061764</v>
      </c>
      <c r="E1527" s="2"/>
      <c r="F1527" s="2"/>
      <c r="G1527" s="2"/>
      <c r="H1527" s="2"/>
      <c r="I1527" s="21"/>
      <c r="J1527" s="21"/>
      <c r="K1527" s="21"/>
    </row>
    <row r="1528" spans="1:11" ht="15.5" x14ac:dyDescent="0.35">
      <c r="A1528" s="472" t="s">
        <v>913</v>
      </c>
      <c r="B1528" s="473">
        <v>2021</v>
      </c>
      <c r="C1528" s="473" t="str">
        <f t="shared" si="40"/>
        <v>Riverside_2021</v>
      </c>
      <c r="D1528" s="474">
        <v>425.47675200189934</v>
      </c>
      <c r="E1528" s="2"/>
      <c r="F1528" s="2"/>
      <c r="G1528" s="2"/>
      <c r="H1528" s="2"/>
      <c r="I1528" s="21"/>
      <c r="J1528" s="21"/>
      <c r="K1528" s="21"/>
    </row>
    <row r="1529" spans="1:11" ht="15.5" x14ac:dyDescent="0.35">
      <c r="A1529" s="472" t="s">
        <v>913</v>
      </c>
      <c r="B1529" s="473">
        <v>2022</v>
      </c>
      <c r="C1529" s="473" t="str">
        <f t="shared" si="40"/>
        <v>Riverside_2022</v>
      </c>
      <c r="D1529" s="474">
        <v>412.74544267880361</v>
      </c>
      <c r="E1529" s="2"/>
      <c r="F1529" s="2"/>
      <c r="G1529" s="2"/>
      <c r="H1529" s="2"/>
      <c r="I1529" s="21"/>
      <c r="J1529" s="21"/>
      <c r="K1529" s="21"/>
    </row>
    <row r="1530" spans="1:11" ht="15.5" x14ac:dyDescent="0.35">
      <c r="A1530" s="472" t="s">
        <v>913</v>
      </c>
      <c r="B1530" s="473">
        <v>2023</v>
      </c>
      <c r="C1530" s="473" t="str">
        <f t="shared" si="40"/>
        <v>Riverside_2023</v>
      </c>
      <c r="D1530" s="474">
        <v>400.11873954458406</v>
      </c>
      <c r="E1530" s="2"/>
      <c r="F1530" s="2"/>
      <c r="G1530" s="2"/>
      <c r="H1530" s="2"/>
      <c r="I1530" s="21"/>
      <c r="J1530" s="21"/>
      <c r="K1530" s="21"/>
    </row>
    <row r="1531" spans="1:11" ht="15.5" x14ac:dyDescent="0.35">
      <c r="A1531" s="472" t="s">
        <v>913</v>
      </c>
      <c r="B1531" s="473">
        <v>2024</v>
      </c>
      <c r="C1531" s="473" t="str">
        <f t="shared" si="40"/>
        <v>Riverside_2024</v>
      </c>
      <c r="D1531" s="474">
        <v>388.16037310878301</v>
      </c>
      <c r="E1531" s="2"/>
      <c r="F1531" s="2"/>
      <c r="G1531" s="2"/>
      <c r="H1531" s="2"/>
      <c r="I1531" s="21"/>
      <c r="J1531" s="21"/>
      <c r="K1531" s="21"/>
    </row>
    <row r="1532" spans="1:11" ht="15.5" x14ac:dyDescent="0.35">
      <c r="A1532" s="472" t="s">
        <v>913</v>
      </c>
      <c r="B1532" s="473">
        <v>2025</v>
      </c>
      <c r="C1532" s="473" t="str">
        <f t="shared" si="40"/>
        <v>Riverside_2025</v>
      </c>
      <c r="D1532" s="474">
        <v>375.85256393817212</v>
      </c>
      <c r="E1532" s="2"/>
      <c r="F1532" s="2"/>
      <c r="G1532" s="2"/>
      <c r="H1532" s="2"/>
      <c r="I1532" s="21"/>
      <c r="J1532" s="21"/>
      <c r="K1532" s="21"/>
    </row>
    <row r="1533" spans="1:11" ht="15.5" x14ac:dyDescent="0.35">
      <c r="A1533" s="472" t="s">
        <v>913</v>
      </c>
      <c r="B1533" s="473">
        <v>2026</v>
      </c>
      <c r="C1533" s="473" t="str">
        <f t="shared" si="40"/>
        <v>Riverside_2026</v>
      </c>
      <c r="D1533" s="474">
        <v>364.73411521830275</v>
      </c>
      <c r="E1533" s="2"/>
      <c r="F1533" s="2"/>
      <c r="G1533" s="2"/>
      <c r="H1533" s="2"/>
      <c r="I1533" s="21"/>
      <c r="J1533" s="21"/>
      <c r="K1533" s="21"/>
    </row>
    <row r="1534" spans="1:11" ht="15.5" x14ac:dyDescent="0.35">
      <c r="A1534" s="472" t="s">
        <v>913</v>
      </c>
      <c r="B1534" s="473">
        <v>2027</v>
      </c>
      <c r="C1534" s="473" t="str">
        <f t="shared" si="40"/>
        <v>Riverside_2027</v>
      </c>
      <c r="D1534" s="474">
        <v>354.70553091985624</v>
      </c>
      <c r="E1534" s="2"/>
      <c r="F1534" s="2"/>
      <c r="G1534" s="2"/>
      <c r="H1534" s="2"/>
      <c r="I1534" s="21"/>
      <c r="J1534" s="21"/>
      <c r="K1534" s="21"/>
    </row>
    <row r="1535" spans="1:11" ht="15.5" x14ac:dyDescent="0.35">
      <c r="A1535" s="472" t="s">
        <v>913</v>
      </c>
      <c r="B1535" s="473">
        <v>2028</v>
      </c>
      <c r="C1535" s="473" t="str">
        <f t="shared" si="40"/>
        <v>Riverside_2028</v>
      </c>
      <c r="D1535" s="474">
        <v>345.79329905651645</v>
      </c>
      <c r="E1535" s="2"/>
      <c r="F1535" s="2"/>
      <c r="G1535" s="2"/>
      <c r="H1535" s="2"/>
      <c r="I1535" s="21"/>
      <c r="J1535" s="21"/>
      <c r="K1535" s="21"/>
    </row>
    <row r="1536" spans="1:11" ht="15.5" x14ac:dyDescent="0.35">
      <c r="A1536" s="472" t="s">
        <v>913</v>
      </c>
      <c r="B1536" s="473">
        <v>2029</v>
      </c>
      <c r="C1536" s="473" t="str">
        <f t="shared" si="40"/>
        <v>Riverside_2029</v>
      </c>
      <c r="D1536" s="474">
        <v>337.88060604329837</v>
      </c>
      <c r="E1536" s="2"/>
      <c r="F1536" s="2"/>
      <c r="G1536" s="2"/>
      <c r="H1536" s="2"/>
      <c r="I1536" s="21"/>
      <c r="J1536" s="21"/>
      <c r="K1536" s="21"/>
    </row>
    <row r="1537" spans="1:11" ht="15.5" x14ac:dyDescent="0.35">
      <c r="A1537" s="472" t="s">
        <v>913</v>
      </c>
      <c r="B1537" s="473">
        <v>2030</v>
      </c>
      <c r="C1537" s="473" t="str">
        <f t="shared" si="40"/>
        <v>Riverside_2030</v>
      </c>
      <c r="D1537" s="474">
        <v>330.88515068711206</v>
      </c>
      <c r="E1537" s="2"/>
      <c r="F1537" s="2"/>
      <c r="G1537" s="2"/>
      <c r="H1537" s="2"/>
      <c r="I1537" s="21"/>
      <c r="J1537" s="21"/>
      <c r="K1537" s="21"/>
    </row>
    <row r="1538" spans="1:11" ht="15.5" x14ac:dyDescent="0.35">
      <c r="A1538" s="472" t="s">
        <v>913</v>
      </c>
      <c r="B1538" s="473">
        <v>2031</v>
      </c>
      <c r="C1538" s="473" t="str">
        <f t="shared" si="40"/>
        <v>Riverside_2031</v>
      </c>
      <c r="D1538" s="474">
        <v>325.31073305647021</v>
      </c>
      <c r="E1538" s="2"/>
      <c r="F1538" s="2"/>
      <c r="G1538" s="2"/>
      <c r="H1538" s="2"/>
      <c r="I1538" s="21"/>
      <c r="J1538" s="21"/>
      <c r="K1538" s="21"/>
    </row>
    <row r="1539" spans="1:11" ht="15.5" x14ac:dyDescent="0.35">
      <c r="A1539" s="472" t="s">
        <v>913</v>
      </c>
      <c r="B1539" s="473">
        <v>2032</v>
      </c>
      <c r="C1539" s="473" t="str">
        <f t="shared" si="40"/>
        <v>Riverside_2032</v>
      </c>
      <c r="D1539" s="474">
        <v>319.87548997127556</v>
      </c>
      <c r="E1539" s="2"/>
      <c r="F1539" s="2"/>
      <c r="G1539" s="2"/>
      <c r="H1539" s="2"/>
      <c r="I1539" s="21"/>
      <c r="J1539" s="21"/>
      <c r="K1539" s="21"/>
    </row>
    <row r="1540" spans="1:11" ht="15.5" x14ac:dyDescent="0.35">
      <c r="A1540" s="472" t="s">
        <v>913</v>
      </c>
      <c r="B1540" s="473">
        <v>2033</v>
      </c>
      <c r="C1540" s="473" t="str">
        <f t="shared" si="40"/>
        <v>Riverside_2033</v>
      </c>
      <c r="D1540" s="474">
        <v>315.11001577020454</v>
      </c>
      <c r="E1540" s="2"/>
      <c r="F1540" s="2"/>
      <c r="G1540" s="2"/>
      <c r="H1540" s="2"/>
      <c r="I1540" s="21"/>
      <c r="J1540" s="21"/>
      <c r="K1540" s="21"/>
    </row>
    <row r="1541" spans="1:11" ht="15.5" x14ac:dyDescent="0.35">
      <c r="A1541" s="472" t="s">
        <v>913</v>
      </c>
      <c r="B1541" s="473">
        <v>2034</v>
      </c>
      <c r="C1541" s="473" t="str">
        <f t="shared" si="40"/>
        <v>Riverside_2034</v>
      </c>
      <c r="D1541" s="474">
        <v>310.94471929353983</v>
      </c>
      <c r="E1541" s="2"/>
      <c r="F1541" s="2"/>
      <c r="G1541" s="2"/>
      <c r="H1541" s="2"/>
      <c r="I1541" s="21"/>
      <c r="J1541" s="21"/>
      <c r="K1541" s="21"/>
    </row>
    <row r="1542" spans="1:11" ht="15.5" x14ac:dyDescent="0.35">
      <c r="A1542" s="472" t="s">
        <v>913</v>
      </c>
      <c r="B1542" s="473">
        <v>2035</v>
      </c>
      <c r="C1542" s="473" t="str">
        <f t="shared" si="40"/>
        <v>Riverside_2035</v>
      </c>
      <c r="D1542" s="474">
        <v>307.32533001005021</v>
      </c>
      <c r="E1542" s="2"/>
      <c r="F1542" s="2"/>
      <c r="G1542" s="2"/>
      <c r="H1542" s="2"/>
      <c r="I1542" s="21"/>
      <c r="J1542" s="21"/>
      <c r="K1542" s="21"/>
    </row>
    <row r="1543" spans="1:11" ht="15.5" x14ac:dyDescent="0.35">
      <c r="A1543" s="472" t="s">
        <v>913</v>
      </c>
      <c r="B1543" s="473">
        <v>2036</v>
      </c>
      <c r="C1543" s="473" t="str">
        <f t="shared" si="40"/>
        <v>Riverside_2036</v>
      </c>
      <c r="D1543" s="474">
        <v>304.1961814242984</v>
      </c>
      <c r="E1543" s="2"/>
      <c r="F1543" s="2"/>
      <c r="G1543" s="2"/>
      <c r="H1543" s="2"/>
      <c r="I1543" s="21"/>
      <c r="J1543" s="21"/>
      <c r="K1543" s="21"/>
    </row>
    <row r="1544" spans="1:11" ht="15.5" x14ac:dyDescent="0.35">
      <c r="A1544" s="472" t="s">
        <v>913</v>
      </c>
      <c r="B1544" s="473">
        <v>2037</v>
      </c>
      <c r="C1544" s="473" t="str">
        <f t="shared" si="40"/>
        <v>Riverside_2037</v>
      </c>
      <c r="D1544" s="474">
        <v>301.51657162225001</v>
      </c>
      <c r="E1544" s="2"/>
      <c r="F1544" s="2"/>
      <c r="G1544" s="2"/>
      <c r="H1544" s="2"/>
      <c r="I1544" s="21"/>
      <c r="J1544" s="21"/>
      <c r="K1544" s="21"/>
    </row>
    <row r="1545" spans="1:11" ht="15.5" x14ac:dyDescent="0.35">
      <c r="A1545" s="472" t="s">
        <v>913</v>
      </c>
      <c r="B1545" s="473">
        <v>2038</v>
      </c>
      <c r="C1545" s="473" t="str">
        <f t="shared" si="40"/>
        <v>Riverside_2038</v>
      </c>
      <c r="D1545" s="474">
        <v>299.23732211515096</v>
      </c>
      <c r="E1545" s="2"/>
      <c r="F1545" s="2"/>
      <c r="G1545" s="2"/>
      <c r="H1545" s="2"/>
      <c r="I1545" s="21"/>
      <c r="J1545" s="21"/>
      <c r="K1545" s="21"/>
    </row>
    <row r="1546" spans="1:11" ht="15.5" x14ac:dyDescent="0.35">
      <c r="A1546" s="472" t="s">
        <v>913</v>
      </c>
      <c r="B1546" s="473">
        <v>2039</v>
      </c>
      <c r="C1546" s="473" t="str">
        <f t="shared" si="40"/>
        <v>Riverside_2039</v>
      </c>
      <c r="D1546" s="474">
        <v>297.30842443912428</v>
      </c>
      <c r="E1546" s="2"/>
      <c r="F1546" s="2"/>
      <c r="G1546" s="2"/>
      <c r="H1546" s="2"/>
      <c r="I1546" s="21"/>
      <c r="J1546" s="21"/>
      <c r="K1546" s="21"/>
    </row>
    <row r="1547" spans="1:11" ht="15.5" x14ac:dyDescent="0.35">
      <c r="A1547" s="472" t="s">
        <v>913</v>
      </c>
      <c r="B1547" s="473">
        <v>2040</v>
      </c>
      <c r="C1547" s="473" t="str">
        <f t="shared" si="40"/>
        <v>Riverside_2040</v>
      </c>
      <c r="D1547" s="474">
        <v>295.68668986048249</v>
      </c>
      <c r="E1547" s="2"/>
      <c r="F1547" s="2"/>
      <c r="G1547" s="2"/>
      <c r="H1547" s="2"/>
      <c r="I1547" s="21"/>
      <c r="J1547" s="21"/>
      <c r="K1547" s="21"/>
    </row>
    <row r="1548" spans="1:11" ht="15.5" x14ac:dyDescent="0.35">
      <c r="A1548" s="472" t="s">
        <v>913</v>
      </c>
      <c r="B1548" s="473">
        <v>2041</v>
      </c>
      <c r="C1548" s="473" t="str">
        <f t="shared" si="40"/>
        <v>Riverside_2041</v>
      </c>
      <c r="D1548" s="474">
        <v>294.34431494051427</v>
      </c>
      <c r="E1548" s="2"/>
      <c r="F1548" s="2"/>
      <c r="G1548" s="2"/>
      <c r="H1548" s="2"/>
      <c r="I1548" s="21"/>
      <c r="J1548" s="21"/>
      <c r="K1548" s="21"/>
    </row>
    <row r="1549" spans="1:11" ht="15.5" x14ac:dyDescent="0.35">
      <c r="A1549" s="472" t="s">
        <v>913</v>
      </c>
      <c r="B1549" s="473">
        <v>2042</v>
      </c>
      <c r="C1549" s="473" t="str">
        <f t="shared" si="40"/>
        <v>Riverside_2042</v>
      </c>
      <c r="D1549" s="474">
        <v>293.22012729417912</v>
      </c>
      <c r="E1549" s="2"/>
      <c r="F1549" s="2"/>
      <c r="G1549" s="2"/>
      <c r="H1549" s="2"/>
      <c r="I1549" s="21"/>
      <c r="J1549" s="21"/>
      <c r="K1549" s="21"/>
    </row>
    <row r="1550" spans="1:11" ht="15.5" x14ac:dyDescent="0.35">
      <c r="A1550" s="472" t="s">
        <v>913</v>
      </c>
      <c r="B1550" s="473">
        <v>2043</v>
      </c>
      <c r="C1550" s="473" t="str">
        <f t="shared" si="40"/>
        <v>Riverside_2043</v>
      </c>
      <c r="D1550" s="474">
        <v>292.29212886631893</v>
      </c>
      <c r="E1550" s="2"/>
      <c r="F1550" s="2"/>
      <c r="G1550" s="2"/>
      <c r="H1550" s="2"/>
      <c r="I1550" s="21"/>
      <c r="J1550" s="21"/>
      <c r="K1550" s="21"/>
    </row>
    <row r="1551" spans="1:11" ht="15.5" x14ac:dyDescent="0.35">
      <c r="A1551" s="472" t="s">
        <v>913</v>
      </c>
      <c r="B1551" s="473">
        <v>2044</v>
      </c>
      <c r="C1551" s="473" t="str">
        <f t="shared" si="40"/>
        <v>Riverside_2044</v>
      </c>
      <c r="D1551" s="474">
        <v>291.51678612252277</v>
      </c>
      <c r="E1551" s="2"/>
      <c r="F1551" s="2"/>
      <c r="G1551" s="2"/>
      <c r="H1551" s="2"/>
      <c r="I1551" s="21"/>
      <c r="J1551" s="21"/>
      <c r="K1551" s="21"/>
    </row>
    <row r="1552" spans="1:11" ht="15.5" x14ac:dyDescent="0.35">
      <c r="A1552" s="472" t="s">
        <v>913</v>
      </c>
      <c r="B1552" s="473">
        <v>2045</v>
      </c>
      <c r="C1552" s="473" t="str">
        <f t="shared" si="40"/>
        <v>Riverside_2045</v>
      </c>
      <c r="D1552" s="474">
        <v>290.8535860971333</v>
      </c>
      <c r="E1552" s="2"/>
      <c r="F1552" s="2"/>
      <c r="G1552" s="2"/>
      <c r="H1552" s="2"/>
      <c r="I1552" s="21"/>
      <c r="J1552" s="21"/>
      <c r="K1552" s="21"/>
    </row>
    <row r="1553" spans="1:11" ht="15.5" x14ac:dyDescent="0.35">
      <c r="A1553" s="472" t="s">
        <v>913</v>
      </c>
      <c r="B1553" s="473">
        <v>2046</v>
      </c>
      <c r="C1553" s="473" t="str">
        <f t="shared" si="40"/>
        <v>Riverside_2046</v>
      </c>
      <c r="D1553" s="474">
        <v>290.29500066117743</v>
      </c>
      <c r="E1553" s="2"/>
      <c r="F1553" s="2"/>
      <c r="G1553" s="2"/>
      <c r="H1553" s="2"/>
      <c r="I1553" s="21"/>
      <c r="J1553" s="21"/>
      <c r="K1553" s="21"/>
    </row>
    <row r="1554" spans="1:11" ht="15.5" x14ac:dyDescent="0.35">
      <c r="A1554" s="472" t="s">
        <v>913</v>
      </c>
      <c r="B1554" s="473">
        <v>2047</v>
      </c>
      <c r="C1554" s="473" t="str">
        <f t="shared" si="40"/>
        <v>Riverside_2047</v>
      </c>
      <c r="D1554" s="474">
        <v>289.82416988734059</v>
      </c>
      <c r="E1554" s="2"/>
      <c r="F1554" s="2"/>
      <c r="G1554" s="2"/>
      <c r="H1554" s="2"/>
      <c r="I1554" s="21"/>
      <c r="J1554" s="21"/>
      <c r="K1554" s="21"/>
    </row>
    <row r="1555" spans="1:11" ht="15.5" x14ac:dyDescent="0.35">
      <c r="A1555" s="472" t="s">
        <v>913</v>
      </c>
      <c r="B1555" s="473">
        <v>2048</v>
      </c>
      <c r="C1555" s="473" t="str">
        <f t="shared" si="40"/>
        <v>Riverside_2048</v>
      </c>
      <c r="D1555" s="474">
        <v>289.42204499732753</v>
      </c>
      <c r="E1555" s="2"/>
      <c r="F1555" s="2"/>
      <c r="G1555" s="2"/>
      <c r="H1555" s="2"/>
      <c r="I1555" s="21"/>
      <c r="J1555" s="21"/>
      <c r="K1555" s="21"/>
    </row>
    <row r="1556" spans="1:11" ht="15.5" x14ac:dyDescent="0.35">
      <c r="A1556" s="472" t="s">
        <v>913</v>
      </c>
      <c r="B1556" s="473">
        <v>2049</v>
      </c>
      <c r="C1556" s="473" t="str">
        <f t="shared" si="40"/>
        <v>Riverside_2049</v>
      </c>
      <c r="D1556" s="474">
        <v>289.07649104524637</v>
      </c>
      <c r="E1556" s="2"/>
      <c r="F1556" s="2"/>
      <c r="G1556" s="2"/>
      <c r="H1556" s="2"/>
      <c r="I1556" s="21"/>
      <c r="J1556" s="21"/>
      <c r="K1556" s="21"/>
    </row>
    <row r="1557" spans="1:11" ht="15.5" x14ac:dyDescent="0.35">
      <c r="A1557" s="472" t="s">
        <v>913</v>
      </c>
      <c r="B1557" s="473">
        <v>2050</v>
      </c>
      <c r="C1557" s="473" t="str">
        <f t="shared" si="40"/>
        <v>Riverside_2050</v>
      </c>
      <c r="D1557" s="474">
        <v>288.79815799312394</v>
      </c>
      <c r="E1557" s="2"/>
      <c r="F1557" s="2"/>
      <c r="G1557" s="2"/>
      <c r="H1557" s="2"/>
      <c r="I1557" s="21"/>
      <c r="J1557" s="21"/>
      <c r="K1557" s="21"/>
    </row>
    <row r="1558" spans="1:11" ht="15.5" x14ac:dyDescent="0.35">
      <c r="A1558" s="475" t="s">
        <v>916</v>
      </c>
      <c r="B1558" s="476">
        <v>2015</v>
      </c>
      <c r="C1558" s="476" t="str">
        <f t="shared" si="40"/>
        <v>Sacramento Valley_2015</v>
      </c>
      <c r="D1558" s="471">
        <v>512.78531018156718</v>
      </c>
      <c r="E1558" s="2"/>
      <c r="F1558" s="2"/>
      <c r="G1558" s="2"/>
      <c r="H1558" s="2"/>
      <c r="I1558" s="21"/>
      <c r="J1558" s="21"/>
      <c r="K1558" s="21"/>
    </row>
    <row r="1559" spans="1:11" ht="15.5" x14ac:dyDescent="0.35">
      <c r="A1559" s="475" t="s">
        <v>916</v>
      </c>
      <c r="B1559" s="476">
        <v>2016</v>
      </c>
      <c r="C1559" s="476" t="str">
        <f t="shared" si="40"/>
        <v>Sacramento Valley_2016</v>
      </c>
      <c r="D1559" s="471">
        <v>502.92066202469687</v>
      </c>
      <c r="E1559" s="2"/>
      <c r="F1559" s="2"/>
      <c r="G1559" s="2"/>
      <c r="H1559" s="2"/>
      <c r="I1559" s="21"/>
      <c r="J1559" s="21"/>
      <c r="K1559" s="21"/>
    </row>
    <row r="1560" spans="1:11" ht="15.5" x14ac:dyDescent="0.35">
      <c r="A1560" s="477" t="s">
        <v>916</v>
      </c>
      <c r="B1560" s="478">
        <v>2017</v>
      </c>
      <c r="C1560" s="478" t="str">
        <f t="shared" si="40"/>
        <v>Sacramento Valley_2017</v>
      </c>
      <c r="D1560" s="474">
        <v>491.06194347966908</v>
      </c>
      <c r="E1560" s="2"/>
      <c r="F1560" s="2"/>
      <c r="G1560" s="2"/>
      <c r="H1560" s="2"/>
      <c r="I1560" s="21"/>
      <c r="J1560" s="21"/>
      <c r="K1560" s="21"/>
    </row>
    <row r="1561" spans="1:11" ht="15.5" x14ac:dyDescent="0.35">
      <c r="A1561" s="477" t="s">
        <v>916</v>
      </c>
      <c r="B1561" s="478">
        <v>2018</v>
      </c>
      <c r="C1561" s="478" t="str">
        <f t="shared" si="40"/>
        <v>Sacramento Valley_2018</v>
      </c>
      <c r="D1561" s="474">
        <v>478.19993559320267</v>
      </c>
      <c r="E1561" s="2"/>
      <c r="F1561" s="2"/>
      <c r="G1561" s="2"/>
      <c r="H1561" s="2"/>
      <c r="I1561" s="21"/>
      <c r="J1561" s="21"/>
      <c r="K1561" s="21"/>
    </row>
    <row r="1562" spans="1:11" ht="15.5" x14ac:dyDescent="0.35">
      <c r="A1562" s="477" t="s">
        <v>916</v>
      </c>
      <c r="B1562" s="478">
        <v>2019</v>
      </c>
      <c r="C1562" s="478" t="str">
        <f t="shared" si="40"/>
        <v>Sacramento Valley_2019</v>
      </c>
      <c r="D1562" s="474">
        <v>463.39450591001571</v>
      </c>
      <c r="E1562" s="2"/>
      <c r="F1562" s="2"/>
      <c r="G1562" s="2"/>
      <c r="H1562" s="2"/>
      <c r="I1562" s="21"/>
      <c r="J1562" s="21"/>
      <c r="K1562" s="21"/>
    </row>
    <row r="1563" spans="1:11" ht="15.5" x14ac:dyDescent="0.35">
      <c r="A1563" s="477" t="s">
        <v>916</v>
      </c>
      <c r="B1563" s="478">
        <v>2020</v>
      </c>
      <c r="C1563" s="478" t="str">
        <f t="shared" si="40"/>
        <v>Sacramento Valley_2020</v>
      </c>
      <c r="D1563" s="474">
        <v>449.86461363288424</v>
      </c>
      <c r="E1563" s="2"/>
      <c r="F1563" s="2"/>
      <c r="G1563" s="2"/>
      <c r="H1563" s="2"/>
      <c r="I1563" s="21"/>
      <c r="J1563" s="21"/>
      <c r="K1563" s="21"/>
    </row>
    <row r="1564" spans="1:11" ht="15.5" x14ac:dyDescent="0.35">
      <c r="A1564" s="477" t="s">
        <v>916</v>
      </c>
      <c r="B1564" s="478">
        <v>2021</v>
      </c>
      <c r="C1564" s="478" t="str">
        <f t="shared" si="40"/>
        <v>Sacramento Valley_2021</v>
      </c>
      <c r="D1564" s="474">
        <v>436.24489356288171</v>
      </c>
      <c r="E1564" s="2"/>
      <c r="F1564" s="2"/>
      <c r="G1564" s="2"/>
      <c r="H1564" s="2"/>
      <c r="I1564" s="21"/>
      <c r="J1564" s="21"/>
      <c r="K1564" s="21"/>
    </row>
    <row r="1565" spans="1:11" ht="15.5" x14ac:dyDescent="0.35">
      <c r="A1565" s="477" t="s">
        <v>916</v>
      </c>
      <c r="B1565" s="478">
        <v>2022</v>
      </c>
      <c r="C1565" s="478" t="str">
        <f t="shared" si="40"/>
        <v>Sacramento Valley_2022</v>
      </c>
      <c r="D1565" s="474">
        <v>422.77175956158237</v>
      </c>
      <c r="E1565" s="2"/>
      <c r="F1565" s="2"/>
      <c r="G1565" s="2"/>
      <c r="H1565" s="2"/>
      <c r="I1565" s="21"/>
      <c r="J1565" s="21"/>
      <c r="K1565" s="21"/>
    </row>
    <row r="1566" spans="1:11" ht="15.5" x14ac:dyDescent="0.35">
      <c r="A1566" s="477" t="s">
        <v>916</v>
      </c>
      <c r="B1566" s="478">
        <v>2023</v>
      </c>
      <c r="C1566" s="478" t="str">
        <f t="shared" si="40"/>
        <v>Sacramento Valley_2023</v>
      </c>
      <c r="D1566" s="474">
        <v>409.45034192269009</v>
      </c>
      <c r="E1566" s="2"/>
      <c r="F1566" s="2"/>
      <c r="G1566" s="2"/>
      <c r="H1566" s="2"/>
      <c r="I1566" s="21"/>
      <c r="J1566" s="21"/>
      <c r="K1566" s="21"/>
    </row>
    <row r="1567" spans="1:11" ht="15.5" x14ac:dyDescent="0.35">
      <c r="A1567" s="477" t="s">
        <v>916</v>
      </c>
      <c r="B1567" s="478">
        <v>2024</v>
      </c>
      <c r="C1567" s="478" t="str">
        <f t="shared" si="40"/>
        <v>Sacramento Valley_2024</v>
      </c>
      <c r="D1567" s="474">
        <v>396.33844932238401</v>
      </c>
      <c r="E1567" s="2"/>
      <c r="F1567" s="2"/>
      <c r="G1567" s="2"/>
      <c r="H1567" s="2"/>
      <c r="I1567" s="21"/>
      <c r="J1567" s="21"/>
      <c r="K1567" s="21"/>
    </row>
    <row r="1568" spans="1:11" ht="15.5" x14ac:dyDescent="0.35">
      <c r="A1568" s="477" t="s">
        <v>916</v>
      </c>
      <c r="B1568" s="478">
        <v>2025</v>
      </c>
      <c r="C1568" s="478" t="str">
        <f t="shared" si="40"/>
        <v>Sacramento Valley_2025</v>
      </c>
      <c r="D1568" s="474">
        <v>383.42543301928384</v>
      </c>
      <c r="E1568" s="2"/>
      <c r="F1568" s="2"/>
      <c r="G1568" s="2"/>
      <c r="H1568" s="2"/>
      <c r="I1568" s="21"/>
      <c r="J1568" s="21"/>
      <c r="K1568" s="21"/>
    </row>
    <row r="1569" spans="1:11" ht="15.5" x14ac:dyDescent="0.35">
      <c r="A1569" s="477" t="s">
        <v>916</v>
      </c>
      <c r="B1569" s="478">
        <v>2026</v>
      </c>
      <c r="C1569" s="478" t="str">
        <f t="shared" si="40"/>
        <v>Sacramento Valley_2026</v>
      </c>
      <c r="D1569" s="474">
        <v>371.70742806662071</v>
      </c>
      <c r="E1569" s="2"/>
      <c r="F1569" s="2"/>
      <c r="G1569" s="2"/>
      <c r="H1569" s="2"/>
      <c r="I1569" s="21"/>
      <c r="J1569" s="21"/>
      <c r="K1569" s="21"/>
    </row>
    <row r="1570" spans="1:11" ht="15.5" x14ac:dyDescent="0.35">
      <c r="A1570" s="477" t="s">
        <v>916</v>
      </c>
      <c r="B1570" s="478">
        <v>2027</v>
      </c>
      <c r="C1570" s="478" t="str">
        <f t="shared" si="40"/>
        <v>Sacramento Valley_2027</v>
      </c>
      <c r="D1570" s="474">
        <v>360.91420790373968</v>
      </c>
      <c r="E1570" s="2"/>
      <c r="F1570" s="2"/>
      <c r="G1570" s="2"/>
      <c r="H1570" s="2"/>
      <c r="I1570" s="21"/>
      <c r="J1570" s="21"/>
      <c r="K1570" s="21"/>
    </row>
    <row r="1571" spans="1:11" ht="15.5" x14ac:dyDescent="0.35">
      <c r="A1571" s="477" t="s">
        <v>916</v>
      </c>
      <c r="B1571" s="478">
        <v>2028</v>
      </c>
      <c r="C1571" s="478" t="str">
        <f t="shared" si="40"/>
        <v>Sacramento Valley_2028</v>
      </c>
      <c r="D1571" s="474">
        <v>351.20106590304209</v>
      </c>
      <c r="E1571" s="2"/>
      <c r="F1571" s="2"/>
      <c r="G1571" s="2"/>
      <c r="H1571" s="2"/>
      <c r="I1571" s="21"/>
      <c r="J1571" s="21"/>
      <c r="K1571" s="21"/>
    </row>
    <row r="1572" spans="1:11" ht="15.5" x14ac:dyDescent="0.35">
      <c r="A1572" s="477" t="s">
        <v>916</v>
      </c>
      <c r="B1572" s="478">
        <v>2029</v>
      </c>
      <c r="C1572" s="478" t="str">
        <f t="shared" si="40"/>
        <v>Sacramento Valley_2029</v>
      </c>
      <c r="D1572" s="474">
        <v>342.50126687035782</v>
      </c>
      <c r="E1572" s="2"/>
      <c r="F1572" s="2"/>
      <c r="G1572" s="2"/>
      <c r="H1572" s="2"/>
      <c r="I1572" s="21"/>
      <c r="J1572" s="21"/>
      <c r="K1572" s="21"/>
    </row>
    <row r="1573" spans="1:11" ht="15.5" x14ac:dyDescent="0.35">
      <c r="A1573" s="477" t="s">
        <v>916</v>
      </c>
      <c r="B1573" s="478">
        <v>2030</v>
      </c>
      <c r="C1573" s="478" t="str">
        <f t="shared" si="40"/>
        <v>Sacramento Valley_2030</v>
      </c>
      <c r="D1573" s="474">
        <v>334.75995685986516</v>
      </c>
      <c r="E1573" s="2"/>
      <c r="F1573" s="2"/>
      <c r="G1573" s="2"/>
      <c r="H1573" s="2"/>
      <c r="I1573" s="21"/>
      <c r="J1573" s="21"/>
      <c r="K1573" s="21"/>
    </row>
    <row r="1574" spans="1:11" ht="15.5" x14ac:dyDescent="0.35">
      <c r="A1574" s="477" t="s">
        <v>916</v>
      </c>
      <c r="B1574" s="478">
        <v>2031</v>
      </c>
      <c r="C1574" s="478" t="str">
        <f t="shared" si="40"/>
        <v>Sacramento Valley_2031</v>
      </c>
      <c r="D1574" s="474">
        <v>327.9051195144595</v>
      </c>
      <c r="E1574" s="2"/>
      <c r="F1574" s="2"/>
      <c r="G1574" s="2"/>
      <c r="H1574" s="2"/>
      <c r="I1574" s="21"/>
      <c r="J1574" s="21"/>
      <c r="K1574" s="21"/>
    </row>
    <row r="1575" spans="1:11" ht="15.5" x14ac:dyDescent="0.35">
      <c r="A1575" s="477" t="s">
        <v>916</v>
      </c>
      <c r="B1575" s="478">
        <v>2032</v>
      </c>
      <c r="C1575" s="478" t="str">
        <f t="shared" si="40"/>
        <v>Sacramento Valley_2032</v>
      </c>
      <c r="D1575" s="474">
        <v>321.86698167715582</v>
      </c>
      <c r="E1575" s="2"/>
      <c r="F1575" s="2"/>
      <c r="G1575" s="2"/>
      <c r="H1575" s="2"/>
      <c r="I1575" s="21"/>
      <c r="J1575" s="21"/>
      <c r="K1575" s="21"/>
    </row>
    <row r="1576" spans="1:11" ht="15.5" x14ac:dyDescent="0.35">
      <c r="A1576" s="477" t="s">
        <v>916</v>
      </c>
      <c r="B1576" s="478">
        <v>2033</v>
      </c>
      <c r="C1576" s="478" t="str">
        <f t="shared" si="40"/>
        <v>Sacramento Valley_2033</v>
      </c>
      <c r="D1576" s="474">
        <v>316.57797491265728</v>
      </c>
      <c r="E1576" s="2"/>
      <c r="F1576" s="2"/>
      <c r="G1576" s="2"/>
      <c r="H1576" s="2"/>
      <c r="I1576" s="21"/>
      <c r="J1576" s="21"/>
      <c r="K1576" s="21"/>
    </row>
    <row r="1577" spans="1:11" ht="15.5" x14ac:dyDescent="0.35">
      <c r="A1577" s="477" t="s">
        <v>916</v>
      </c>
      <c r="B1577" s="478">
        <v>2034</v>
      </c>
      <c r="C1577" s="478" t="str">
        <f t="shared" si="40"/>
        <v>Sacramento Valley_2034</v>
      </c>
      <c r="D1577" s="474">
        <v>311.96314264025108</v>
      </c>
      <c r="E1577" s="2"/>
      <c r="F1577" s="2"/>
      <c r="G1577" s="2"/>
      <c r="H1577" s="2"/>
      <c r="I1577" s="21"/>
      <c r="J1577" s="21"/>
      <c r="K1577" s="21"/>
    </row>
    <row r="1578" spans="1:11" ht="15.5" x14ac:dyDescent="0.35">
      <c r="A1578" s="477" t="s">
        <v>916</v>
      </c>
      <c r="B1578" s="478">
        <v>2035</v>
      </c>
      <c r="C1578" s="478" t="str">
        <f t="shared" si="40"/>
        <v>Sacramento Valley_2035</v>
      </c>
      <c r="D1578" s="474">
        <v>307.97236292969569</v>
      </c>
      <c r="E1578" s="2"/>
      <c r="F1578" s="2"/>
      <c r="G1578" s="2"/>
      <c r="H1578" s="2"/>
      <c r="I1578" s="21"/>
      <c r="J1578" s="21"/>
      <c r="K1578" s="21"/>
    </row>
    <row r="1579" spans="1:11" ht="15.5" x14ac:dyDescent="0.35">
      <c r="A1579" s="477" t="s">
        <v>916</v>
      </c>
      <c r="B1579" s="478">
        <v>2036</v>
      </c>
      <c r="C1579" s="478" t="str">
        <f t="shared" si="40"/>
        <v>Sacramento Valley_2036</v>
      </c>
      <c r="D1579" s="474">
        <v>304.66506179291338</v>
      </c>
      <c r="E1579" s="2"/>
      <c r="F1579" s="2"/>
      <c r="G1579" s="2"/>
      <c r="H1579" s="2"/>
      <c r="I1579" s="21"/>
      <c r="J1579" s="21"/>
      <c r="K1579" s="21"/>
    </row>
    <row r="1580" spans="1:11" ht="15.5" x14ac:dyDescent="0.35">
      <c r="A1580" s="477" t="s">
        <v>916</v>
      </c>
      <c r="B1580" s="478">
        <v>2037</v>
      </c>
      <c r="C1580" s="478" t="str">
        <f t="shared" si="40"/>
        <v>Sacramento Valley_2037</v>
      </c>
      <c r="D1580" s="474">
        <v>301.73814364447162</v>
      </c>
      <c r="E1580" s="2"/>
      <c r="F1580" s="2"/>
      <c r="G1580" s="2"/>
      <c r="H1580" s="2"/>
      <c r="I1580" s="21"/>
      <c r="J1580" s="21"/>
      <c r="K1580" s="21"/>
    </row>
    <row r="1581" spans="1:11" ht="15.5" x14ac:dyDescent="0.35">
      <c r="A1581" s="477" t="s">
        <v>916</v>
      </c>
      <c r="B1581" s="478">
        <v>2038</v>
      </c>
      <c r="C1581" s="478" t="str">
        <f t="shared" si="40"/>
        <v>Sacramento Valley_2038</v>
      </c>
      <c r="D1581" s="474">
        <v>299.26637687882942</v>
      </c>
      <c r="E1581" s="2"/>
      <c r="F1581" s="2"/>
      <c r="G1581" s="2"/>
      <c r="H1581" s="2"/>
      <c r="I1581" s="21"/>
      <c r="J1581" s="21"/>
      <c r="K1581" s="21"/>
    </row>
    <row r="1582" spans="1:11" ht="15.5" x14ac:dyDescent="0.35">
      <c r="A1582" s="477" t="s">
        <v>916</v>
      </c>
      <c r="B1582" s="478">
        <v>2039</v>
      </c>
      <c r="C1582" s="478" t="str">
        <f t="shared" si="40"/>
        <v>Sacramento Valley_2039</v>
      </c>
      <c r="D1582" s="474">
        <v>297.18008898660452</v>
      </c>
      <c r="E1582" s="2"/>
      <c r="F1582" s="2"/>
      <c r="G1582" s="2"/>
      <c r="H1582" s="2"/>
      <c r="I1582" s="21"/>
      <c r="J1582" s="21"/>
      <c r="K1582" s="21"/>
    </row>
    <row r="1583" spans="1:11" ht="15.5" x14ac:dyDescent="0.35">
      <c r="A1583" s="477" t="s">
        <v>916</v>
      </c>
      <c r="B1583" s="478">
        <v>2040</v>
      </c>
      <c r="C1583" s="478" t="str">
        <f t="shared" si="40"/>
        <v>Sacramento Valley_2040</v>
      </c>
      <c r="D1583" s="474">
        <v>295.43849098628431</v>
      </c>
      <c r="E1583" s="2"/>
      <c r="F1583" s="2"/>
      <c r="G1583" s="2"/>
      <c r="H1583" s="2"/>
      <c r="I1583" s="21"/>
      <c r="J1583" s="21"/>
      <c r="K1583" s="21"/>
    </row>
    <row r="1584" spans="1:11" ht="15.5" x14ac:dyDescent="0.35">
      <c r="A1584" s="477" t="s">
        <v>916</v>
      </c>
      <c r="B1584" s="478">
        <v>2041</v>
      </c>
      <c r="C1584" s="478" t="str">
        <f t="shared" si="40"/>
        <v>Sacramento Valley_2041</v>
      </c>
      <c r="D1584" s="474">
        <v>294.00216844957106</v>
      </c>
      <c r="E1584" s="2"/>
      <c r="F1584" s="2"/>
      <c r="G1584" s="2"/>
      <c r="H1584" s="2"/>
      <c r="I1584" s="21"/>
      <c r="J1584" s="21"/>
      <c r="K1584" s="21"/>
    </row>
    <row r="1585" spans="1:11" ht="15.5" x14ac:dyDescent="0.35">
      <c r="A1585" s="477" t="s">
        <v>916</v>
      </c>
      <c r="B1585" s="478">
        <v>2042</v>
      </c>
      <c r="C1585" s="478" t="str">
        <f t="shared" si="40"/>
        <v>Sacramento Valley_2042</v>
      </c>
      <c r="D1585" s="474">
        <v>292.80883801347153</v>
      </c>
      <c r="E1585" s="2"/>
      <c r="F1585" s="2"/>
      <c r="G1585" s="2"/>
      <c r="H1585" s="2"/>
      <c r="I1585" s="21"/>
      <c r="J1585" s="21"/>
      <c r="K1585" s="21"/>
    </row>
    <row r="1586" spans="1:11" ht="15.5" x14ac:dyDescent="0.35">
      <c r="A1586" s="477" t="s">
        <v>916</v>
      </c>
      <c r="B1586" s="478">
        <v>2043</v>
      </c>
      <c r="C1586" s="478" t="str">
        <f t="shared" si="40"/>
        <v>Sacramento Valley_2043</v>
      </c>
      <c r="D1586" s="474">
        <v>291.83220465357078</v>
      </c>
      <c r="E1586" s="2"/>
      <c r="F1586" s="2"/>
      <c r="G1586" s="2"/>
      <c r="H1586" s="2"/>
      <c r="I1586" s="21"/>
      <c r="J1586" s="21"/>
      <c r="K1586" s="21"/>
    </row>
    <row r="1587" spans="1:11" ht="15.5" x14ac:dyDescent="0.35">
      <c r="A1587" s="477" t="s">
        <v>916</v>
      </c>
      <c r="B1587" s="478">
        <v>2044</v>
      </c>
      <c r="C1587" s="478" t="str">
        <f t="shared" si="40"/>
        <v>Sacramento Valley_2044</v>
      </c>
      <c r="D1587" s="474">
        <v>291.02458109964238</v>
      </c>
      <c r="E1587" s="2"/>
      <c r="F1587" s="2"/>
      <c r="G1587" s="2"/>
      <c r="H1587" s="2"/>
      <c r="I1587" s="21"/>
      <c r="J1587" s="21"/>
      <c r="K1587" s="21"/>
    </row>
    <row r="1588" spans="1:11" ht="15.5" x14ac:dyDescent="0.35">
      <c r="A1588" s="477" t="s">
        <v>916</v>
      </c>
      <c r="B1588" s="478">
        <v>2045</v>
      </c>
      <c r="C1588" s="478" t="str">
        <f t="shared" ref="C1588:C1593" si="41">CONCATENATE(A1588,"_",B1588)</f>
        <v>Sacramento Valley_2045</v>
      </c>
      <c r="D1588" s="474">
        <v>290.34944843409141</v>
      </c>
      <c r="E1588" s="2"/>
      <c r="F1588" s="2"/>
      <c r="G1588" s="2"/>
      <c r="H1588" s="2"/>
      <c r="I1588" s="21"/>
      <c r="J1588" s="21"/>
      <c r="K1588" s="21"/>
    </row>
    <row r="1589" spans="1:11" ht="15.5" x14ac:dyDescent="0.35">
      <c r="A1589" s="477" t="s">
        <v>916</v>
      </c>
      <c r="B1589" s="478">
        <v>2046</v>
      </c>
      <c r="C1589" s="478" t="str">
        <f t="shared" si="41"/>
        <v>Sacramento Valley_2046</v>
      </c>
      <c r="D1589" s="474">
        <v>289.78843109792376</v>
      </c>
      <c r="E1589" s="2"/>
      <c r="F1589" s="2"/>
      <c r="G1589" s="2"/>
      <c r="H1589" s="2"/>
      <c r="I1589" s="21"/>
      <c r="J1589" s="21"/>
      <c r="K1589" s="21"/>
    </row>
    <row r="1590" spans="1:11" ht="15.5" x14ac:dyDescent="0.35">
      <c r="A1590" s="477" t="s">
        <v>916</v>
      </c>
      <c r="B1590" s="478">
        <v>2047</v>
      </c>
      <c r="C1590" s="478" t="str">
        <f t="shared" si="41"/>
        <v>Sacramento Valley_2047</v>
      </c>
      <c r="D1590" s="474">
        <v>289.32465402911788</v>
      </c>
      <c r="E1590" s="2"/>
      <c r="F1590" s="2"/>
      <c r="G1590" s="2"/>
      <c r="H1590" s="2"/>
      <c r="I1590" s="21"/>
      <c r="J1590" s="21"/>
      <c r="K1590" s="21"/>
    </row>
    <row r="1591" spans="1:11" ht="15.5" x14ac:dyDescent="0.35">
      <c r="A1591" s="477" t="s">
        <v>916</v>
      </c>
      <c r="B1591" s="478">
        <v>2048</v>
      </c>
      <c r="C1591" s="478" t="str">
        <f t="shared" si="41"/>
        <v>Sacramento Valley_2048</v>
      </c>
      <c r="D1591" s="474">
        <v>288.94322689086266</v>
      </c>
      <c r="E1591" s="2"/>
      <c r="F1591" s="2"/>
      <c r="G1591" s="2"/>
      <c r="H1591" s="2"/>
      <c r="I1591" s="21"/>
      <c r="J1591" s="21"/>
      <c r="K1591" s="21"/>
    </row>
    <row r="1592" spans="1:11" ht="15.5" x14ac:dyDescent="0.35">
      <c r="A1592" s="477" t="s">
        <v>916</v>
      </c>
      <c r="B1592" s="478">
        <v>2049</v>
      </c>
      <c r="C1592" s="478" t="str">
        <f t="shared" si="41"/>
        <v>Sacramento Valley_2049</v>
      </c>
      <c r="D1592" s="474">
        <v>288.62457415635089</v>
      </c>
      <c r="E1592" s="2"/>
      <c r="F1592" s="2"/>
      <c r="G1592" s="2"/>
      <c r="H1592" s="2"/>
      <c r="I1592" s="21"/>
      <c r="J1592" s="21"/>
      <c r="K1592" s="21"/>
    </row>
    <row r="1593" spans="1:11" ht="15.5" x14ac:dyDescent="0.35">
      <c r="A1593" s="477" t="s">
        <v>916</v>
      </c>
      <c r="B1593" s="478">
        <v>2050</v>
      </c>
      <c r="C1593" s="478" t="str">
        <f t="shared" si="41"/>
        <v>Sacramento Valley_2050</v>
      </c>
      <c r="D1593" s="474">
        <v>288.36561474150369</v>
      </c>
      <c r="E1593" s="2"/>
      <c r="F1593" s="2"/>
      <c r="G1593" s="2"/>
      <c r="H1593" s="2"/>
      <c r="I1593" s="21"/>
      <c r="J1593" s="21"/>
      <c r="K1593" s="21"/>
    </row>
    <row r="1594" spans="1:11" ht="15.5" x14ac:dyDescent="0.35">
      <c r="A1594" s="468" t="s">
        <v>917</v>
      </c>
      <c r="B1594" s="469">
        <v>2015</v>
      </c>
      <c r="C1594" s="470" t="s">
        <v>918</v>
      </c>
      <c r="D1594" s="471">
        <v>506.48013614431648</v>
      </c>
      <c r="E1594" s="2"/>
      <c r="F1594" s="2"/>
      <c r="G1594" s="2"/>
      <c r="H1594" s="2"/>
      <c r="I1594" s="21"/>
      <c r="J1594" s="21"/>
      <c r="K1594" s="21"/>
    </row>
    <row r="1595" spans="1:11" ht="15.5" x14ac:dyDescent="0.35">
      <c r="A1595" s="468" t="s">
        <v>917</v>
      </c>
      <c r="B1595" s="469">
        <v>2016</v>
      </c>
      <c r="C1595" s="470" t="s">
        <v>919</v>
      </c>
      <c r="D1595" s="471">
        <v>496.05345281235367</v>
      </c>
      <c r="E1595" s="2"/>
      <c r="F1595" s="2"/>
      <c r="G1595" s="2"/>
      <c r="H1595" s="2"/>
      <c r="I1595" s="21"/>
      <c r="J1595" s="21"/>
      <c r="K1595" s="21"/>
    </row>
    <row r="1596" spans="1:11" ht="15.5" x14ac:dyDescent="0.35">
      <c r="A1596" s="472" t="s">
        <v>917</v>
      </c>
      <c r="B1596" s="473">
        <v>2017</v>
      </c>
      <c r="C1596" s="473" t="str">
        <f t="shared" ref="C1596:C1659" si="42">CONCATENATE(A1596,"_",B1596)</f>
        <v>Sacramento_2017</v>
      </c>
      <c r="D1596" s="474">
        <v>484.59335974520883</v>
      </c>
      <c r="E1596" s="2"/>
      <c r="F1596" s="2"/>
      <c r="G1596" s="2"/>
      <c r="H1596" s="2"/>
      <c r="I1596" s="21"/>
      <c r="J1596" s="21"/>
      <c r="K1596" s="21"/>
    </row>
    <row r="1597" spans="1:11" ht="15.5" x14ac:dyDescent="0.35">
      <c r="A1597" s="472" t="s">
        <v>917</v>
      </c>
      <c r="B1597" s="473">
        <v>2018</v>
      </c>
      <c r="C1597" s="473" t="str">
        <f t="shared" si="42"/>
        <v>Sacramento_2018</v>
      </c>
      <c r="D1597" s="474">
        <v>472.29732870659313</v>
      </c>
      <c r="E1597" s="2"/>
      <c r="F1597" s="2"/>
      <c r="G1597" s="2"/>
      <c r="H1597" s="2"/>
      <c r="I1597" s="21"/>
      <c r="J1597" s="21"/>
      <c r="K1597" s="21"/>
    </row>
    <row r="1598" spans="1:11" ht="15.5" x14ac:dyDescent="0.35">
      <c r="A1598" s="472" t="s">
        <v>917</v>
      </c>
      <c r="B1598" s="473">
        <v>2019</v>
      </c>
      <c r="C1598" s="473" t="str">
        <f t="shared" si="42"/>
        <v>Sacramento_2019</v>
      </c>
      <c r="D1598" s="474">
        <v>456.94405470804156</v>
      </c>
      <c r="E1598" s="2"/>
      <c r="F1598" s="2"/>
      <c r="G1598" s="2"/>
      <c r="H1598" s="2"/>
      <c r="I1598" s="21"/>
      <c r="J1598" s="21"/>
      <c r="K1598" s="21"/>
    </row>
    <row r="1599" spans="1:11" ht="15.5" x14ac:dyDescent="0.35">
      <c r="A1599" s="472" t="s">
        <v>917</v>
      </c>
      <c r="B1599" s="473">
        <v>2020</v>
      </c>
      <c r="C1599" s="473" t="str">
        <f t="shared" si="42"/>
        <v>Sacramento_2020</v>
      </c>
      <c r="D1599" s="474">
        <v>443.96495712335724</v>
      </c>
      <c r="E1599" s="2"/>
      <c r="F1599" s="2"/>
      <c r="G1599" s="2"/>
      <c r="H1599" s="2"/>
      <c r="I1599" s="21"/>
      <c r="J1599" s="21"/>
      <c r="K1599" s="21"/>
    </row>
    <row r="1600" spans="1:11" ht="15.5" x14ac:dyDescent="0.35">
      <c r="A1600" s="472" t="s">
        <v>917</v>
      </c>
      <c r="B1600" s="473">
        <v>2021</v>
      </c>
      <c r="C1600" s="473" t="str">
        <f t="shared" si="42"/>
        <v>Sacramento_2021</v>
      </c>
      <c r="D1600" s="474">
        <v>430.83508489255451</v>
      </c>
      <c r="E1600" s="2"/>
      <c r="F1600" s="2"/>
      <c r="G1600" s="2"/>
      <c r="H1600" s="2"/>
      <c r="I1600" s="21"/>
      <c r="J1600" s="21"/>
      <c r="K1600" s="21"/>
    </row>
    <row r="1601" spans="1:11" ht="15.5" x14ac:dyDescent="0.35">
      <c r="A1601" s="472" t="s">
        <v>917</v>
      </c>
      <c r="B1601" s="473">
        <v>2022</v>
      </c>
      <c r="C1601" s="473" t="str">
        <f t="shared" si="42"/>
        <v>Sacramento_2022</v>
      </c>
      <c r="D1601" s="474">
        <v>417.85375312831712</v>
      </c>
      <c r="E1601" s="2"/>
      <c r="F1601" s="2"/>
      <c r="G1601" s="2"/>
      <c r="H1601" s="2"/>
      <c r="I1601" s="21"/>
      <c r="J1601" s="21"/>
      <c r="K1601" s="21"/>
    </row>
    <row r="1602" spans="1:11" ht="15.5" x14ac:dyDescent="0.35">
      <c r="A1602" s="472" t="s">
        <v>917</v>
      </c>
      <c r="B1602" s="473">
        <v>2023</v>
      </c>
      <c r="C1602" s="473" t="str">
        <f t="shared" si="42"/>
        <v>Sacramento_2023</v>
      </c>
      <c r="D1602" s="474">
        <v>404.98765611460038</v>
      </c>
      <c r="E1602" s="2"/>
      <c r="F1602" s="2"/>
      <c r="G1602" s="2"/>
      <c r="H1602" s="2"/>
      <c r="I1602" s="21"/>
      <c r="J1602" s="21"/>
      <c r="K1602" s="21"/>
    </row>
    <row r="1603" spans="1:11" ht="15.5" x14ac:dyDescent="0.35">
      <c r="A1603" s="472" t="s">
        <v>917</v>
      </c>
      <c r="B1603" s="473">
        <v>2024</v>
      </c>
      <c r="C1603" s="473" t="str">
        <f t="shared" si="42"/>
        <v>Sacramento_2024</v>
      </c>
      <c r="D1603" s="474">
        <v>392.30075766765384</v>
      </c>
      <c r="E1603" s="2"/>
      <c r="F1603" s="2"/>
      <c r="G1603" s="2"/>
      <c r="H1603" s="2"/>
      <c r="I1603" s="21"/>
      <c r="J1603" s="21"/>
      <c r="K1603" s="21"/>
    </row>
    <row r="1604" spans="1:11" ht="15.5" x14ac:dyDescent="0.35">
      <c r="A1604" s="472" t="s">
        <v>917</v>
      </c>
      <c r="B1604" s="473">
        <v>2025</v>
      </c>
      <c r="C1604" s="473" t="str">
        <f t="shared" si="42"/>
        <v>Sacramento_2025</v>
      </c>
      <c r="D1604" s="474">
        <v>379.76482157992757</v>
      </c>
      <c r="E1604" s="2"/>
      <c r="F1604" s="2"/>
      <c r="G1604" s="2"/>
      <c r="H1604" s="2"/>
      <c r="I1604" s="21"/>
      <c r="J1604" s="21"/>
      <c r="K1604" s="21"/>
    </row>
    <row r="1605" spans="1:11" ht="15.5" x14ac:dyDescent="0.35">
      <c r="A1605" s="472" t="s">
        <v>917</v>
      </c>
      <c r="B1605" s="473">
        <v>2026</v>
      </c>
      <c r="C1605" s="473" t="str">
        <f t="shared" si="42"/>
        <v>Sacramento_2026</v>
      </c>
      <c r="D1605" s="474">
        <v>368.27063274234575</v>
      </c>
      <c r="E1605" s="2"/>
      <c r="F1605" s="2"/>
      <c r="G1605" s="2"/>
      <c r="H1605" s="2"/>
      <c r="I1605" s="21"/>
      <c r="J1605" s="21"/>
      <c r="K1605" s="21"/>
    </row>
    <row r="1606" spans="1:11" ht="15.5" x14ac:dyDescent="0.35">
      <c r="A1606" s="472" t="s">
        <v>917</v>
      </c>
      <c r="B1606" s="473">
        <v>2027</v>
      </c>
      <c r="C1606" s="473" t="str">
        <f t="shared" si="42"/>
        <v>Sacramento_2027</v>
      </c>
      <c r="D1606" s="474">
        <v>357.72266041628876</v>
      </c>
      <c r="E1606" s="2"/>
      <c r="F1606" s="2"/>
      <c r="G1606" s="2"/>
      <c r="H1606" s="2"/>
      <c r="I1606" s="21"/>
      <c r="J1606" s="21"/>
      <c r="K1606" s="21"/>
    </row>
    <row r="1607" spans="1:11" ht="15.5" x14ac:dyDescent="0.35">
      <c r="A1607" s="472" t="s">
        <v>917</v>
      </c>
      <c r="B1607" s="473">
        <v>2028</v>
      </c>
      <c r="C1607" s="473" t="str">
        <f t="shared" si="42"/>
        <v>Sacramento_2028</v>
      </c>
      <c r="D1607" s="474">
        <v>348.20984327100746</v>
      </c>
      <c r="E1607" s="2"/>
      <c r="F1607" s="2"/>
      <c r="G1607" s="2"/>
      <c r="H1607" s="2"/>
      <c r="I1607" s="21"/>
      <c r="J1607" s="21"/>
      <c r="K1607" s="21"/>
    </row>
    <row r="1608" spans="1:11" ht="15.5" x14ac:dyDescent="0.35">
      <c r="A1608" s="472" t="s">
        <v>917</v>
      </c>
      <c r="B1608" s="473">
        <v>2029</v>
      </c>
      <c r="C1608" s="473" t="str">
        <f t="shared" si="42"/>
        <v>Sacramento_2029</v>
      </c>
      <c r="D1608" s="474">
        <v>339.67863897059323</v>
      </c>
      <c r="E1608" s="2"/>
      <c r="F1608" s="2"/>
      <c r="G1608" s="2"/>
      <c r="H1608" s="2"/>
      <c r="I1608" s="21"/>
      <c r="J1608" s="21"/>
      <c r="K1608" s="21"/>
    </row>
    <row r="1609" spans="1:11" ht="15.5" x14ac:dyDescent="0.35">
      <c r="A1609" s="472" t="s">
        <v>917</v>
      </c>
      <c r="B1609" s="473">
        <v>2030</v>
      </c>
      <c r="C1609" s="473" t="str">
        <f t="shared" si="42"/>
        <v>Sacramento_2030</v>
      </c>
      <c r="D1609" s="474">
        <v>332.07900062121519</v>
      </c>
      <c r="E1609" s="2"/>
      <c r="F1609" s="2"/>
      <c r="G1609" s="2"/>
      <c r="H1609" s="2"/>
      <c r="I1609" s="21"/>
      <c r="J1609" s="21"/>
      <c r="K1609" s="21"/>
    </row>
    <row r="1610" spans="1:11" ht="15.5" x14ac:dyDescent="0.35">
      <c r="A1610" s="472" t="s">
        <v>917</v>
      </c>
      <c r="B1610" s="473">
        <v>2031</v>
      </c>
      <c r="C1610" s="473" t="str">
        <f t="shared" si="42"/>
        <v>Sacramento_2031</v>
      </c>
      <c r="D1610" s="474">
        <v>325.34881501270888</v>
      </c>
      <c r="E1610" s="2"/>
      <c r="F1610" s="2"/>
      <c r="G1610" s="2"/>
      <c r="H1610" s="2"/>
      <c r="I1610" s="21"/>
      <c r="J1610" s="21"/>
      <c r="K1610" s="21"/>
    </row>
    <row r="1611" spans="1:11" ht="15.5" x14ac:dyDescent="0.35">
      <c r="A1611" s="472" t="s">
        <v>917</v>
      </c>
      <c r="B1611" s="473">
        <v>2032</v>
      </c>
      <c r="C1611" s="473" t="str">
        <f t="shared" si="42"/>
        <v>Sacramento_2032</v>
      </c>
      <c r="D1611" s="474">
        <v>319.4136155022336</v>
      </c>
      <c r="E1611" s="2"/>
      <c r="F1611" s="2"/>
      <c r="G1611" s="2"/>
      <c r="H1611" s="2"/>
      <c r="I1611" s="21"/>
      <c r="J1611" s="21"/>
      <c r="K1611" s="21"/>
    </row>
    <row r="1612" spans="1:11" ht="15.5" x14ac:dyDescent="0.35">
      <c r="A1612" s="472" t="s">
        <v>917</v>
      </c>
      <c r="B1612" s="473">
        <v>2033</v>
      </c>
      <c r="C1612" s="473" t="str">
        <f t="shared" si="42"/>
        <v>Sacramento_2033</v>
      </c>
      <c r="D1612" s="474">
        <v>314.2167570118832</v>
      </c>
      <c r="E1612" s="2"/>
      <c r="F1612" s="2"/>
      <c r="G1612" s="2"/>
      <c r="H1612" s="2"/>
      <c r="I1612" s="21"/>
      <c r="J1612" s="21"/>
      <c r="K1612" s="21"/>
    </row>
    <row r="1613" spans="1:11" ht="15.5" x14ac:dyDescent="0.35">
      <c r="A1613" s="472" t="s">
        <v>917</v>
      </c>
      <c r="B1613" s="473">
        <v>2034</v>
      </c>
      <c r="C1613" s="473" t="str">
        <f t="shared" si="42"/>
        <v>Sacramento_2034</v>
      </c>
      <c r="D1613" s="474">
        <v>309.68374284493217</v>
      </c>
      <c r="E1613" s="2"/>
      <c r="F1613" s="2"/>
      <c r="G1613" s="2"/>
      <c r="H1613" s="2"/>
      <c r="I1613" s="21"/>
      <c r="J1613" s="21"/>
      <c r="K1613" s="21"/>
    </row>
    <row r="1614" spans="1:11" ht="15.5" x14ac:dyDescent="0.35">
      <c r="A1614" s="472" t="s">
        <v>917</v>
      </c>
      <c r="B1614" s="473">
        <v>2035</v>
      </c>
      <c r="C1614" s="473" t="str">
        <f t="shared" si="42"/>
        <v>Sacramento_2035</v>
      </c>
      <c r="D1614" s="474">
        <v>305.76309763838162</v>
      </c>
      <c r="E1614" s="2"/>
      <c r="F1614" s="2"/>
      <c r="G1614" s="2"/>
      <c r="H1614" s="2"/>
      <c r="I1614" s="21"/>
      <c r="J1614" s="21"/>
      <c r="K1614" s="21"/>
    </row>
    <row r="1615" spans="1:11" ht="15.5" x14ac:dyDescent="0.35">
      <c r="A1615" s="472" t="s">
        <v>917</v>
      </c>
      <c r="B1615" s="473">
        <v>2036</v>
      </c>
      <c r="C1615" s="473" t="str">
        <f t="shared" si="42"/>
        <v>Sacramento_2036</v>
      </c>
      <c r="D1615" s="474">
        <v>302.39108723012055</v>
      </c>
      <c r="E1615" s="2"/>
      <c r="F1615" s="2"/>
      <c r="G1615" s="2"/>
      <c r="H1615" s="2"/>
      <c r="I1615" s="21"/>
      <c r="J1615" s="21"/>
      <c r="K1615" s="21"/>
    </row>
    <row r="1616" spans="1:11" ht="15.5" x14ac:dyDescent="0.35">
      <c r="A1616" s="472" t="s">
        <v>917</v>
      </c>
      <c r="B1616" s="473">
        <v>2037</v>
      </c>
      <c r="C1616" s="473" t="str">
        <f t="shared" si="42"/>
        <v>Sacramento_2037</v>
      </c>
      <c r="D1616" s="474">
        <v>299.51766457396093</v>
      </c>
      <c r="E1616" s="2"/>
      <c r="F1616" s="2"/>
      <c r="G1616" s="2"/>
      <c r="H1616" s="2"/>
      <c r="I1616" s="21"/>
      <c r="J1616" s="21"/>
      <c r="K1616" s="21"/>
    </row>
    <row r="1617" spans="1:11" ht="15.5" x14ac:dyDescent="0.35">
      <c r="A1617" s="472" t="s">
        <v>917</v>
      </c>
      <c r="B1617" s="473">
        <v>2038</v>
      </c>
      <c r="C1617" s="473" t="str">
        <f t="shared" si="42"/>
        <v>Sacramento_2038</v>
      </c>
      <c r="D1617" s="474">
        <v>297.09201603664724</v>
      </c>
      <c r="E1617" s="2"/>
      <c r="F1617" s="2"/>
      <c r="G1617" s="2"/>
      <c r="H1617" s="2"/>
      <c r="I1617" s="21"/>
      <c r="J1617" s="21"/>
      <c r="K1617" s="21"/>
    </row>
    <row r="1618" spans="1:11" ht="15.5" x14ac:dyDescent="0.35">
      <c r="A1618" s="472" t="s">
        <v>917</v>
      </c>
      <c r="B1618" s="473">
        <v>2039</v>
      </c>
      <c r="C1618" s="473" t="str">
        <f t="shared" si="42"/>
        <v>Sacramento_2039</v>
      </c>
      <c r="D1618" s="474">
        <v>295.04438368281467</v>
      </c>
      <c r="E1618" s="2"/>
      <c r="F1618" s="2"/>
      <c r="G1618" s="2"/>
      <c r="H1618" s="2"/>
      <c r="I1618" s="21"/>
      <c r="J1618" s="21"/>
      <c r="K1618" s="21"/>
    </row>
    <row r="1619" spans="1:11" ht="15.5" x14ac:dyDescent="0.35">
      <c r="A1619" s="472" t="s">
        <v>917</v>
      </c>
      <c r="B1619" s="473">
        <v>2040</v>
      </c>
      <c r="C1619" s="473" t="str">
        <f t="shared" si="42"/>
        <v>Sacramento_2040</v>
      </c>
      <c r="D1619" s="474">
        <v>293.33799730747108</v>
      </c>
      <c r="E1619" s="2"/>
      <c r="F1619" s="2"/>
      <c r="G1619" s="2"/>
      <c r="H1619" s="2"/>
      <c r="I1619" s="21"/>
      <c r="J1619" s="21"/>
      <c r="K1619" s="21"/>
    </row>
    <row r="1620" spans="1:11" ht="15.5" x14ac:dyDescent="0.35">
      <c r="A1620" s="472" t="s">
        <v>917</v>
      </c>
      <c r="B1620" s="473">
        <v>2041</v>
      </c>
      <c r="C1620" s="473" t="str">
        <f t="shared" si="42"/>
        <v>Sacramento_2041</v>
      </c>
      <c r="D1620" s="474">
        <v>291.93100750645789</v>
      </c>
      <c r="E1620" s="2"/>
      <c r="F1620" s="2"/>
      <c r="G1620" s="2"/>
      <c r="H1620" s="2"/>
      <c r="I1620" s="21"/>
      <c r="J1620" s="21"/>
      <c r="K1620" s="21"/>
    </row>
    <row r="1621" spans="1:11" ht="15.5" x14ac:dyDescent="0.35">
      <c r="A1621" s="472" t="s">
        <v>917</v>
      </c>
      <c r="B1621" s="473">
        <v>2042</v>
      </c>
      <c r="C1621" s="473" t="str">
        <f t="shared" si="42"/>
        <v>Sacramento_2042</v>
      </c>
      <c r="D1621" s="474">
        <v>290.76636783685041</v>
      </c>
      <c r="E1621" s="2"/>
      <c r="F1621" s="2"/>
      <c r="G1621" s="2"/>
      <c r="H1621" s="2"/>
      <c r="I1621" s="21"/>
      <c r="J1621" s="21"/>
      <c r="K1621" s="21"/>
    </row>
    <row r="1622" spans="1:11" ht="15.5" x14ac:dyDescent="0.35">
      <c r="A1622" s="472" t="s">
        <v>917</v>
      </c>
      <c r="B1622" s="473">
        <v>2043</v>
      </c>
      <c r="C1622" s="473" t="str">
        <f t="shared" si="42"/>
        <v>Sacramento_2043</v>
      </c>
      <c r="D1622" s="474">
        <v>289.81457821580784</v>
      </c>
      <c r="E1622" s="2"/>
      <c r="F1622" s="2"/>
      <c r="G1622" s="2"/>
      <c r="H1622" s="2"/>
      <c r="I1622" s="21"/>
      <c r="J1622" s="21"/>
      <c r="K1622" s="21"/>
    </row>
    <row r="1623" spans="1:11" ht="15.5" x14ac:dyDescent="0.35">
      <c r="A1623" s="472" t="s">
        <v>917</v>
      </c>
      <c r="B1623" s="473">
        <v>2044</v>
      </c>
      <c r="C1623" s="473" t="str">
        <f t="shared" si="42"/>
        <v>Sacramento_2044</v>
      </c>
      <c r="D1623" s="474">
        <v>289.03103989555137</v>
      </c>
      <c r="E1623" s="2"/>
      <c r="F1623" s="2"/>
      <c r="G1623" s="2"/>
      <c r="H1623" s="2"/>
      <c r="I1623" s="21"/>
      <c r="J1623" s="21"/>
      <c r="K1623" s="21"/>
    </row>
    <row r="1624" spans="1:11" ht="15.5" x14ac:dyDescent="0.35">
      <c r="A1624" s="472" t="s">
        <v>917</v>
      </c>
      <c r="B1624" s="473">
        <v>2045</v>
      </c>
      <c r="C1624" s="473" t="str">
        <f t="shared" si="42"/>
        <v>Sacramento_2045</v>
      </c>
      <c r="D1624" s="474">
        <v>288.37802431644758</v>
      </c>
      <c r="E1624" s="2"/>
      <c r="F1624" s="2"/>
      <c r="G1624" s="2"/>
      <c r="H1624" s="2"/>
      <c r="I1624" s="21"/>
      <c r="J1624" s="21"/>
      <c r="K1624" s="21"/>
    </row>
    <row r="1625" spans="1:11" ht="15.5" x14ac:dyDescent="0.35">
      <c r="A1625" s="472" t="s">
        <v>917</v>
      </c>
      <c r="B1625" s="473">
        <v>2046</v>
      </c>
      <c r="C1625" s="473" t="str">
        <f t="shared" si="42"/>
        <v>Sacramento_2046</v>
      </c>
      <c r="D1625" s="474">
        <v>287.83640517231339</v>
      </c>
      <c r="E1625" s="2"/>
      <c r="F1625" s="2"/>
      <c r="G1625" s="2"/>
      <c r="H1625" s="2"/>
      <c r="I1625" s="21"/>
      <c r="J1625" s="21"/>
      <c r="K1625" s="21"/>
    </row>
    <row r="1626" spans="1:11" ht="15.5" x14ac:dyDescent="0.35">
      <c r="A1626" s="472" t="s">
        <v>917</v>
      </c>
      <c r="B1626" s="473">
        <v>2047</v>
      </c>
      <c r="C1626" s="473" t="str">
        <f t="shared" si="42"/>
        <v>Sacramento_2047</v>
      </c>
      <c r="D1626" s="474">
        <v>287.38853050541633</v>
      </c>
      <c r="E1626" s="2"/>
      <c r="F1626" s="2"/>
      <c r="G1626" s="2"/>
      <c r="H1626" s="2"/>
      <c r="I1626" s="21"/>
      <c r="J1626" s="21"/>
      <c r="K1626" s="21"/>
    </row>
    <row r="1627" spans="1:11" ht="15.5" x14ac:dyDescent="0.35">
      <c r="A1627" s="472" t="s">
        <v>917</v>
      </c>
      <c r="B1627" s="473">
        <v>2048</v>
      </c>
      <c r="C1627" s="473" t="str">
        <f t="shared" si="42"/>
        <v>Sacramento_2048</v>
      </c>
      <c r="D1627" s="474">
        <v>287.02599678486871</v>
      </c>
      <c r="E1627" s="2"/>
      <c r="F1627" s="2"/>
      <c r="G1627" s="2"/>
      <c r="H1627" s="2"/>
      <c r="I1627" s="21"/>
      <c r="J1627" s="21"/>
      <c r="K1627" s="21"/>
    </row>
    <row r="1628" spans="1:11" ht="15.5" x14ac:dyDescent="0.35">
      <c r="A1628" s="472" t="s">
        <v>917</v>
      </c>
      <c r="B1628" s="473">
        <v>2049</v>
      </c>
      <c r="C1628" s="473" t="str">
        <f t="shared" si="42"/>
        <v>Sacramento_2049</v>
      </c>
      <c r="D1628" s="474">
        <v>286.72500348800446</v>
      </c>
      <c r="E1628" s="2"/>
      <c r="F1628" s="2"/>
      <c r="G1628" s="2"/>
      <c r="H1628" s="2"/>
      <c r="I1628" s="21"/>
      <c r="J1628" s="21"/>
      <c r="K1628" s="21"/>
    </row>
    <row r="1629" spans="1:11" ht="15.5" x14ac:dyDescent="0.35">
      <c r="A1629" s="472" t="s">
        <v>917</v>
      </c>
      <c r="B1629" s="473">
        <v>2050</v>
      </c>
      <c r="C1629" s="473" t="str">
        <f t="shared" si="42"/>
        <v>Sacramento_2050</v>
      </c>
      <c r="D1629" s="474">
        <v>286.48062172063487</v>
      </c>
      <c r="E1629" s="2"/>
      <c r="F1629" s="2"/>
      <c r="G1629" s="2"/>
      <c r="H1629" s="2"/>
      <c r="I1629" s="21"/>
      <c r="J1629" s="21"/>
      <c r="K1629" s="21"/>
    </row>
    <row r="1630" spans="1:11" ht="15.5" x14ac:dyDescent="0.35">
      <c r="A1630" s="475" t="s">
        <v>920</v>
      </c>
      <c r="B1630" s="476">
        <v>2015</v>
      </c>
      <c r="C1630" s="476" t="str">
        <f t="shared" si="42"/>
        <v>Salton Sea_2015</v>
      </c>
      <c r="D1630" s="471">
        <v>516.76839193354749</v>
      </c>
      <c r="E1630" s="2"/>
      <c r="F1630" s="2"/>
      <c r="G1630" s="2"/>
      <c r="H1630" s="2"/>
      <c r="I1630" s="21"/>
      <c r="J1630" s="21"/>
      <c r="K1630" s="21"/>
    </row>
    <row r="1631" spans="1:11" ht="15.5" x14ac:dyDescent="0.35">
      <c r="A1631" s="475" t="s">
        <v>920</v>
      </c>
      <c r="B1631" s="476">
        <v>2016</v>
      </c>
      <c r="C1631" s="476" t="str">
        <f t="shared" si="42"/>
        <v>Salton Sea_2016</v>
      </c>
      <c r="D1631" s="471">
        <v>506.45850347472577</v>
      </c>
      <c r="E1631" s="2"/>
      <c r="F1631" s="2"/>
      <c r="G1631" s="2"/>
      <c r="H1631" s="2"/>
      <c r="I1631" s="21"/>
      <c r="J1631" s="21"/>
      <c r="K1631" s="21"/>
    </row>
    <row r="1632" spans="1:11" ht="15.5" x14ac:dyDescent="0.35">
      <c r="A1632" s="477" t="s">
        <v>920</v>
      </c>
      <c r="B1632" s="478">
        <v>2017</v>
      </c>
      <c r="C1632" s="478" t="str">
        <f t="shared" si="42"/>
        <v>Salton Sea_2017</v>
      </c>
      <c r="D1632" s="474">
        <v>494.82377191095105</v>
      </c>
      <c r="E1632" s="2"/>
      <c r="F1632" s="2"/>
      <c r="G1632" s="2"/>
      <c r="H1632" s="2"/>
      <c r="I1632" s="21"/>
      <c r="J1632" s="21"/>
      <c r="K1632" s="21"/>
    </row>
    <row r="1633" spans="1:11" ht="15.5" x14ac:dyDescent="0.35">
      <c r="A1633" s="477" t="s">
        <v>920</v>
      </c>
      <c r="B1633" s="478">
        <v>2018</v>
      </c>
      <c r="C1633" s="478" t="str">
        <f t="shared" si="42"/>
        <v>Salton Sea_2018</v>
      </c>
      <c r="D1633" s="474">
        <v>482.23608072976128</v>
      </c>
      <c r="E1633" s="2"/>
      <c r="F1633" s="2"/>
      <c r="G1633" s="2"/>
      <c r="H1633" s="2"/>
      <c r="I1633" s="21"/>
      <c r="J1633" s="21"/>
      <c r="K1633" s="21"/>
    </row>
    <row r="1634" spans="1:11" ht="15.5" x14ac:dyDescent="0.35">
      <c r="A1634" s="477" t="s">
        <v>920</v>
      </c>
      <c r="B1634" s="478">
        <v>2019</v>
      </c>
      <c r="C1634" s="478" t="str">
        <f t="shared" si="42"/>
        <v>Salton Sea_2019</v>
      </c>
      <c r="D1634" s="474">
        <v>469.01336781464209</v>
      </c>
      <c r="E1634" s="2"/>
      <c r="F1634" s="2"/>
      <c r="G1634" s="2"/>
      <c r="H1634" s="2"/>
      <c r="I1634" s="21"/>
      <c r="J1634" s="21"/>
      <c r="K1634" s="21"/>
    </row>
    <row r="1635" spans="1:11" ht="15.5" x14ac:dyDescent="0.35">
      <c r="A1635" s="477" t="s">
        <v>920</v>
      </c>
      <c r="B1635" s="478">
        <v>2020</v>
      </c>
      <c r="C1635" s="478" t="str">
        <f t="shared" si="42"/>
        <v>Salton Sea_2020</v>
      </c>
      <c r="D1635" s="474">
        <v>455.74161216143966</v>
      </c>
      <c r="E1635" s="2"/>
      <c r="F1635" s="2"/>
      <c r="G1635" s="2"/>
      <c r="H1635" s="2"/>
      <c r="I1635" s="21"/>
      <c r="J1635" s="21"/>
      <c r="K1635" s="21"/>
    </row>
    <row r="1636" spans="1:11" ht="15.5" x14ac:dyDescent="0.35">
      <c r="A1636" s="477" t="s">
        <v>920</v>
      </c>
      <c r="B1636" s="478">
        <v>2021</v>
      </c>
      <c r="C1636" s="478" t="str">
        <f t="shared" si="42"/>
        <v>Salton Sea_2021</v>
      </c>
      <c r="D1636" s="474">
        <v>442.3241448089542</v>
      </c>
      <c r="E1636" s="2"/>
      <c r="F1636" s="2"/>
      <c r="G1636" s="2"/>
      <c r="H1636" s="2"/>
      <c r="I1636" s="21"/>
      <c r="J1636" s="21"/>
      <c r="K1636" s="21"/>
    </row>
    <row r="1637" spans="1:11" ht="15.5" x14ac:dyDescent="0.35">
      <c r="A1637" s="477" t="s">
        <v>920</v>
      </c>
      <c r="B1637" s="478">
        <v>2022</v>
      </c>
      <c r="C1637" s="478" t="str">
        <f t="shared" si="42"/>
        <v>Salton Sea_2022</v>
      </c>
      <c r="D1637" s="474">
        <v>428.98474097914504</v>
      </c>
      <c r="E1637" s="2"/>
      <c r="F1637" s="2"/>
      <c r="G1637" s="2"/>
      <c r="H1637" s="2"/>
      <c r="I1637" s="21"/>
      <c r="J1637" s="21"/>
      <c r="K1637" s="21"/>
    </row>
    <row r="1638" spans="1:11" ht="15.5" x14ac:dyDescent="0.35">
      <c r="A1638" s="477" t="s">
        <v>920</v>
      </c>
      <c r="B1638" s="478">
        <v>2023</v>
      </c>
      <c r="C1638" s="478" t="str">
        <f t="shared" si="42"/>
        <v>Salton Sea_2023</v>
      </c>
      <c r="D1638" s="474">
        <v>415.75556235656921</v>
      </c>
      <c r="E1638" s="2"/>
      <c r="F1638" s="2"/>
      <c r="G1638" s="2"/>
      <c r="H1638" s="2"/>
      <c r="I1638" s="21"/>
      <c r="J1638" s="21"/>
      <c r="K1638" s="21"/>
    </row>
    <row r="1639" spans="1:11" ht="15.5" x14ac:dyDescent="0.35">
      <c r="A1639" s="477" t="s">
        <v>920</v>
      </c>
      <c r="B1639" s="478">
        <v>2024</v>
      </c>
      <c r="C1639" s="478" t="str">
        <f t="shared" si="42"/>
        <v>Salton Sea_2024</v>
      </c>
      <c r="D1639" s="474">
        <v>404.69800357595369</v>
      </c>
      <c r="E1639" s="2"/>
      <c r="F1639" s="2"/>
      <c r="G1639" s="2"/>
      <c r="H1639" s="2"/>
      <c r="I1639" s="21"/>
      <c r="J1639" s="21"/>
      <c r="K1639" s="21"/>
    </row>
    <row r="1640" spans="1:11" ht="15.5" x14ac:dyDescent="0.35">
      <c r="A1640" s="477" t="s">
        <v>920</v>
      </c>
      <c r="B1640" s="478">
        <v>2025</v>
      </c>
      <c r="C1640" s="478" t="str">
        <f t="shared" si="42"/>
        <v>Salton Sea_2025</v>
      </c>
      <c r="D1640" s="474">
        <v>391.76094185440479</v>
      </c>
      <c r="E1640" s="2"/>
      <c r="F1640" s="2"/>
      <c r="G1640" s="2"/>
      <c r="H1640" s="2"/>
      <c r="I1640" s="21"/>
      <c r="J1640" s="21"/>
      <c r="K1640" s="21"/>
    </row>
    <row r="1641" spans="1:11" ht="15.5" x14ac:dyDescent="0.35">
      <c r="A1641" s="477" t="s">
        <v>920</v>
      </c>
      <c r="B1641" s="478">
        <v>2026</v>
      </c>
      <c r="C1641" s="478" t="str">
        <f t="shared" si="42"/>
        <v>Salton Sea_2026</v>
      </c>
      <c r="D1641" s="474">
        <v>380.09165535454753</v>
      </c>
      <c r="E1641" s="2"/>
      <c r="F1641" s="2"/>
      <c r="G1641" s="2"/>
      <c r="H1641" s="2"/>
      <c r="I1641" s="21"/>
      <c r="J1641" s="21"/>
      <c r="K1641" s="21"/>
    </row>
    <row r="1642" spans="1:11" ht="15.5" x14ac:dyDescent="0.35">
      <c r="A1642" s="477" t="s">
        <v>920</v>
      </c>
      <c r="B1642" s="478">
        <v>2027</v>
      </c>
      <c r="C1642" s="478" t="str">
        <f t="shared" si="42"/>
        <v>Salton Sea_2027</v>
      </c>
      <c r="D1642" s="474">
        <v>369.56074960611625</v>
      </c>
      <c r="E1642" s="2"/>
      <c r="F1642" s="2"/>
      <c r="G1642" s="2"/>
      <c r="H1642" s="2"/>
      <c r="I1642" s="21"/>
      <c r="J1642" s="21"/>
      <c r="K1642" s="21"/>
    </row>
    <row r="1643" spans="1:11" ht="15.5" x14ac:dyDescent="0.35">
      <c r="A1643" s="477" t="s">
        <v>920</v>
      </c>
      <c r="B1643" s="478">
        <v>2028</v>
      </c>
      <c r="C1643" s="478" t="str">
        <f t="shared" si="42"/>
        <v>Salton Sea_2028</v>
      </c>
      <c r="D1643" s="474">
        <v>360.17553347901384</v>
      </c>
      <c r="E1643" s="2"/>
      <c r="F1643" s="2"/>
      <c r="G1643" s="2"/>
      <c r="H1643" s="2"/>
      <c r="I1643" s="21"/>
      <c r="J1643" s="21"/>
      <c r="K1643" s="21"/>
    </row>
    <row r="1644" spans="1:11" ht="15.5" x14ac:dyDescent="0.35">
      <c r="A1644" s="477" t="s">
        <v>920</v>
      </c>
      <c r="B1644" s="478">
        <v>2029</v>
      </c>
      <c r="C1644" s="478" t="str">
        <f t="shared" si="42"/>
        <v>Salton Sea_2029</v>
      </c>
      <c r="D1644" s="474">
        <v>351.78762883332502</v>
      </c>
      <c r="E1644" s="2"/>
      <c r="F1644" s="2"/>
      <c r="G1644" s="2"/>
      <c r="H1644" s="2"/>
      <c r="I1644" s="21"/>
      <c r="J1644" s="21"/>
      <c r="K1644" s="21"/>
    </row>
    <row r="1645" spans="1:11" ht="15.5" x14ac:dyDescent="0.35">
      <c r="A1645" s="477" t="s">
        <v>920</v>
      </c>
      <c r="B1645" s="478">
        <v>2030</v>
      </c>
      <c r="C1645" s="478" t="str">
        <f t="shared" si="42"/>
        <v>Salton Sea_2030</v>
      </c>
      <c r="D1645" s="474">
        <v>344.33761578237022</v>
      </c>
      <c r="E1645" s="2"/>
      <c r="F1645" s="2"/>
      <c r="G1645" s="2"/>
      <c r="H1645" s="2"/>
      <c r="I1645" s="21"/>
      <c r="J1645" s="21"/>
      <c r="K1645" s="21"/>
    </row>
    <row r="1646" spans="1:11" ht="15.5" x14ac:dyDescent="0.35">
      <c r="A1646" s="477" t="s">
        <v>920</v>
      </c>
      <c r="B1646" s="478">
        <v>2031</v>
      </c>
      <c r="C1646" s="478" t="str">
        <f t="shared" si="42"/>
        <v>Salton Sea_2031</v>
      </c>
      <c r="D1646" s="474">
        <v>340.12203518933813</v>
      </c>
      <c r="E1646" s="2"/>
      <c r="F1646" s="2"/>
      <c r="G1646" s="2"/>
      <c r="H1646" s="2"/>
      <c r="I1646" s="21"/>
      <c r="J1646" s="21"/>
      <c r="K1646" s="21"/>
    </row>
    <row r="1647" spans="1:11" ht="15.5" x14ac:dyDescent="0.35">
      <c r="A1647" s="477" t="s">
        <v>920</v>
      </c>
      <c r="B1647" s="478">
        <v>2032</v>
      </c>
      <c r="C1647" s="478" t="str">
        <f t="shared" si="42"/>
        <v>Salton Sea_2032</v>
      </c>
      <c r="D1647" s="474">
        <v>334.24287372771067</v>
      </c>
      <c r="E1647" s="2"/>
      <c r="F1647" s="2"/>
      <c r="G1647" s="2"/>
      <c r="H1647" s="2"/>
      <c r="I1647" s="21"/>
      <c r="J1647" s="21"/>
      <c r="K1647" s="21"/>
    </row>
    <row r="1648" spans="1:11" ht="15.5" x14ac:dyDescent="0.35">
      <c r="A1648" s="477" t="s">
        <v>920</v>
      </c>
      <c r="B1648" s="478">
        <v>2033</v>
      </c>
      <c r="C1648" s="478" t="str">
        <f t="shared" si="42"/>
        <v>Salton Sea_2033</v>
      </c>
      <c r="D1648" s="474">
        <v>329.0655596330601</v>
      </c>
      <c r="E1648" s="2"/>
      <c r="F1648" s="2"/>
      <c r="G1648" s="2"/>
      <c r="H1648" s="2"/>
      <c r="I1648" s="21"/>
      <c r="J1648" s="21"/>
      <c r="K1648" s="21"/>
    </row>
    <row r="1649" spans="1:11" ht="15.5" x14ac:dyDescent="0.35">
      <c r="A1649" s="477" t="s">
        <v>920</v>
      </c>
      <c r="B1649" s="478">
        <v>2034</v>
      </c>
      <c r="C1649" s="478" t="str">
        <f t="shared" si="42"/>
        <v>Salton Sea_2034</v>
      </c>
      <c r="D1649" s="474">
        <v>324.50607505004325</v>
      </c>
      <c r="E1649" s="2"/>
      <c r="F1649" s="2"/>
      <c r="G1649" s="2"/>
      <c r="H1649" s="2"/>
      <c r="I1649" s="21"/>
      <c r="J1649" s="21"/>
      <c r="K1649" s="21"/>
    </row>
    <row r="1650" spans="1:11" ht="15.5" x14ac:dyDescent="0.35">
      <c r="A1650" s="477" t="s">
        <v>920</v>
      </c>
      <c r="B1650" s="478">
        <v>2035</v>
      </c>
      <c r="C1650" s="478" t="str">
        <f t="shared" si="42"/>
        <v>Salton Sea_2035</v>
      </c>
      <c r="D1650" s="474">
        <v>320.53265412409354</v>
      </c>
      <c r="E1650" s="2"/>
      <c r="F1650" s="2"/>
      <c r="G1650" s="2"/>
      <c r="H1650" s="2"/>
      <c r="I1650" s="21"/>
      <c r="J1650" s="21"/>
      <c r="K1650" s="21"/>
    </row>
    <row r="1651" spans="1:11" ht="15.5" x14ac:dyDescent="0.35">
      <c r="A1651" s="477" t="s">
        <v>920</v>
      </c>
      <c r="B1651" s="478">
        <v>2036</v>
      </c>
      <c r="C1651" s="478" t="str">
        <f t="shared" si="42"/>
        <v>Salton Sea_2036</v>
      </c>
      <c r="D1651" s="474">
        <v>317.08139999064815</v>
      </c>
      <c r="E1651" s="2"/>
      <c r="F1651" s="2"/>
      <c r="G1651" s="2"/>
      <c r="H1651" s="2"/>
      <c r="I1651" s="21"/>
      <c r="J1651" s="21"/>
      <c r="K1651" s="21"/>
    </row>
    <row r="1652" spans="1:11" ht="15.5" x14ac:dyDescent="0.35">
      <c r="A1652" s="477" t="s">
        <v>920</v>
      </c>
      <c r="B1652" s="478">
        <v>2037</v>
      </c>
      <c r="C1652" s="478" t="str">
        <f t="shared" si="42"/>
        <v>Salton Sea_2037</v>
      </c>
      <c r="D1652" s="474">
        <v>314.11138271707</v>
      </c>
      <c r="E1652" s="2"/>
      <c r="F1652" s="2"/>
      <c r="G1652" s="2"/>
      <c r="H1652" s="2"/>
      <c r="I1652" s="21"/>
      <c r="J1652" s="21"/>
      <c r="K1652" s="21"/>
    </row>
    <row r="1653" spans="1:11" ht="15.5" x14ac:dyDescent="0.35">
      <c r="A1653" s="477" t="s">
        <v>920</v>
      </c>
      <c r="B1653" s="478">
        <v>2038</v>
      </c>
      <c r="C1653" s="478" t="str">
        <f t="shared" si="42"/>
        <v>Salton Sea_2038</v>
      </c>
      <c r="D1653" s="474">
        <v>311.56924206350016</v>
      </c>
      <c r="E1653" s="2"/>
      <c r="F1653" s="2"/>
      <c r="G1653" s="2"/>
      <c r="H1653" s="2"/>
      <c r="I1653" s="21"/>
      <c r="J1653" s="21"/>
      <c r="K1653" s="21"/>
    </row>
    <row r="1654" spans="1:11" ht="15.5" x14ac:dyDescent="0.35">
      <c r="A1654" s="477" t="s">
        <v>920</v>
      </c>
      <c r="B1654" s="478">
        <v>2039</v>
      </c>
      <c r="C1654" s="478" t="str">
        <f t="shared" si="42"/>
        <v>Salton Sea_2039</v>
      </c>
      <c r="D1654" s="474">
        <v>309.38917282833205</v>
      </c>
      <c r="E1654" s="2"/>
      <c r="F1654" s="2"/>
      <c r="G1654" s="2"/>
      <c r="H1654" s="2"/>
      <c r="I1654" s="21"/>
      <c r="J1654" s="21"/>
      <c r="K1654" s="21"/>
    </row>
    <row r="1655" spans="1:11" ht="15.5" x14ac:dyDescent="0.35">
      <c r="A1655" s="477" t="s">
        <v>920</v>
      </c>
      <c r="B1655" s="478">
        <v>2040</v>
      </c>
      <c r="C1655" s="478" t="str">
        <f t="shared" si="42"/>
        <v>Salton Sea_2040</v>
      </c>
      <c r="D1655" s="474">
        <v>307.54627067558624</v>
      </c>
      <c r="E1655" s="2"/>
      <c r="F1655" s="2"/>
      <c r="G1655" s="2"/>
      <c r="H1655" s="2"/>
      <c r="I1655" s="21"/>
      <c r="J1655" s="21"/>
      <c r="K1655" s="21"/>
    </row>
    <row r="1656" spans="1:11" ht="15.5" x14ac:dyDescent="0.35">
      <c r="A1656" s="477" t="s">
        <v>920</v>
      </c>
      <c r="B1656" s="478">
        <v>2041</v>
      </c>
      <c r="C1656" s="478" t="str">
        <f t="shared" si="42"/>
        <v>Salton Sea_2041</v>
      </c>
      <c r="D1656" s="474">
        <v>306.00666561072313</v>
      </c>
      <c r="E1656" s="2"/>
      <c r="F1656" s="2"/>
      <c r="G1656" s="2"/>
      <c r="H1656" s="2"/>
      <c r="I1656" s="21"/>
      <c r="J1656" s="21"/>
      <c r="K1656" s="21"/>
    </row>
    <row r="1657" spans="1:11" ht="15.5" x14ac:dyDescent="0.35">
      <c r="A1657" s="477" t="s">
        <v>920</v>
      </c>
      <c r="B1657" s="478">
        <v>2042</v>
      </c>
      <c r="C1657" s="478" t="str">
        <f t="shared" si="42"/>
        <v>Salton Sea_2042</v>
      </c>
      <c r="D1657" s="474">
        <v>304.69431483704534</v>
      </c>
      <c r="E1657" s="2"/>
      <c r="F1657" s="2"/>
      <c r="G1657" s="2"/>
      <c r="H1657" s="2"/>
      <c r="I1657" s="21"/>
      <c r="J1657" s="21"/>
      <c r="K1657" s="21"/>
    </row>
    <row r="1658" spans="1:11" ht="15.5" x14ac:dyDescent="0.35">
      <c r="A1658" s="477" t="s">
        <v>920</v>
      </c>
      <c r="B1658" s="478">
        <v>2043</v>
      </c>
      <c r="C1658" s="478" t="str">
        <f t="shared" si="42"/>
        <v>Salton Sea_2043</v>
      </c>
      <c r="D1658" s="474">
        <v>303.6034986726583</v>
      </c>
      <c r="E1658" s="2"/>
      <c r="F1658" s="2"/>
      <c r="G1658" s="2"/>
      <c r="H1658" s="2"/>
      <c r="I1658" s="21"/>
      <c r="J1658" s="21"/>
      <c r="K1658" s="21"/>
    </row>
    <row r="1659" spans="1:11" ht="15.5" x14ac:dyDescent="0.35">
      <c r="A1659" s="477" t="s">
        <v>920</v>
      </c>
      <c r="B1659" s="478">
        <v>2044</v>
      </c>
      <c r="C1659" s="478" t="str">
        <f t="shared" si="42"/>
        <v>Salton Sea_2044</v>
      </c>
      <c r="D1659" s="474">
        <v>302.68090625587422</v>
      </c>
      <c r="E1659" s="2"/>
      <c r="F1659" s="2"/>
      <c r="G1659" s="2"/>
      <c r="H1659" s="2"/>
      <c r="I1659" s="21"/>
      <c r="J1659" s="21"/>
      <c r="K1659" s="21"/>
    </row>
    <row r="1660" spans="1:11" ht="15.5" x14ac:dyDescent="0.35">
      <c r="A1660" s="477" t="s">
        <v>920</v>
      </c>
      <c r="B1660" s="478">
        <v>2045</v>
      </c>
      <c r="C1660" s="478" t="str">
        <f t="shared" ref="C1660:C1665" si="43">CONCATENATE(A1660,"_",B1660)</f>
        <v>Salton Sea_2045</v>
      </c>
      <c r="D1660" s="474">
        <v>301.87042759070704</v>
      </c>
      <c r="E1660" s="2"/>
      <c r="F1660" s="2"/>
      <c r="G1660" s="2"/>
      <c r="H1660" s="2"/>
      <c r="I1660" s="21"/>
      <c r="J1660" s="21"/>
      <c r="K1660" s="21"/>
    </row>
    <row r="1661" spans="1:11" ht="15.5" x14ac:dyDescent="0.35">
      <c r="A1661" s="477" t="s">
        <v>920</v>
      </c>
      <c r="B1661" s="478">
        <v>2046</v>
      </c>
      <c r="C1661" s="478" t="str">
        <f t="shared" si="43"/>
        <v>Salton Sea_2046</v>
      </c>
      <c r="D1661" s="474">
        <v>301.1737577079985</v>
      </c>
      <c r="E1661" s="2"/>
      <c r="F1661" s="2"/>
      <c r="G1661" s="2"/>
      <c r="H1661" s="2"/>
      <c r="I1661" s="21"/>
      <c r="J1661" s="21"/>
      <c r="K1661" s="21"/>
    </row>
    <row r="1662" spans="1:11" ht="15.5" x14ac:dyDescent="0.35">
      <c r="A1662" s="477" t="s">
        <v>920</v>
      </c>
      <c r="B1662" s="478">
        <v>2047</v>
      </c>
      <c r="C1662" s="478" t="str">
        <f t="shared" si="43"/>
        <v>Salton Sea_2047</v>
      </c>
      <c r="D1662" s="474">
        <v>300.58919837985383</v>
      </c>
      <c r="E1662" s="2"/>
      <c r="F1662" s="2"/>
      <c r="G1662" s="2"/>
      <c r="H1662" s="2"/>
      <c r="I1662" s="21"/>
      <c r="J1662" s="21"/>
      <c r="K1662" s="21"/>
    </row>
    <row r="1663" spans="1:11" ht="15.5" x14ac:dyDescent="0.35">
      <c r="A1663" s="477" t="s">
        <v>920</v>
      </c>
      <c r="B1663" s="478">
        <v>2048</v>
      </c>
      <c r="C1663" s="478" t="str">
        <f t="shared" si="43"/>
        <v>Salton Sea_2048</v>
      </c>
      <c r="D1663" s="474">
        <v>300.08637036807971</v>
      </c>
      <c r="E1663" s="2"/>
      <c r="F1663" s="2"/>
      <c r="G1663" s="2"/>
      <c r="H1663" s="2"/>
      <c r="I1663" s="21"/>
      <c r="J1663" s="21"/>
      <c r="K1663" s="21"/>
    </row>
    <row r="1664" spans="1:11" ht="15.5" x14ac:dyDescent="0.35">
      <c r="A1664" s="477" t="s">
        <v>920</v>
      </c>
      <c r="B1664" s="478">
        <v>2049</v>
      </c>
      <c r="C1664" s="478" t="str">
        <f t="shared" si="43"/>
        <v>Salton Sea_2049</v>
      </c>
      <c r="D1664" s="474">
        <v>299.65399157463492</v>
      </c>
      <c r="E1664" s="2"/>
      <c r="F1664" s="2"/>
      <c r="G1664" s="2"/>
      <c r="H1664" s="2"/>
      <c r="I1664" s="21"/>
      <c r="J1664" s="21"/>
      <c r="K1664" s="21"/>
    </row>
    <row r="1665" spans="1:11" ht="15.5" x14ac:dyDescent="0.35">
      <c r="A1665" s="477" t="s">
        <v>920</v>
      </c>
      <c r="B1665" s="478">
        <v>2050</v>
      </c>
      <c r="C1665" s="478" t="str">
        <f t="shared" si="43"/>
        <v>Salton Sea_2050</v>
      </c>
      <c r="D1665" s="474">
        <v>299.29288319941725</v>
      </c>
      <c r="E1665" s="2"/>
      <c r="F1665" s="2"/>
      <c r="G1665" s="2"/>
      <c r="H1665" s="2"/>
      <c r="I1665" s="21"/>
      <c r="J1665" s="21"/>
      <c r="K1665" s="21"/>
    </row>
    <row r="1666" spans="1:11" ht="15.5" x14ac:dyDescent="0.35">
      <c r="A1666" s="468" t="s">
        <v>921</v>
      </c>
      <c r="B1666" s="469">
        <v>2015</v>
      </c>
      <c r="C1666" s="470" t="s">
        <v>922</v>
      </c>
      <c r="D1666" s="471">
        <v>513.75726374025703</v>
      </c>
      <c r="E1666" s="2"/>
      <c r="F1666" s="2"/>
      <c r="G1666" s="2"/>
      <c r="H1666" s="2"/>
      <c r="I1666" s="21"/>
      <c r="J1666" s="21"/>
      <c r="K1666" s="21"/>
    </row>
    <row r="1667" spans="1:11" ht="15.5" x14ac:dyDescent="0.35">
      <c r="A1667" s="468" t="s">
        <v>921</v>
      </c>
      <c r="B1667" s="469">
        <v>2016</v>
      </c>
      <c r="C1667" s="470" t="s">
        <v>923</v>
      </c>
      <c r="D1667" s="471">
        <v>502.73371678484392</v>
      </c>
      <c r="E1667" s="2"/>
      <c r="F1667" s="2"/>
      <c r="G1667" s="2"/>
      <c r="H1667" s="2"/>
      <c r="I1667" s="21"/>
      <c r="J1667" s="21"/>
      <c r="K1667" s="21"/>
    </row>
    <row r="1668" spans="1:11" ht="15.5" x14ac:dyDescent="0.35">
      <c r="A1668" s="472" t="s">
        <v>921</v>
      </c>
      <c r="B1668" s="473">
        <v>2017</v>
      </c>
      <c r="C1668" s="473" t="str">
        <f t="shared" ref="C1668:C1701" si="44">CONCATENATE(A1668,"_",B1668)</f>
        <v>San Benito_2017</v>
      </c>
      <c r="D1668" s="474">
        <v>489.72597619082291</v>
      </c>
      <c r="E1668" s="2"/>
      <c r="F1668" s="2"/>
      <c r="G1668" s="2"/>
      <c r="H1668" s="2"/>
      <c r="I1668" s="21"/>
      <c r="J1668" s="21"/>
      <c r="K1668" s="21"/>
    </row>
    <row r="1669" spans="1:11" ht="15.5" x14ac:dyDescent="0.35">
      <c r="A1669" s="472" t="s">
        <v>921</v>
      </c>
      <c r="B1669" s="473">
        <v>2018</v>
      </c>
      <c r="C1669" s="473" t="str">
        <f t="shared" si="44"/>
        <v>San Benito_2018</v>
      </c>
      <c r="D1669" s="474">
        <v>476.02433453712467</v>
      </c>
      <c r="E1669" s="2"/>
      <c r="F1669" s="2"/>
      <c r="G1669" s="2"/>
      <c r="H1669" s="2"/>
      <c r="I1669" s="21"/>
      <c r="J1669" s="21"/>
      <c r="K1669" s="21"/>
    </row>
    <row r="1670" spans="1:11" ht="15.5" x14ac:dyDescent="0.35">
      <c r="A1670" s="472" t="s">
        <v>921</v>
      </c>
      <c r="B1670" s="473">
        <v>2019</v>
      </c>
      <c r="C1670" s="473" t="str">
        <f t="shared" si="44"/>
        <v>San Benito_2019</v>
      </c>
      <c r="D1670" s="474">
        <v>462.11262939773826</v>
      </c>
      <c r="E1670" s="2"/>
      <c r="F1670" s="2"/>
      <c r="G1670" s="2"/>
      <c r="H1670" s="2"/>
      <c r="I1670" s="21"/>
      <c r="J1670" s="21"/>
      <c r="K1670" s="21"/>
    </row>
    <row r="1671" spans="1:11" ht="15.5" x14ac:dyDescent="0.35">
      <c r="A1671" s="472" t="s">
        <v>921</v>
      </c>
      <c r="B1671" s="473">
        <v>2020</v>
      </c>
      <c r="C1671" s="473" t="str">
        <f t="shared" si="44"/>
        <v>San Benito_2020</v>
      </c>
      <c r="D1671" s="474">
        <v>448.17834604634248</v>
      </c>
      <c r="E1671" s="2"/>
      <c r="F1671" s="2"/>
      <c r="G1671" s="2"/>
      <c r="H1671" s="2"/>
      <c r="I1671" s="21"/>
      <c r="J1671" s="21"/>
      <c r="K1671" s="21"/>
    </row>
    <row r="1672" spans="1:11" ht="15.5" x14ac:dyDescent="0.35">
      <c r="A1672" s="472" t="s">
        <v>921</v>
      </c>
      <c r="B1672" s="473">
        <v>2021</v>
      </c>
      <c r="C1672" s="473" t="str">
        <f t="shared" si="44"/>
        <v>San Benito_2021</v>
      </c>
      <c r="D1672" s="474">
        <v>434.75180787978616</v>
      </c>
      <c r="E1672" s="2"/>
      <c r="F1672" s="2"/>
      <c r="G1672" s="2"/>
      <c r="H1672" s="2"/>
      <c r="I1672" s="21"/>
      <c r="J1672" s="21"/>
      <c r="K1672" s="21"/>
    </row>
    <row r="1673" spans="1:11" ht="15.5" x14ac:dyDescent="0.35">
      <c r="A1673" s="472" t="s">
        <v>921</v>
      </c>
      <c r="B1673" s="473">
        <v>2022</v>
      </c>
      <c r="C1673" s="473" t="str">
        <f t="shared" si="44"/>
        <v>San Benito_2022</v>
      </c>
      <c r="D1673" s="474">
        <v>421.22515755435023</v>
      </c>
      <c r="E1673" s="2"/>
      <c r="F1673" s="2"/>
      <c r="G1673" s="2"/>
      <c r="H1673" s="2"/>
      <c r="I1673" s="21"/>
      <c r="J1673" s="21"/>
      <c r="K1673" s="21"/>
    </row>
    <row r="1674" spans="1:11" ht="15.5" x14ac:dyDescent="0.35">
      <c r="A1674" s="472" t="s">
        <v>921</v>
      </c>
      <c r="B1674" s="473">
        <v>2023</v>
      </c>
      <c r="C1674" s="473" t="str">
        <f t="shared" si="44"/>
        <v>San Benito_2023</v>
      </c>
      <c r="D1674" s="474">
        <v>407.90373112802661</v>
      </c>
      <c r="E1674" s="2"/>
      <c r="F1674" s="2"/>
      <c r="G1674" s="2"/>
      <c r="H1674" s="2"/>
      <c r="I1674" s="21"/>
      <c r="J1674" s="21"/>
      <c r="K1674" s="21"/>
    </row>
    <row r="1675" spans="1:11" ht="15.5" x14ac:dyDescent="0.35">
      <c r="A1675" s="472" t="s">
        <v>921</v>
      </c>
      <c r="B1675" s="473">
        <v>2024</v>
      </c>
      <c r="C1675" s="473" t="str">
        <f t="shared" si="44"/>
        <v>San Benito_2024</v>
      </c>
      <c r="D1675" s="474">
        <v>394.88158693027117</v>
      </c>
      <c r="E1675" s="2"/>
      <c r="F1675" s="2"/>
      <c r="G1675" s="2"/>
      <c r="H1675" s="2"/>
      <c r="I1675" s="21"/>
      <c r="J1675" s="21"/>
      <c r="K1675" s="21"/>
    </row>
    <row r="1676" spans="1:11" ht="15.5" x14ac:dyDescent="0.35">
      <c r="A1676" s="472" t="s">
        <v>921</v>
      </c>
      <c r="B1676" s="473">
        <v>2025</v>
      </c>
      <c r="C1676" s="473" t="str">
        <f t="shared" si="44"/>
        <v>San Benito_2025</v>
      </c>
      <c r="D1676" s="474">
        <v>382.11637924689762</v>
      </c>
      <c r="E1676" s="2"/>
      <c r="F1676" s="2"/>
      <c r="G1676" s="2"/>
      <c r="H1676" s="2"/>
      <c r="I1676" s="21"/>
      <c r="J1676" s="21"/>
      <c r="K1676" s="21"/>
    </row>
    <row r="1677" spans="1:11" ht="15.5" x14ac:dyDescent="0.35">
      <c r="A1677" s="472" t="s">
        <v>921</v>
      </c>
      <c r="B1677" s="473">
        <v>2026</v>
      </c>
      <c r="C1677" s="473" t="str">
        <f t="shared" si="44"/>
        <v>San Benito_2026</v>
      </c>
      <c r="D1677" s="474">
        <v>370.06389088268503</v>
      </c>
      <c r="E1677" s="2"/>
      <c r="F1677" s="2"/>
      <c r="G1677" s="2"/>
      <c r="H1677" s="2"/>
      <c r="I1677" s="21"/>
      <c r="J1677" s="21"/>
      <c r="K1677" s="21"/>
    </row>
    <row r="1678" spans="1:11" ht="15.5" x14ac:dyDescent="0.35">
      <c r="A1678" s="472" t="s">
        <v>921</v>
      </c>
      <c r="B1678" s="473">
        <v>2027</v>
      </c>
      <c r="C1678" s="473" t="str">
        <f t="shared" si="44"/>
        <v>San Benito_2027</v>
      </c>
      <c r="D1678" s="474">
        <v>359.37434694331142</v>
      </c>
      <c r="E1678" s="2"/>
      <c r="F1678" s="2"/>
      <c r="G1678" s="2"/>
      <c r="H1678" s="2"/>
      <c r="I1678" s="21"/>
      <c r="J1678" s="21"/>
      <c r="K1678" s="21"/>
    </row>
    <row r="1679" spans="1:11" ht="15.5" x14ac:dyDescent="0.35">
      <c r="A1679" s="472" t="s">
        <v>921</v>
      </c>
      <c r="B1679" s="473">
        <v>2028</v>
      </c>
      <c r="C1679" s="473" t="str">
        <f t="shared" si="44"/>
        <v>San Benito_2028</v>
      </c>
      <c r="D1679" s="474">
        <v>349.72578293235136</v>
      </c>
      <c r="E1679" s="2"/>
      <c r="F1679" s="2"/>
      <c r="G1679" s="2"/>
      <c r="H1679" s="2"/>
      <c r="I1679" s="21"/>
      <c r="J1679" s="21"/>
      <c r="K1679" s="21"/>
    </row>
    <row r="1680" spans="1:11" ht="15.5" x14ac:dyDescent="0.35">
      <c r="A1680" s="472" t="s">
        <v>921</v>
      </c>
      <c r="B1680" s="473">
        <v>2029</v>
      </c>
      <c r="C1680" s="473" t="str">
        <f t="shared" si="44"/>
        <v>San Benito_2029</v>
      </c>
      <c r="D1680" s="474">
        <v>341.06400121381824</v>
      </c>
      <c r="E1680" s="2"/>
      <c r="F1680" s="2"/>
      <c r="G1680" s="2"/>
      <c r="H1680" s="2"/>
      <c r="I1680" s="21"/>
      <c r="J1680" s="21"/>
      <c r="K1680" s="21"/>
    </row>
    <row r="1681" spans="1:11" ht="15.5" x14ac:dyDescent="0.35">
      <c r="A1681" s="472" t="s">
        <v>921</v>
      </c>
      <c r="B1681" s="473">
        <v>2030</v>
      </c>
      <c r="C1681" s="473" t="str">
        <f t="shared" si="44"/>
        <v>San Benito_2030</v>
      </c>
      <c r="D1681" s="474">
        <v>333.31964580597059</v>
      </c>
      <c r="E1681" s="2"/>
      <c r="F1681" s="2"/>
      <c r="G1681" s="2"/>
      <c r="H1681" s="2"/>
      <c r="I1681" s="21"/>
      <c r="J1681" s="21"/>
      <c r="K1681" s="21"/>
    </row>
    <row r="1682" spans="1:11" ht="15.5" x14ac:dyDescent="0.35">
      <c r="A1682" s="472" t="s">
        <v>921</v>
      </c>
      <c r="B1682" s="473">
        <v>2031</v>
      </c>
      <c r="C1682" s="473" t="str">
        <f t="shared" si="44"/>
        <v>San Benito_2031</v>
      </c>
      <c r="D1682" s="474">
        <v>326.45290542646842</v>
      </c>
      <c r="E1682" s="2"/>
      <c r="F1682" s="2"/>
      <c r="G1682" s="2"/>
      <c r="H1682" s="2"/>
      <c r="I1682" s="21"/>
      <c r="J1682" s="21"/>
      <c r="K1682" s="21"/>
    </row>
    <row r="1683" spans="1:11" ht="15.5" x14ac:dyDescent="0.35">
      <c r="A1683" s="472" t="s">
        <v>921</v>
      </c>
      <c r="B1683" s="473">
        <v>2032</v>
      </c>
      <c r="C1683" s="473" t="str">
        <f t="shared" si="44"/>
        <v>San Benito_2032</v>
      </c>
      <c r="D1683" s="474">
        <v>320.35417523422308</v>
      </c>
      <c r="E1683" s="2"/>
      <c r="F1683" s="2"/>
      <c r="G1683" s="2"/>
      <c r="H1683" s="2"/>
      <c r="I1683" s="21"/>
      <c r="J1683" s="21"/>
      <c r="K1683" s="21"/>
    </row>
    <row r="1684" spans="1:11" ht="15.5" x14ac:dyDescent="0.35">
      <c r="A1684" s="472" t="s">
        <v>921</v>
      </c>
      <c r="B1684" s="473">
        <v>2033</v>
      </c>
      <c r="C1684" s="473" t="str">
        <f t="shared" si="44"/>
        <v>San Benito_2033</v>
      </c>
      <c r="D1684" s="474">
        <v>314.97191058307595</v>
      </c>
      <c r="E1684" s="2"/>
      <c r="F1684" s="2"/>
      <c r="G1684" s="2"/>
      <c r="H1684" s="2"/>
      <c r="I1684" s="21"/>
      <c r="J1684" s="21"/>
      <c r="K1684" s="21"/>
    </row>
    <row r="1685" spans="1:11" ht="15.5" x14ac:dyDescent="0.35">
      <c r="A1685" s="472" t="s">
        <v>921</v>
      </c>
      <c r="B1685" s="473">
        <v>2034</v>
      </c>
      <c r="C1685" s="473" t="str">
        <f t="shared" si="44"/>
        <v>San Benito_2034</v>
      </c>
      <c r="D1685" s="474">
        <v>310.24108588640337</v>
      </c>
      <c r="E1685" s="2"/>
      <c r="F1685" s="2"/>
      <c r="G1685" s="2"/>
      <c r="H1685" s="2"/>
      <c r="I1685" s="21"/>
      <c r="J1685" s="21"/>
      <c r="K1685" s="21"/>
    </row>
    <row r="1686" spans="1:11" ht="15.5" x14ac:dyDescent="0.35">
      <c r="A1686" s="472" t="s">
        <v>921</v>
      </c>
      <c r="B1686" s="473">
        <v>2035</v>
      </c>
      <c r="C1686" s="473" t="str">
        <f t="shared" si="44"/>
        <v>San Benito_2035</v>
      </c>
      <c r="D1686" s="474">
        <v>306.10432190393277</v>
      </c>
      <c r="E1686" s="2"/>
      <c r="F1686" s="2"/>
      <c r="G1686" s="2"/>
      <c r="H1686" s="2"/>
      <c r="I1686" s="21"/>
      <c r="J1686" s="21"/>
      <c r="K1686" s="21"/>
    </row>
    <row r="1687" spans="1:11" ht="15.5" x14ac:dyDescent="0.35">
      <c r="A1687" s="472" t="s">
        <v>921</v>
      </c>
      <c r="B1687" s="473">
        <v>2036</v>
      </c>
      <c r="C1687" s="473" t="str">
        <f t="shared" si="44"/>
        <v>San Benito_2036</v>
      </c>
      <c r="D1687" s="474">
        <v>302.50722861756935</v>
      </c>
      <c r="E1687" s="2"/>
      <c r="F1687" s="2"/>
      <c r="G1687" s="2"/>
      <c r="H1687" s="2"/>
      <c r="I1687" s="21"/>
      <c r="J1687" s="21"/>
      <c r="K1687" s="21"/>
    </row>
    <row r="1688" spans="1:11" ht="15.5" x14ac:dyDescent="0.35">
      <c r="A1688" s="472" t="s">
        <v>921</v>
      </c>
      <c r="B1688" s="473">
        <v>2037</v>
      </c>
      <c r="C1688" s="473" t="str">
        <f t="shared" si="44"/>
        <v>San Benito_2037</v>
      </c>
      <c r="D1688" s="474">
        <v>299.41009232741243</v>
      </c>
      <c r="E1688" s="2"/>
      <c r="F1688" s="2"/>
      <c r="G1688" s="2"/>
      <c r="H1688" s="2"/>
      <c r="I1688" s="21"/>
      <c r="J1688" s="21"/>
      <c r="K1688" s="21"/>
    </row>
    <row r="1689" spans="1:11" ht="15.5" x14ac:dyDescent="0.35">
      <c r="A1689" s="472" t="s">
        <v>921</v>
      </c>
      <c r="B1689" s="473">
        <v>2038</v>
      </c>
      <c r="C1689" s="473" t="str">
        <f t="shared" si="44"/>
        <v>San Benito_2038</v>
      </c>
      <c r="D1689" s="474">
        <v>296.76138065670511</v>
      </c>
      <c r="E1689" s="2"/>
      <c r="F1689" s="2"/>
      <c r="G1689" s="2"/>
      <c r="H1689" s="2"/>
      <c r="I1689" s="21"/>
      <c r="J1689" s="21"/>
      <c r="K1689" s="21"/>
    </row>
    <row r="1690" spans="1:11" ht="15.5" x14ac:dyDescent="0.35">
      <c r="A1690" s="472" t="s">
        <v>921</v>
      </c>
      <c r="B1690" s="473">
        <v>2039</v>
      </c>
      <c r="C1690" s="473" t="str">
        <f t="shared" si="44"/>
        <v>San Benito_2039</v>
      </c>
      <c r="D1690" s="474">
        <v>294.50043898057703</v>
      </c>
      <c r="E1690" s="2"/>
      <c r="F1690" s="2"/>
      <c r="G1690" s="2"/>
      <c r="H1690" s="2"/>
      <c r="I1690" s="21"/>
      <c r="J1690" s="21"/>
      <c r="K1690" s="21"/>
    </row>
    <row r="1691" spans="1:11" ht="15.5" x14ac:dyDescent="0.35">
      <c r="A1691" s="472" t="s">
        <v>921</v>
      </c>
      <c r="B1691" s="473">
        <v>2040</v>
      </c>
      <c r="C1691" s="473" t="str">
        <f t="shared" si="44"/>
        <v>San Benito_2040</v>
      </c>
      <c r="D1691" s="474">
        <v>292.5936542760744</v>
      </c>
      <c r="E1691" s="2"/>
      <c r="F1691" s="2"/>
      <c r="G1691" s="2"/>
      <c r="H1691" s="2"/>
      <c r="I1691" s="21"/>
      <c r="J1691" s="21"/>
      <c r="K1691" s="21"/>
    </row>
    <row r="1692" spans="1:11" ht="15.5" x14ac:dyDescent="0.35">
      <c r="A1692" s="472" t="s">
        <v>921</v>
      </c>
      <c r="B1692" s="473">
        <v>2041</v>
      </c>
      <c r="C1692" s="473" t="str">
        <f t="shared" si="44"/>
        <v>San Benito_2041</v>
      </c>
      <c r="D1692" s="474">
        <v>291.01018590241057</v>
      </c>
      <c r="E1692" s="2"/>
      <c r="F1692" s="2"/>
      <c r="G1692" s="2"/>
      <c r="H1692" s="2"/>
      <c r="I1692" s="21"/>
      <c r="J1692" s="21"/>
      <c r="K1692" s="21"/>
    </row>
    <row r="1693" spans="1:11" ht="15.5" x14ac:dyDescent="0.35">
      <c r="A1693" s="472" t="s">
        <v>921</v>
      </c>
      <c r="B1693" s="473">
        <v>2042</v>
      </c>
      <c r="C1693" s="473" t="str">
        <f t="shared" si="44"/>
        <v>San Benito_2042</v>
      </c>
      <c r="D1693" s="474">
        <v>289.68742474724536</v>
      </c>
      <c r="E1693" s="2"/>
      <c r="F1693" s="2"/>
      <c r="G1693" s="2"/>
      <c r="H1693" s="2"/>
      <c r="I1693" s="21"/>
      <c r="J1693" s="21"/>
      <c r="K1693" s="21"/>
    </row>
    <row r="1694" spans="1:11" ht="15.5" x14ac:dyDescent="0.35">
      <c r="A1694" s="472" t="s">
        <v>921</v>
      </c>
      <c r="B1694" s="473">
        <v>2043</v>
      </c>
      <c r="C1694" s="473" t="str">
        <f t="shared" si="44"/>
        <v>San Benito_2043</v>
      </c>
      <c r="D1694" s="474">
        <v>288.59948694972184</v>
      </c>
      <c r="E1694" s="2"/>
      <c r="F1694" s="2"/>
      <c r="G1694" s="2"/>
      <c r="H1694" s="2"/>
      <c r="I1694" s="21"/>
      <c r="J1694" s="21"/>
      <c r="K1694" s="21"/>
    </row>
    <row r="1695" spans="1:11" ht="15.5" x14ac:dyDescent="0.35">
      <c r="A1695" s="472" t="s">
        <v>921</v>
      </c>
      <c r="B1695" s="473">
        <v>2044</v>
      </c>
      <c r="C1695" s="473" t="str">
        <f t="shared" si="44"/>
        <v>San Benito_2044</v>
      </c>
      <c r="D1695" s="474">
        <v>287.70194781665157</v>
      </c>
      <c r="E1695" s="2"/>
      <c r="F1695" s="2"/>
      <c r="G1695" s="2"/>
      <c r="H1695" s="2"/>
      <c r="I1695" s="21"/>
      <c r="J1695" s="21"/>
      <c r="K1695" s="21"/>
    </row>
    <row r="1696" spans="1:11" ht="15.5" x14ac:dyDescent="0.35">
      <c r="A1696" s="472" t="s">
        <v>921</v>
      </c>
      <c r="B1696" s="473">
        <v>2045</v>
      </c>
      <c r="C1696" s="473" t="str">
        <f t="shared" si="44"/>
        <v>San Benito_2045</v>
      </c>
      <c r="D1696" s="474">
        <v>286.95850291683519</v>
      </c>
      <c r="E1696" s="2"/>
      <c r="F1696" s="2"/>
      <c r="G1696" s="2"/>
      <c r="H1696" s="2"/>
      <c r="I1696" s="21"/>
      <c r="J1696" s="21"/>
      <c r="K1696" s="21"/>
    </row>
    <row r="1697" spans="1:11" ht="15.5" x14ac:dyDescent="0.35">
      <c r="A1697" s="472" t="s">
        <v>921</v>
      </c>
      <c r="B1697" s="473">
        <v>2046</v>
      </c>
      <c r="C1697" s="473" t="str">
        <f t="shared" si="44"/>
        <v>San Benito_2046</v>
      </c>
      <c r="D1697" s="474">
        <v>286.35194811694413</v>
      </c>
      <c r="E1697" s="2"/>
      <c r="F1697" s="2"/>
      <c r="G1697" s="2"/>
      <c r="H1697" s="2"/>
      <c r="I1697" s="21"/>
      <c r="J1697" s="21"/>
      <c r="K1697" s="21"/>
    </row>
    <row r="1698" spans="1:11" ht="15.5" x14ac:dyDescent="0.35">
      <c r="A1698" s="472" t="s">
        <v>921</v>
      </c>
      <c r="B1698" s="473">
        <v>2047</v>
      </c>
      <c r="C1698" s="473" t="str">
        <f t="shared" si="44"/>
        <v>San Benito_2047</v>
      </c>
      <c r="D1698" s="474">
        <v>285.86048370738251</v>
      </c>
      <c r="E1698" s="2"/>
      <c r="F1698" s="2"/>
      <c r="G1698" s="2"/>
      <c r="H1698" s="2"/>
      <c r="I1698" s="21"/>
      <c r="J1698" s="21"/>
      <c r="K1698" s="21"/>
    </row>
    <row r="1699" spans="1:11" ht="15.5" x14ac:dyDescent="0.35">
      <c r="A1699" s="472" t="s">
        <v>921</v>
      </c>
      <c r="B1699" s="473">
        <v>2048</v>
      </c>
      <c r="C1699" s="473" t="str">
        <f t="shared" si="44"/>
        <v>San Benito_2048</v>
      </c>
      <c r="D1699" s="474">
        <v>285.46878808772522</v>
      </c>
      <c r="E1699" s="2"/>
      <c r="F1699" s="2"/>
      <c r="G1699" s="2"/>
      <c r="H1699" s="2"/>
      <c r="I1699" s="21"/>
      <c r="J1699" s="21"/>
      <c r="K1699" s="21"/>
    </row>
    <row r="1700" spans="1:11" ht="15.5" x14ac:dyDescent="0.35">
      <c r="A1700" s="472" t="s">
        <v>921</v>
      </c>
      <c r="B1700" s="473">
        <v>2049</v>
      </c>
      <c r="C1700" s="473" t="str">
        <f t="shared" si="44"/>
        <v>San Benito_2049</v>
      </c>
      <c r="D1700" s="474">
        <v>285.14628228361988</v>
      </c>
      <c r="E1700" s="2"/>
      <c r="F1700" s="2"/>
      <c r="G1700" s="2"/>
      <c r="H1700" s="2"/>
      <c r="I1700" s="21"/>
      <c r="J1700" s="21"/>
      <c r="K1700" s="21"/>
    </row>
    <row r="1701" spans="1:11" ht="15.5" x14ac:dyDescent="0.35">
      <c r="A1701" s="472" t="s">
        <v>921</v>
      </c>
      <c r="B1701" s="473">
        <v>2050</v>
      </c>
      <c r="C1701" s="473" t="str">
        <f t="shared" si="44"/>
        <v>San Benito_2050</v>
      </c>
      <c r="D1701" s="474">
        <v>284.89331149574303</v>
      </c>
      <c r="E1701" s="2"/>
      <c r="F1701" s="2"/>
      <c r="G1701" s="2"/>
      <c r="H1701" s="2"/>
      <c r="I1701" s="21"/>
      <c r="J1701" s="21"/>
      <c r="K1701" s="21"/>
    </row>
    <row r="1702" spans="1:11" ht="15.5" x14ac:dyDescent="0.35">
      <c r="A1702" s="468" t="s">
        <v>924</v>
      </c>
      <c r="B1702" s="469">
        <v>2015</v>
      </c>
      <c r="C1702" s="470" t="s">
        <v>925</v>
      </c>
      <c r="D1702" s="471">
        <v>499.97249591790796</v>
      </c>
      <c r="E1702" s="2"/>
      <c r="F1702" s="2"/>
      <c r="G1702" s="2"/>
      <c r="H1702" s="2"/>
      <c r="I1702" s="21"/>
      <c r="J1702" s="21"/>
      <c r="K1702" s="21"/>
    </row>
    <row r="1703" spans="1:11" ht="15.5" x14ac:dyDescent="0.35">
      <c r="A1703" s="468" t="s">
        <v>924</v>
      </c>
      <c r="B1703" s="469">
        <v>2016</v>
      </c>
      <c r="C1703" s="470" t="s">
        <v>926</v>
      </c>
      <c r="D1703" s="471">
        <v>489.54461827388269</v>
      </c>
      <c r="E1703" s="2"/>
      <c r="F1703" s="2"/>
      <c r="G1703" s="2"/>
      <c r="H1703" s="2"/>
      <c r="I1703" s="21"/>
      <c r="J1703" s="21"/>
      <c r="K1703" s="21"/>
    </row>
    <row r="1704" spans="1:11" ht="15.5" x14ac:dyDescent="0.35">
      <c r="A1704" s="472" t="s">
        <v>924</v>
      </c>
      <c r="B1704" s="473">
        <v>2017</v>
      </c>
      <c r="C1704" s="473" t="str">
        <f t="shared" ref="C1704:C1767" si="45">CONCATENATE(A1704,"_",B1704)</f>
        <v>San Bernardino_2017</v>
      </c>
      <c r="D1704" s="474">
        <v>478.00214066733264</v>
      </c>
      <c r="E1704" s="2"/>
      <c r="F1704" s="2"/>
      <c r="G1704" s="2"/>
      <c r="H1704" s="2"/>
      <c r="I1704" s="21"/>
      <c r="J1704" s="21"/>
      <c r="K1704" s="21"/>
    </row>
    <row r="1705" spans="1:11" ht="15.5" x14ac:dyDescent="0.35">
      <c r="A1705" s="472" t="s">
        <v>924</v>
      </c>
      <c r="B1705" s="473">
        <v>2018</v>
      </c>
      <c r="C1705" s="473" t="str">
        <f t="shared" si="45"/>
        <v>San Bernardino_2018</v>
      </c>
      <c r="D1705" s="474">
        <v>465.8660916931517</v>
      </c>
      <c r="E1705" s="2"/>
      <c r="F1705" s="2"/>
      <c r="G1705" s="2"/>
      <c r="H1705" s="2"/>
      <c r="I1705" s="21"/>
      <c r="J1705" s="21"/>
      <c r="K1705" s="21"/>
    </row>
    <row r="1706" spans="1:11" ht="15.5" x14ac:dyDescent="0.35">
      <c r="A1706" s="472" t="s">
        <v>924</v>
      </c>
      <c r="B1706" s="473">
        <v>2019</v>
      </c>
      <c r="C1706" s="473" t="str">
        <f t="shared" si="45"/>
        <v>San Bernardino_2019</v>
      </c>
      <c r="D1706" s="474">
        <v>452.70783951457611</v>
      </c>
      <c r="E1706" s="2"/>
      <c r="F1706" s="2"/>
      <c r="G1706" s="2"/>
      <c r="H1706" s="2"/>
      <c r="I1706" s="21"/>
      <c r="J1706" s="21"/>
      <c r="K1706" s="21"/>
    </row>
    <row r="1707" spans="1:11" ht="15.5" x14ac:dyDescent="0.35">
      <c r="A1707" s="472" t="s">
        <v>924</v>
      </c>
      <c r="B1707" s="473">
        <v>2020</v>
      </c>
      <c r="C1707" s="473" t="str">
        <f t="shared" si="45"/>
        <v>San Bernardino_2020</v>
      </c>
      <c r="D1707" s="474">
        <v>439.99501142650018</v>
      </c>
      <c r="E1707" s="2"/>
      <c r="F1707" s="2"/>
      <c r="G1707" s="2"/>
      <c r="H1707" s="2"/>
      <c r="I1707" s="21"/>
      <c r="J1707" s="21"/>
      <c r="K1707" s="21"/>
    </row>
    <row r="1708" spans="1:11" ht="15.5" x14ac:dyDescent="0.35">
      <c r="A1708" s="472" t="s">
        <v>924</v>
      </c>
      <c r="B1708" s="473">
        <v>2021</v>
      </c>
      <c r="C1708" s="473" t="str">
        <f t="shared" si="45"/>
        <v>San Bernardino_2021</v>
      </c>
      <c r="D1708" s="474">
        <v>427.67189745973735</v>
      </c>
      <c r="E1708" s="2"/>
      <c r="F1708" s="2"/>
      <c r="G1708" s="2"/>
      <c r="H1708" s="2"/>
      <c r="I1708" s="21"/>
      <c r="J1708" s="21"/>
      <c r="K1708" s="21"/>
    </row>
    <row r="1709" spans="1:11" ht="15.5" x14ac:dyDescent="0.35">
      <c r="A1709" s="472" t="s">
        <v>924</v>
      </c>
      <c r="B1709" s="473">
        <v>2022</v>
      </c>
      <c r="C1709" s="473" t="str">
        <f t="shared" si="45"/>
        <v>San Bernardino_2022</v>
      </c>
      <c r="D1709" s="474">
        <v>414.91215304666667</v>
      </c>
      <c r="E1709" s="2"/>
      <c r="F1709" s="2"/>
      <c r="G1709" s="2"/>
      <c r="H1709" s="2"/>
      <c r="I1709" s="21"/>
      <c r="J1709" s="21"/>
      <c r="K1709" s="21"/>
    </row>
    <row r="1710" spans="1:11" ht="15.5" x14ac:dyDescent="0.35">
      <c r="A1710" s="472" t="s">
        <v>924</v>
      </c>
      <c r="B1710" s="473">
        <v>2023</v>
      </c>
      <c r="C1710" s="473" t="str">
        <f t="shared" si="45"/>
        <v>San Bernardino_2023</v>
      </c>
      <c r="D1710" s="474">
        <v>402.22359171218289</v>
      </c>
      <c r="E1710" s="2"/>
      <c r="F1710" s="2"/>
      <c r="G1710" s="2"/>
      <c r="H1710" s="2"/>
      <c r="I1710" s="21"/>
      <c r="J1710" s="21"/>
      <c r="K1710" s="21"/>
    </row>
    <row r="1711" spans="1:11" ht="15.5" x14ac:dyDescent="0.35">
      <c r="A1711" s="472" t="s">
        <v>924</v>
      </c>
      <c r="B1711" s="473">
        <v>2024</v>
      </c>
      <c r="C1711" s="473" t="str">
        <f t="shared" si="45"/>
        <v>San Bernardino_2024</v>
      </c>
      <c r="D1711" s="474">
        <v>391.31942436956268</v>
      </c>
      <c r="E1711" s="2"/>
      <c r="F1711" s="2"/>
      <c r="G1711" s="2"/>
      <c r="H1711" s="2"/>
      <c r="I1711" s="21"/>
      <c r="J1711" s="21"/>
      <c r="K1711" s="21"/>
    </row>
    <row r="1712" spans="1:11" ht="15.5" x14ac:dyDescent="0.35">
      <c r="A1712" s="472" t="s">
        <v>924</v>
      </c>
      <c r="B1712" s="473">
        <v>2025</v>
      </c>
      <c r="C1712" s="473" t="str">
        <f t="shared" si="45"/>
        <v>San Bernardino_2025</v>
      </c>
      <c r="D1712" s="474">
        <v>378.87250777048951</v>
      </c>
      <c r="E1712" s="2"/>
      <c r="F1712" s="2"/>
      <c r="G1712" s="2"/>
      <c r="H1712" s="2"/>
      <c r="I1712" s="21"/>
      <c r="J1712" s="21"/>
      <c r="K1712" s="21"/>
    </row>
    <row r="1713" spans="1:11" ht="15.5" x14ac:dyDescent="0.35">
      <c r="A1713" s="472" t="s">
        <v>924</v>
      </c>
      <c r="B1713" s="473">
        <v>2026</v>
      </c>
      <c r="C1713" s="473" t="str">
        <f t="shared" si="45"/>
        <v>San Bernardino_2026</v>
      </c>
      <c r="D1713" s="474">
        <v>367.58498853542511</v>
      </c>
      <c r="E1713" s="2"/>
      <c r="F1713" s="2"/>
      <c r="G1713" s="2"/>
      <c r="H1713" s="2"/>
      <c r="I1713" s="21"/>
      <c r="J1713" s="21"/>
      <c r="K1713" s="21"/>
    </row>
    <row r="1714" spans="1:11" ht="15.5" x14ac:dyDescent="0.35">
      <c r="A1714" s="472" t="s">
        <v>924</v>
      </c>
      <c r="B1714" s="473">
        <v>2027</v>
      </c>
      <c r="C1714" s="473" t="str">
        <f t="shared" si="45"/>
        <v>San Bernardino_2027</v>
      </c>
      <c r="D1714" s="474">
        <v>357.34027911583655</v>
      </c>
      <c r="E1714" s="2"/>
      <c r="F1714" s="2"/>
      <c r="G1714" s="2"/>
      <c r="H1714" s="2"/>
      <c r="I1714" s="21"/>
      <c r="J1714" s="21"/>
      <c r="K1714" s="21"/>
    </row>
    <row r="1715" spans="1:11" ht="15.5" x14ac:dyDescent="0.35">
      <c r="A1715" s="472" t="s">
        <v>924</v>
      </c>
      <c r="B1715" s="473">
        <v>2028</v>
      </c>
      <c r="C1715" s="473" t="str">
        <f t="shared" si="45"/>
        <v>San Bernardino_2028</v>
      </c>
      <c r="D1715" s="474">
        <v>348.18301072818559</v>
      </c>
      <c r="E1715" s="2"/>
      <c r="F1715" s="2"/>
      <c r="G1715" s="2"/>
      <c r="H1715" s="2"/>
      <c r="I1715" s="21"/>
      <c r="J1715" s="21"/>
      <c r="K1715" s="21"/>
    </row>
    <row r="1716" spans="1:11" ht="15.5" x14ac:dyDescent="0.35">
      <c r="A1716" s="472" t="s">
        <v>924</v>
      </c>
      <c r="B1716" s="473">
        <v>2029</v>
      </c>
      <c r="C1716" s="473" t="str">
        <f t="shared" si="45"/>
        <v>San Bernardino_2029</v>
      </c>
      <c r="D1716" s="474">
        <v>340.01505842131894</v>
      </c>
      <c r="E1716" s="2"/>
      <c r="F1716" s="2"/>
      <c r="G1716" s="2"/>
      <c r="H1716" s="2"/>
      <c r="I1716" s="21"/>
      <c r="J1716" s="21"/>
      <c r="K1716" s="21"/>
    </row>
    <row r="1717" spans="1:11" ht="15.5" x14ac:dyDescent="0.35">
      <c r="A1717" s="472" t="s">
        <v>924</v>
      </c>
      <c r="B1717" s="473">
        <v>2030</v>
      </c>
      <c r="C1717" s="473" t="str">
        <f t="shared" si="45"/>
        <v>San Bernardino_2030</v>
      </c>
      <c r="D1717" s="474">
        <v>332.76939500102901</v>
      </c>
      <c r="E1717" s="2"/>
      <c r="F1717" s="2"/>
      <c r="G1717" s="2"/>
      <c r="H1717" s="2"/>
      <c r="I1717" s="21"/>
      <c r="J1717" s="21"/>
      <c r="K1717" s="21"/>
    </row>
    <row r="1718" spans="1:11" ht="15.5" x14ac:dyDescent="0.35">
      <c r="A1718" s="472" t="s">
        <v>924</v>
      </c>
      <c r="B1718" s="473">
        <v>2031</v>
      </c>
      <c r="C1718" s="473" t="str">
        <f t="shared" si="45"/>
        <v>San Bernardino_2031</v>
      </c>
      <c r="D1718" s="474">
        <v>326.68078482664765</v>
      </c>
      <c r="E1718" s="2"/>
      <c r="F1718" s="2"/>
      <c r="G1718" s="2"/>
      <c r="H1718" s="2"/>
      <c r="I1718" s="21"/>
      <c r="J1718" s="21"/>
      <c r="K1718" s="21"/>
    </row>
    <row r="1719" spans="1:11" ht="15.5" x14ac:dyDescent="0.35">
      <c r="A1719" s="472" t="s">
        <v>924</v>
      </c>
      <c r="B1719" s="473">
        <v>2032</v>
      </c>
      <c r="C1719" s="473" t="str">
        <f t="shared" si="45"/>
        <v>San Bernardino_2032</v>
      </c>
      <c r="D1719" s="474">
        <v>321.02576286094188</v>
      </c>
      <c r="E1719" s="2"/>
      <c r="F1719" s="2"/>
      <c r="G1719" s="2"/>
      <c r="H1719" s="2"/>
      <c r="I1719" s="21"/>
      <c r="J1719" s="21"/>
      <c r="K1719" s="21"/>
    </row>
    <row r="1720" spans="1:11" ht="15.5" x14ac:dyDescent="0.35">
      <c r="A1720" s="472" t="s">
        <v>924</v>
      </c>
      <c r="B1720" s="473">
        <v>2033</v>
      </c>
      <c r="C1720" s="473" t="str">
        <f t="shared" si="45"/>
        <v>San Bernardino_2033</v>
      </c>
      <c r="D1720" s="474">
        <v>316.058120565808</v>
      </c>
      <c r="E1720" s="2"/>
      <c r="F1720" s="2"/>
      <c r="G1720" s="2"/>
      <c r="H1720" s="2"/>
      <c r="I1720" s="21"/>
      <c r="J1720" s="21"/>
      <c r="K1720" s="21"/>
    </row>
    <row r="1721" spans="1:11" ht="15.5" x14ac:dyDescent="0.35">
      <c r="A1721" s="472" t="s">
        <v>924</v>
      </c>
      <c r="B1721" s="473">
        <v>2034</v>
      </c>
      <c r="C1721" s="473" t="str">
        <f t="shared" si="45"/>
        <v>San Bernardino_2034</v>
      </c>
      <c r="D1721" s="474">
        <v>311.70775256852755</v>
      </c>
      <c r="E1721" s="2"/>
      <c r="F1721" s="2"/>
      <c r="G1721" s="2"/>
      <c r="H1721" s="2"/>
      <c r="I1721" s="21"/>
      <c r="J1721" s="21"/>
      <c r="K1721" s="21"/>
    </row>
    <row r="1722" spans="1:11" ht="15.5" x14ac:dyDescent="0.35">
      <c r="A1722" s="472" t="s">
        <v>924</v>
      </c>
      <c r="B1722" s="473">
        <v>2035</v>
      </c>
      <c r="C1722" s="473" t="str">
        <f t="shared" si="45"/>
        <v>San Bernardino_2035</v>
      </c>
      <c r="D1722" s="474">
        <v>307.92864001532843</v>
      </c>
      <c r="E1722" s="2"/>
      <c r="F1722" s="2"/>
      <c r="G1722" s="2"/>
      <c r="H1722" s="2"/>
      <c r="I1722" s="21"/>
      <c r="J1722" s="21"/>
      <c r="K1722" s="21"/>
    </row>
    <row r="1723" spans="1:11" ht="15.5" x14ac:dyDescent="0.35">
      <c r="A1723" s="472" t="s">
        <v>924</v>
      </c>
      <c r="B1723" s="473">
        <v>2036</v>
      </c>
      <c r="C1723" s="473" t="str">
        <f t="shared" si="45"/>
        <v>San Bernardino_2036</v>
      </c>
      <c r="D1723" s="474">
        <v>304.6575768406363</v>
      </c>
      <c r="E1723" s="2"/>
      <c r="F1723" s="2"/>
      <c r="G1723" s="2"/>
      <c r="H1723" s="2"/>
      <c r="I1723" s="21"/>
      <c r="J1723" s="21"/>
      <c r="K1723" s="21"/>
    </row>
    <row r="1724" spans="1:11" ht="15.5" x14ac:dyDescent="0.35">
      <c r="A1724" s="472" t="s">
        <v>924</v>
      </c>
      <c r="B1724" s="473">
        <v>2037</v>
      </c>
      <c r="C1724" s="473" t="str">
        <f t="shared" si="45"/>
        <v>San Bernardino_2037</v>
      </c>
      <c r="D1724" s="474">
        <v>301.85390663536435</v>
      </c>
      <c r="E1724" s="2"/>
      <c r="F1724" s="2"/>
      <c r="G1724" s="2"/>
      <c r="H1724" s="2"/>
      <c r="I1724" s="21"/>
      <c r="J1724" s="21"/>
      <c r="K1724" s="21"/>
    </row>
    <row r="1725" spans="1:11" ht="15.5" x14ac:dyDescent="0.35">
      <c r="A1725" s="472" t="s">
        <v>924</v>
      </c>
      <c r="B1725" s="473">
        <v>2038</v>
      </c>
      <c r="C1725" s="473" t="str">
        <f t="shared" si="45"/>
        <v>San Bernardino_2038</v>
      </c>
      <c r="D1725" s="474">
        <v>299.47116053448946</v>
      </c>
      <c r="E1725" s="2"/>
      <c r="F1725" s="2"/>
      <c r="G1725" s="2"/>
      <c r="H1725" s="2"/>
      <c r="I1725" s="21"/>
      <c r="J1725" s="21"/>
      <c r="K1725" s="21"/>
    </row>
    <row r="1726" spans="1:11" ht="15.5" x14ac:dyDescent="0.35">
      <c r="A1726" s="472" t="s">
        <v>924</v>
      </c>
      <c r="B1726" s="473">
        <v>2039</v>
      </c>
      <c r="C1726" s="473" t="str">
        <f t="shared" si="45"/>
        <v>San Bernardino_2039</v>
      </c>
      <c r="D1726" s="474">
        <v>297.45121283539964</v>
      </c>
      <c r="E1726" s="2"/>
      <c r="F1726" s="2"/>
      <c r="G1726" s="2"/>
      <c r="H1726" s="2"/>
      <c r="I1726" s="21"/>
      <c r="J1726" s="21"/>
      <c r="K1726" s="21"/>
    </row>
    <row r="1727" spans="1:11" ht="15.5" x14ac:dyDescent="0.35">
      <c r="A1727" s="472" t="s">
        <v>924</v>
      </c>
      <c r="B1727" s="473">
        <v>2040</v>
      </c>
      <c r="C1727" s="473" t="str">
        <f t="shared" si="45"/>
        <v>San Bernardino_2040</v>
      </c>
      <c r="D1727" s="474">
        <v>295.75446299229441</v>
      </c>
      <c r="E1727" s="2"/>
      <c r="F1727" s="2"/>
      <c r="G1727" s="2"/>
      <c r="H1727" s="2"/>
      <c r="I1727" s="21"/>
      <c r="J1727" s="21"/>
      <c r="K1727" s="21"/>
    </row>
    <row r="1728" spans="1:11" ht="15.5" x14ac:dyDescent="0.35">
      <c r="A1728" s="472" t="s">
        <v>924</v>
      </c>
      <c r="B1728" s="473">
        <v>2041</v>
      </c>
      <c r="C1728" s="473" t="str">
        <f t="shared" si="45"/>
        <v>San Bernardino_2041</v>
      </c>
      <c r="D1728" s="474">
        <v>294.35379229723395</v>
      </c>
      <c r="E1728" s="2"/>
      <c r="F1728" s="2"/>
      <c r="G1728" s="2"/>
      <c r="H1728" s="2"/>
      <c r="I1728" s="21"/>
      <c r="J1728" s="21"/>
      <c r="K1728" s="21"/>
    </row>
    <row r="1729" spans="1:11" ht="15.5" x14ac:dyDescent="0.35">
      <c r="A1729" s="472" t="s">
        <v>924</v>
      </c>
      <c r="B1729" s="473">
        <v>2042</v>
      </c>
      <c r="C1729" s="473" t="str">
        <f t="shared" si="45"/>
        <v>San Bernardino_2042</v>
      </c>
      <c r="D1729" s="474">
        <v>293.17969066807865</v>
      </c>
      <c r="E1729" s="2"/>
      <c r="F1729" s="2"/>
      <c r="G1729" s="2"/>
      <c r="H1729" s="2"/>
      <c r="I1729" s="21"/>
      <c r="J1729" s="21"/>
      <c r="K1729" s="21"/>
    </row>
    <row r="1730" spans="1:11" ht="15.5" x14ac:dyDescent="0.35">
      <c r="A1730" s="472" t="s">
        <v>924</v>
      </c>
      <c r="B1730" s="473">
        <v>2043</v>
      </c>
      <c r="C1730" s="473" t="str">
        <f t="shared" si="45"/>
        <v>San Bernardino_2043</v>
      </c>
      <c r="D1730" s="474">
        <v>292.21336400026951</v>
      </c>
      <c r="E1730" s="2"/>
      <c r="F1730" s="2"/>
      <c r="G1730" s="2"/>
      <c r="H1730" s="2"/>
      <c r="I1730" s="21"/>
      <c r="J1730" s="21"/>
      <c r="K1730" s="21"/>
    </row>
    <row r="1731" spans="1:11" ht="15.5" x14ac:dyDescent="0.35">
      <c r="A1731" s="472" t="s">
        <v>924</v>
      </c>
      <c r="B1731" s="473">
        <v>2044</v>
      </c>
      <c r="C1731" s="473" t="str">
        <f t="shared" si="45"/>
        <v>San Bernardino_2044</v>
      </c>
      <c r="D1731" s="474">
        <v>291.4056527384671</v>
      </c>
      <c r="E1731" s="2"/>
      <c r="F1731" s="2"/>
      <c r="G1731" s="2"/>
      <c r="H1731" s="2"/>
      <c r="I1731" s="21"/>
      <c r="J1731" s="21"/>
      <c r="K1731" s="21"/>
    </row>
    <row r="1732" spans="1:11" ht="15.5" x14ac:dyDescent="0.35">
      <c r="A1732" s="472" t="s">
        <v>924</v>
      </c>
      <c r="B1732" s="473">
        <v>2045</v>
      </c>
      <c r="C1732" s="473" t="str">
        <f t="shared" si="45"/>
        <v>San Bernardino_2045</v>
      </c>
      <c r="D1732" s="474">
        <v>290.71874992899166</v>
      </c>
      <c r="E1732" s="2"/>
      <c r="F1732" s="2"/>
      <c r="G1732" s="2"/>
      <c r="H1732" s="2"/>
      <c r="I1732" s="21"/>
      <c r="J1732" s="21"/>
      <c r="K1732" s="21"/>
    </row>
    <row r="1733" spans="1:11" ht="15.5" x14ac:dyDescent="0.35">
      <c r="A1733" s="472" t="s">
        <v>924</v>
      </c>
      <c r="B1733" s="473">
        <v>2046</v>
      </c>
      <c r="C1733" s="473" t="str">
        <f t="shared" si="45"/>
        <v>San Bernardino_2046</v>
      </c>
      <c r="D1733" s="474">
        <v>290.14148482298214</v>
      </c>
      <c r="E1733" s="2"/>
      <c r="F1733" s="2"/>
      <c r="G1733" s="2"/>
      <c r="H1733" s="2"/>
      <c r="I1733" s="21"/>
      <c r="J1733" s="21"/>
      <c r="K1733" s="21"/>
    </row>
    <row r="1734" spans="1:11" ht="15.5" x14ac:dyDescent="0.35">
      <c r="A1734" s="472" t="s">
        <v>924</v>
      </c>
      <c r="B1734" s="473">
        <v>2047</v>
      </c>
      <c r="C1734" s="473" t="str">
        <f t="shared" si="45"/>
        <v>San Bernardino_2047</v>
      </c>
      <c r="D1734" s="474">
        <v>289.65484769110225</v>
      </c>
      <c r="E1734" s="2"/>
      <c r="F1734" s="2"/>
      <c r="G1734" s="2"/>
      <c r="H1734" s="2"/>
      <c r="I1734" s="21"/>
      <c r="J1734" s="21"/>
      <c r="K1734" s="21"/>
    </row>
    <row r="1735" spans="1:11" ht="15.5" x14ac:dyDescent="0.35">
      <c r="A1735" s="472" t="s">
        <v>924</v>
      </c>
      <c r="B1735" s="473">
        <v>2048</v>
      </c>
      <c r="C1735" s="473" t="str">
        <f t="shared" si="45"/>
        <v>San Bernardino_2048</v>
      </c>
      <c r="D1735" s="474">
        <v>289.24251238116341</v>
      </c>
      <c r="E1735" s="2"/>
      <c r="F1735" s="2"/>
      <c r="G1735" s="2"/>
      <c r="H1735" s="2"/>
      <c r="I1735" s="21"/>
      <c r="J1735" s="21"/>
      <c r="K1735" s="21"/>
    </row>
    <row r="1736" spans="1:11" ht="15.5" x14ac:dyDescent="0.35">
      <c r="A1736" s="472" t="s">
        <v>924</v>
      </c>
      <c r="B1736" s="473">
        <v>2049</v>
      </c>
      <c r="C1736" s="473" t="str">
        <f t="shared" si="45"/>
        <v>San Bernardino_2049</v>
      </c>
      <c r="D1736" s="474">
        <v>288.88771073097848</v>
      </c>
      <c r="E1736" s="2"/>
      <c r="F1736" s="2"/>
      <c r="G1736" s="2"/>
      <c r="H1736" s="2"/>
      <c r="I1736" s="21"/>
      <c r="J1736" s="21"/>
      <c r="K1736" s="21"/>
    </row>
    <row r="1737" spans="1:11" ht="15.5" x14ac:dyDescent="0.35">
      <c r="A1737" s="472" t="s">
        <v>924</v>
      </c>
      <c r="B1737" s="473">
        <v>2050</v>
      </c>
      <c r="C1737" s="473" t="str">
        <f t="shared" si="45"/>
        <v>San Bernardino_2050</v>
      </c>
      <c r="D1737" s="474">
        <v>288.60157742050541</v>
      </c>
      <c r="E1737" s="2"/>
      <c r="F1737" s="2"/>
      <c r="G1737" s="2"/>
      <c r="H1737" s="2"/>
      <c r="I1737" s="21"/>
      <c r="J1737" s="21"/>
      <c r="K1737" s="21"/>
    </row>
    <row r="1738" spans="1:11" ht="15.5" x14ac:dyDescent="0.35">
      <c r="A1738" s="477" t="s">
        <v>927</v>
      </c>
      <c r="B1738" s="476">
        <v>2015</v>
      </c>
      <c r="C1738" s="476" t="str">
        <f t="shared" si="45"/>
        <v>San Diego (Air Basin)_2015</v>
      </c>
      <c r="D1738" s="471">
        <v>504.85258869878572</v>
      </c>
      <c r="E1738" s="2"/>
      <c r="F1738" s="2"/>
      <c r="G1738" s="2"/>
      <c r="H1738" s="2"/>
      <c r="I1738" s="21"/>
      <c r="J1738" s="21"/>
      <c r="K1738" s="21"/>
    </row>
    <row r="1739" spans="1:11" ht="15.5" x14ac:dyDescent="0.35">
      <c r="A1739" s="475" t="s">
        <v>927</v>
      </c>
      <c r="B1739" s="476">
        <v>2016</v>
      </c>
      <c r="C1739" s="476" t="str">
        <f t="shared" si="45"/>
        <v>San Diego (Air Basin)_2016</v>
      </c>
      <c r="D1739" s="471">
        <v>494.72635886924218</v>
      </c>
      <c r="E1739" s="2"/>
      <c r="F1739" s="2"/>
      <c r="G1739" s="2"/>
      <c r="H1739" s="2"/>
      <c r="I1739" s="21"/>
      <c r="J1739" s="21"/>
      <c r="K1739" s="21"/>
    </row>
    <row r="1740" spans="1:11" ht="15.5" x14ac:dyDescent="0.35">
      <c r="A1740" s="477" t="s">
        <v>927</v>
      </c>
      <c r="B1740" s="478">
        <v>2017</v>
      </c>
      <c r="C1740" s="478" t="str">
        <f t="shared" si="45"/>
        <v>San Diego (Air Basin)_2017</v>
      </c>
      <c r="D1740" s="474">
        <v>482.78026600294794</v>
      </c>
      <c r="E1740" s="2"/>
      <c r="F1740" s="2"/>
      <c r="G1740" s="2"/>
      <c r="H1740" s="2"/>
      <c r="I1740" s="21"/>
      <c r="J1740" s="21"/>
      <c r="K1740" s="21"/>
    </row>
    <row r="1741" spans="1:11" ht="15.5" x14ac:dyDescent="0.35">
      <c r="A1741" s="477" t="s">
        <v>927</v>
      </c>
      <c r="B1741" s="478">
        <v>2018</v>
      </c>
      <c r="C1741" s="478" t="str">
        <f t="shared" si="45"/>
        <v>San Diego (Air Basin)_2018</v>
      </c>
      <c r="D1741" s="474">
        <v>470.27751018750115</v>
      </c>
      <c r="E1741" s="2"/>
      <c r="F1741" s="2"/>
      <c r="G1741" s="2"/>
      <c r="H1741" s="2"/>
      <c r="I1741" s="21"/>
      <c r="J1741" s="21"/>
      <c r="K1741" s="21"/>
    </row>
    <row r="1742" spans="1:11" ht="15.5" x14ac:dyDescent="0.35">
      <c r="A1742" s="477" t="s">
        <v>927</v>
      </c>
      <c r="B1742" s="478">
        <v>2019</v>
      </c>
      <c r="C1742" s="478" t="str">
        <f t="shared" si="45"/>
        <v>San Diego (Air Basin)_2019</v>
      </c>
      <c r="D1742" s="474">
        <v>457.39963513622951</v>
      </c>
      <c r="E1742" s="2"/>
      <c r="F1742" s="2"/>
      <c r="G1742" s="2"/>
      <c r="H1742" s="2"/>
      <c r="I1742" s="21"/>
      <c r="J1742" s="21"/>
      <c r="K1742" s="21"/>
    </row>
    <row r="1743" spans="1:11" ht="15.5" x14ac:dyDescent="0.35">
      <c r="A1743" s="477" t="s">
        <v>927</v>
      </c>
      <c r="B1743" s="478">
        <v>2020</v>
      </c>
      <c r="C1743" s="478" t="str">
        <f t="shared" si="45"/>
        <v>San Diego (Air Basin)_2020</v>
      </c>
      <c r="D1743" s="474">
        <v>444.28927589004707</v>
      </c>
      <c r="E1743" s="2"/>
      <c r="F1743" s="2"/>
      <c r="G1743" s="2"/>
      <c r="H1743" s="2"/>
      <c r="I1743" s="21"/>
      <c r="J1743" s="21"/>
      <c r="K1743" s="21"/>
    </row>
    <row r="1744" spans="1:11" ht="15.5" x14ac:dyDescent="0.35">
      <c r="A1744" s="477" t="s">
        <v>927</v>
      </c>
      <c r="B1744" s="478">
        <v>2021</v>
      </c>
      <c r="C1744" s="478" t="str">
        <f t="shared" si="45"/>
        <v>San Diego (Air Basin)_2021</v>
      </c>
      <c r="D1744" s="474">
        <v>431.41512012465296</v>
      </c>
      <c r="E1744" s="2"/>
      <c r="F1744" s="2"/>
      <c r="G1744" s="2"/>
      <c r="H1744" s="2"/>
      <c r="I1744" s="21"/>
      <c r="J1744" s="21"/>
      <c r="K1744" s="21"/>
    </row>
    <row r="1745" spans="1:11" ht="15.5" x14ac:dyDescent="0.35">
      <c r="A1745" s="477" t="s">
        <v>927</v>
      </c>
      <c r="B1745" s="478">
        <v>2022</v>
      </c>
      <c r="C1745" s="478" t="str">
        <f t="shared" si="45"/>
        <v>San Diego (Air Basin)_2022</v>
      </c>
      <c r="D1745" s="474">
        <v>418.36059543748041</v>
      </c>
      <c r="E1745" s="2"/>
      <c r="F1745" s="2"/>
      <c r="G1745" s="2"/>
      <c r="H1745" s="2"/>
      <c r="I1745" s="21"/>
      <c r="J1745" s="21"/>
      <c r="K1745" s="21"/>
    </row>
    <row r="1746" spans="1:11" ht="15.5" x14ac:dyDescent="0.35">
      <c r="A1746" s="477" t="s">
        <v>927</v>
      </c>
      <c r="B1746" s="478">
        <v>2023</v>
      </c>
      <c r="C1746" s="478" t="str">
        <f t="shared" si="45"/>
        <v>San Diego (Air Basin)_2023</v>
      </c>
      <c r="D1746" s="474">
        <v>405.41543700873558</v>
      </c>
      <c r="E1746" s="2"/>
      <c r="F1746" s="2"/>
      <c r="G1746" s="2"/>
      <c r="H1746" s="2"/>
      <c r="I1746" s="21"/>
      <c r="J1746" s="21"/>
      <c r="K1746" s="21"/>
    </row>
    <row r="1747" spans="1:11" ht="15.5" x14ac:dyDescent="0.35">
      <c r="A1747" s="477" t="s">
        <v>927</v>
      </c>
      <c r="B1747" s="478">
        <v>2024</v>
      </c>
      <c r="C1747" s="478" t="str">
        <f t="shared" si="45"/>
        <v>San Diego (Air Basin)_2024</v>
      </c>
      <c r="D1747" s="474">
        <v>392.64281039178741</v>
      </c>
      <c r="E1747" s="2"/>
      <c r="F1747" s="2"/>
      <c r="G1747" s="2"/>
      <c r="H1747" s="2"/>
      <c r="I1747" s="21"/>
      <c r="J1747" s="21"/>
      <c r="K1747" s="21"/>
    </row>
    <row r="1748" spans="1:11" ht="15.5" x14ac:dyDescent="0.35">
      <c r="A1748" s="477" t="s">
        <v>927</v>
      </c>
      <c r="B1748" s="478">
        <v>2025</v>
      </c>
      <c r="C1748" s="478" t="str">
        <f t="shared" si="45"/>
        <v>San Diego (Air Basin)_2025</v>
      </c>
      <c r="D1748" s="474">
        <v>380.01077101975994</v>
      </c>
      <c r="E1748" s="2"/>
      <c r="F1748" s="2"/>
      <c r="G1748" s="2"/>
      <c r="H1748" s="2"/>
      <c r="I1748" s="21"/>
      <c r="J1748" s="21"/>
      <c r="K1748" s="21"/>
    </row>
    <row r="1749" spans="1:11" ht="15.5" x14ac:dyDescent="0.35">
      <c r="A1749" s="477" t="s">
        <v>927</v>
      </c>
      <c r="B1749" s="478">
        <v>2026</v>
      </c>
      <c r="C1749" s="478" t="str">
        <f t="shared" si="45"/>
        <v>San Diego (Air Basin)_2026</v>
      </c>
      <c r="D1749" s="474">
        <v>368.65977153061357</v>
      </c>
      <c r="E1749" s="2"/>
      <c r="F1749" s="2"/>
      <c r="G1749" s="2"/>
      <c r="H1749" s="2"/>
      <c r="I1749" s="21"/>
      <c r="J1749" s="21"/>
      <c r="K1749" s="21"/>
    </row>
    <row r="1750" spans="1:11" ht="15.5" x14ac:dyDescent="0.35">
      <c r="A1750" s="477" t="s">
        <v>927</v>
      </c>
      <c r="B1750" s="478">
        <v>2027</v>
      </c>
      <c r="C1750" s="478" t="str">
        <f t="shared" si="45"/>
        <v>San Diego (Air Basin)_2027</v>
      </c>
      <c r="D1750" s="474">
        <v>358.4144642777581</v>
      </c>
      <c r="E1750" s="2"/>
      <c r="F1750" s="2"/>
      <c r="G1750" s="2"/>
      <c r="H1750" s="2"/>
      <c r="I1750" s="21"/>
      <c r="J1750" s="21"/>
      <c r="K1750" s="21"/>
    </row>
    <row r="1751" spans="1:11" ht="15.5" x14ac:dyDescent="0.35">
      <c r="A1751" s="477" t="s">
        <v>927</v>
      </c>
      <c r="B1751" s="478">
        <v>2028</v>
      </c>
      <c r="C1751" s="478" t="str">
        <f t="shared" si="45"/>
        <v>San Diego (Air Basin)_2028</v>
      </c>
      <c r="D1751" s="474">
        <v>349.26892391873054</v>
      </c>
      <c r="E1751" s="2"/>
      <c r="F1751" s="2"/>
      <c r="G1751" s="2"/>
      <c r="H1751" s="2"/>
      <c r="I1751" s="21"/>
      <c r="J1751" s="21"/>
      <c r="K1751" s="21"/>
    </row>
    <row r="1752" spans="1:11" ht="15.5" x14ac:dyDescent="0.35">
      <c r="A1752" s="477" t="s">
        <v>927</v>
      </c>
      <c r="B1752" s="478">
        <v>2029</v>
      </c>
      <c r="C1752" s="478" t="str">
        <f t="shared" si="45"/>
        <v>San Diego (Air Basin)_2029</v>
      </c>
      <c r="D1752" s="474">
        <v>341.1170678729855</v>
      </c>
      <c r="E1752" s="2"/>
      <c r="F1752" s="2"/>
      <c r="G1752" s="2"/>
      <c r="H1752" s="2"/>
      <c r="I1752" s="21"/>
      <c r="J1752" s="21"/>
      <c r="K1752" s="21"/>
    </row>
    <row r="1753" spans="1:11" ht="15.5" x14ac:dyDescent="0.35">
      <c r="A1753" s="477" t="s">
        <v>927</v>
      </c>
      <c r="B1753" s="478">
        <v>2030</v>
      </c>
      <c r="C1753" s="478" t="str">
        <f t="shared" si="45"/>
        <v>San Diego (Air Basin)_2030</v>
      </c>
      <c r="D1753" s="474">
        <v>333.88728677430566</v>
      </c>
      <c r="E1753" s="2"/>
      <c r="F1753" s="2"/>
      <c r="G1753" s="2"/>
      <c r="H1753" s="2"/>
      <c r="I1753" s="21"/>
      <c r="J1753" s="21"/>
      <c r="K1753" s="21"/>
    </row>
    <row r="1754" spans="1:11" ht="15.5" x14ac:dyDescent="0.35">
      <c r="A1754" s="477" t="s">
        <v>927</v>
      </c>
      <c r="B1754" s="478">
        <v>2031</v>
      </c>
      <c r="C1754" s="478" t="str">
        <f t="shared" si="45"/>
        <v>San Diego (Air Basin)_2031</v>
      </c>
      <c r="D1754" s="474">
        <v>327.51052283169111</v>
      </c>
      <c r="E1754" s="2"/>
      <c r="F1754" s="2"/>
      <c r="G1754" s="2"/>
      <c r="H1754" s="2"/>
      <c r="I1754" s="21"/>
      <c r="J1754" s="21"/>
      <c r="K1754" s="21"/>
    </row>
    <row r="1755" spans="1:11" ht="15.5" x14ac:dyDescent="0.35">
      <c r="A1755" s="477" t="s">
        <v>927</v>
      </c>
      <c r="B1755" s="478">
        <v>2032</v>
      </c>
      <c r="C1755" s="478" t="str">
        <f t="shared" si="45"/>
        <v>San Diego (Air Basin)_2032</v>
      </c>
      <c r="D1755" s="474">
        <v>321.91278125793684</v>
      </c>
      <c r="E1755" s="2"/>
      <c r="F1755" s="2"/>
      <c r="G1755" s="2"/>
      <c r="H1755" s="2"/>
      <c r="I1755" s="21"/>
      <c r="J1755" s="21"/>
      <c r="K1755" s="21"/>
    </row>
    <row r="1756" spans="1:11" ht="15.5" x14ac:dyDescent="0.35">
      <c r="A1756" s="477" t="s">
        <v>927</v>
      </c>
      <c r="B1756" s="478">
        <v>2033</v>
      </c>
      <c r="C1756" s="478" t="str">
        <f t="shared" si="45"/>
        <v>San Diego (Air Basin)_2033</v>
      </c>
      <c r="D1756" s="474">
        <v>317.03227348632032</v>
      </c>
      <c r="E1756" s="2"/>
      <c r="F1756" s="2"/>
      <c r="G1756" s="2"/>
      <c r="H1756" s="2"/>
      <c r="I1756" s="21"/>
      <c r="J1756" s="21"/>
      <c r="K1756" s="21"/>
    </row>
    <row r="1757" spans="1:11" ht="15.5" x14ac:dyDescent="0.35">
      <c r="A1757" s="477" t="s">
        <v>927</v>
      </c>
      <c r="B1757" s="478">
        <v>2034</v>
      </c>
      <c r="C1757" s="478" t="str">
        <f t="shared" si="45"/>
        <v>San Diego (Air Basin)_2034</v>
      </c>
      <c r="D1757" s="474">
        <v>312.80098856425207</v>
      </c>
      <c r="E1757" s="2"/>
      <c r="F1757" s="2"/>
      <c r="G1757" s="2"/>
      <c r="H1757" s="2"/>
      <c r="I1757" s="21"/>
      <c r="J1757" s="21"/>
      <c r="K1757" s="21"/>
    </row>
    <row r="1758" spans="1:11" ht="15.5" x14ac:dyDescent="0.35">
      <c r="A1758" s="477" t="s">
        <v>927</v>
      </c>
      <c r="B1758" s="478">
        <v>2035</v>
      </c>
      <c r="C1758" s="478" t="str">
        <f t="shared" si="45"/>
        <v>San Diego (Air Basin)_2035</v>
      </c>
      <c r="D1758" s="474">
        <v>309.1689264825053</v>
      </c>
      <c r="E1758" s="2"/>
      <c r="F1758" s="2"/>
      <c r="G1758" s="2"/>
      <c r="H1758" s="2"/>
      <c r="I1758" s="21"/>
      <c r="J1758" s="21"/>
      <c r="K1758" s="21"/>
    </row>
    <row r="1759" spans="1:11" ht="15.5" x14ac:dyDescent="0.35">
      <c r="A1759" s="477" t="s">
        <v>927</v>
      </c>
      <c r="B1759" s="478">
        <v>2036</v>
      </c>
      <c r="C1759" s="478" t="str">
        <f t="shared" si="45"/>
        <v>San Diego (Air Basin)_2036</v>
      </c>
      <c r="D1759" s="474">
        <v>306.06913986634243</v>
      </c>
      <c r="E1759" s="2"/>
      <c r="F1759" s="2"/>
      <c r="G1759" s="2"/>
      <c r="H1759" s="2"/>
      <c r="I1759" s="21"/>
      <c r="J1759" s="21"/>
      <c r="K1759" s="21"/>
    </row>
    <row r="1760" spans="1:11" ht="15.5" x14ac:dyDescent="0.35">
      <c r="A1760" s="477" t="s">
        <v>927</v>
      </c>
      <c r="B1760" s="478">
        <v>2037</v>
      </c>
      <c r="C1760" s="478" t="str">
        <f t="shared" si="45"/>
        <v>San Diego (Air Basin)_2037</v>
      </c>
      <c r="D1760" s="474">
        <v>303.4530064261055</v>
      </c>
      <c r="E1760" s="2"/>
      <c r="F1760" s="2"/>
      <c r="G1760" s="2"/>
      <c r="H1760" s="2"/>
      <c r="I1760" s="21"/>
      <c r="J1760" s="21"/>
      <c r="K1760" s="21"/>
    </row>
    <row r="1761" spans="1:11" ht="15.5" x14ac:dyDescent="0.35">
      <c r="A1761" s="477" t="s">
        <v>927</v>
      </c>
      <c r="B1761" s="478">
        <v>2038</v>
      </c>
      <c r="C1761" s="478" t="str">
        <f t="shared" si="45"/>
        <v>San Diego (Air Basin)_2038</v>
      </c>
      <c r="D1761" s="474">
        <v>301.25809696784592</v>
      </c>
      <c r="E1761" s="2"/>
      <c r="F1761" s="2"/>
      <c r="G1761" s="2"/>
      <c r="H1761" s="2"/>
      <c r="I1761" s="21"/>
      <c r="J1761" s="21"/>
      <c r="K1761" s="21"/>
    </row>
    <row r="1762" spans="1:11" ht="15.5" x14ac:dyDescent="0.35">
      <c r="A1762" s="477" t="s">
        <v>927</v>
      </c>
      <c r="B1762" s="478">
        <v>2039</v>
      </c>
      <c r="C1762" s="478" t="str">
        <f t="shared" si="45"/>
        <v>San Diego (Air Basin)_2039</v>
      </c>
      <c r="D1762" s="474">
        <v>299.42981405718774</v>
      </c>
      <c r="E1762" s="2"/>
      <c r="F1762" s="2"/>
      <c r="G1762" s="2"/>
      <c r="H1762" s="2"/>
      <c r="I1762" s="21"/>
      <c r="J1762" s="21"/>
      <c r="K1762" s="21"/>
    </row>
    <row r="1763" spans="1:11" ht="15.5" x14ac:dyDescent="0.35">
      <c r="A1763" s="477" t="s">
        <v>927</v>
      </c>
      <c r="B1763" s="478">
        <v>2040</v>
      </c>
      <c r="C1763" s="478" t="str">
        <f t="shared" si="45"/>
        <v>San Diego (Air Basin)_2040</v>
      </c>
      <c r="D1763" s="474">
        <v>297.91365956328985</v>
      </c>
      <c r="E1763" s="2"/>
      <c r="F1763" s="2"/>
      <c r="G1763" s="2"/>
      <c r="H1763" s="2"/>
      <c r="I1763" s="21"/>
      <c r="J1763" s="21"/>
      <c r="K1763" s="21"/>
    </row>
    <row r="1764" spans="1:11" ht="15.5" x14ac:dyDescent="0.35">
      <c r="A1764" s="477" t="s">
        <v>927</v>
      </c>
      <c r="B1764" s="478">
        <v>2041</v>
      </c>
      <c r="C1764" s="478" t="str">
        <f t="shared" si="45"/>
        <v>San Diego (Air Basin)_2041</v>
      </c>
      <c r="D1764" s="474">
        <v>296.67633139241894</v>
      </c>
      <c r="E1764" s="2"/>
      <c r="F1764" s="2"/>
      <c r="G1764" s="2"/>
      <c r="H1764" s="2"/>
      <c r="I1764" s="21"/>
      <c r="J1764" s="21"/>
      <c r="K1764" s="21"/>
    </row>
    <row r="1765" spans="1:11" ht="15.5" x14ac:dyDescent="0.35">
      <c r="A1765" s="477" t="s">
        <v>927</v>
      </c>
      <c r="B1765" s="478">
        <v>2042</v>
      </c>
      <c r="C1765" s="478" t="str">
        <f t="shared" si="45"/>
        <v>San Diego (Air Basin)_2042</v>
      </c>
      <c r="D1765" s="474">
        <v>295.65480167200883</v>
      </c>
      <c r="E1765" s="2"/>
      <c r="F1765" s="2"/>
      <c r="G1765" s="2"/>
      <c r="H1765" s="2"/>
      <c r="I1765" s="21"/>
      <c r="J1765" s="21"/>
      <c r="K1765" s="21"/>
    </row>
    <row r="1766" spans="1:11" ht="15.5" x14ac:dyDescent="0.35">
      <c r="A1766" s="477" t="s">
        <v>927</v>
      </c>
      <c r="B1766" s="478">
        <v>2043</v>
      </c>
      <c r="C1766" s="478" t="str">
        <f t="shared" si="45"/>
        <v>San Diego (Air Basin)_2043</v>
      </c>
      <c r="D1766" s="474">
        <v>294.81934779302259</v>
      </c>
      <c r="E1766" s="2"/>
      <c r="F1766" s="2"/>
      <c r="G1766" s="2"/>
      <c r="H1766" s="2"/>
      <c r="I1766" s="21"/>
      <c r="J1766" s="21"/>
      <c r="K1766" s="21"/>
    </row>
    <row r="1767" spans="1:11" ht="15.5" x14ac:dyDescent="0.35">
      <c r="A1767" s="477" t="s">
        <v>927</v>
      </c>
      <c r="B1767" s="478">
        <v>2044</v>
      </c>
      <c r="C1767" s="478" t="str">
        <f t="shared" si="45"/>
        <v>San Diego (Air Basin)_2044</v>
      </c>
      <c r="D1767" s="474">
        <v>294.13508403149342</v>
      </c>
      <c r="E1767" s="2"/>
      <c r="F1767" s="2"/>
      <c r="G1767" s="2"/>
      <c r="H1767" s="2"/>
      <c r="I1767" s="21"/>
      <c r="J1767" s="21"/>
      <c r="K1767" s="21"/>
    </row>
    <row r="1768" spans="1:11" ht="15.5" x14ac:dyDescent="0.35">
      <c r="A1768" s="477" t="s">
        <v>927</v>
      </c>
      <c r="B1768" s="478">
        <v>2045</v>
      </c>
      <c r="C1768" s="478" t="str">
        <f t="shared" ref="C1768:C1773" si="46">CONCATENATE(A1768,"_",B1768)</f>
        <v>San Diego (Air Basin)_2045</v>
      </c>
      <c r="D1768" s="474">
        <v>293.55818294089227</v>
      </c>
      <c r="E1768" s="2"/>
      <c r="F1768" s="2"/>
      <c r="G1768" s="2"/>
      <c r="H1768" s="2"/>
      <c r="I1768" s="21"/>
      <c r="J1768" s="21"/>
      <c r="K1768" s="21"/>
    </row>
    <row r="1769" spans="1:11" ht="15.5" x14ac:dyDescent="0.35">
      <c r="A1769" s="477" t="s">
        <v>927</v>
      </c>
      <c r="B1769" s="478">
        <v>2046</v>
      </c>
      <c r="C1769" s="478" t="str">
        <f t="shared" si="46"/>
        <v>San Diego (Air Basin)_2046</v>
      </c>
      <c r="D1769" s="474">
        <v>293.0849448976731</v>
      </c>
      <c r="E1769" s="2"/>
      <c r="F1769" s="2"/>
      <c r="G1769" s="2"/>
      <c r="H1769" s="2"/>
      <c r="I1769" s="21"/>
      <c r="J1769" s="21"/>
      <c r="K1769" s="21"/>
    </row>
    <row r="1770" spans="1:11" ht="15.5" x14ac:dyDescent="0.35">
      <c r="A1770" s="477" t="s">
        <v>927</v>
      </c>
      <c r="B1770" s="478">
        <v>2047</v>
      </c>
      <c r="C1770" s="478" t="str">
        <f t="shared" si="46"/>
        <v>San Diego (Air Basin)_2047</v>
      </c>
      <c r="D1770" s="474">
        <v>292.68893755688731</v>
      </c>
      <c r="E1770" s="2"/>
      <c r="F1770" s="2"/>
      <c r="G1770" s="2"/>
      <c r="H1770" s="2"/>
      <c r="I1770" s="21"/>
      <c r="J1770" s="21"/>
      <c r="K1770" s="21"/>
    </row>
    <row r="1771" spans="1:11" ht="15.5" x14ac:dyDescent="0.35">
      <c r="A1771" s="477" t="s">
        <v>927</v>
      </c>
      <c r="B1771" s="478">
        <v>2048</v>
      </c>
      <c r="C1771" s="478" t="str">
        <f t="shared" si="46"/>
        <v>San Diego (Air Basin)_2048</v>
      </c>
      <c r="D1771" s="474">
        <v>292.36136109872297</v>
      </c>
      <c r="E1771" s="2"/>
      <c r="F1771" s="2"/>
      <c r="G1771" s="2"/>
      <c r="H1771" s="2"/>
      <c r="I1771" s="21"/>
      <c r="J1771" s="21"/>
      <c r="K1771" s="21"/>
    </row>
    <row r="1772" spans="1:11" ht="15.5" x14ac:dyDescent="0.35">
      <c r="A1772" s="477" t="s">
        <v>927</v>
      </c>
      <c r="B1772" s="478">
        <v>2049</v>
      </c>
      <c r="C1772" s="478" t="str">
        <f t="shared" si="46"/>
        <v>San Diego (Air Basin)_2049</v>
      </c>
      <c r="D1772" s="474">
        <v>292.08465970517682</v>
      </c>
      <c r="E1772" s="2"/>
      <c r="F1772" s="2"/>
      <c r="G1772" s="2"/>
      <c r="H1772" s="2"/>
      <c r="I1772" s="21"/>
      <c r="J1772" s="21"/>
      <c r="K1772" s="21"/>
    </row>
    <row r="1773" spans="1:11" ht="15.5" x14ac:dyDescent="0.35">
      <c r="A1773" s="477" t="s">
        <v>927</v>
      </c>
      <c r="B1773" s="478">
        <v>2050</v>
      </c>
      <c r="C1773" s="478" t="str">
        <f t="shared" si="46"/>
        <v>San Diego (Air Basin)_2050</v>
      </c>
      <c r="D1773" s="474">
        <v>291.86495038648093</v>
      </c>
      <c r="E1773" s="2"/>
      <c r="F1773" s="2"/>
      <c r="G1773" s="2"/>
      <c r="H1773" s="2"/>
      <c r="I1773" s="21"/>
      <c r="J1773" s="21"/>
      <c r="K1773" s="21"/>
    </row>
    <row r="1774" spans="1:11" ht="15.5" x14ac:dyDescent="0.35">
      <c r="A1774" s="468" t="s">
        <v>928</v>
      </c>
      <c r="B1774" s="469">
        <v>2015</v>
      </c>
      <c r="C1774" s="470" t="s">
        <v>929</v>
      </c>
      <c r="D1774" s="471">
        <v>504.85258872998588</v>
      </c>
      <c r="E1774" s="2"/>
      <c r="F1774" s="2"/>
      <c r="G1774" s="2"/>
      <c r="H1774" s="2"/>
      <c r="I1774" s="21"/>
      <c r="J1774" s="21"/>
      <c r="K1774" s="21"/>
    </row>
    <row r="1775" spans="1:11" ht="15.5" x14ac:dyDescent="0.35">
      <c r="A1775" s="468" t="s">
        <v>928</v>
      </c>
      <c r="B1775" s="469">
        <v>2016</v>
      </c>
      <c r="C1775" s="470" t="s">
        <v>930</v>
      </c>
      <c r="D1775" s="471">
        <v>494.72635880062109</v>
      </c>
      <c r="E1775" s="2"/>
      <c r="F1775" s="2"/>
      <c r="G1775" s="2"/>
      <c r="H1775" s="2"/>
      <c r="I1775" s="21"/>
      <c r="J1775" s="21"/>
      <c r="K1775" s="21"/>
    </row>
    <row r="1776" spans="1:11" ht="15.5" x14ac:dyDescent="0.35">
      <c r="A1776" s="472" t="s">
        <v>928</v>
      </c>
      <c r="B1776" s="473">
        <v>2017</v>
      </c>
      <c r="C1776" s="473" t="str">
        <f t="shared" ref="C1776:C1839" si="47">CONCATENATE(A1776,"_",B1776)</f>
        <v>San Diego_2017</v>
      </c>
      <c r="D1776" s="474">
        <v>482.78026597772077</v>
      </c>
      <c r="E1776" s="2"/>
      <c r="F1776" s="2"/>
      <c r="G1776" s="2"/>
      <c r="H1776" s="2"/>
      <c r="I1776" s="21"/>
      <c r="J1776" s="21"/>
      <c r="K1776" s="21"/>
    </row>
    <row r="1777" spans="1:11" ht="15.5" x14ac:dyDescent="0.35">
      <c r="A1777" s="472" t="s">
        <v>928</v>
      </c>
      <c r="B1777" s="473">
        <v>2018</v>
      </c>
      <c r="C1777" s="473" t="str">
        <f t="shared" si="47"/>
        <v>San Diego_2018</v>
      </c>
      <c r="D1777" s="474">
        <v>470.27751016360332</v>
      </c>
      <c r="E1777" s="2"/>
      <c r="F1777" s="2"/>
      <c r="G1777" s="2"/>
      <c r="H1777" s="2"/>
      <c r="I1777" s="21"/>
      <c r="J1777" s="21"/>
      <c r="K1777" s="21"/>
    </row>
    <row r="1778" spans="1:11" ht="15.5" x14ac:dyDescent="0.35">
      <c r="A1778" s="472" t="s">
        <v>928</v>
      </c>
      <c r="B1778" s="473">
        <v>2019</v>
      </c>
      <c r="C1778" s="473" t="str">
        <f t="shared" si="47"/>
        <v>San Diego_2019</v>
      </c>
      <c r="D1778" s="474">
        <v>457.39963511520847</v>
      </c>
      <c r="E1778" s="2"/>
      <c r="F1778" s="2"/>
      <c r="G1778" s="2"/>
      <c r="H1778" s="2"/>
      <c r="I1778" s="21"/>
      <c r="J1778" s="21"/>
      <c r="K1778" s="21"/>
    </row>
    <row r="1779" spans="1:11" ht="15.5" x14ac:dyDescent="0.35">
      <c r="A1779" s="472" t="s">
        <v>928</v>
      </c>
      <c r="B1779" s="473">
        <v>2020</v>
      </c>
      <c r="C1779" s="473" t="str">
        <f t="shared" si="47"/>
        <v>San Diego_2020</v>
      </c>
      <c r="D1779" s="474">
        <v>444.28927591596903</v>
      </c>
      <c r="E1779" s="2"/>
      <c r="F1779" s="2"/>
      <c r="G1779" s="2"/>
      <c r="H1779" s="2"/>
      <c r="I1779" s="21"/>
      <c r="J1779" s="21"/>
      <c r="K1779" s="21"/>
    </row>
    <row r="1780" spans="1:11" ht="15.5" x14ac:dyDescent="0.35">
      <c r="A1780" s="472" t="s">
        <v>928</v>
      </c>
      <c r="B1780" s="473">
        <v>2021</v>
      </c>
      <c r="C1780" s="473" t="str">
        <f t="shared" si="47"/>
        <v>San Diego_2021</v>
      </c>
      <c r="D1780" s="474">
        <v>431.41512012682091</v>
      </c>
      <c r="E1780" s="2"/>
      <c r="F1780" s="2"/>
      <c r="G1780" s="2"/>
      <c r="H1780" s="2"/>
      <c r="I1780" s="21"/>
      <c r="J1780" s="21"/>
      <c r="K1780" s="21"/>
    </row>
    <row r="1781" spans="1:11" ht="15.5" x14ac:dyDescent="0.35">
      <c r="A1781" s="472" t="s">
        <v>928</v>
      </c>
      <c r="B1781" s="473">
        <v>2022</v>
      </c>
      <c r="C1781" s="473" t="str">
        <f t="shared" si="47"/>
        <v>San Diego_2022</v>
      </c>
      <c r="D1781" s="474">
        <v>418.36059545416214</v>
      </c>
      <c r="E1781" s="2"/>
      <c r="F1781" s="2"/>
      <c r="G1781" s="2"/>
      <c r="H1781" s="2"/>
      <c r="I1781" s="21"/>
      <c r="J1781" s="21"/>
      <c r="K1781" s="21"/>
    </row>
    <row r="1782" spans="1:11" ht="15.5" x14ac:dyDescent="0.35">
      <c r="A1782" s="472" t="s">
        <v>928</v>
      </c>
      <c r="B1782" s="473">
        <v>2023</v>
      </c>
      <c r="C1782" s="473" t="str">
        <f t="shared" si="47"/>
        <v>San Diego_2023</v>
      </c>
      <c r="D1782" s="474">
        <v>405.41543697763672</v>
      </c>
      <c r="E1782" s="2"/>
      <c r="F1782" s="2"/>
      <c r="G1782" s="2"/>
      <c r="H1782" s="2"/>
      <c r="I1782" s="21"/>
      <c r="J1782" s="21"/>
      <c r="K1782" s="21"/>
    </row>
    <row r="1783" spans="1:11" ht="15.5" x14ac:dyDescent="0.35">
      <c r="A1783" s="472" t="s">
        <v>928</v>
      </c>
      <c r="B1783" s="473">
        <v>2024</v>
      </c>
      <c r="C1783" s="473" t="str">
        <f t="shared" si="47"/>
        <v>San Diego_2024</v>
      </c>
      <c r="D1783" s="474">
        <v>392.64281041891553</v>
      </c>
      <c r="E1783" s="2"/>
      <c r="F1783" s="2"/>
      <c r="G1783" s="2"/>
      <c r="H1783" s="2"/>
      <c r="I1783" s="21"/>
      <c r="J1783" s="21"/>
      <c r="K1783" s="21"/>
    </row>
    <row r="1784" spans="1:11" ht="15.5" x14ac:dyDescent="0.35">
      <c r="A1784" s="472" t="s">
        <v>928</v>
      </c>
      <c r="B1784" s="473">
        <v>2025</v>
      </c>
      <c r="C1784" s="473" t="str">
        <f t="shared" si="47"/>
        <v>San Diego_2025</v>
      </c>
      <c r="D1784" s="474">
        <v>380.01077103443589</v>
      </c>
      <c r="E1784" s="2"/>
      <c r="F1784" s="2"/>
      <c r="G1784" s="2"/>
      <c r="H1784" s="2"/>
      <c r="I1784" s="21"/>
      <c r="J1784" s="21"/>
      <c r="K1784" s="21"/>
    </row>
    <row r="1785" spans="1:11" ht="15.5" x14ac:dyDescent="0.35">
      <c r="A1785" s="472" t="s">
        <v>928</v>
      </c>
      <c r="B1785" s="473">
        <v>2026</v>
      </c>
      <c r="C1785" s="473" t="str">
        <f t="shared" si="47"/>
        <v>San Diego_2026</v>
      </c>
      <c r="D1785" s="474">
        <v>368.65977148240302</v>
      </c>
      <c r="E1785" s="2"/>
      <c r="F1785" s="2"/>
      <c r="G1785" s="2"/>
      <c r="H1785" s="2"/>
      <c r="I1785" s="21"/>
      <c r="J1785" s="21"/>
      <c r="K1785" s="21"/>
    </row>
    <row r="1786" spans="1:11" ht="15.5" x14ac:dyDescent="0.35">
      <c r="A1786" s="472" t="s">
        <v>928</v>
      </c>
      <c r="B1786" s="473">
        <v>2027</v>
      </c>
      <c r="C1786" s="473" t="str">
        <f t="shared" si="47"/>
        <v>San Diego_2027</v>
      </c>
      <c r="D1786" s="474">
        <v>358.41446428437195</v>
      </c>
      <c r="E1786" s="2"/>
      <c r="F1786" s="2"/>
      <c r="G1786" s="2"/>
      <c r="H1786" s="2"/>
      <c r="I1786" s="21"/>
      <c r="J1786" s="21"/>
      <c r="K1786" s="21"/>
    </row>
    <row r="1787" spans="1:11" ht="15.5" x14ac:dyDescent="0.35">
      <c r="A1787" s="472" t="s">
        <v>928</v>
      </c>
      <c r="B1787" s="473">
        <v>2028</v>
      </c>
      <c r="C1787" s="473" t="str">
        <f t="shared" si="47"/>
        <v>San Diego_2028</v>
      </c>
      <c r="D1787" s="474">
        <v>349.26892395076806</v>
      </c>
      <c r="E1787" s="2"/>
      <c r="F1787" s="2"/>
      <c r="G1787" s="2"/>
      <c r="H1787" s="2"/>
      <c r="I1787" s="21"/>
      <c r="J1787" s="21"/>
      <c r="K1787" s="21"/>
    </row>
    <row r="1788" spans="1:11" ht="15.5" x14ac:dyDescent="0.35">
      <c r="A1788" s="472" t="s">
        <v>928</v>
      </c>
      <c r="B1788" s="473">
        <v>2029</v>
      </c>
      <c r="C1788" s="473" t="str">
        <f t="shared" si="47"/>
        <v>San Diego_2029</v>
      </c>
      <c r="D1788" s="474">
        <v>341.11706787947981</v>
      </c>
      <c r="E1788" s="2"/>
      <c r="F1788" s="2"/>
      <c r="G1788" s="2"/>
      <c r="H1788" s="2"/>
      <c r="I1788" s="21"/>
      <c r="J1788" s="21"/>
      <c r="K1788" s="21"/>
    </row>
    <row r="1789" spans="1:11" ht="15.5" x14ac:dyDescent="0.35">
      <c r="A1789" s="472" t="s">
        <v>928</v>
      </c>
      <c r="B1789" s="473">
        <v>2030</v>
      </c>
      <c r="C1789" s="473" t="str">
        <f t="shared" si="47"/>
        <v>San Diego_2030</v>
      </c>
      <c r="D1789" s="474">
        <v>333.88728677501592</v>
      </c>
      <c r="E1789" s="2"/>
      <c r="F1789" s="2"/>
      <c r="G1789" s="2"/>
      <c r="H1789" s="2"/>
      <c r="I1789" s="21"/>
      <c r="J1789" s="21"/>
      <c r="K1789" s="21"/>
    </row>
    <row r="1790" spans="1:11" ht="15.5" x14ac:dyDescent="0.35">
      <c r="A1790" s="472" t="s">
        <v>928</v>
      </c>
      <c r="B1790" s="473">
        <v>2031</v>
      </c>
      <c r="C1790" s="473" t="str">
        <f t="shared" si="47"/>
        <v>San Diego_2031</v>
      </c>
      <c r="D1790" s="474">
        <v>327.51052283542288</v>
      </c>
      <c r="E1790" s="2"/>
      <c r="F1790" s="2"/>
      <c r="G1790" s="2"/>
      <c r="H1790" s="2"/>
      <c r="I1790" s="21"/>
      <c r="J1790" s="21"/>
      <c r="K1790" s="21"/>
    </row>
    <row r="1791" spans="1:11" ht="15.5" x14ac:dyDescent="0.35">
      <c r="A1791" s="472" t="s">
        <v>928</v>
      </c>
      <c r="B1791" s="473">
        <v>2032</v>
      </c>
      <c r="C1791" s="473" t="str">
        <f t="shared" si="47"/>
        <v>San Diego_2032</v>
      </c>
      <c r="D1791" s="474">
        <v>321.9127812657174</v>
      </c>
      <c r="E1791" s="2"/>
      <c r="F1791" s="2"/>
      <c r="G1791" s="2"/>
      <c r="H1791" s="2"/>
      <c r="I1791" s="21"/>
      <c r="J1791" s="21"/>
      <c r="K1791" s="21"/>
    </row>
    <row r="1792" spans="1:11" ht="15.5" x14ac:dyDescent="0.35">
      <c r="A1792" s="472" t="s">
        <v>928</v>
      </c>
      <c r="B1792" s="473">
        <v>2033</v>
      </c>
      <c r="C1792" s="473" t="str">
        <f t="shared" si="47"/>
        <v>San Diego_2033</v>
      </c>
      <c r="D1792" s="474">
        <v>317.03227348758242</v>
      </c>
      <c r="E1792" s="2"/>
      <c r="F1792" s="2"/>
      <c r="G1792" s="2"/>
      <c r="H1792" s="2"/>
      <c r="I1792" s="21"/>
      <c r="J1792" s="21"/>
      <c r="K1792" s="21"/>
    </row>
    <row r="1793" spans="1:11" ht="15.5" x14ac:dyDescent="0.35">
      <c r="A1793" s="472" t="s">
        <v>928</v>
      </c>
      <c r="B1793" s="473">
        <v>2034</v>
      </c>
      <c r="C1793" s="473" t="str">
        <f t="shared" si="47"/>
        <v>San Diego_2034</v>
      </c>
      <c r="D1793" s="474">
        <v>312.8009885617397</v>
      </c>
      <c r="E1793" s="2"/>
      <c r="F1793" s="2"/>
      <c r="G1793" s="2"/>
      <c r="H1793" s="2"/>
      <c r="I1793" s="21"/>
      <c r="J1793" s="21"/>
      <c r="K1793" s="21"/>
    </row>
    <row r="1794" spans="1:11" ht="15.5" x14ac:dyDescent="0.35">
      <c r="A1794" s="472" t="s">
        <v>928</v>
      </c>
      <c r="B1794" s="473">
        <v>2035</v>
      </c>
      <c r="C1794" s="473" t="str">
        <f t="shared" si="47"/>
        <v>San Diego_2035</v>
      </c>
      <c r="D1794" s="474">
        <v>309.16892646626656</v>
      </c>
      <c r="E1794" s="2"/>
      <c r="F1794" s="2"/>
      <c r="G1794" s="2"/>
      <c r="H1794" s="2"/>
      <c r="I1794" s="21"/>
      <c r="J1794" s="21"/>
      <c r="K1794" s="21"/>
    </row>
    <row r="1795" spans="1:11" ht="15.5" x14ac:dyDescent="0.35">
      <c r="A1795" s="472" t="s">
        <v>928</v>
      </c>
      <c r="B1795" s="473">
        <v>2036</v>
      </c>
      <c r="C1795" s="473" t="str">
        <f t="shared" si="47"/>
        <v>San Diego_2036</v>
      </c>
      <c r="D1795" s="474">
        <v>306.06913985956987</v>
      </c>
      <c r="E1795" s="2"/>
      <c r="F1795" s="2"/>
      <c r="G1795" s="2"/>
      <c r="H1795" s="2"/>
      <c r="I1795" s="21"/>
      <c r="J1795" s="21"/>
      <c r="K1795" s="21"/>
    </row>
    <row r="1796" spans="1:11" ht="15.5" x14ac:dyDescent="0.35">
      <c r="A1796" s="472" t="s">
        <v>928</v>
      </c>
      <c r="B1796" s="473">
        <v>2037</v>
      </c>
      <c r="C1796" s="473" t="str">
        <f t="shared" si="47"/>
        <v>San Diego_2037</v>
      </c>
      <c r="D1796" s="474">
        <v>303.45300641730159</v>
      </c>
      <c r="E1796" s="2"/>
      <c r="F1796" s="2"/>
      <c r="G1796" s="2"/>
      <c r="H1796" s="2"/>
      <c r="I1796" s="21"/>
      <c r="J1796" s="21"/>
      <c r="K1796" s="21"/>
    </row>
    <row r="1797" spans="1:11" ht="15.5" x14ac:dyDescent="0.35">
      <c r="A1797" s="472" t="s">
        <v>928</v>
      </c>
      <c r="B1797" s="473">
        <v>2038</v>
      </c>
      <c r="C1797" s="473" t="str">
        <f t="shared" si="47"/>
        <v>San Diego_2038</v>
      </c>
      <c r="D1797" s="474">
        <v>301.25809697163413</v>
      </c>
      <c r="E1797" s="2"/>
      <c r="F1797" s="2"/>
      <c r="G1797" s="2"/>
      <c r="H1797" s="2"/>
      <c r="I1797" s="21"/>
      <c r="J1797" s="21"/>
      <c r="K1797" s="21"/>
    </row>
    <row r="1798" spans="1:11" ht="15.5" x14ac:dyDescent="0.35">
      <c r="A1798" s="472" t="s">
        <v>928</v>
      </c>
      <c r="B1798" s="473">
        <v>2039</v>
      </c>
      <c r="C1798" s="473" t="str">
        <f t="shared" si="47"/>
        <v>San Diego_2039</v>
      </c>
      <c r="D1798" s="474">
        <v>299.42981407600547</v>
      </c>
      <c r="E1798" s="2"/>
      <c r="F1798" s="2"/>
      <c r="G1798" s="2"/>
      <c r="H1798" s="2"/>
      <c r="I1798" s="21"/>
      <c r="J1798" s="21"/>
      <c r="K1798" s="21"/>
    </row>
    <row r="1799" spans="1:11" ht="15.5" x14ac:dyDescent="0.35">
      <c r="A1799" s="472" t="s">
        <v>928</v>
      </c>
      <c r="B1799" s="473">
        <v>2040</v>
      </c>
      <c r="C1799" s="473" t="str">
        <f t="shared" si="47"/>
        <v>San Diego_2040</v>
      </c>
      <c r="D1799" s="474">
        <v>297.9136595364277</v>
      </c>
      <c r="E1799" s="2"/>
      <c r="F1799" s="2"/>
      <c r="G1799" s="2"/>
      <c r="H1799" s="2"/>
      <c r="I1799" s="21"/>
      <c r="J1799" s="21"/>
      <c r="K1799" s="21"/>
    </row>
    <row r="1800" spans="1:11" ht="15.5" x14ac:dyDescent="0.35">
      <c r="A1800" s="472" t="s">
        <v>928</v>
      </c>
      <c r="B1800" s="473">
        <v>2041</v>
      </c>
      <c r="C1800" s="473" t="str">
        <f t="shared" si="47"/>
        <v>San Diego_2041</v>
      </c>
      <c r="D1800" s="474">
        <v>296.67633140969252</v>
      </c>
      <c r="E1800" s="2"/>
      <c r="F1800" s="2"/>
      <c r="G1800" s="2"/>
      <c r="H1800" s="2"/>
      <c r="I1800" s="21"/>
      <c r="J1800" s="21"/>
      <c r="K1800" s="21"/>
    </row>
    <row r="1801" spans="1:11" ht="15.5" x14ac:dyDescent="0.35">
      <c r="A1801" s="472" t="s">
        <v>928</v>
      </c>
      <c r="B1801" s="473">
        <v>2042</v>
      </c>
      <c r="C1801" s="473" t="str">
        <f t="shared" si="47"/>
        <v>San Diego_2042</v>
      </c>
      <c r="D1801" s="474">
        <v>295.65480169758092</v>
      </c>
      <c r="E1801" s="2"/>
      <c r="F1801" s="2"/>
      <c r="G1801" s="2"/>
      <c r="H1801" s="2"/>
      <c r="I1801" s="21"/>
      <c r="J1801" s="21"/>
      <c r="K1801" s="21"/>
    </row>
    <row r="1802" spans="1:11" ht="15.5" x14ac:dyDescent="0.35">
      <c r="A1802" s="472" t="s">
        <v>928</v>
      </c>
      <c r="B1802" s="473">
        <v>2043</v>
      </c>
      <c r="C1802" s="473" t="str">
        <f t="shared" si="47"/>
        <v>San Diego_2043</v>
      </c>
      <c r="D1802" s="474">
        <v>294.81934777453347</v>
      </c>
      <c r="E1802" s="2"/>
      <c r="F1802" s="2"/>
      <c r="G1802" s="2"/>
      <c r="H1802" s="2"/>
      <c r="I1802" s="21"/>
      <c r="J1802" s="21"/>
      <c r="K1802" s="21"/>
    </row>
    <row r="1803" spans="1:11" ht="15.5" x14ac:dyDescent="0.35">
      <c r="A1803" s="472" t="s">
        <v>928</v>
      </c>
      <c r="B1803" s="473">
        <v>2044</v>
      </c>
      <c r="C1803" s="473" t="str">
        <f t="shared" si="47"/>
        <v>San Diego_2044</v>
      </c>
      <c r="D1803" s="474">
        <v>294.13508403712092</v>
      </c>
      <c r="E1803" s="2"/>
      <c r="F1803" s="2"/>
      <c r="G1803" s="2"/>
      <c r="H1803" s="2"/>
      <c r="I1803" s="21"/>
      <c r="J1803" s="21"/>
      <c r="K1803" s="21"/>
    </row>
    <row r="1804" spans="1:11" ht="15.5" x14ac:dyDescent="0.35">
      <c r="A1804" s="472" t="s">
        <v>928</v>
      </c>
      <c r="B1804" s="473">
        <v>2045</v>
      </c>
      <c r="C1804" s="473" t="str">
        <f t="shared" si="47"/>
        <v>San Diego_2045</v>
      </c>
      <c r="D1804" s="474">
        <v>293.55818294656598</v>
      </c>
      <c r="E1804" s="2"/>
      <c r="F1804" s="2"/>
      <c r="G1804" s="2"/>
      <c r="H1804" s="2"/>
      <c r="I1804" s="21"/>
      <c r="J1804" s="21"/>
      <c r="K1804" s="21"/>
    </row>
    <row r="1805" spans="1:11" ht="15.5" x14ac:dyDescent="0.35">
      <c r="A1805" s="472" t="s">
        <v>928</v>
      </c>
      <c r="B1805" s="473">
        <v>2046</v>
      </c>
      <c r="C1805" s="473" t="str">
        <f t="shared" si="47"/>
        <v>San Diego_2046</v>
      </c>
      <c r="D1805" s="474">
        <v>293.08494488209379</v>
      </c>
      <c r="E1805" s="2"/>
      <c r="F1805" s="2"/>
      <c r="G1805" s="2"/>
      <c r="H1805" s="2"/>
      <c r="I1805" s="21"/>
      <c r="J1805" s="21"/>
      <c r="K1805" s="21"/>
    </row>
    <row r="1806" spans="1:11" ht="15.5" x14ac:dyDescent="0.35">
      <c r="A1806" s="472" t="s">
        <v>928</v>
      </c>
      <c r="B1806" s="473">
        <v>2047</v>
      </c>
      <c r="C1806" s="473" t="str">
        <f t="shared" si="47"/>
        <v>San Diego_2047</v>
      </c>
      <c r="D1806" s="474">
        <v>292.68893758324072</v>
      </c>
      <c r="E1806" s="2"/>
      <c r="F1806" s="2"/>
      <c r="G1806" s="2"/>
      <c r="H1806" s="2"/>
      <c r="I1806" s="21"/>
      <c r="J1806" s="21"/>
      <c r="K1806" s="21"/>
    </row>
    <row r="1807" spans="1:11" ht="15.5" x14ac:dyDescent="0.35">
      <c r="A1807" s="472" t="s">
        <v>928</v>
      </c>
      <c r="B1807" s="473">
        <v>2048</v>
      </c>
      <c r="C1807" s="473" t="str">
        <f t="shared" si="47"/>
        <v>San Diego_2048</v>
      </c>
      <c r="D1807" s="474">
        <v>292.36136110347445</v>
      </c>
      <c r="E1807" s="2"/>
      <c r="F1807" s="2"/>
      <c r="G1807" s="2"/>
      <c r="H1807" s="2"/>
      <c r="I1807" s="21"/>
      <c r="J1807" s="21"/>
      <c r="K1807" s="21"/>
    </row>
    <row r="1808" spans="1:11" ht="15.5" x14ac:dyDescent="0.35">
      <c r="A1808" s="472" t="s">
        <v>928</v>
      </c>
      <c r="B1808" s="473">
        <v>2049</v>
      </c>
      <c r="C1808" s="473" t="str">
        <f t="shared" si="47"/>
        <v>San Diego_2049</v>
      </c>
      <c r="D1808" s="474">
        <v>292.08465968592202</v>
      </c>
      <c r="E1808" s="2"/>
      <c r="F1808" s="2"/>
      <c r="G1808" s="2"/>
      <c r="H1808" s="2"/>
      <c r="I1808" s="21"/>
      <c r="J1808" s="21"/>
      <c r="K1808" s="21"/>
    </row>
    <row r="1809" spans="1:11" ht="15.5" x14ac:dyDescent="0.35">
      <c r="A1809" s="472" t="s">
        <v>928</v>
      </c>
      <c r="B1809" s="473">
        <v>2050</v>
      </c>
      <c r="C1809" s="473" t="str">
        <f t="shared" si="47"/>
        <v>San Diego_2050</v>
      </c>
      <c r="D1809" s="474">
        <v>291.86495038385635</v>
      </c>
      <c r="E1809" s="2"/>
      <c r="F1809" s="2"/>
      <c r="G1809" s="2"/>
      <c r="H1809" s="2"/>
      <c r="I1809" s="21"/>
      <c r="J1809" s="21"/>
      <c r="K1809" s="21"/>
    </row>
    <row r="1810" spans="1:11" ht="15.5" x14ac:dyDescent="0.35">
      <c r="A1810" s="475" t="s">
        <v>931</v>
      </c>
      <c r="B1810" s="476">
        <v>2015</v>
      </c>
      <c r="C1810" s="476" t="str">
        <f t="shared" si="47"/>
        <v>San Francisco Bay Area_2015</v>
      </c>
      <c r="D1810" s="471">
        <v>487.38317815751674</v>
      </c>
      <c r="E1810" s="2"/>
      <c r="F1810" s="2"/>
      <c r="G1810" s="2"/>
      <c r="H1810" s="2"/>
      <c r="I1810" s="21"/>
      <c r="J1810" s="21"/>
      <c r="K1810" s="21"/>
    </row>
    <row r="1811" spans="1:11" ht="15.5" x14ac:dyDescent="0.35">
      <c r="A1811" s="475" t="s">
        <v>931</v>
      </c>
      <c r="B1811" s="476">
        <v>2016</v>
      </c>
      <c r="C1811" s="476" t="str">
        <f t="shared" si="47"/>
        <v>San Francisco Bay Area_2016</v>
      </c>
      <c r="D1811" s="471">
        <v>477.45089074526402</v>
      </c>
      <c r="E1811" s="2"/>
      <c r="F1811" s="2"/>
      <c r="G1811" s="2"/>
      <c r="H1811" s="2"/>
      <c r="I1811" s="21"/>
      <c r="J1811" s="21"/>
      <c r="K1811" s="21"/>
    </row>
    <row r="1812" spans="1:11" ht="15.5" x14ac:dyDescent="0.35">
      <c r="A1812" s="477" t="s">
        <v>931</v>
      </c>
      <c r="B1812" s="478">
        <v>2017</v>
      </c>
      <c r="C1812" s="478" t="str">
        <f t="shared" si="47"/>
        <v>San Francisco Bay Area_2017</v>
      </c>
      <c r="D1812" s="474">
        <v>466.68686040236537</v>
      </c>
      <c r="E1812" s="2"/>
      <c r="F1812" s="2"/>
      <c r="G1812" s="2"/>
      <c r="H1812" s="2"/>
      <c r="I1812" s="21"/>
      <c r="J1812" s="21"/>
      <c r="K1812" s="21"/>
    </row>
    <row r="1813" spans="1:11" ht="15.5" x14ac:dyDescent="0.35">
      <c r="A1813" s="477" t="s">
        <v>931</v>
      </c>
      <c r="B1813" s="478">
        <v>2018</v>
      </c>
      <c r="C1813" s="478" t="str">
        <f t="shared" si="47"/>
        <v>San Francisco Bay Area_2018</v>
      </c>
      <c r="D1813" s="474">
        <v>455.25468446718014</v>
      </c>
      <c r="E1813" s="2"/>
      <c r="F1813" s="2"/>
      <c r="G1813" s="2"/>
      <c r="H1813" s="2"/>
      <c r="I1813" s="21"/>
      <c r="J1813" s="21"/>
      <c r="K1813" s="21"/>
    </row>
    <row r="1814" spans="1:11" ht="15.5" x14ac:dyDescent="0.35">
      <c r="A1814" s="477" t="s">
        <v>931</v>
      </c>
      <c r="B1814" s="478">
        <v>2019</v>
      </c>
      <c r="C1814" s="478" t="str">
        <f t="shared" si="47"/>
        <v>San Francisco Bay Area_2019</v>
      </c>
      <c r="D1814" s="474">
        <v>443.42194004403848</v>
      </c>
      <c r="E1814" s="2"/>
      <c r="F1814" s="2"/>
      <c r="G1814" s="2"/>
      <c r="H1814" s="2"/>
      <c r="I1814" s="21"/>
      <c r="J1814" s="21"/>
      <c r="K1814" s="21"/>
    </row>
    <row r="1815" spans="1:11" ht="15.5" x14ac:dyDescent="0.35">
      <c r="A1815" s="477" t="s">
        <v>931</v>
      </c>
      <c r="B1815" s="478">
        <v>2020</v>
      </c>
      <c r="C1815" s="478" t="str">
        <f t="shared" si="47"/>
        <v>San Francisco Bay Area_2020</v>
      </c>
      <c r="D1815" s="474">
        <v>431.32867358854895</v>
      </c>
      <c r="E1815" s="2"/>
      <c r="F1815" s="2"/>
      <c r="G1815" s="2"/>
      <c r="H1815" s="2"/>
      <c r="I1815" s="21"/>
      <c r="J1815" s="21"/>
      <c r="K1815" s="21"/>
    </row>
    <row r="1816" spans="1:11" ht="15.5" x14ac:dyDescent="0.35">
      <c r="A1816" s="477" t="s">
        <v>931</v>
      </c>
      <c r="B1816" s="478">
        <v>2021</v>
      </c>
      <c r="C1816" s="478" t="str">
        <f t="shared" si="47"/>
        <v>San Francisco Bay Area_2021</v>
      </c>
      <c r="D1816" s="474">
        <v>419.06784994567585</v>
      </c>
      <c r="E1816" s="2"/>
      <c r="F1816" s="2"/>
      <c r="G1816" s="2"/>
      <c r="H1816" s="2"/>
      <c r="I1816" s="21"/>
      <c r="J1816" s="21"/>
      <c r="K1816" s="21"/>
    </row>
    <row r="1817" spans="1:11" ht="15.5" x14ac:dyDescent="0.35">
      <c r="A1817" s="477" t="s">
        <v>931</v>
      </c>
      <c r="B1817" s="478">
        <v>2022</v>
      </c>
      <c r="C1817" s="478" t="str">
        <f t="shared" si="47"/>
        <v>San Francisco Bay Area_2022</v>
      </c>
      <c r="D1817" s="474">
        <v>406.96432134028311</v>
      </c>
      <c r="E1817" s="2"/>
      <c r="F1817" s="2"/>
      <c r="G1817" s="2"/>
      <c r="H1817" s="2"/>
      <c r="I1817" s="21"/>
      <c r="J1817" s="21"/>
      <c r="K1817" s="21"/>
    </row>
    <row r="1818" spans="1:11" ht="15.5" x14ac:dyDescent="0.35">
      <c r="A1818" s="477" t="s">
        <v>931</v>
      </c>
      <c r="B1818" s="478">
        <v>2023</v>
      </c>
      <c r="C1818" s="478" t="str">
        <f t="shared" si="47"/>
        <v>San Francisco Bay Area_2023</v>
      </c>
      <c r="D1818" s="474">
        <v>394.91554630792388</v>
      </c>
      <c r="E1818" s="2"/>
      <c r="F1818" s="2"/>
      <c r="G1818" s="2"/>
      <c r="H1818" s="2"/>
      <c r="I1818" s="21"/>
      <c r="J1818" s="21"/>
      <c r="K1818" s="21"/>
    </row>
    <row r="1819" spans="1:11" ht="15.5" x14ac:dyDescent="0.35">
      <c r="A1819" s="477" t="s">
        <v>931</v>
      </c>
      <c r="B1819" s="478">
        <v>2024</v>
      </c>
      <c r="C1819" s="478" t="str">
        <f t="shared" si="47"/>
        <v>San Francisco Bay Area_2024</v>
      </c>
      <c r="D1819" s="474">
        <v>382.97921027307439</v>
      </c>
      <c r="E1819" s="2"/>
      <c r="F1819" s="2"/>
      <c r="G1819" s="2"/>
      <c r="H1819" s="2"/>
      <c r="I1819" s="21"/>
      <c r="J1819" s="21"/>
      <c r="K1819" s="21"/>
    </row>
    <row r="1820" spans="1:11" ht="15.5" x14ac:dyDescent="0.35">
      <c r="A1820" s="477" t="s">
        <v>931</v>
      </c>
      <c r="B1820" s="478">
        <v>2025</v>
      </c>
      <c r="C1820" s="478" t="str">
        <f t="shared" si="47"/>
        <v>San Francisco Bay Area_2025</v>
      </c>
      <c r="D1820" s="474">
        <v>371.14352154451819</v>
      </c>
      <c r="E1820" s="2"/>
      <c r="F1820" s="2"/>
      <c r="G1820" s="2"/>
      <c r="H1820" s="2"/>
      <c r="I1820" s="21"/>
      <c r="J1820" s="21"/>
      <c r="K1820" s="21"/>
    </row>
    <row r="1821" spans="1:11" ht="15.5" x14ac:dyDescent="0.35">
      <c r="A1821" s="477" t="s">
        <v>931</v>
      </c>
      <c r="B1821" s="478">
        <v>2026</v>
      </c>
      <c r="C1821" s="478" t="str">
        <f t="shared" si="47"/>
        <v>San Francisco Bay Area_2026</v>
      </c>
      <c r="D1821" s="474">
        <v>360.46240269397435</v>
      </c>
      <c r="E1821" s="2"/>
      <c r="F1821" s="2"/>
      <c r="G1821" s="2"/>
      <c r="H1821" s="2"/>
      <c r="I1821" s="21"/>
      <c r="J1821" s="21"/>
      <c r="K1821" s="21"/>
    </row>
    <row r="1822" spans="1:11" ht="15.5" x14ac:dyDescent="0.35">
      <c r="A1822" s="477" t="s">
        <v>931</v>
      </c>
      <c r="B1822" s="478">
        <v>2027</v>
      </c>
      <c r="C1822" s="478" t="str">
        <f t="shared" si="47"/>
        <v>San Francisco Bay Area_2027</v>
      </c>
      <c r="D1822" s="474">
        <v>350.76309232990002</v>
      </c>
      <c r="E1822" s="2"/>
      <c r="F1822" s="2"/>
      <c r="G1822" s="2"/>
      <c r="H1822" s="2"/>
      <c r="I1822" s="21"/>
      <c r="J1822" s="21"/>
      <c r="K1822" s="21"/>
    </row>
    <row r="1823" spans="1:11" ht="15.5" x14ac:dyDescent="0.35">
      <c r="A1823" s="477" t="s">
        <v>931</v>
      </c>
      <c r="B1823" s="478">
        <v>2028</v>
      </c>
      <c r="C1823" s="478" t="str">
        <f t="shared" si="47"/>
        <v>San Francisco Bay Area_2028</v>
      </c>
      <c r="D1823" s="474">
        <v>342.05507203577542</v>
      </c>
      <c r="E1823" s="2"/>
      <c r="F1823" s="2"/>
      <c r="G1823" s="2"/>
      <c r="H1823" s="2"/>
      <c r="I1823" s="21"/>
      <c r="J1823" s="21"/>
      <c r="K1823" s="21"/>
    </row>
    <row r="1824" spans="1:11" ht="15.5" x14ac:dyDescent="0.35">
      <c r="A1824" s="477" t="s">
        <v>931</v>
      </c>
      <c r="B1824" s="478">
        <v>2029</v>
      </c>
      <c r="C1824" s="478" t="str">
        <f t="shared" si="47"/>
        <v>San Francisco Bay Area_2029</v>
      </c>
      <c r="D1824" s="474">
        <v>334.26427761135767</v>
      </c>
      <c r="E1824" s="2"/>
      <c r="F1824" s="2"/>
      <c r="G1824" s="2"/>
      <c r="H1824" s="2"/>
      <c r="I1824" s="21"/>
      <c r="J1824" s="21"/>
      <c r="K1824" s="21"/>
    </row>
    <row r="1825" spans="1:11" ht="15.5" x14ac:dyDescent="0.35">
      <c r="A1825" s="477" t="s">
        <v>931</v>
      </c>
      <c r="B1825" s="478">
        <v>2030</v>
      </c>
      <c r="C1825" s="478" t="str">
        <f t="shared" si="47"/>
        <v>San Francisco Bay Area_2030</v>
      </c>
      <c r="D1825" s="474">
        <v>327.33783628450158</v>
      </c>
      <c r="E1825" s="2"/>
      <c r="F1825" s="2"/>
      <c r="G1825" s="2"/>
      <c r="H1825" s="2"/>
      <c r="I1825" s="21"/>
      <c r="J1825" s="21"/>
      <c r="K1825" s="21"/>
    </row>
    <row r="1826" spans="1:11" ht="15.5" x14ac:dyDescent="0.35">
      <c r="A1826" s="477" t="s">
        <v>931</v>
      </c>
      <c r="B1826" s="478">
        <v>2031</v>
      </c>
      <c r="C1826" s="478" t="str">
        <f t="shared" si="47"/>
        <v>San Francisco Bay Area_2031</v>
      </c>
      <c r="D1826" s="474">
        <v>321.19650158351863</v>
      </c>
      <c r="E1826" s="2"/>
      <c r="F1826" s="2"/>
      <c r="G1826" s="2"/>
      <c r="H1826" s="2"/>
      <c r="I1826" s="21"/>
      <c r="J1826" s="21"/>
      <c r="K1826" s="21"/>
    </row>
    <row r="1827" spans="1:11" ht="15.5" x14ac:dyDescent="0.35">
      <c r="A1827" s="477" t="s">
        <v>931</v>
      </c>
      <c r="B1827" s="478">
        <v>2032</v>
      </c>
      <c r="C1827" s="478" t="str">
        <f t="shared" si="47"/>
        <v>San Francisco Bay Area_2032</v>
      </c>
      <c r="D1827" s="474">
        <v>315.78238125104002</v>
      </c>
      <c r="E1827" s="2"/>
      <c r="F1827" s="2"/>
      <c r="G1827" s="2"/>
      <c r="H1827" s="2"/>
      <c r="I1827" s="21"/>
      <c r="J1827" s="21"/>
      <c r="K1827" s="21"/>
    </row>
    <row r="1828" spans="1:11" ht="15.5" x14ac:dyDescent="0.35">
      <c r="A1828" s="477" t="s">
        <v>931</v>
      </c>
      <c r="B1828" s="478">
        <v>2033</v>
      </c>
      <c r="C1828" s="478" t="str">
        <f t="shared" si="47"/>
        <v>San Francisco Bay Area_2033</v>
      </c>
      <c r="D1828" s="474">
        <v>311.04010808781692</v>
      </c>
      <c r="E1828" s="2"/>
      <c r="F1828" s="2"/>
      <c r="G1828" s="2"/>
      <c r="H1828" s="2"/>
      <c r="I1828" s="21"/>
      <c r="J1828" s="21"/>
      <c r="K1828" s="21"/>
    </row>
    <row r="1829" spans="1:11" ht="15.5" x14ac:dyDescent="0.35">
      <c r="A1829" s="477" t="s">
        <v>931</v>
      </c>
      <c r="B1829" s="478">
        <v>2034</v>
      </c>
      <c r="C1829" s="478" t="str">
        <f t="shared" si="47"/>
        <v>San Francisco Bay Area_2034</v>
      </c>
      <c r="D1829" s="474">
        <v>306.9004214077699</v>
      </c>
      <c r="E1829" s="2"/>
      <c r="F1829" s="2"/>
      <c r="G1829" s="2"/>
      <c r="H1829" s="2"/>
      <c r="I1829" s="21"/>
      <c r="J1829" s="21"/>
      <c r="K1829" s="21"/>
    </row>
    <row r="1830" spans="1:11" ht="15.5" x14ac:dyDescent="0.35">
      <c r="A1830" s="477" t="s">
        <v>931</v>
      </c>
      <c r="B1830" s="478">
        <v>2035</v>
      </c>
      <c r="C1830" s="478" t="str">
        <f t="shared" si="47"/>
        <v>San Francisco Bay Area_2035</v>
      </c>
      <c r="D1830" s="474">
        <v>303.31550025203563</v>
      </c>
      <c r="E1830" s="2"/>
      <c r="F1830" s="2"/>
      <c r="G1830" s="2"/>
      <c r="H1830" s="2"/>
      <c r="I1830" s="21"/>
      <c r="J1830" s="21"/>
      <c r="K1830" s="21"/>
    </row>
    <row r="1831" spans="1:11" ht="15.5" x14ac:dyDescent="0.35">
      <c r="A1831" s="477" t="s">
        <v>931</v>
      </c>
      <c r="B1831" s="478">
        <v>2036</v>
      </c>
      <c r="C1831" s="478" t="str">
        <f t="shared" si="47"/>
        <v>San Francisco Bay Area_2036</v>
      </c>
      <c r="D1831" s="474">
        <v>300.23589983856465</v>
      </c>
      <c r="E1831" s="2"/>
      <c r="F1831" s="2"/>
      <c r="G1831" s="2"/>
      <c r="H1831" s="2"/>
      <c r="I1831" s="21"/>
      <c r="J1831" s="21"/>
      <c r="K1831" s="21"/>
    </row>
    <row r="1832" spans="1:11" ht="15.5" x14ac:dyDescent="0.35">
      <c r="A1832" s="477" t="s">
        <v>931</v>
      </c>
      <c r="B1832" s="478">
        <v>2037</v>
      </c>
      <c r="C1832" s="478" t="str">
        <f t="shared" si="47"/>
        <v>San Francisco Bay Area_2037</v>
      </c>
      <c r="D1832" s="474">
        <v>297.61817499694808</v>
      </c>
      <c r="E1832" s="2"/>
      <c r="F1832" s="2"/>
      <c r="G1832" s="2"/>
      <c r="H1832" s="2"/>
      <c r="I1832" s="21"/>
      <c r="J1832" s="21"/>
      <c r="K1832" s="21"/>
    </row>
    <row r="1833" spans="1:11" ht="15.5" x14ac:dyDescent="0.35">
      <c r="A1833" s="477" t="s">
        <v>931</v>
      </c>
      <c r="B1833" s="478">
        <v>2038</v>
      </c>
      <c r="C1833" s="478" t="str">
        <f t="shared" si="47"/>
        <v>San Francisco Bay Area_2038</v>
      </c>
      <c r="D1833" s="474">
        <v>295.41328926650505</v>
      </c>
      <c r="E1833" s="2"/>
      <c r="F1833" s="2"/>
      <c r="G1833" s="2"/>
      <c r="H1833" s="2"/>
      <c r="I1833" s="21"/>
      <c r="J1833" s="21"/>
      <c r="K1833" s="21"/>
    </row>
    <row r="1834" spans="1:11" ht="15.5" x14ac:dyDescent="0.35">
      <c r="A1834" s="477" t="s">
        <v>931</v>
      </c>
      <c r="B1834" s="478">
        <v>2039</v>
      </c>
      <c r="C1834" s="478" t="str">
        <f t="shared" si="47"/>
        <v>San Francisco Bay Area_2039</v>
      </c>
      <c r="D1834" s="474">
        <v>293.56714980691265</v>
      </c>
      <c r="E1834" s="2"/>
      <c r="F1834" s="2"/>
      <c r="G1834" s="2"/>
      <c r="H1834" s="2"/>
      <c r="I1834" s="21"/>
      <c r="J1834" s="21"/>
      <c r="K1834" s="21"/>
    </row>
    <row r="1835" spans="1:11" ht="15.5" x14ac:dyDescent="0.35">
      <c r="A1835" s="477" t="s">
        <v>931</v>
      </c>
      <c r="B1835" s="478">
        <v>2040</v>
      </c>
      <c r="C1835" s="478" t="str">
        <f t="shared" si="47"/>
        <v>San Francisco Bay Area_2040</v>
      </c>
      <c r="D1835" s="474">
        <v>292.02889951846919</v>
      </c>
      <c r="E1835" s="2"/>
      <c r="F1835" s="2"/>
      <c r="G1835" s="2"/>
      <c r="H1835" s="2"/>
      <c r="I1835" s="21"/>
      <c r="J1835" s="21"/>
      <c r="K1835" s="21"/>
    </row>
    <row r="1836" spans="1:11" ht="15.5" x14ac:dyDescent="0.35">
      <c r="A1836" s="477" t="s">
        <v>931</v>
      </c>
      <c r="B1836" s="478">
        <v>2041</v>
      </c>
      <c r="C1836" s="478" t="str">
        <f t="shared" si="47"/>
        <v>San Francisco Bay Area_2041</v>
      </c>
      <c r="D1836" s="474">
        <v>290.76967435599624</v>
      </c>
      <c r="E1836" s="2"/>
      <c r="F1836" s="2"/>
      <c r="G1836" s="2"/>
      <c r="H1836" s="2"/>
      <c r="I1836" s="21"/>
      <c r="J1836" s="21"/>
      <c r="K1836" s="21"/>
    </row>
    <row r="1837" spans="1:11" ht="15.5" x14ac:dyDescent="0.35">
      <c r="A1837" s="477" t="s">
        <v>931</v>
      </c>
      <c r="B1837" s="478">
        <v>2042</v>
      </c>
      <c r="C1837" s="478" t="str">
        <f t="shared" si="47"/>
        <v>San Francisco Bay Area_2042</v>
      </c>
      <c r="D1837" s="474">
        <v>289.73036708816716</v>
      </c>
      <c r="E1837" s="2"/>
      <c r="F1837" s="2"/>
      <c r="G1837" s="2"/>
      <c r="H1837" s="2"/>
      <c r="I1837" s="21"/>
      <c r="J1837" s="21"/>
      <c r="K1837" s="21"/>
    </row>
    <row r="1838" spans="1:11" ht="15.5" x14ac:dyDescent="0.35">
      <c r="A1838" s="477" t="s">
        <v>931</v>
      </c>
      <c r="B1838" s="478">
        <v>2043</v>
      </c>
      <c r="C1838" s="478" t="str">
        <f t="shared" si="47"/>
        <v>San Francisco Bay Area_2043</v>
      </c>
      <c r="D1838" s="474">
        <v>288.8831769895292</v>
      </c>
      <c r="E1838" s="2"/>
      <c r="F1838" s="2"/>
      <c r="G1838" s="2"/>
      <c r="H1838" s="2"/>
      <c r="I1838" s="21"/>
      <c r="J1838" s="21"/>
      <c r="K1838" s="21"/>
    </row>
    <row r="1839" spans="1:11" ht="15.5" x14ac:dyDescent="0.35">
      <c r="A1839" s="477" t="s">
        <v>931</v>
      </c>
      <c r="B1839" s="478">
        <v>2044</v>
      </c>
      <c r="C1839" s="478" t="str">
        <f t="shared" si="47"/>
        <v>San Francisco Bay Area_2044</v>
      </c>
      <c r="D1839" s="474">
        <v>288.18976779583932</v>
      </c>
      <c r="E1839" s="2"/>
      <c r="F1839" s="2"/>
      <c r="G1839" s="2"/>
      <c r="H1839" s="2"/>
      <c r="I1839" s="21"/>
      <c r="J1839" s="21"/>
      <c r="K1839" s="21"/>
    </row>
    <row r="1840" spans="1:11" ht="15.5" x14ac:dyDescent="0.35">
      <c r="A1840" s="477" t="s">
        <v>931</v>
      </c>
      <c r="B1840" s="478">
        <v>2045</v>
      </c>
      <c r="C1840" s="478" t="str">
        <f t="shared" ref="C1840:C1845" si="48">CONCATENATE(A1840,"_",B1840)</f>
        <v>San Francisco Bay Area_2045</v>
      </c>
      <c r="D1840" s="474">
        <v>287.60977902275346</v>
      </c>
      <c r="E1840" s="2"/>
      <c r="F1840" s="2"/>
      <c r="G1840" s="2"/>
      <c r="H1840" s="2"/>
      <c r="I1840" s="21"/>
      <c r="J1840" s="21"/>
      <c r="K1840" s="21"/>
    </row>
    <row r="1841" spans="1:11" ht="15.5" x14ac:dyDescent="0.35">
      <c r="A1841" s="477" t="s">
        <v>931</v>
      </c>
      <c r="B1841" s="478">
        <v>2046</v>
      </c>
      <c r="C1841" s="478" t="str">
        <f t="shared" si="48"/>
        <v>San Francisco Bay Area_2046</v>
      </c>
      <c r="D1841" s="474">
        <v>287.13529780531599</v>
      </c>
      <c r="E1841" s="2"/>
      <c r="F1841" s="2"/>
      <c r="G1841" s="2"/>
      <c r="H1841" s="2"/>
      <c r="I1841" s="21"/>
      <c r="J1841" s="21"/>
      <c r="K1841" s="21"/>
    </row>
    <row r="1842" spans="1:11" ht="15.5" x14ac:dyDescent="0.35">
      <c r="A1842" s="477" t="s">
        <v>931</v>
      </c>
      <c r="B1842" s="478">
        <v>2047</v>
      </c>
      <c r="C1842" s="478" t="str">
        <f t="shared" si="48"/>
        <v>San Francisco Bay Area_2047</v>
      </c>
      <c r="D1842" s="474">
        <v>286.74868076354392</v>
      </c>
      <c r="E1842" s="2"/>
      <c r="F1842" s="2"/>
      <c r="G1842" s="2"/>
      <c r="H1842" s="2"/>
      <c r="I1842" s="21"/>
      <c r="J1842" s="21"/>
      <c r="K1842" s="21"/>
    </row>
    <row r="1843" spans="1:11" ht="15.5" x14ac:dyDescent="0.35">
      <c r="A1843" s="477" t="s">
        <v>931</v>
      </c>
      <c r="B1843" s="478">
        <v>2048</v>
      </c>
      <c r="C1843" s="478" t="str">
        <f t="shared" si="48"/>
        <v>San Francisco Bay Area_2048</v>
      </c>
      <c r="D1843" s="474">
        <v>286.43499776038936</v>
      </c>
      <c r="E1843" s="2"/>
      <c r="F1843" s="2"/>
      <c r="G1843" s="2"/>
      <c r="H1843" s="2"/>
      <c r="I1843" s="21"/>
      <c r="J1843" s="21"/>
      <c r="K1843" s="21"/>
    </row>
    <row r="1844" spans="1:11" ht="15.5" x14ac:dyDescent="0.35">
      <c r="A1844" s="477" t="s">
        <v>931</v>
      </c>
      <c r="B1844" s="478">
        <v>2049</v>
      </c>
      <c r="C1844" s="478" t="str">
        <f t="shared" si="48"/>
        <v>San Francisco Bay Area_2049</v>
      </c>
      <c r="D1844" s="474">
        <v>286.17563222233775</v>
      </c>
      <c r="E1844" s="2"/>
      <c r="F1844" s="2"/>
      <c r="G1844" s="2"/>
      <c r="H1844" s="2"/>
      <c r="I1844" s="21"/>
      <c r="J1844" s="21"/>
      <c r="K1844" s="21"/>
    </row>
    <row r="1845" spans="1:11" ht="15.5" x14ac:dyDescent="0.35">
      <c r="A1845" s="477" t="s">
        <v>931</v>
      </c>
      <c r="B1845" s="478">
        <v>2050</v>
      </c>
      <c r="C1845" s="478" t="str">
        <f t="shared" si="48"/>
        <v>San Francisco Bay Area_2050</v>
      </c>
      <c r="D1845" s="474">
        <v>285.9695311720277</v>
      </c>
      <c r="E1845" s="2"/>
      <c r="F1845" s="2"/>
      <c r="G1845" s="2"/>
      <c r="H1845" s="2"/>
      <c r="I1845" s="21"/>
      <c r="J1845" s="21"/>
      <c r="K1845" s="21"/>
    </row>
    <row r="1846" spans="1:11" ht="15.5" x14ac:dyDescent="0.35">
      <c r="A1846" s="468" t="s">
        <v>932</v>
      </c>
      <c r="B1846" s="469">
        <v>2015</v>
      </c>
      <c r="C1846" s="470" t="s">
        <v>933</v>
      </c>
      <c r="D1846" s="471">
        <v>497.17112773766729</v>
      </c>
      <c r="E1846" s="2"/>
      <c r="F1846" s="2"/>
      <c r="G1846" s="2"/>
      <c r="H1846" s="2"/>
      <c r="I1846" s="21"/>
      <c r="J1846" s="21"/>
      <c r="K1846" s="21"/>
    </row>
    <row r="1847" spans="1:11" ht="15.5" x14ac:dyDescent="0.35">
      <c r="A1847" s="468" t="s">
        <v>932</v>
      </c>
      <c r="B1847" s="469">
        <v>2016</v>
      </c>
      <c r="C1847" s="470" t="s">
        <v>934</v>
      </c>
      <c r="D1847" s="471">
        <v>487.95726330129344</v>
      </c>
      <c r="E1847" s="2"/>
      <c r="F1847" s="2"/>
      <c r="G1847" s="2"/>
      <c r="H1847" s="2"/>
      <c r="I1847" s="21"/>
      <c r="J1847" s="21"/>
      <c r="K1847" s="21"/>
    </row>
    <row r="1848" spans="1:11" ht="15.5" x14ac:dyDescent="0.35">
      <c r="A1848" s="472" t="s">
        <v>932</v>
      </c>
      <c r="B1848" s="473">
        <v>2017</v>
      </c>
      <c r="C1848" s="473" t="str">
        <f t="shared" ref="C1848:C1911" si="49">CONCATENATE(A1848,"_",B1848)</f>
        <v>San Francisco_2017</v>
      </c>
      <c r="D1848" s="474">
        <v>477.79562860704834</v>
      </c>
      <c r="E1848" s="2"/>
      <c r="F1848" s="2"/>
      <c r="G1848" s="2"/>
      <c r="H1848" s="2"/>
      <c r="I1848" s="21"/>
      <c r="J1848" s="21"/>
      <c r="K1848" s="21"/>
    </row>
    <row r="1849" spans="1:11" ht="15.5" x14ac:dyDescent="0.35">
      <c r="A1849" s="472" t="s">
        <v>932</v>
      </c>
      <c r="B1849" s="473">
        <v>2018</v>
      </c>
      <c r="C1849" s="473" t="str">
        <f t="shared" si="49"/>
        <v>San Francisco_2018</v>
      </c>
      <c r="D1849" s="474">
        <v>466.95846761932239</v>
      </c>
      <c r="E1849" s="2"/>
      <c r="F1849" s="2"/>
      <c r="G1849" s="2"/>
      <c r="H1849" s="2"/>
      <c r="I1849" s="21"/>
      <c r="J1849" s="21"/>
      <c r="K1849" s="21"/>
    </row>
    <row r="1850" spans="1:11" ht="15.5" x14ac:dyDescent="0.35">
      <c r="A1850" s="472" t="s">
        <v>932</v>
      </c>
      <c r="B1850" s="473">
        <v>2019</v>
      </c>
      <c r="C1850" s="473" t="str">
        <f t="shared" si="49"/>
        <v>San Francisco_2019</v>
      </c>
      <c r="D1850" s="474">
        <v>455.6386047355125</v>
      </c>
      <c r="E1850" s="2"/>
      <c r="F1850" s="2"/>
      <c r="G1850" s="2"/>
      <c r="H1850" s="2"/>
      <c r="I1850" s="21"/>
      <c r="J1850" s="21"/>
      <c r="K1850" s="21"/>
    </row>
    <row r="1851" spans="1:11" ht="15.5" x14ac:dyDescent="0.35">
      <c r="A1851" s="472" t="s">
        <v>932</v>
      </c>
      <c r="B1851" s="473">
        <v>2020</v>
      </c>
      <c r="C1851" s="473" t="str">
        <f t="shared" si="49"/>
        <v>San Francisco_2020</v>
      </c>
      <c r="D1851" s="474">
        <v>444.02475645289331</v>
      </c>
      <c r="E1851" s="2"/>
      <c r="F1851" s="2"/>
      <c r="G1851" s="2"/>
      <c r="H1851" s="2"/>
      <c r="I1851" s="21"/>
      <c r="J1851" s="21"/>
      <c r="K1851" s="21"/>
    </row>
    <row r="1852" spans="1:11" ht="15.5" x14ac:dyDescent="0.35">
      <c r="A1852" s="472" t="s">
        <v>932</v>
      </c>
      <c r="B1852" s="473">
        <v>2021</v>
      </c>
      <c r="C1852" s="473" t="str">
        <f t="shared" si="49"/>
        <v>San Francisco_2021</v>
      </c>
      <c r="D1852" s="474">
        <v>432.1843239927486</v>
      </c>
      <c r="E1852" s="2"/>
      <c r="F1852" s="2"/>
      <c r="G1852" s="2"/>
      <c r="H1852" s="2"/>
      <c r="I1852" s="21"/>
      <c r="J1852" s="21"/>
      <c r="K1852" s="21"/>
    </row>
    <row r="1853" spans="1:11" ht="15.5" x14ac:dyDescent="0.35">
      <c r="A1853" s="472" t="s">
        <v>932</v>
      </c>
      <c r="B1853" s="473">
        <v>2022</v>
      </c>
      <c r="C1853" s="473" t="str">
        <f t="shared" si="49"/>
        <v>San Francisco_2022</v>
      </c>
      <c r="D1853" s="474">
        <v>420.43185644039335</v>
      </c>
      <c r="E1853" s="2"/>
      <c r="F1853" s="2"/>
      <c r="G1853" s="2"/>
      <c r="H1853" s="2"/>
      <c r="I1853" s="21"/>
      <c r="J1853" s="21"/>
      <c r="K1853" s="21"/>
    </row>
    <row r="1854" spans="1:11" ht="15.5" x14ac:dyDescent="0.35">
      <c r="A1854" s="472" t="s">
        <v>932</v>
      </c>
      <c r="B1854" s="473">
        <v>2023</v>
      </c>
      <c r="C1854" s="473" t="str">
        <f t="shared" si="49"/>
        <v>San Francisco_2023</v>
      </c>
      <c r="D1854" s="474">
        <v>408.64395052133057</v>
      </c>
      <c r="E1854" s="2"/>
      <c r="F1854" s="2"/>
      <c r="G1854" s="2"/>
      <c r="H1854" s="2"/>
      <c r="I1854" s="21"/>
      <c r="J1854" s="21"/>
      <c r="K1854" s="21"/>
    </row>
    <row r="1855" spans="1:11" ht="15.5" x14ac:dyDescent="0.35">
      <c r="A1855" s="472" t="s">
        <v>932</v>
      </c>
      <c r="B1855" s="473">
        <v>2024</v>
      </c>
      <c r="C1855" s="473" t="str">
        <f t="shared" si="49"/>
        <v>San Francisco_2024</v>
      </c>
      <c r="D1855" s="474">
        <v>396.87428685448629</v>
      </c>
      <c r="E1855" s="2"/>
      <c r="F1855" s="2"/>
      <c r="G1855" s="2"/>
      <c r="H1855" s="2"/>
      <c r="I1855" s="21"/>
      <c r="J1855" s="21"/>
      <c r="K1855" s="21"/>
    </row>
    <row r="1856" spans="1:11" ht="15.5" x14ac:dyDescent="0.35">
      <c r="A1856" s="472" t="s">
        <v>932</v>
      </c>
      <c r="B1856" s="473">
        <v>2025</v>
      </c>
      <c r="C1856" s="473" t="str">
        <f t="shared" si="49"/>
        <v>San Francisco_2025</v>
      </c>
      <c r="D1856" s="474">
        <v>385.10006906872883</v>
      </c>
      <c r="E1856" s="2"/>
      <c r="F1856" s="2"/>
      <c r="G1856" s="2"/>
      <c r="H1856" s="2"/>
      <c r="I1856" s="21"/>
      <c r="J1856" s="21"/>
      <c r="K1856" s="21"/>
    </row>
    <row r="1857" spans="1:11" ht="15.5" x14ac:dyDescent="0.35">
      <c r="A1857" s="472" t="s">
        <v>932</v>
      </c>
      <c r="B1857" s="473">
        <v>2026</v>
      </c>
      <c r="C1857" s="473" t="str">
        <f t="shared" si="49"/>
        <v>San Francisco_2026</v>
      </c>
      <c r="D1857" s="474">
        <v>374.52095073256419</v>
      </c>
      <c r="E1857" s="2"/>
      <c r="F1857" s="2"/>
      <c r="G1857" s="2"/>
      <c r="H1857" s="2"/>
      <c r="I1857" s="21"/>
      <c r="J1857" s="21"/>
      <c r="K1857" s="21"/>
    </row>
    <row r="1858" spans="1:11" ht="15.5" x14ac:dyDescent="0.35">
      <c r="A1858" s="472" t="s">
        <v>932</v>
      </c>
      <c r="B1858" s="473">
        <v>2027</v>
      </c>
      <c r="C1858" s="473" t="str">
        <f t="shared" si="49"/>
        <v>San Francisco_2027</v>
      </c>
      <c r="D1858" s="474">
        <v>365.01018147331399</v>
      </c>
      <c r="E1858" s="2"/>
      <c r="F1858" s="2"/>
      <c r="G1858" s="2"/>
      <c r="H1858" s="2"/>
      <c r="I1858" s="21"/>
      <c r="J1858" s="21"/>
      <c r="K1858" s="21"/>
    </row>
    <row r="1859" spans="1:11" ht="15.5" x14ac:dyDescent="0.35">
      <c r="A1859" s="472" t="s">
        <v>932</v>
      </c>
      <c r="B1859" s="473">
        <v>2028</v>
      </c>
      <c r="C1859" s="473" t="str">
        <f t="shared" si="49"/>
        <v>San Francisco_2028</v>
      </c>
      <c r="D1859" s="474">
        <v>356.56280526477218</v>
      </c>
      <c r="E1859" s="2"/>
      <c r="F1859" s="2"/>
      <c r="G1859" s="2"/>
      <c r="H1859" s="2"/>
      <c r="I1859" s="21"/>
      <c r="J1859" s="21"/>
      <c r="K1859" s="21"/>
    </row>
    <row r="1860" spans="1:11" ht="15.5" x14ac:dyDescent="0.35">
      <c r="A1860" s="472" t="s">
        <v>932</v>
      </c>
      <c r="B1860" s="473">
        <v>2029</v>
      </c>
      <c r="C1860" s="473" t="str">
        <f t="shared" si="49"/>
        <v>San Francisco_2029</v>
      </c>
      <c r="D1860" s="474">
        <v>349.06607317887091</v>
      </c>
      <c r="E1860" s="2"/>
      <c r="F1860" s="2"/>
      <c r="G1860" s="2"/>
      <c r="H1860" s="2"/>
      <c r="I1860" s="21"/>
      <c r="J1860" s="21"/>
      <c r="K1860" s="21"/>
    </row>
    <row r="1861" spans="1:11" ht="15.5" x14ac:dyDescent="0.35">
      <c r="A1861" s="472" t="s">
        <v>932</v>
      </c>
      <c r="B1861" s="473">
        <v>2030</v>
      </c>
      <c r="C1861" s="473" t="str">
        <f t="shared" si="49"/>
        <v>San Francisco_2030</v>
      </c>
      <c r="D1861" s="474">
        <v>342.45508759477838</v>
      </c>
      <c r="E1861" s="2"/>
      <c r="F1861" s="2"/>
      <c r="G1861" s="2"/>
      <c r="H1861" s="2"/>
      <c r="I1861" s="21"/>
      <c r="J1861" s="21"/>
      <c r="K1861" s="21"/>
    </row>
    <row r="1862" spans="1:11" ht="15.5" x14ac:dyDescent="0.35">
      <c r="A1862" s="472" t="s">
        <v>932</v>
      </c>
      <c r="B1862" s="473">
        <v>2031</v>
      </c>
      <c r="C1862" s="473" t="str">
        <f t="shared" si="49"/>
        <v>San Francisco_2031</v>
      </c>
      <c r="D1862" s="474">
        <v>336.64585460990349</v>
      </c>
      <c r="E1862" s="2"/>
      <c r="F1862" s="2"/>
      <c r="G1862" s="2"/>
      <c r="H1862" s="2"/>
      <c r="I1862" s="21"/>
      <c r="J1862" s="21"/>
      <c r="K1862" s="21"/>
    </row>
    <row r="1863" spans="1:11" ht="15.5" x14ac:dyDescent="0.35">
      <c r="A1863" s="472" t="s">
        <v>932</v>
      </c>
      <c r="B1863" s="473">
        <v>2032</v>
      </c>
      <c r="C1863" s="473" t="str">
        <f t="shared" si="49"/>
        <v>San Francisco_2032</v>
      </c>
      <c r="D1863" s="474">
        <v>331.56786965357878</v>
      </c>
      <c r="E1863" s="2"/>
      <c r="F1863" s="2"/>
      <c r="G1863" s="2"/>
      <c r="H1863" s="2"/>
      <c r="I1863" s="21"/>
      <c r="J1863" s="21"/>
      <c r="K1863" s="21"/>
    </row>
    <row r="1864" spans="1:11" ht="15.5" x14ac:dyDescent="0.35">
      <c r="A1864" s="472" t="s">
        <v>932</v>
      </c>
      <c r="B1864" s="473">
        <v>2033</v>
      </c>
      <c r="C1864" s="473" t="str">
        <f t="shared" si="49"/>
        <v>San Francisco_2033</v>
      </c>
      <c r="D1864" s="474">
        <v>327.16568918608169</v>
      </c>
      <c r="E1864" s="2"/>
      <c r="F1864" s="2"/>
      <c r="G1864" s="2"/>
      <c r="H1864" s="2"/>
      <c r="I1864" s="21"/>
      <c r="J1864" s="21"/>
      <c r="K1864" s="21"/>
    </row>
    <row r="1865" spans="1:11" ht="15.5" x14ac:dyDescent="0.35">
      <c r="A1865" s="472" t="s">
        <v>932</v>
      </c>
      <c r="B1865" s="473">
        <v>2034</v>
      </c>
      <c r="C1865" s="473" t="str">
        <f t="shared" si="49"/>
        <v>San Francisco_2034</v>
      </c>
      <c r="D1865" s="474">
        <v>323.36564773382213</v>
      </c>
      <c r="E1865" s="2"/>
      <c r="F1865" s="2"/>
      <c r="G1865" s="2"/>
      <c r="H1865" s="2"/>
      <c r="I1865" s="21"/>
      <c r="J1865" s="21"/>
      <c r="K1865" s="21"/>
    </row>
    <row r="1866" spans="1:11" ht="15.5" x14ac:dyDescent="0.35">
      <c r="A1866" s="472" t="s">
        <v>932</v>
      </c>
      <c r="B1866" s="473">
        <v>2035</v>
      </c>
      <c r="C1866" s="473" t="str">
        <f t="shared" si="49"/>
        <v>San Francisco_2035</v>
      </c>
      <c r="D1866" s="474">
        <v>320.11196975389436</v>
      </c>
      <c r="E1866" s="2"/>
      <c r="F1866" s="2"/>
      <c r="G1866" s="2"/>
      <c r="H1866" s="2"/>
      <c r="I1866" s="21"/>
      <c r="J1866" s="21"/>
      <c r="K1866" s="21"/>
    </row>
    <row r="1867" spans="1:11" ht="15.5" x14ac:dyDescent="0.35">
      <c r="A1867" s="472" t="s">
        <v>932</v>
      </c>
      <c r="B1867" s="473">
        <v>2036</v>
      </c>
      <c r="C1867" s="473" t="str">
        <f t="shared" si="49"/>
        <v>San Francisco_2036</v>
      </c>
      <c r="D1867" s="474">
        <v>317.34933771219511</v>
      </c>
      <c r="E1867" s="2"/>
      <c r="F1867" s="2"/>
      <c r="G1867" s="2"/>
      <c r="H1867" s="2"/>
      <c r="I1867" s="21"/>
      <c r="J1867" s="21"/>
      <c r="K1867" s="21"/>
    </row>
    <row r="1868" spans="1:11" ht="15.5" x14ac:dyDescent="0.35">
      <c r="A1868" s="472" t="s">
        <v>932</v>
      </c>
      <c r="B1868" s="473">
        <v>2037</v>
      </c>
      <c r="C1868" s="473" t="str">
        <f t="shared" si="49"/>
        <v>San Francisco_2037</v>
      </c>
      <c r="D1868" s="474">
        <v>315.02567166091717</v>
      </c>
      <c r="E1868" s="2"/>
      <c r="F1868" s="2"/>
      <c r="G1868" s="2"/>
      <c r="H1868" s="2"/>
      <c r="I1868" s="21"/>
      <c r="J1868" s="21"/>
      <c r="K1868" s="21"/>
    </row>
    <row r="1869" spans="1:11" ht="15.5" x14ac:dyDescent="0.35">
      <c r="A1869" s="472" t="s">
        <v>932</v>
      </c>
      <c r="B1869" s="473">
        <v>2038</v>
      </c>
      <c r="C1869" s="473" t="str">
        <f t="shared" si="49"/>
        <v>San Francisco_2038</v>
      </c>
      <c r="D1869" s="474">
        <v>313.08901980084642</v>
      </c>
      <c r="E1869" s="2"/>
      <c r="F1869" s="2"/>
      <c r="G1869" s="2"/>
      <c r="H1869" s="2"/>
      <c r="I1869" s="21"/>
      <c r="J1869" s="21"/>
      <c r="K1869" s="21"/>
    </row>
    <row r="1870" spans="1:11" ht="15.5" x14ac:dyDescent="0.35">
      <c r="A1870" s="472" t="s">
        <v>932</v>
      </c>
      <c r="B1870" s="473">
        <v>2039</v>
      </c>
      <c r="C1870" s="473" t="str">
        <f t="shared" si="49"/>
        <v>San Francisco_2039</v>
      </c>
      <c r="D1870" s="474">
        <v>311.48480536553899</v>
      </c>
      <c r="E1870" s="2"/>
      <c r="F1870" s="2"/>
      <c r="G1870" s="2"/>
      <c r="H1870" s="2"/>
      <c r="I1870" s="21"/>
      <c r="J1870" s="21"/>
      <c r="K1870" s="21"/>
    </row>
    <row r="1871" spans="1:11" ht="15.5" x14ac:dyDescent="0.35">
      <c r="A1871" s="472" t="s">
        <v>932</v>
      </c>
      <c r="B1871" s="473">
        <v>2040</v>
      </c>
      <c r="C1871" s="473" t="str">
        <f t="shared" si="49"/>
        <v>San Francisco_2040</v>
      </c>
      <c r="D1871" s="474">
        <v>310.16186832904219</v>
      </c>
      <c r="E1871" s="2"/>
      <c r="F1871" s="2"/>
      <c r="G1871" s="2"/>
      <c r="H1871" s="2"/>
      <c r="I1871" s="21"/>
      <c r="J1871" s="21"/>
      <c r="K1871" s="21"/>
    </row>
    <row r="1872" spans="1:11" ht="15.5" x14ac:dyDescent="0.35">
      <c r="A1872" s="472" t="s">
        <v>932</v>
      </c>
      <c r="B1872" s="473">
        <v>2041</v>
      </c>
      <c r="C1872" s="473" t="str">
        <f t="shared" si="49"/>
        <v>San Francisco_2041</v>
      </c>
      <c r="D1872" s="474">
        <v>309.08382912449906</v>
      </c>
      <c r="E1872" s="2"/>
      <c r="F1872" s="2"/>
      <c r="G1872" s="2"/>
      <c r="H1872" s="2"/>
      <c r="I1872" s="21"/>
      <c r="J1872" s="21"/>
      <c r="K1872" s="21"/>
    </row>
    <row r="1873" spans="1:11" ht="15.5" x14ac:dyDescent="0.35">
      <c r="A1873" s="472" t="s">
        <v>932</v>
      </c>
      <c r="B1873" s="473">
        <v>2042</v>
      </c>
      <c r="C1873" s="473" t="str">
        <f t="shared" si="49"/>
        <v>San Francisco_2042</v>
      </c>
      <c r="D1873" s="474">
        <v>308.20216497093168</v>
      </c>
      <c r="E1873" s="2"/>
      <c r="F1873" s="2"/>
      <c r="G1873" s="2"/>
      <c r="H1873" s="2"/>
      <c r="I1873" s="21"/>
      <c r="J1873" s="21"/>
      <c r="K1873" s="21"/>
    </row>
    <row r="1874" spans="1:11" ht="15.5" x14ac:dyDescent="0.35">
      <c r="A1874" s="472" t="s">
        <v>932</v>
      </c>
      <c r="B1874" s="473">
        <v>2043</v>
      </c>
      <c r="C1874" s="473" t="str">
        <f t="shared" si="49"/>
        <v>San Francisco_2043</v>
      </c>
      <c r="D1874" s="474">
        <v>307.48690025406438</v>
      </c>
      <c r="E1874" s="2"/>
      <c r="F1874" s="2"/>
      <c r="G1874" s="2"/>
      <c r="H1874" s="2"/>
      <c r="I1874" s="21"/>
      <c r="J1874" s="21"/>
      <c r="K1874" s="21"/>
    </row>
    <row r="1875" spans="1:11" ht="15.5" x14ac:dyDescent="0.35">
      <c r="A1875" s="472" t="s">
        <v>932</v>
      </c>
      <c r="B1875" s="473">
        <v>2044</v>
      </c>
      <c r="C1875" s="473" t="str">
        <f t="shared" si="49"/>
        <v>San Francisco_2044</v>
      </c>
      <c r="D1875" s="474">
        <v>306.90698502371572</v>
      </c>
      <c r="E1875" s="2"/>
      <c r="F1875" s="2"/>
      <c r="G1875" s="2"/>
      <c r="H1875" s="2"/>
      <c r="I1875" s="21"/>
      <c r="J1875" s="21"/>
      <c r="K1875" s="21"/>
    </row>
    <row r="1876" spans="1:11" ht="15.5" x14ac:dyDescent="0.35">
      <c r="A1876" s="472" t="s">
        <v>932</v>
      </c>
      <c r="B1876" s="473">
        <v>2045</v>
      </c>
      <c r="C1876" s="473" t="str">
        <f t="shared" si="49"/>
        <v>San Francisco_2045</v>
      </c>
      <c r="D1876" s="474">
        <v>306.42830480942462</v>
      </c>
      <c r="E1876" s="2"/>
      <c r="F1876" s="2"/>
      <c r="G1876" s="2"/>
      <c r="H1876" s="2"/>
      <c r="I1876" s="21"/>
      <c r="J1876" s="21"/>
      <c r="K1876" s="21"/>
    </row>
    <row r="1877" spans="1:11" ht="15.5" x14ac:dyDescent="0.35">
      <c r="A1877" s="472" t="s">
        <v>932</v>
      </c>
      <c r="B1877" s="473">
        <v>2046</v>
      </c>
      <c r="C1877" s="473" t="str">
        <f t="shared" si="49"/>
        <v>San Francisco_2046</v>
      </c>
      <c r="D1877" s="474">
        <v>306.04142310730521</v>
      </c>
      <c r="E1877" s="2"/>
      <c r="F1877" s="2"/>
      <c r="G1877" s="2"/>
      <c r="H1877" s="2"/>
      <c r="I1877" s="21"/>
      <c r="J1877" s="21"/>
      <c r="K1877" s="21"/>
    </row>
    <row r="1878" spans="1:11" ht="15.5" x14ac:dyDescent="0.35">
      <c r="A1878" s="472" t="s">
        <v>932</v>
      </c>
      <c r="B1878" s="473">
        <v>2047</v>
      </c>
      <c r="C1878" s="473" t="str">
        <f t="shared" si="49"/>
        <v>San Francisco_2047</v>
      </c>
      <c r="D1878" s="474">
        <v>305.72471257425616</v>
      </c>
      <c r="E1878" s="2"/>
      <c r="F1878" s="2"/>
      <c r="G1878" s="2"/>
      <c r="H1878" s="2"/>
      <c r="I1878" s="21"/>
      <c r="J1878" s="21"/>
      <c r="K1878" s="21"/>
    </row>
    <row r="1879" spans="1:11" ht="15.5" x14ac:dyDescent="0.35">
      <c r="A1879" s="472" t="s">
        <v>932</v>
      </c>
      <c r="B1879" s="473">
        <v>2048</v>
      </c>
      <c r="C1879" s="473" t="str">
        <f t="shared" si="49"/>
        <v>San Francisco_2048</v>
      </c>
      <c r="D1879" s="474">
        <v>305.46878559854213</v>
      </c>
      <c r="E1879" s="2"/>
      <c r="F1879" s="2"/>
      <c r="G1879" s="2"/>
      <c r="H1879" s="2"/>
      <c r="I1879" s="21"/>
      <c r="J1879" s="21"/>
      <c r="K1879" s="21"/>
    </row>
    <row r="1880" spans="1:11" ht="15.5" x14ac:dyDescent="0.35">
      <c r="A1880" s="472" t="s">
        <v>932</v>
      </c>
      <c r="B1880" s="473">
        <v>2049</v>
      </c>
      <c r="C1880" s="473" t="str">
        <f t="shared" si="49"/>
        <v>San Francisco_2049</v>
      </c>
      <c r="D1880" s="474">
        <v>305.25433229068085</v>
      </c>
      <c r="E1880" s="2"/>
      <c r="F1880" s="2"/>
      <c r="G1880" s="2"/>
      <c r="H1880" s="2"/>
      <c r="I1880" s="21"/>
      <c r="J1880" s="21"/>
      <c r="K1880" s="21"/>
    </row>
    <row r="1881" spans="1:11" ht="15.5" x14ac:dyDescent="0.35">
      <c r="A1881" s="472" t="s">
        <v>932</v>
      </c>
      <c r="B1881" s="473">
        <v>2050</v>
      </c>
      <c r="C1881" s="473" t="str">
        <f t="shared" si="49"/>
        <v>San Francisco_2050</v>
      </c>
      <c r="D1881" s="474">
        <v>305.08389279914041</v>
      </c>
      <c r="E1881" s="2"/>
      <c r="F1881" s="2"/>
      <c r="G1881" s="2"/>
      <c r="H1881" s="2"/>
      <c r="I1881" s="21"/>
      <c r="J1881" s="21"/>
      <c r="K1881" s="21"/>
    </row>
    <row r="1882" spans="1:11" ht="15.5" x14ac:dyDescent="0.35">
      <c r="A1882" s="475" t="s">
        <v>935</v>
      </c>
      <c r="B1882" s="476">
        <v>2015</v>
      </c>
      <c r="C1882" s="476" t="str">
        <f t="shared" si="49"/>
        <v>San Joaquin Valley_2015</v>
      </c>
      <c r="D1882" s="471">
        <v>523.89345120847304</v>
      </c>
      <c r="E1882" s="2"/>
      <c r="F1882" s="2"/>
      <c r="G1882" s="2"/>
      <c r="H1882" s="2"/>
      <c r="I1882" s="21"/>
      <c r="J1882" s="21"/>
      <c r="K1882" s="21"/>
    </row>
    <row r="1883" spans="1:11" ht="15.5" x14ac:dyDescent="0.35">
      <c r="A1883" s="475" t="s">
        <v>935</v>
      </c>
      <c r="B1883" s="476">
        <v>2016</v>
      </c>
      <c r="C1883" s="476" t="str">
        <f t="shared" si="49"/>
        <v>San Joaquin Valley_2016</v>
      </c>
      <c r="D1883" s="471">
        <v>513.04065397506542</v>
      </c>
      <c r="E1883" s="2"/>
      <c r="F1883" s="2"/>
      <c r="G1883" s="2"/>
      <c r="H1883" s="2"/>
      <c r="I1883" s="21"/>
      <c r="J1883" s="21"/>
      <c r="K1883" s="21"/>
    </row>
    <row r="1884" spans="1:11" ht="15.5" x14ac:dyDescent="0.35">
      <c r="A1884" s="477" t="s">
        <v>935</v>
      </c>
      <c r="B1884" s="478">
        <v>2017</v>
      </c>
      <c r="C1884" s="478" t="str">
        <f t="shared" si="49"/>
        <v>San Joaquin Valley_2017</v>
      </c>
      <c r="D1884" s="474">
        <v>500.69556248955399</v>
      </c>
      <c r="E1884" s="2"/>
      <c r="F1884" s="2"/>
      <c r="G1884" s="2"/>
      <c r="H1884" s="2"/>
      <c r="I1884" s="21"/>
      <c r="J1884" s="21"/>
      <c r="K1884" s="21"/>
    </row>
    <row r="1885" spans="1:11" ht="15.5" x14ac:dyDescent="0.35">
      <c r="A1885" s="477" t="s">
        <v>935</v>
      </c>
      <c r="B1885" s="478">
        <v>2018</v>
      </c>
      <c r="C1885" s="478" t="str">
        <f t="shared" si="49"/>
        <v>San Joaquin Valley_2018</v>
      </c>
      <c r="D1885" s="474">
        <v>488.0151592610344</v>
      </c>
      <c r="E1885" s="2"/>
      <c r="F1885" s="2"/>
      <c r="G1885" s="2"/>
      <c r="H1885" s="2"/>
      <c r="I1885" s="21"/>
      <c r="J1885" s="21"/>
      <c r="K1885" s="21"/>
    </row>
    <row r="1886" spans="1:11" ht="15.5" x14ac:dyDescent="0.35">
      <c r="A1886" s="477" t="s">
        <v>935</v>
      </c>
      <c r="B1886" s="478">
        <v>2019</v>
      </c>
      <c r="C1886" s="478" t="str">
        <f t="shared" si="49"/>
        <v>San Joaquin Valley_2019</v>
      </c>
      <c r="D1886" s="474">
        <v>474.25853932098062</v>
      </c>
      <c r="E1886" s="2"/>
      <c r="F1886" s="2"/>
      <c r="G1886" s="2"/>
      <c r="H1886" s="2"/>
      <c r="I1886" s="21"/>
      <c r="J1886" s="21"/>
      <c r="K1886" s="21"/>
    </row>
    <row r="1887" spans="1:11" ht="15.5" x14ac:dyDescent="0.35">
      <c r="A1887" s="477" t="s">
        <v>935</v>
      </c>
      <c r="B1887" s="478">
        <v>2020</v>
      </c>
      <c r="C1887" s="478" t="str">
        <f t="shared" si="49"/>
        <v>San Joaquin Valley_2020</v>
      </c>
      <c r="D1887" s="474">
        <v>460.2665287618089</v>
      </c>
      <c r="E1887" s="2"/>
      <c r="F1887" s="2"/>
      <c r="G1887" s="2"/>
      <c r="H1887" s="2"/>
      <c r="I1887" s="21"/>
      <c r="J1887" s="21"/>
      <c r="K1887" s="21"/>
    </row>
    <row r="1888" spans="1:11" ht="15.5" x14ac:dyDescent="0.35">
      <c r="A1888" s="477" t="s">
        <v>935</v>
      </c>
      <c r="B1888" s="478">
        <v>2021</v>
      </c>
      <c r="C1888" s="478" t="str">
        <f t="shared" si="49"/>
        <v>San Joaquin Valley_2021</v>
      </c>
      <c r="D1888" s="474">
        <v>446.20644201213065</v>
      </c>
      <c r="E1888" s="2"/>
      <c r="F1888" s="2"/>
      <c r="G1888" s="2"/>
      <c r="H1888" s="2"/>
      <c r="I1888" s="21"/>
      <c r="J1888" s="21"/>
      <c r="K1888" s="21"/>
    </row>
    <row r="1889" spans="1:11" ht="15.5" x14ac:dyDescent="0.35">
      <c r="A1889" s="477" t="s">
        <v>935</v>
      </c>
      <c r="B1889" s="478">
        <v>2022</v>
      </c>
      <c r="C1889" s="478" t="str">
        <f t="shared" si="49"/>
        <v>San Joaquin Valley_2022</v>
      </c>
      <c r="D1889" s="474">
        <v>432.30068276869713</v>
      </c>
      <c r="E1889" s="2"/>
      <c r="F1889" s="2"/>
      <c r="G1889" s="2"/>
      <c r="H1889" s="2"/>
      <c r="I1889" s="21"/>
      <c r="J1889" s="21"/>
      <c r="K1889" s="21"/>
    </row>
    <row r="1890" spans="1:11" ht="15.5" x14ac:dyDescent="0.35">
      <c r="A1890" s="477" t="s">
        <v>935</v>
      </c>
      <c r="B1890" s="478">
        <v>2023</v>
      </c>
      <c r="C1890" s="478" t="str">
        <f t="shared" si="49"/>
        <v>San Joaquin Valley_2023</v>
      </c>
      <c r="D1890" s="474">
        <v>418.54783387960282</v>
      </c>
      <c r="E1890" s="2"/>
      <c r="F1890" s="2"/>
      <c r="G1890" s="2"/>
      <c r="H1890" s="2"/>
      <c r="I1890" s="21"/>
      <c r="J1890" s="21"/>
      <c r="K1890" s="21"/>
    </row>
    <row r="1891" spans="1:11" ht="15.5" x14ac:dyDescent="0.35">
      <c r="A1891" s="477" t="s">
        <v>935</v>
      </c>
      <c r="B1891" s="478">
        <v>2024</v>
      </c>
      <c r="C1891" s="478" t="str">
        <f t="shared" si="49"/>
        <v>San Joaquin Valley_2024</v>
      </c>
      <c r="D1891" s="474">
        <v>405.08672457694769</v>
      </c>
      <c r="E1891" s="2"/>
      <c r="F1891" s="2"/>
      <c r="G1891" s="2"/>
      <c r="H1891" s="2"/>
      <c r="I1891" s="21"/>
      <c r="J1891" s="21"/>
      <c r="K1891" s="21"/>
    </row>
    <row r="1892" spans="1:11" ht="15.5" x14ac:dyDescent="0.35">
      <c r="A1892" s="477" t="s">
        <v>935</v>
      </c>
      <c r="B1892" s="478">
        <v>2025</v>
      </c>
      <c r="C1892" s="478" t="str">
        <f t="shared" si="49"/>
        <v>San Joaquin Valley_2025</v>
      </c>
      <c r="D1892" s="474">
        <v>391.78382637298745</v>
      </c>
      <c r="E1892" s="2"/>
      <c r="F1892" s="2"/>
      <c r="G1892" s="2"/>
      <c r="H1892" s="2"/>
      <c r="I1892" s="21"/>
      <c r="J1892" s="21"/>
      <c r="K1892" s="21"/>
    </row>
    <row r="1893" spans="1:11" ht="15.5" x14ac:dyDescent="0.35">
      <c r="A1893" s="477" t="s">
        <v>935</v>
      </c>
      <c r="B1893" s="478">
        <v>2026</v>
      </c>
      <c r="C1893" s="478" t="str">
        <f t="shared" si="49"/>
        <v>San Joaquin Valley_2026</v>
      </c>
      <c r="D1893" s="474">
        <v>379.93176516887786</v>
      </c>
      <c r="E1893" s="2"/>
      <c r="F1893" s="2"/>
      <c r="G1893" s="2"/>
      <c r="H1893" s="2"/>
      <c r="I1893" s="21"/>
      <c r="J1893" s="21"/>
      <c r="K1893" s="21"/>
    </row>
    <row r="1894" spans="1:11" ht="15.5" x14ac:dyDescent="0.35">
      <c r="A1894" s="477" t="s">
        <v>935</v>
      </c>
      <c r="B1894" s="478">
        <v>2027</v>
      </c>
      <c r="C1894" s="478" t="str">
        <f t="shared" si="49"/>
        <v>San Joaquin Valley_2027</v>
      </c>
      <c r="D1894" s="474">
        <v>368.75002603444761</v>
      </c>
      <c r="E1894" s="2"/>
      <c r="F1894" s="2"/>
      <c r="G1894" s="2"/>
      <c r="H1894" s="2"/>
      <c r="I1894" s="21"/>
      <c r="J1894" s="21"/>
      <c r="K1894" s="21"/>
    </row>
    <row r="1895" spans="1:11" ht="15.5" x14ac:dyDescent="0.35">
      <c r="A1895" s="477" t="s">
        <v>935</v>
      </c>
      <c r="B1895" s="478">
        <v>2028</v>
      </c>
      <c r="C1895" s="478" t="str">
        <f t="shared" si="49"/>
        <v>San Joaquin Valley_2028</v>
      </c>
      <c r="D1895" s="474">
        <v>358.67266330081208</v>
      </c>
      <c r="E1895" s="2"/>
      <c r="F1895" s="2"/>
      <c r="G1895" s="2"/>
      <c r="H1895" s="2"/>
      <c r="I1895" s="21"/>
      <c r="J1895" s="21"/>
      <c r="K1895" s="21"/>
    </row>
    <row r="1896" spans="1:11" ht="15.5" x14ac:dyDescent="0.35">
      <c r="A1896" s="477" t="s">
        <v>935</v>
      </c>
      <c r="B1896" s="478">
        <v>2029</v>
      </c>
      <c r="C1896" s="478" t="str">
        <f t="shared" si="49"/>
        <v>San Joaquin Valley_2029</v>
      </c>
      <c r="D1896" s="474">
        <v>349.62316895068358</v>
      </c>
      <c r="E1896" s="2"/>
      <c r="F1896" s="2"/>
      <c r="G1896" s="2"/>
      <c r="H1896" s="2"/>
      <c r="I1896" s="21"/>
      <c r="J1896" s="21"/>
      <c r="K1896" s="21"/>
    </row>
    <row r="1897" spans="1:11" ht="15.5" x14ac:dyDescent="0.35">
      <c r="A1897" s="477" t="s">
        <v>935</v>
      </c>
      <c r="B1897" s="478">
        <v>2030</v>
      </c>
      <c r="C1897" s="478" t="str">
        <f t="shared" si="49"/>
        <v>San Joaquin Valley_2030</v>
      </c>
      <c r="D1897" s="474">
        <v>341.54424597939163</v>
      </c>
      <c r="E1897" s="2"/>
      <c r="F1897" s="2"/>
      <c r="G1897" s="2"/>
      <c r="H1897" s="2"/>
      <c r="I1897" s="21"/>
      <c r="J1897" s="21"/>
      <c r="K1897" s="21"/>
    </row>
    <row r="1898" spans="1:11" ht="15.5" x14ac:dyDescent="0.35">
      <c r="A1898" s="477" t="s">
        <v>935</v>
      </c>
      <c r="B1898" s="478">
        <v>2031</v>
      </c>
      <c r="C1898" s="478" t="str">
        <f t="shared" si="49"/>
        <v>San Joaquin Valley_2031</v>
      </c>
      <c r="D1898" s="474">
        <v>334.36905545628412</v>
      </c>
      <c r="E1898" s="2"/>
      <c r="F1898" s="2"/>
      <c r="G1898" s="2"/>
      <c r="H1898" s="2"/>
      <c r="I1898" s="21"/>
      <c r="J1898" s="21"/>
      <c r="K1898" s="21"/>
    </row>
    <row r="1899" spans="1:11" ht="15.5" x14ac:dyDescent="0.35">
      <c r="A1899" s="477" t="s">
        <v>935</v>
      </c>
      <c r="B1899" s="478">
        <v>2032</v>
      </c>
      <c r="C1899" s="478" t="str">
        <f t="shared" si="49"/>
        <v>San Joaquin Valley_2032</v>
      </c>
      <c r="D1899" s="474">
        <v>328.02434932125863</v>
      </c>
      <c r="E1899" s="2"/>
      <c r="F1899" s="2"/>
      <c r="G1899" s="2"/>
      <c r="H1899" s="2"/>
      <c r="I1899" s="21"/>
      <c r="J1899" s="21"/>
      <c r="K1899" s="21"/>
    </row>
    <row r="1900" spans="1:11" ht="15.5" x14ac:dyDescent="0.35">
      <c r="A1900" s="477" t="s">
        <v>935</v>
      </c>
      <c r="B1900" s="478">
        <v>2033</v>
      </c>
      <c r="C1900" s="478" t="str">
        <f t="shared" si="49"/>
        <v>San Joaquin Valley_2033</v>
      </c>
      <c r="D1900" s="474">
        <v>322.43633796331181</v>
      </c>
      <c r="E1900" s="2"/>
      <c r="F1900" s="2"/>
      <c r="G1900" s="2"/>
      <c r="H1900" s="2"/>
      <c r="I1900" s="21"/>
      <c r="J1900" s="21"/>
      <c r="K1900" s="21"/>
    </row>
    <row r="1901" spans="1:11" ht="15.5" x14ac:dyDescent="0.35">
      <c r="A1901" s="477" t="s">
        <v>935</v>
      </c>
      <c r="B1901" s="478">
        <v>2034</v>
      </c>
      <c r="C1901" s="478" t="str">
        <f t="shared" si="49"/>
        <v>San Joaquin Valley_2034</v>
      </c>
      <c r="D1901" s="474">
        <v>317.54434797756966</v>
      </c>
      <c r="E1901" s="2"/>
      <c r="F1901" s="2"/>
      <c r="G1901" s="2"/>
      <c r="H1901" s="2"/>
      <c r="I1901" s="21"/>
      <c r="J1901" s="21"/>
      <c r="K1901" s="21"/>
    </row>
    <row r="1902" spans="1:11" ht="15.5" x14ac:dyDescent="0.35">
      <c r="A1902" s="477" t="s">
        <v>935</v>
      </c>
      <c r="B1902" s="478">
        <v>2035</v>
      </c>
      <c r="C1902" s="478" t="str">
        <f t="shared" si="49"/>
        <v>San Joaquin Valley_2035</v>
      </c>
      <c r="D1902" s="474">
        <v>313.29383430843615</v>
      </c>
      <c r="E1902" s="2"/>
      <c r="F1902" s="2"/>
      <c r="G1902" s="2"/>
      <c r="H1902" s="2"/>
      <c r="I1902" s="21"/>
      <c r="J1902" s="21"/>
      <c r="K1902" s="21"/>
    </row>
    <row r="1903" spans="1:11" ht="15.5" x14ac:dyDescent="0.35">
      <c r="A1903" s="477" t="s">
        <v>935</v>
      </c>
      <c r="B1903" s="478">
        <v>2036</v>
      </c>
      <c r="C1903" s="478" t="str">
        <f t="shared" si="49"/>
        <v>San Joaquin Valley_2036</v>
      </c>
      <c r="D1903" s="474">
        <v>309.6168158973673</v>
      </c>
      <c r="E1903" s="2"/>
      <c r="F1903" s="2"/>
      <c r="G1903" s="2"/>
      <c r="H1903" s="2"/>
      <c r="I1903" s="21"/>
      <c r="J1903" s="21"/>
      <c r="K1903" s="21"/>
    </row>
    <row r="1904" spans="1:11" ht="15.5" x14ac:dyDescent="0.35">
      <c r="A1904" s="477" t="s">
        <v>935</v>
      </c>
      <c r="B1904" s="478">
        <v>2037</v>
      </c>
      <c r="C1904" s="478" t="str">
        <f t="shared" si="49"/>
        <v>San Joaquin Valley_2037</v>
      </c>
      <c r="D1904" s="474">
        <v>306.47208728364512</v>
      </c>
      <c r="E1904" s="2"/>
      <c r="F1904" s="2"/>
      <c r="G1904" s="2"/>
      <c r="H1904" s="2"/>
      <c r="I1904" s="21"/>
      <c r="J1904" s="21"/>
      <c r="K1904" s="21"/>
    </row>
    <row r="1905" spans="1:11" ht="15.5" x14ac:dyDescent="0.35">
      <c r="A1905" s="477" t="s">
        <v>935</v>
      </c>
      <c r="B1905" s="478">
        <v>2038</v>
      </c>
      <c r="C1905" s="478" t="str">
        <f t="shared" si="49"/>
        <v>San Joaquin Valley_2038</v>
      </c>
      <c r="D1905" s="474">
        <v>303.80596489399869</v>
      </c>
      <c r="E1905" s="2"/>
      <c r="F1905" s="2"/>
      <c r="G1905" s="2"/>
      <c r="H1905" s="2"/>
      <c r="I1905" s="21"/>
      <c r="J1905" s="21"/>
      <c r="K1905" s="21"/>
    </row>
    <row r="1906" spans="1:11" ht="15.5" x14ac:dyDescent="0.35">
      <c r="A1906" s="477" t="s">
        <v>935</v>
      </c>
      <c r="B1906" s="478">
        <v>2039</v>
      </c>
      <c r="C1906" s="478" t="str">
        <f t="shared" si="49"/>
        <v>San Joaquin Valley_2039</v>
      </c>
      <c r="D1906" s="474">
        <v>301.55681736634733</v>
      </c>
      <c r="E1906" s="2"/>
      <c r="F1906" s="2"/>
      <c r="G1906" s="2"/>
      <c r="H1906" s="2"/>
      <c r="I1906" s="21"/>
      <c r="J1906" s="21"/>
      <c r="K1906" s="21"/>
    </row>
    <row r="1907" spans="1:11" ht="15.5" x14ac:dyDescent="0.35">
      <c r="A1907" s="477" t="s">
        <v>935</v>
      </c>
      <c r="B1907" s="478">
        <v>2040</v>
      </c>
      <c r="C1907" s="478" t="str">
        <f t="shared" si="49"/>
        <v>San Joaquin Valley_2040</v>
      </c>
      <c r="D1907" s="474">
        <v>299.67844353072906</v>
      </c>
      <c r="E1907" s="2"/>
      <c r="F1907" s="2"/>
      <c r="G1907" s="2"/>
      <c r="H1907" s="2"/>
      <c r="I1907" s="21"/>
      <c r="J1907" s="21"/>
      <c r="K1907" s="21"/>
    </row>
    <row r="1908" spans="1:11" ht="15.5" x14ac:dyDescent="0.35">
      <c r="A1908" s="477" t="s">
        <v>935</v>
      </c>
      <c r="B1908" s="478">
        <v>2041</v>
      </c>
      <c r="C1908" s="478" t="str">
        <f t="shared" si="49"/>
        <v>San Joaquin Valley_2041</v>
      </c>
      <c r="D1908" s="474">
        <v>298.13658879737284</v>
      </c>
      <c r="E1908" s="2"/>
      <c r="F1908" s="2"/>
      <c r="G1908" s="2"/>
      <c r="H1908" s="2"/>
      <c r="I1908" s="21"/>
      <c r="J1908" s="21"/>
      <c r="K1908" s="21"/>
    </row>
    <row r="1909" spans="1:11" ht="15.5" x14ac:dyDescent="0.35">
      <c r="A1909" s="477" t="s">
        <v>935</v>
      </c>
      <c r="B1909" s="478">
        <v>2042</v>
      </c>
      <c r="C1909" s="478" t="str">
        <f t="shared" si="49"/>
        <v>San Joaquin Valley_2042</v>
      </c>
      <c r="D1909" s="474">
        <v>296.86058652800119</v>
      </c>
      <c r="E1909" s="2"/>
      <c r="F1909" s="2"/>
      <c r="G1909" s="2"/>
      <c r="H1909" s="2"/>
      <c r="I1909" s="21"/>
      <c r="J1909" s="21"/>
      <c r="K1909" s="21"/>
    </row>
    <row r="1910" spans="1:11" ht="15.5" x14ac:dyDescent="0.35">
      <c r="A1910" s="477" t="s">
        <v>935</v>
      </c>
      <c r="B1910" s="478">
        <v>2043</v>
      </c>
      <c r="C1910" s="478" t="str">
        <f t="shared" si="49"/>
        <v>San Joaquin Valley_2043</v>
      </c>
      <c r="D1910" s="474">
        <v>295.82031593984027</v>
      </c>
      <c r="E1910" s="2"/>
      <c r="F1910" s="2"/>
      <c r="G1910" s="2"/>
      <c r="H1910" s="2"/>
      <c r="I1910" s="21"/>
      <c r="J1910" s="21"/>
      <c r="K1910" s="21"/>
    </row>
    <row r="1911" spans="1:11" ht="15.5" x14ac:dyDescent="0.35">
      <c r="A1911" s="477" t="s">
        <v>935</v>
      </c>
      <c r="B1911" s="478">
        <v>2044</v>
      </c>
      <c r="C1911" s="478" t="str">
        <f t="shared" si="49"/>
        <v>San Joaquin Valley_2044</v>
      </c>
      <c r="D1911" s="474">
        <v>294.96526334649189</v>
      </c>
      <c r="E1911" s="2"/>
      <c r="F1911" s="2"/>
      <c r="G1911" s="2"/>
      <c r="H1911" s="2"/>
      <c r="I1911" s="21"/>
      <c r="J1911" s="21"/>
      <c r="K1911" s="21"/>
    </row>
    <row r="1912" spans="1:11" ht="15.5" x14ac:dyDescent="0.35">
      <c r="A1912" s="477" t="s">
        <v>935</v>
      </c>
      <c r="B1912" s="478">
        <v>2045</v>
      </c>
      <c r="C1912" s="478" t="str">
        <f t="shared" ref="C1912:C1917" si="50">CONCATENATE(A1912,"_",B1912)</f>
        <v>San Joaquin Valley_2045</v>
      </c>
      <c r="D1912" s="474">
        <v>294.25334737829809</v>
      </c>
      <c r="E1912" s="2"/>
      <c r="F1912" s="2"/>
      <c r="G1912" s="2"/>
      <c r="H1912" s="2"/>
      <c r="I1912" s="21"/>
      <c r="J1912" s="21"/>
      <c r="K1912" s="21"/>
    </row>
    <row r="1913" spans="1:11" ht="15.5" x14ac:dyDescent="0.35">
      <c r="A1913" s="477" t="s">
        <v>935</v>
      </c>
      <c r="B1913" s="478">
        <v>2046</v>
      </c>
      <c r="C1913" s="478" t="str">
        <f t="shared" si="50"/>
        <v>San Joaquin Valley_2046</v>
      </c>
      <c r="D1913" s="474">
        <v>293.66416935846757</v>
      </c>
      <c r="E1913" s="2"/>
      <c r="F1913" s="2"/>
      <c r="G1913" s="2"/>
      <c r="H1913" s="2"/>
      <c r="I1913" s="21"/>
      <c r="J1913" s="21"/>
      <c r="K1913" s="21"/>
    </row>
    <row r="1914" spans="1:11" ht="15.5" x14ac:dyDescent="0.35">
      <c r="A1914" s="477" t="s">
        <v>935</v>
      </c>
      <c r="B1914" s="478">
        <v>2047</v>
      </c>
      <c r="C1914" s="478" t="str">
        <f t="shared" si="50"/>
        <v>San Joaquin Valley_2047</v>
      </c>
      <c r="D1914" s="474">
        <v>293.18446491448213</v>
      </c>
      <c r="E1914" s="2"/>
      <c r="F1914" s="2"/>
      <c r="G1914" s="2"/>
      <c r="H1914" s="2"/>
      <c r="I1914" s="21"/>
      <c r="J1914" s="21"/>
      <c r="K1914" s="21"/>
    </row>
    <row r="1915" spans="1:11" ht="15.5" x14ac:dyDescent="0.35">
      <c r="A1915" s="477" t="s">
        <v>935</v>
      </c>
      <c r="B1915" s="478">
        <v>2048</v>
      </c>
      <c r="C1915" s="478" t="str">
        <f t="shared" si="50"/>
        <v>San Joaquin Valley_2048</v>
      </c>
      <c r="D1915" s="474">
        <v>292.79214525723376</v>
      </c>
      <c r="E1915" s="2"/>
      <c r="F1915" s="2"/>
      <c r="G1915" s="2"/>
      <c r="H1915" s="2"/>
      <c r="I1915" s="21"/>
      <c r="J1915" s="21"/>
      <c r="K1915" s="21"/>
    </row>
    <row r="1916" spans="1:11" ht="15.5" x14ac:dyDescent="0.35">
      <c r="A1916" s="477" t="s">
        <v>935</v>
      </c>
      <c r="B1916" s="478">
        <v>2049</v>
      </c>
      <c r="C1916" s="478" t="str">
        <f t="shared" si="50"/>
        <v>San Joaquin Valley_2049</v>
      </c>
      <c r="D1916" s="474">
        <v>292.47139344945504</v>
      </c>
      <c r="E1916" s="2"/>
      <c r="F1916" s="2"/>
      <c r="G1916" s="2"/>
      <c r="H1916" s="2"/>
      <c r="I1916" s="21"/>
      <c r="J1916" s="21"/>
      <c r="K1916" s="21"/>
    </row>
    <row r="1917" spans="1:11" ht="15.5" x14ac:dyDescent="0.35">
      <c r="A1917" s="477" t="s">
        <v>935</v>
      </c>
      <c r="B1917" s="478">
        <v>2050</v>
      </c>
      <c r="C1917" s="478" t="str">
        <f t="shared" si="50"/>
        <v>San Joaquin Valley_2050</v>
      </c>
      <c r="D1917" s="474">
        <v>292.21505616520932</v>
      </c>
      <c r="E1917" s="2"/>
      <c r="F1917" s="2"/>
      <c r="G1917" s="2"/>
      <c r="H1917" s="2"/>
      <c r="I1917" s="21"/>
      <c r="J1917" s="21"/>
      <c r="K1917" s="21"/>
    </row>
    <row r="1918" spans="1:11" ht="15.5" x14ac:dyDescent="0.35">
      <c r="A1918" s="479" t="s">
        <v>936</v>
      </c>
      <c r="B1918" s="470">
        <v>2015</v>
      </c>
      <c r="C1918" s="470" t="s">
        <v>937</v>
      </c>
      <c r="D1918" s="471">
        <v>510.8855845641113</v>
      </c>
      <c r="E1918" s="2"/>
      <c r="F1918" s="2"/>
      <c r="G1918" s="2"/>
      <c r="H1918" s="2"/>
      <c r="I1918" s="21"/>
      <c r="J1918" s="21"/>
      <c r="K1918" s="21"/>
    </row>
    <row r="1919" spans="1:11" ht="15.5" x14ac:dyDescent="0.35">
      <c r="A1919" s="479" t="s">
        <v>936</v>
      </c>
      <c r="B1919" s="470">
        <v>2016</v>
      </c>
      <c r="C1919" s="470" t="s">
        <v>938</v>
      </c>
      <c r="D1919" s="471">
        <v>499.98243344121795</v>
      </c>
      <c r="E1919" s="2"/>
      <c r="F1919" s="2"/>
      <c r="G1919" s="2"/>
      <c r="H1919" s="2"/>
      <c r="I1919" s="21"/>
      <c r="J1919" s="21"/>
      <c r="K1919" s="21"/>
    </row>
    <row r="1920" spans="1:11" ht="15.5" x14ac:dyDescent="0.35">
      <c r="A1920" s="472" t="s">
        <v>936</v>
      </c>
      <c r="B1920" s="473">
        <v>2017</v>
      </c>
      <c r="C1920" s="473" t="str">
        <f t="shared" ref="C1920:C1953" si="51">CONCATENATE(A1920,"_",B1920)</f>
        <v>San Joaquin_2017</v>
      </c>
      <c r="D1920" s="474">
        <v>487.77539854943649</v>
      </c>
      <c r="E1920" s="2"/>
      <c r="F1920" s="2"/>
      <c r="G1920" s="2"/>
      <c r="H1920" s="2"/>
      <c r="I1920" s="21"/>
      <c r="J1920" s="21"/>
      <c r="K1920" s="21"/>
    </row>
    <row r="1921" spans="1:11" ht="15.5" x14ac:dyDescent="0.35">
      <c r="A1921" s="472" t="s">
        <v>936</v>
      </c>
      <c r="B1921" s="473">
        <v>2018</v>
      </c>
      <c r="C1921" s="473" t="str">
        <f t="shared" si="51"/>
        <v>San Joaquin_2018</v>
      </c>
      <c r="D1921" s="474">
        <v>473.90118280984547</v>
      </c>
      <c r="E1921" s="2"/>
      <c r="F1921" s="2"/>
      <c r="G1921" s="2"/>
      <c r="H1921" s="2"/>
      <c r="I1921" s="21"/>
      <c r="J1921" s="21"/>
      <c r="K1921" s="21"/>
    </row>
    <row r="1922" spans="1:11" ht="15.5" x14ac:dyDescent="0.35">
      <c r="A1922" s="472" t="s">
        <v>936</v>
      </c>
      <c r="B1922" s="473">
        <v>2019</v>
      </c>
      <c r="C1922" s="473" t="str">
        <f t="shared" si="51"/>
        <v>San Joaquin_2019</v>
      </c>
      <c r="D1922" s="474">
        <v>460.40773779683735</v>
      </c>
      <c r="E1922" s="2"/>
      <c r="F1922" s="2"/>
      <c r="G1922" s="2"/>
      <c r="H1922" s="2"/>
      <c r="I1922" s="21"/>
      <c r="J1922" s="21"/>
      <c r="K1922" s="21"/>
    </row>
    <row r="1923" spans="1:11" ht="15.5" x14ac:dyDescent="0.35">
      <c r="A1923" s="472" t="s">
        <v>936</v>
      </c>
      <c r="B1923" s="473">
        <v>2020</v>
      </c>
      <c r="C1923" s="473" t="str">
        <f t="shared" si="51"/>
        <v>San Joaquin_2020</v>
      </c>
      <c r="D1923" s="474">
        <v>446.74117131644772</v>
      </c>
      <c r="E1923" s="2"/>
      <c r="F1923" s="2"/>
      <c r="G1923" s="2"/>
      <c r="H1923" s="2"/>
      <c r="I1923" s="21"/>
      <c r="J1923" s="21"/>
      <c r="K1923" s="21"/>
    </row>
    <row r="1924" spans="1:11" ht="15.5" x14ac:dyDescent="0.35">
      <c r="A1924" s="472" t="s">
        <v>936</v>
      </c>
      <c r="B1924" s="473">
        <v>2021</v>
      </c>
      <c r="C1924" s="473" t="str">
        <f t="shared" si="51"/>
        <v>San Joaquin_2021</v>
      </c>
      <c r="D1924" s="474">
        <v>432.43626176007325</v>
      </c>
      <c r="E1924" s="2"/>
      <c r="F1924" s="2"/>
      <c r="G1924" s="2"/>
      <c r="H1924" s="2"/>
      <c r="I1924" s="21"/>
      <c r="J1924" s="21"/>
      <c r="K1924" s="21"/>
    </row>
    <row r="1925" spans="1:11" ht="15.5" x14ac:dyDescent="0.35">
      <c r="A1925" s="472" t="s">
        <v>936</v>
      </c>
      <c r="B1925" s="473">
        <v>2022</v>
      </c>
      <c r="C1925" s="473" t="str">
        <f t="shared" si="51"/>
        <v>San Joaquin_2022</v>
      </c>
      <c r="D1925" s="474">
        <v>419.00408102987342</v>
      </c>
      <c r="E1925" s="2"/>
      <c r="F1925" s="2"/>
      <c r="G1925" s="2"/>
      <c r="H1925" s="2"/>
      <c r="I1925" s="21"/>
      <c r="J1925" s="21"/>
      <c r="K1925" s="21"/>
    </row>
    <row r="1926" spans="1:11" ht="15.5" x14ac:dyDescent="0.35">
      <c r="A1926" s="472" t="s">
        <v>936</v>
      </c>
      <c r="B1926" s="473">
        <v>2023</v>
      </c>
      <c r="C1926" s="473" t="str">
        <f t="shared" si="51"/>
        <v>San Joaquin_2023</v>
      </c>
      <c r="D1926" s="474">
        <v>405.75062684433965</v>
      </c>
      <c r="E1926" s="2"/>
      <c r="F1926" s="2"/>
      <c r="G1926" s="2"/>
      <c r="H1926" s="2"/>
      <c r="I1926" s="21"/>
      <c r="J1926" s="21"/>
      <c r="K1926" s="21"/>
    </row>
    <row r="1927" spans="1:11" ht="15.5" x14ac:dyDescent="0.35">
      <c r="A1927" s="472" t="s">
        <v>936</v>
      </c>
      <c r="B1927" s="473">
        <v>2024</v>
      </c>
      <c r="C1927" s="473" t="str">
        <f t="shared" si="51"/>
        <v>San Joaquin_2024</v>
      </c>
      <c r="D1927" s="474">
        <v>392.07265008912793</v>
      </c>
      <c r="E1927" s="2"/>
      <c r="F1927" s="2"/>
      <c r="G1927" s="2"/>
      <c r="H1927" s="2"/>
      <c r="I1927" s="21"/>
      <c r="J1927" s="21"/>
      <c r="K1927" s="21"/>
    </row>
    <row r="1928" spans="1:11" ht="15.5" x14ac:dyDescent="0.35">
      <c r="A1928" s="472" t="s">
        <v>936</v>
      </c>
      <c r="B1928" s="473">
        <v>2025</v>
      </c>
      <c r="C1928" s="473" t="str">
        <f t="shared" si="51"/>
        <v>San Joaquin_2025</v>
      </c>
      <c r="D1928" s="474">
        <v>379.33829758423053</v>
      </c>
      <c r="E1928" s="2"/>
      <c r="F1928" s="2"/>
      <c r="G1928" s="2"/>
      <c r="H1928" s="2"/>
      <c r="I1928" s="21"/>
      <c r="J1928" s="21"/>
      <c r="K1928" s="21"/>
    </row>
    <row r="1929" spans="1:11" ht="15.5" x14ac:dyDescent="0.35">
      <c r="A1929" s="472" t="s">
        <v>936</v>
      </c>
      <c r="B1929" s="473">
        <v>2026</v>
      </c>
      <c r="C1929" s="473" t="str">
        <f t="shared" si="51"/>
        <v>San Joaquin_2026</v>
      </c>
      <c r="D1929" s="474">
        <v>367.56921422396556</v>
      </c>
      <c r="E1929" s="2"/>
      <c r="F1929" s="2"/>
      <c r="G1929" s="2"/>
      <c r="H1929" s="2"/>
      <c r="I1929" s="21"/>
      <c r="J1929" s="21"/>
      <c r="K1929" s="21"/>
    </row>
    <row r="1930" spans="1:11" ht="15.5" x14ac:dyDescent="0.35">
      <c r="A1930" s="472" t="s">
        <v>936</v>
      </c>
      <c r="B1930" s="473">
        <v>2027</v>
      </c>
      <c r="C1930" s="473" t="str">
        <f t="shared" si="51"/>
        <v>San Joaquin_2027</v>
      </c>
      <c r="D1930" s="474">
        <v>356.97011119896382</v>
      </c>
      <c r="E1930" s="2"/>
      <c r="F1930" s="2"/>
      <c r="G1930" s="2"/>
      <c r="H1930" s="2"/>
      <c r="I1930" s="21"/>
      <c r="J1930" s="21"/>
      <c r="K1930" s="21"/>
    </row>
    <row r="1931" spans="1:11" ht="15.5" x14ac:dyDescent="0.35">
      <c r="A1931" s="472" t="s">
        <v>936</v>
      </c>
      <c r="B1931" s="473">
        <v>2028</v>
      </c>
      <c r="C1931" s="473" t="str">
        <f t="shared" si="51"/>
        <v>San Joaquin_2028</v>
      </c>
      <c r="D1931" s="474">
        <v>347.46775772620543</v>
      </c>
      <c r="E1931" s="2"/>
      <c r="F1931" s="2"/>
      <c r="G1931" s="2"/>
      <c r="H1931" s="2"/>
      <c r="I1931" s="21"/>
      <c r="J1931" s="21"/>
      <c r="K1931" s="21"/>
    </row>
    <row r="1932" spans="1:11" ht="15.5" x14ac:dyDescent="0.35">
      <c r="A1932" s="472" t="s">
        <v>936</v>
      </c>
      <c r="B1932" s="473">
        <v>2029</v>
      </c>
      <c r="C1932" s="473" t="str">
        <f t="shared" si="51"/>
        <v>San Joaquin_2029</v>
      </c>
      <c r="D1932" s="474">
        <v>338.9856031146266</v>
      </c>
      <c r="E1932" s="2"/>
      <c r="F1932" s="2"/>
      <c r="G1932" s="2"/>
      <c r="H1932" s="2"/>
      <c r="I1932" s="21"/>
      <c r="J1932" s="21"/>
      <c r="K1932" s="21"/>
    </row>
    <row r="1933" spans="1:11" ht="15.5" x14ac:dyDescent="0.35">
      <c r="A1933" s="472" t="s">
        <v>936</v>
      </c>
      <c r="B1933" s="473">
        <v>2030</v>
      </c>
      <c r="C1933" s="473" t="str">
        <f t="shared" si="51"/>
        <v>San Joaquin_2030</v>
      </c>
      <c r="D1933" s="474">
        <v>331.44782861491228</v>
      </c>
      <c r="E1933" s="2"/>
      <c r="F1933" s="2"/>
      <c r="G1933" s="2"/>
      <c r="H1933" s="2"/>
      <c r="I1933" s="21"/>
      <c r="J1933" s="21"/>
      <c r="K1933" s="21"/>
    </row>
    <row r="1934" spans="1:11" ht="15.5" x14ac:dyDescent="0.35">
      <c r="A1934" s="472" t="s">
        <v>936</v>
      </c>
      <c r="B1934" s="473">
        <v>2031</v>
      </c>
      <c r="C1934" s="473" t="str">
        <f t="shared" si="51"/>
        <v>San Joaquin_2031</v>
      </c>
      <c r="D1934" s="474">
        <v>324.77645747943035</v>
      </c>
      <c r="E1934" s="2"/>
      <c r="F1934" s="2"/>
      <c r="G1934" s="2"/>
      <c r="H1934" s="2"/>
      <c r="I1934" s="21"/>
      <c r="J1934" s="21"/>
      <c r="K1934" s="21"/>
    </row>
    <row r="1935" spans="1:11" ht="15.5" x14ac:dyDescent="0.35">
      <c r="A1935" s="472" t="s">
        <v>936</v>
      </c>
      <c r="B1935" s="473">
        <v>2032</v>
      </c>
      <c r="C1935" s="473" t="str">
        <f t="shared" si="51"/>
        <v>San Joaquin_2032</v>
      </c>
      <c r="D1935" s="474">
        <v>318.89855651594343</v>
      </c>
      <c r="E1935" s="2"/>
      <c r="F1935" s="2"/>
      <c r="G1935" s="2"/>
      <c r="H1935" s="2"/>
      <c r="I1935" s="21"/>
      <c r="J1935" s="21"/>
      <c r="K1935" s="21"/>
    </row>
    <row r="1936" spans="1:11" ht="15.5" x14ac:dyDescent="0.35">
      <c r="A1936" s="472" t="s">
        <v>936</v>
      </c>
      <c r="B1936" s="473">
        <v>2033</v>
      </c>
      <c r="C1936" s="473" t="str">
        <f t="shared" si="51"/>
        <v>San Joaquin_2033</v>
      </c>
      <c r="D1936" s="474">
        <v>313.73288550444545</v>
      </c>
      <c r="E1936" s="2"/>
      <c r="F1936" s="2"/>
      <c r="G1936" s="2"/>
      <c r="H1936" s="2"/>
      <c r="I1936" s="21"/>
      <c r="J1936" s="21"/>
      <c r="K1936" s="21"/>
    </row>
    <row r="1937" spans="1:11" ht="15.5" x14ac:dyDescent="0.35">
      <c r="A1937" s="472" t="s">
        <v>936</v>
      </c>
      <c r="B1937" s="473">
        <v>2034</v>
      </c>
      <c r="C1937" s="473" t="str">
        <f t="shared" si="51"/>
        <v>San Joaquin_2034</v>
      </c>
      <c r="D1937" s="474">
        <v>309.21703908410416</v>
      </c>
      <c r="E1937" s="2"/>
      <c r="F1937" s="2"/>
      <c r="G1937" s="2"/>
      <c r="H1937" s="2"/>
      <c r="I1937" s="21"/>
      <c r="J1937" s="21"/>
      <c r="K1937" s="21"/>
    </row>
    <row r="1938" spans="1:11" ht="15.5" x14ac:dyDescent="0.35">
      <c r="A1938" s="472" t="s">
        <v>936</v>
      </c>
      <c r="B1938" s="473">
        <v>2035</v>
      </c>
      <c r="C1938" s="473" t="str">
        <f t="shared" si="51"/>
        <v>San Joaquin_2035</v>
      </c>
      <c r="D1938" s="474">
        <v>305.29840005182257</v>
      </c>
      <c r="E1938" s="2"/>
      <c r="F1938" s="2"/>
      <c r="G1938" s="2"/>
      <c r="H1938" s="2"/>
      <c r="I1938" s="21"/>
      <c r="J1938" s="21"/>
      <c r="K1938" s="21"/>
    </row>
    <row r="1939" spans="1:11" ht="15.5" x14ac:dyDescent="0.35">
      <c r="A1939" s="472" t="s">
        <v>936</v>
      </c>
      <c r="B1939" s="473">
        <v>2036</v>
      </c>
      <c r="C1939" s="473" t="str">
        <f t="shared" si="51"/>
        <v>San Joaquin_2036</v>
      </c>
      <c r="D1939" s="474">
        <v>301.91599786743853</v>
      </c>
      <c r="E1939" s="2"/>
      <c r="F1939" s="2"/>
      <c r="G1939" s="2"/>
      <c r="H1939" s="2"/>
      <c r="I1939" s="21"/>
      <c r="J1939" s="21"/>
      <c r="K1939" s="21"/>
    </row>
    <row r="1940" spans="1:11" ht="15.5" x14ac:dyDescent="0.35">
      <c r="A1940" s="472" t="s">
        <v>936</v>
      </c>
      <c r="B1940" s="473">
        <v>2037</v>
      </c>
      <c r="C1940" s="473" t="str">
        <f t="shared" si="51"/>
        <v>San Joaquin_2037</v>
      </c>
      <c r="D1940" s="474">
        <v>299.02587243389081</v>
      </c>
      <c r="E1940" s="2"/>
      <c r="F1940" s="2"/>
      <c r="G1940" s="2"/>
      <c r="H1940" s="2"/>
      <c r="I1940" s="21"/>
      <c r="J1940" s="21"/>
      <c r="K1940" s="21"/>
    </row>
    <row r="1941" spans="1:11" ht="15.5" x14ac:dyDescent="0.35">
      <c r="A1941" s="472" t="s">
        <v>936</v>
      </c>
      <c r="B1941" s="473">
        <v>2038</v>
      </c>
      <c r="C1941" s="473" t="str">
        <f t="shared" si="51"/>
        <v>San Joaquin_2038</v>
      </c>
      <c r="D1941" s="474">
        <v>296.57309201188394</v>
      </c>
      <c r="E1941" s="2"/>
      <c r="F1941" s="2"/>
      <c r="G1941" s="2"/>
      <c r="H1941" s="2"/>
      <c r="I1941" s="21"/>
      <c r="J1941" s="21"/>
      <c r="K1941" s="21"/>
    </row>
    <row r="1942" spans="1:11" ht="15.5" x14ac:dyDescent="0.35">
      <c r="A1942" s="472" t="s">
        <v>936</v>
      </c>
      <c r="B1942" s="473">
        <v>2039</v>
      </c>
      <c r="C1942" s="473" t="str">
        <f t="shared" si="51"/>
        <v>San Joaquin_2039</v>
      </c>
      <c r="D1942" s="474">
        <v>294.51002628223063</v>
      </c>
      <c r="E1942" s="2"/>
      <c r="F1942" s="2"/>
      <c r="G1942" s="2"/>
      <c r="H1942" s="2"/>
      <c r="I1942" s="21"/>
      <c r="J1942" s="21"/>
      <c r="K1942" s="21"/>
    </row>
    <row r="1943" spans="1:11" ht="15.5" x14ac:dyDescent="0.35">
      <c r="A1943" s="472" t="s">
        <v>936</v>
      </c>
      <c r="B1943" s="473">
        <v>2040</v>
      </c>
      <c r="C1943" s="473" t="str">
        <f t="shared" si="51"/>
        <v>San Joaquin_2040</v>
      </c>
      <c r="D1943" s="474">
        <v>292.79108443935291</v>
      </c>
      <c r="E1943" s="2"/>
      <c r="F1943" s="2"/>
      <c r="G1943" s="2"/>
      <c r="H1943" s="2"/>
      <c r="I1943" s="21"/>
      <c r="J1943" s="21"/>
      <c r="K1943" s="21"/>
    </row>
    <row r="1944" spans="1:11" ht="15.5" x14ac:dyDescent="0.35">
      <c r="A1944" s="472" t="s">
        <v>936</v>
      </c>
      <c r="B1944" s="473">
        <v>2041</v>
      </c>
      <c r="C1944" s="473" t="str">
        <f t="shared" si="51"/>
        <v>San Joaquin_2041</v>
      </c>
      <c r="D1944" s="474">
        <v>291.37905008221549</v>
      </c>
      <c r="E1944" s="2"/>
      <c r="F1944" s="2"/>
      <c r="G1944" s="2"/>
      <c r="H1944" s="2"/>
      <c r="I1944" s="21"/>
      <c r="J1944" s="21"/>
      <c r="K1944" s="21"/>
    </row>
    <row r="1945" spans="1:11" ht="15.5" x14ac:dyDescent="0.35">
      <c r="A1945" s="472" t="s">
        <v>936</v>
      </c>
      <c r="B1945" s="473">
        <v>2042</v>
      </c>
      <c r="C1945" s="473" t="str">
        <f t="shared" si="51"/>
        <v>San Joaquin_2042</v>
      </c>
      <c r="D1945" s="474">
        <v>290.21537311074815</v>
      </c>
      <c r="E1945" s="2"/>
      <c r="F1945" s="2"/>
      <c r="G1945" s="2"/>
      <c r="H1945" s="2"/>
      <c r="I1945" s="21"/>
      <c r="J1945" s="21"/>
      <c r="K1945" s="21"/>
    </row>
    <row r="1946" spans="1:11" ht="15.5" x14ac:dyDescent="0.35">
      <c r="A1946" s="472" t="s">
        <v>936</v>
      </c>
      <c r="B1946" s="473">
        <v>2043</v>
      </c>
      <c r="C1946" s="473" t="str">
        <f t="shared" si="51"/>
        <v>San Joaquin_2043</v>
      </c>
      <c r="D1946" s="474">
        <v>289.26827151881861</v>
      </c>
      <c r="E1946" s="2"/>
      <c r="F1946" s="2"/>
      <c r="G1946" s="2"/>
      <c r="H1946" s="2"/>
      <c r="I1946" s="21"/>
      <c r="J1946" s="21"/>
      <c r="K1946" s="21"/>
    </row>
    <row r="1947" spans="1:11" ht="15.5" x14ac:dyDescent="0.35">
      <c r="A1947" s="472" t="s">
        <v>936</v>
      </c>
      <c r="B1947" s="473">
        <v>2044</v>
      </c>
      <c r="C1947" s="473" t="str">
        <f t="shared" si="51"/>
        <v>San Joaquin_2044</v>
      </c>
      <c r="D1947" s="474">
        <v>288.49730836148734</v>
      </c>
      <c r="E1947" s="2"/>
      <c r="F1947" s="2"/>
      <c r="G1947" s="2"/>
      <c r="H1947" s="2"/>
      <c r="I1947" s="21"/>
      <c r="J1947" s="21"/>
      <c r="K1947" s="21"/>
    </row>
    <row r="1948" spans="1:11" ht="15.5" x14ac:dyDescent="0.35">
      <c r="A1948" s="472" t="s">
        <v>936</v>
      </c>
      <c r="B1948" s="473">
        <v>2045</v>
      </c>
      <c r="C1948" s="473" t="str">
        <f t="shared" si="51"/>
        <v>San Joaquin_2045</v>
      </c>
      <c r="D1948" s="474">
        <v>287.86465256041242</v>
      </c>
      <c r="E1948" s="2"/>
      <c r="F1948" s="2"/>
      <c r="G1948" s="2"/>
      <c r="H1948" s="2"/>
      <c r="I1948" s="21"/>
      <c r="J1948" s="21"/>
      <c r="K1948" s="21"/>
    </row>
    <row r="1949" spans="1:11" ht="15.5" x14ac:dyDescent="0.35">
      <c r="A1949" s="472" t="s">
        <v>936</v>
      </c>
      <c r="B1949" s="473">
        <v>2046</v>
      </c>
      <c r="C1949" s="473" t="str">
        <f t="shared" si="51"/>
        <v>San Joaquin_2046</v>
      </c>
      <c r="D1949" s="474">
        <v>287.34368044131486</v>
      </c>
      <c r="E1949" s="2"/>
      <c r="F1949" s="2"/>
      <c r="G1949" s="2"/>
      <c r="H1949" s="2"/>
      <c r="I1949" s="21"/>
      <c r="J1949" s="21"/>
      <c r="K1949" s="21"/>
    </row>
    <row r="1950" spans="1:11" ht="15.5" x14ac:dyDescent="0.35">
      <c r="A1950" s="472" t="s">
        <v>936</v>
      </c>
      <c r="B1950" s="473">
        <v>2047</v>
      </c>
      <c r="C1950" s="473" t="str">
        <f t="shared" si="51"/>
        <v>San Joaquin_2047</v>
      </c>
      <c r="D1950" s="474">
        <v>286.92369616070374</v>
      </c>
      <c r="E1950" s="2"/>
      <c r="F1950" s="2"/>
      <c r="G1950" s="2"/>
      <c r="H1950" s="2"/>
      <c r="I1950" s="21"/>
      <c r="J1950" s="21"/>
      <c r="K1950" s="21"/>
    </row>
    <row r="1951" spans="1:11" ht="15.5" x14ac:dyDescent="0.35">
      <c r="A1951" s="472" t="s">
        <v>936</v>
      </c>
      <c r="B1951" s="473">
        <v>2048</v>
      </c>
      <c r="C1951" s="473" t="str">
        <f t="shared" si="51"/>
        <v>San Joaquin_2048</v>
      </c>
      <c r="D1951" s="474">
        <v>286.58689927557191</v>
      </c>
      <c r="E1951" s="2"/>
      <c r="F1951" s="2"/>
      <c r="G1951" s="2"/>
      <c r="H1951" s="2"/>
      <c r="I1951" s="21"/>
      <c r="J1951" s="21"/>
      <c r="K1951" s="21"/>
    </row>
    <row r="1952" spans="1:11" ht="15.5" x14ac:dyDescent="0.35">
      <c r="A1952" s="472" t="s">
        <v>936</v>
      </c>
      <c r="B1952" s="473">
        <v>2049</v>
      </c>
      <c r="C1952" s="473" t="str">
        <f t="shared" si="51"/>
        <v>San Joaquin_2049</v>
      </c>
      <c r="D1952" s="474">
        <v>286.32031197272232</v>
      </c>
      <c r="E1952" s="2"/>
      <c r="F1952" s="2"/>
      <c r="G1952" s="2"/>
      <c r="H1952" s="2"/>
      <c r="I1952" s="21"/>
      <c r="J1952" s="21"/>
      <c r="K1952" s="21"/>
    </row>
    <row r="1953" spans="1:11" ht="15.5" x14ac:dyDescent="0.35">
      <c r="A1953" s="472" t="s">
        <v>936</v>
      </c>
      <c r="B1953" s="473">
        <v>2050</v>
      </c>
      <c r="C1953" s="473" t="str">
        <f t="shared" si="51"/>
        <v>San Joaquin_2050</v>
      </c>
      <c r="D1953" s="474">
        <v>286.11286438725779</v>
      </c>
      <c r="E1953" s="2"/>
      <c r="F1953" s="2"/>
      <c r="G1953" s="2"/>
      <c r="H1953" s="2"/>
      <c r="I1953" s="21"/>
      <c r="J1953" s="21"/>
      <c r="K1953" s="21"/>
    </row>
    <row r="1954" spans="1:11" ht="15.5" x14ac:dyDescent="0.35">
      <c r="A1954" s="479" t="s">
        <v>939</v>
      </c>
      <c r="B1954" s="470">
        <v>2015</v>
      </c>
      <c r="C1954" s="470" t="s">
        <v>940</v>
      </c>
      <c r="D1954" s="471">
        <v>500.47656423985563</v>
      </c>
      <c r="E1954" s="2"/>
      <c r="F1954" s="2"/>
      <c r="G1954" s="2"/>
      <c r="H1954" s="2"/>
      <c r="I1954" s="21"/>
      <c r="J1954" s="21"/>
      <c r="K1954" s="21"/>
    </row>
    <row r="1955" spans="1:11" ht="15.5" x14ac:dyDescent="0.35">
      <c r="A1955" s="479" t="s">
        <v>939</v>
      </c>
      <c r="B1955" s="470">
        <v>2016</v>
      </c>
      <c r="C1955" s="470" t="s">
        <v>941</v>
      </c>
      <c r="D1955" s="471">
        <v>491.29694328870983</v>
      </c>
      <c r="E1955" s="2"/>
      <c r="F1955" s="2"/>
      <c r="G1955" s="2"/>
      <c r="H1955" s="2"/>
      <c r="I1955" s="21"/>
      <c r="J1955" s="21"/>
      <c r="K1955" s="21"/>
    </row>
    <row r="1956" spans="1:11" ht="15.5" x14ac:dyDescent="0.35">
      <c r="A1956" s="472" t="s">
        <v>939</v>
      </c>
      <c r="B1956" s="473">
        <v>2017</v>
      </c>
      <c r="C1956" s="473" t="str">
        <f t="shared" ref="C1956:C1989" si="52">CONCATENATE(A1956,"_",B1956)</f>
        <v>San Luis Obispo_2017</v>
      </c>
      <c r="D1956" s="474">
        <v>479.99660734722465</v>
      </c>
      <c r="E1956" s="2"/>
      <c r="F1956" s="2"/>
      <c r="G1956" s="2"/>
      <c r="H1956" s="2"/>
      <c r="I1956" s="21"/>
      <c r="J1956" s="21"/>
      <c r="K1956" s="21"/>
    </row>
    <row r="1957" spans="1:11" ht="15.5" x14ac:dyDescent="0.35">
      <c r="A1957" s="472" t="s">
        <v>939</v>
      </c>
      <c r="B1957" s="473">
        <v>2018</v>
      </c>
      <c r="C1957" s="473" t="str">
        <f t="shared" si="52"/>
        <v>San Luis Obispo_2018</v>
      </c>
      <c r="D1957" s="474">
        <v>468.04172122651437</v>
      </c>
      <c r="E1957" s="2"/>
      <c r="F1957" s="2"/>
      <c r="G1957" s="2"/>
      <c r="H1957" s="2"/>
      <c r="I1957" s="21"/>
      <c r="J1957" s="21"/>
      <c r="K1957" s="21"/>
    </row>
    <row r="1958" spans="1:11" ht="15.5" x14ac:dyDescent="0.35">
      <c r="A1958" s="472" t="s">
        <v>939</v>
      </c>
      <c r="B1958" s="473">
        <v>2019</v>
      </c>
      <c r="C1958" s="473" t="str">
        <f t="shared" si="52"/>
        <v>San Luis Obispo_2019</v>
      </c>
      <c r="D1958" s="474">
        <v>455.60963511840112</v>
      </c>
      <c r="E1958" s="2"/>
      <c r="F1958" s="2"/>
      <c r="G1958" s="2"/>
      <c r="H1958" s="2"/>
      <c r="I1958" s="21"/>
      <c r="J1958" s="21"/>
      <c r="K1958" s="21"/>
    </row>
    <row r="1959" spans="1:11" ht="15.5" x14ac:dyDescent="0.35">
      <c r="A1959" s="472" t="s">
        <v>939</v>
      </c>
      <c r="B1959" s="473">
        <v>2020</v>
      </c>
      <c r="C1959" s="473" t="str">
        <f t="shared" si="52"/>
        <v>San Luis Obispo_2020</v>
      </c>
      <c r="D1959" s="474">
        <v>442.86796924696472</v>
      </c>
      <c r="E1959" s="2"/>
      <c r="F1959" s="2"/>
      <c r="G1959" s="2"/>
      <c r="H1959" s="2"/>
      <c r="I1959" s="21"/>
      <c r="J1959" s="21"/>
      <c r="K1959" s="21"/>
    </row>
    <row r="1960" spans="1:11" ht="15.5" x14ac:dyDescent="0.35">
      <c r="A1960" s="472" t="s">
        <v>939</v>
      </c>
      <c r="B1960" s="473">
        <v>2021</v>
      </c>
      <c r="C1960" s="473" t="str">
        <f t="shared" si="52"/>
        <v>San Luis Obispo_2021</v>
      </c>
      <c r="D1960" s="474">
        <v>429.93811586109058</v>
      </c>
      <c r="E1960" s="2"/>
      <c r="F1960" s="2"/>
      <c r="G1960" s="2"/>
      <c r="H1960" s="2"/>
      <c r="I1960" s="21"/>
      <c r="J1960" s="21"/>
      <c r="K1960" s="21"/>
    </row>
    <row r="1961" spans="1:11" ht="15.5" x14ac:dyDescent="0.35">
      <c r="A1961" s="472" t="s">
        <v>939</v>
      </c>
      <c r="B1961" s="473">
        <v>2022</v>
      </c>
      <c r="C1961" s="473" t="str">
        <f t="shared" si="52"/>
        <v>San Luis Obispo_2022</v>
      </c>
      <c r="D1961" s="474">
        <v>417.14731135395652</v>
      </c>
      <c r="E1961" s="2"/>
      <c r="F1961" s="2"/>
      <c r="G1961" s="2"/>
      <c r="H1961" s="2"/>
      <c r="I1961" s="21"/>
      <c r="J1961" s="21"/>
      <c r="K1961" s="21"/>
    </row>
    <row r="1962" spans="1:11" ht="15.5" x14ac:dyDescent="0.35">
      <c r="A1962" s="472" t="s">
        <v>939</v>
      </c>
      <c r="B1962" s="473">
        <v>2023</v>
      </c>
      <c r="C1962" s="473" t="str">
        <f t="shared" si="52"/>
        <v>San Luis Obispo_2023</v>
      </c>
      <c r="D1962" s="474">
        <v>404.42009254946709</v>
      </c>
      <c r="E1962" s="2"/>
      <c r="F1962" s="2"/>
      <c r="G1962" s="2"/>
      <c r="H1962" s="2"/>
      <c r="I1962" s="21"/>
      <c r="J1962" s="21"/>
      <c r="K1962" s="21"/>
    </row>
    <row r="1963" spans="1:11" ht="15.5" x14ac:dyDescent="0.35">
      <c r="A1963" s="472" t="s">
        <v>939</v>
      </c>
      <c r="B1963" s="473">
        <v>2024</v>
      </c>
      <c r="C1963" s="473" t="str">
        <f t="shared" si="52"/>
        <v>San Luis Obispo_2024</v>
      </c>
      <c r="D1963" s="474">
        <v>391.8253839485738</v>
      </c>
      <c r="E1963" s="2"/>
      <c r="F1963" s="2"/>
      <c r="G1963" s="2"/>
      <c r="H1963" s="2"/>
      <c r="I1963" s="21"/>
      <c r="J1963" s="21"/>
      <c r="K1963" s="21"/>
    </row>
    <row r="1964" spans="1:11" ht="15.5" x14ac:dyDescent="0.35">
      <c r="A1964" s="472" t="s">
        <v>939</v>
      </c>
      <c r="B1964" s="473">
        <v>2025</v>
      </c>
      <c r="C1964" s="473" t="str">
        <f t="shared" si="52"/>
        <v>San Luis Obispo_2025</v>
      </c>
      <c r="D1964" s="474">
        <v>379.38861453604261</v>
      </c>
      <c r="E1964" s="2"/>
      <c r="F1964" s="2"/>
      <c r="G1964" s="2"/>
      <c r="H1964" s="2"/>
      <c r="I1964" s="21"/>
      <c r="J1964" s="21"/>
      <c r="K1964" s="21"/>
    </row>
    <row r="1965" spans="1:11" ht="15.5" x14ac:dyDescent="0.35">
      <c r="A1965" s="472" t="s">
        <v>939</v>
      </c>
      <c r="B1965" s="473">
        <v>2026</v>
      </c>
      <c r="C1965" s="473" t="str">
        <f t="shared" si="52"/>
        <v>San Luis Obispo_2026</v>
      </c>
      <c r="D1965" s="474">
        <v>367.93830961059689</v>
      </c>
      <c r="E1965" s="2"/>
      <c r="F1965" s="2"/>
      <c r="G1965" s="2"/>
      <c r="H1965" s="2"/>
      <c r="I1965" s="21"/>
      <c r="J1965" s="21"/>
      <c r="K1965" s="21"/>
    </row>
    <row r="1966" spans="1:11" ht="15.5" x14ac:dyDescent="0.35">
      <c r="A1966" s="472" t="s">
        <v>939</v>
      </c>
      <c r="B1966" s="473">
        <v>2027</v>
      </c>
      <c r="C1966" s="473" t="str">
        <f t="shared" si="52"/>
        <v>San Luis Obispo_2027</v>
      </c>
      <c r="D1966" s="474">
        <v>357.35677022483469</v>
      </c>
      <c r="E1966" s="2"/>
      <c r="F1966" s="2"/>
      <c r="G1966" s="2"/>
      <c r="H1966" s="2"/>
      <c r="I1966" s="21"/>
      <c r="J1966" s="21"/>
      <c r="K1966" s="21"/>
    </row>
    <row r="1967" spans="1:11" ht="15.5" x14ac:dyDescent="0.35">
      <c r="A1967" s="472" t="s">
        <v>939</v>
      </c>
      <c r="B1967" s="473">
        <v>2028</v>
      </c>
      <c r="C1967" s="473" t="str">
        <f t="shared" si="52"/>
        <v>San Luis Obispo_2028</v>
      </c>
      <c r="D1967" s="474">
        <v>347.73667816206466</v>
      </c>
      <c r="E1967" s="2"/>
      <c r="F1967" s="2"/>
      <c r="G1967" s="2"/>
      <c r="H1967" s="2"/>
      <c r="I1967" s="21"/>
      <c r="J1967" s="21"/>
      <c r="K1967" s="21"/>
    </row>
    <row r="1968" spans="1:11" ht="15.5" x14ac:dyDescent="0.35">
      <c r="A1968" s="472" t="s">
        <v>939</v>
      </c>
      <c r="B1968" s="473">
        <v>2029</v>
      </c>
      <c r="C1968" s="473" t="str">
        <f t="shared" si="52"/>
        <v>San Luis Obispo_2029</v>
      </c>
      <c r="D1968" s="474">
        <v>339.02457428779593</v>
      </c>
      <c r="E1968" s="2"/>
      <c r="F1968" s="2"/>
      <c r="G1968" s="2"/>
      <c r="H1968" s="2"/>
      <c r="I1968" s="21"/>
      <c r="J1968" s="21"/>
      <c r="K1968" s="21"/>
    </row>
    <row r="1969" spans="1:11" ht="15.5" x14ac:dyDescent="0.35">
      <c r="A1969" s="472" t="s">
        <v>939</v>
      </c>
      <c r="B1969" s="473">
        <v>2030</v>
      </c>
      <c r="C1969" s="473" t="str">
        <f t="shared" si="52"/>
        <v>San Luis Obispo_2030</v>
      </c>
      <c r="D1969" s="474">
        <v>331.19895385931653</v>
      </c>
      <c r="E1969" s="2"/>
      <c r="F1969" s="2"/>
      <c r="G1969" s="2"/>
      <c r="H1969" s="2"/>
      <c r="I1969" s="21"/>
      <c r="J1969" s="21"/>
      <c r="K1969" s="21"/>
    </row>
    <row r="1970" spans="1:11" ht="15.5" x14ac:dyDescent="0.35">
      <c r="A1970" s="472" t="s">
        <v>939</v>
      </c>
      <c r="B1970" s="473">
        <v>2031</v>
      </c>
      <c r="C1970" s="473" t="str">
        <f t="shared" si="52"/>
        <v>San Luis Obispo_2031</v>
      </c>
      <c r="D1970" s="474">
        <v>324.19776342492753</v>
      </c>
      <c r="E1970" s="2"/>
      <c r="F1970" s="2"/>
      <c r="G1970" s="2"/>
      <c r="H1970" s="2"/>
      <c r="I1970" s="21"/>
      <c r="J1970" s="21"/>
      <c r="K1970" s="21"/>
    </row>
    <row r="1971" spans="1:11" ht="15.5" x14ac:dyDescent="0.35">
      <c r="A1971" s="472" t="s">
        <v>939</v>
      </c>
      <c r="B1971" s="473">
        <v>2032</v>
      </c>
      <c r="C1971" s="473" t="str">
        <f t="shared" si="52"/>
        <v>San Luis Obispo_2032</v>
      </c>
      <c r="D1971" s="474">
        <v>317.9718089327103</v>
      </c>
      <c r="E1971" s="2"/>
      <c r="F1971" s="2"/>
      <c r="G1971" s="2"/>
      <c r="H1971" s="2"/>
      <c r="I1971" s="21"/>
      <c r="J1971" s="21"/>
      <c r="K1971" s="21"/>
    </row>
    <row r="1972" spans="1:11" ht="15.5" x14ac:dyDescent="0.35">
      <c r="A1972" s="472" t="s">
        <v>939</v>
      </c>
      <c r="B1972" s="473">
        <v>2033</v>
      </c>
      <c r="C1972" s="473" t="str">
        <f t="shared" si="52"/>
        <v>San Luis Obispo_2033</v>
      </c>
      <c r="D1972" s="474">
        <v>312.47926712316041</v>
      </c>
      <c r="E1972" s="2"/>
      <c r="F1972" s="2"/>
      <c r="G1972" s="2"/>
      <c r="H1972" s="2"/>
      <c r="I1972" s="21"/>
      <c r="J1972" s="21"/>
      <c r="K1972" s="21"/>
    </row>
    <row r="1973" spans="1:11" ht="15.5" x14ac:dyDescent="0.35">
      <c r="A1973" s="472" t="s">
        <v>939</v>
      </c>
      <c r="B1973" s="473">
        <v>2034</v>
      </c>
      <c r="C1973" s="473" t="str">
        <f t="shared" si="52"/>
        <v>San Luis Obispo_2034</v>
      </c>
      <c r="D1973" s="474">
        <v>307.64466615646069</v>
      </c>
      <c r="E1973" s="2"/>
      <c r="F1973" s="2"/>
      <c r="G1973" s="2"/>
      <c r="H1973" s="2"/>
      <c r="I1973" s="21"/>
      <c r="J1973" s="21"/>
      <c r="K1973" s="21"/>
    </row>
    <row r="1974" spans="1:11" ht="15.5" x14ac:dyDescent="0.35">
      <c r="A1974" s="472" t="s">
        <v>939</v>
      </c>
      <c r="B1974" s="473">
        <v>2035</v>
      </c>
      <c r="C1974" s="473" t="str">
        <f t="shared" si="52"/>
        <v>San Luis Obispo_2035</v>
      </c>
      <c r="D1974" s="474">
        <v>303.42573521217201</v>
      </c>
      <c r="E1974" s="2"/>
      <c r="F1974" s="2"/>
      <c r="G1974" s="2"/>
      <c r="H1974" s="2"/>
      <c r="I1974" s="21"/>
      <c r="J1974" s="21"/>
      <c r="K1974" s="21"/>
    </row>
    <row r="1975" spans="1:11" ht="15.5" x14ac:dyDescent="0.35">
      <c r="A1975" s="472" t="s">
        <v>939</v>
      </c>
      <c r="B1975" s="473">
        <v>2036</v>
      </c>
      <c r="C1975" s="473" t="str">
        <f t="shared" si="52"/>
        <v>San Luis Obispo_2036</v>
      </c>
      <c r="D1975" s="474">
        <v>299.76898290727519</v>
      </c>
      <c r="E1975" s="2"/>
      <c r="F1975" s="2"/>
      <c r="G1975" s="2"/>
      <c r="H1975" s="2"/>
      <c r="I1975" s="21"/>
      <c r="J1975" s="21"/>
      <c r="K1975" s="21"/>
    </row>
    <row r="1976" spans="1:11" ht="15.5" x14ac:dyDescent="0.35">
      <c r="A1976" s="472" t="s">
        <v>939</v>
      </c>
      <c r="B1976" s="473">
        <v>2037</v>
      </c>
      <c r="C1976" s="473" t="str">
        <f t="shared" si="52"/>
        <v>San Luis Obispo_2037</v>
      </c>
      <c r="D1976" s="474">
        <v>296.63985892082053</v>
      </c>
      <c r="E1976" s="2"/>
      <c r="F1976" s="2"/>
      <c r="G1976" s="2"/>
      <c r="H1976" s="2"/>
      <c r="I1976" s="21"/>
      <c r="J1976" s="21"/>
      <c r="K1976" s="21"/>
    </row>
    <row r="1977" spans="1:11" ht="15.5" x14ac:dyDescent="0.35">
      <c r="A1977" s="472" t="s">
        <v>939</v>
      </c>
      <c r="B1977" s="473">
        <v>2038</v>
      </c>
      <c r="C1977" s="473" t="str">
        <f t="shared" si="52"/>
        <v>San Luis Obispo_2038</v>
      </c>
      <c r="D1977" s="474">
        <v>293.97314276868593</v>
      </c>
      <c r="E1977" s="2"/>
      <c r="F1977" s="2"/>
      <c r="G1977" s="2"/>
      <c r="H1977" s="2"/>
      <c r="I1977" s="21"/>
      <c r="J1977" s="21"/>
      <c r="K1977" s="21"/>
    </row>
    <row r="1978" spans="1:11" ht="15.5" x14ac:dyDescent="0.35">
      <c r="A1978" s="472" t="s">
        <v>939</v>
      </c>
      <c r="B1978" s="473">
        <v>2039</v>
      </c>
      <c r="C1978" s="473" t="str">
        <f t="shared" si="52"/>
        <v>San Luis Obispo_2039</v>
      </c>
      <c r="D1978" s="474">
        <v>291.70037218659979</v>
      </c>
      <c r="E1978" s="2"/>
      <c r="F1978" s="2"/>
      <c r="G1978" s="2"/>
      <c r="H1978" s="2"/>
      <c r="I1978" s="21"/>
      <c r="J1978" s="21"/>
      <c r="K1978" s="21"/>
    </row>
    <row r="1979" spans="1:11" ht="15.5" x14ac:dyDescent="0.35">
      <c r="A1979" s="472" t="s">
        <v>939</v>
      </c>
      <c r="B1979" s="473">
        <v>2040</v>
      </c>
      <c r="C1979" s="473" t="str">
        <f t="shared" si="52"/>
        <v>San Luis Obispo_2040</v>
      </c>
      <c r="D1979" s="474">
        <v>289.78456190681192</v>
      </c>
      <c r="E1979" s="2"/>
      <c r="F1979" s="2"/>
      <c r="G1979" s="2"/>
      <c r="H1979" s="2"/>
      <c r="I1979" s="21"/>
      <c r="J1979" s="21"/>
      <c r="K1979" s="21"/>
    </row>
    <row r="1980" spans="1:11" ht="15.5" x14ac:dyDescent="0.35">
      <c r="A1980" s="472" t="s">
        <v>939</v>
      </c>
      <c r="B1980" s="473">
        <v>2041</v>
      </c>
      <c r="C1980" s="473" t="str">
        <f t="shared" si="52"/>
        <v>San Luis Obispo_2041</v>
      </c>
      <c r="D1980" s="474">
        <v>288.19262016416883</v>
      </c>
      <c r="E1980" s="2"/>
      <c r="F1980" s="2"/>
      <c r="G1980" s="2"/>
      <c r="H1980" s="2"/>
      <c r="I1980" s="21"/>
      <c r="J1980" s="21"/>
      <c r="K1980" s="21"/>
    </row>
    <row r="1981" spans="1:11" ht="15.5" x14ac:dyDescent="0.35">
      <c r="A1981" s="472" t="s">
        <v>939</v>
      </c>
      <c r="B1981" s="473">
        <v>2042</v>
      </c>
      <c r="C1981" s="473" t="str">
        <f t="shared" si="52"/>
        <v>San Luis Obispo_2042</v>
      </c>
      <c r="D1981" s="474">
        <v>286.86277230851613</v>
      </c>
      <c r="E1981" s="2"/>
      <c r="F1981" s="2"/>
      <c r="G1981" s="2"/>
      <c r="H1981" s="2"/>
      <c r="I1981" s="21"/>
      <c r="J1981" s="21"/>
      <c r="K1981" s="21"/>
    </row>
    <row r="1982" spans="1:11" ht="15.5" x14ac:dyDescent="0.35">
      <c r="A1982" s="472" t="s">
        <v>939</v>
      </c>
      <c r="B1982" s="473">
        <v>2043</v>
      </c>
      <c r="C1982" s="473" t="str">
        <f t="shared" si="52"/>
        <v>San Luis Obispo_2043</v>
      </c>
      <c r="D1982" s="474">
        <v>285.75474578329084</v>
      </c>
      <c r="E1982" s="2"/>
      <c r="F1982" s="2"/>
      <c r="G1982" s="2"/>
      <c r="H1982" s="2"/>
      <c r="I1982" s="21"/>
      <c r="J1982" s="21"/>
      <c r="K1982" s="21"/>
    </row>
    <row r="1983" spans="1:11" ht="15.5" x14ac:dyDescent="0.35">
      <c r="A1983" s="472" t="s">
        <v>939</v>
      </c>
      <c r="B1983" s="473">
        <v>2044</v>
      </c>
      <c r="C1983" s="473" t="str">
        <f t="shared" si="52"/>
        <v>San Luis Obispo_2044</v>
      </c>
      <c r="D1983" s="474">
        <v>284.82787557741023</v>
      </c>
      <c r="E1983" s="2"/>
      <c r="F1983" s="2"/>
      <c r="G1983" s="2"/>
      <c r="H1983" s="2"/>
      <c r="I1983" s="21"/>
      <c r="J1983" s="21"/>
      <c r="K1983" s="21"/>
    </row>
    <row r="1984" spans="1:11" ht="15.5" x14ac:dyDescent="0.35">
      <c r="A1984" s="472" t="s">
        <v>939</v>
      </c>
      <c r="B1984" s="473">
        <v>2045</v>
      </c>
      <c r="C1984" s="473" t="str">
        <f t="shared" si="52"/>
        <v>San Luis Obispo_2045</v>
      </c>
      <c r="D1984" s="474">
        <v>284.03210216278234</v>
      </c>
      <c r="E1984" s="2"/>
      <c r="F1984" s="2"/>
      <c r="G1984" s="2"/>
      <c r="H1984" s="2"/>
      <c r="I1984" s="21"/>
      <c r="J1984" s="21"/>
      <c r="K1984" s="21"/>
    </row>
    <row r="1985" spans="1:11" ht="15.5" x14ac:dyDescent="0.35">
      <c r="A1985" s="472" t="s">
        <v>939</v>
      </c>
      <c r="B1985" s="473">
        <v>2046</v>
      </c>
      <c r="C1985" s="473" t="str">
        <f t="shared" si="52"/>
        <v>San Luis Obispo_2046</v>
      </c>
      <c r="D1985" s="474">
        <v>283.35900544387698</v>
      </c>
      <c r="E1985" s="2"/>
      <c r="F1985" s="2"/>
      <c r="G1985" s="2"/>
      <c r="H1985" s="2"/>
      <c r="I1985" s="21"/>
      <c r="J1985" s="21"/>
      <c r="K1985" s="21"/>
    </row>
    <row r="1986" spans="1:11" ht="15.5" x14ac:dyDescent="0.35">
      <c r="A1986" s="472" t="s">
        <v>939</v>
      </c>
      <c r="B1986" s="473">
        <v>2047</v>
      </c>
      <c r="C1986" s="473" t="str">
        <f t="shared" si="52"/>
        <v>San Luis Obispo_2047</v>
      </c>
      <c r="D1986" s="474">
        <v>282.78819163400078</v>
      </c>
      <c r="E1986" s="2"/>
      <c r="F1986" s="2"/>
      <c r="G1986" s="2"/>
      <c r="H1986" s="2"/>
      <c r="I1986" s="21"/>
      <c r="J1986" s="21"/>
      <c r="K1986" s="21"/>
    </row>
    <row r="1987" spans="1:11" ht="15.5" x14ac:dyDescent="0.35">
      <c r="A1987" s="472" t="s">
        <v>939</v>
      </c>
      <c r="B1987" s="473">
        <v>2048</v>
      </c>
      <c r="C1987" s="473" t="str">
        <f t="shared" si="52"/>
        <v>San Luis Obispo_2048</v>
      </c>
      <c r="D1987" s="474">
        <v>282.30753705792739</v>
      </c>
      <c r="E1987" s="2"/>
      <c r="F1987" s="2"/>
      <c r="G1987" s="2"/>
      <c r="H1987" s="2"/>
      <c r="I1987" s="21"/>
      <c r="J1987" s="21"/>
      <c r="K1987" s="21"/>
    </row>
    <row r="1988" spans="1:11" ht="15.5" x14ac:dyDescent="0.35">
      <c r="A1988" s="472" t="s">
        <v>939</v>
      </c>
      <c r="B1988" s="473">
        <v>2049</v>
      </c>
      <c r="C1988" s="473" t="str">
        <f t="shared" si="52"/>
        <v>San Luis Obispo_2049</v>
      </c>
      <c r="D1988" s="474">
        <v>281.89947435046878</v>
      </c>
      <c r="E1988" s="2"/>
      <c r="F1988" s="2"/>
      <c r="G1988" s="2"/>
      <c r="H1988" s="2"/>
      <c r="I1988" s="21"/>
      <c r="J1988" s="21"/>
      <c r="K1988" s="21"/>
    </row>
    <row r="1989" spans="1:11" ht="15.5" x14ac:dyDescent="0.35">
      <c r="A1989" s="472" t="s">
        <v>939</v>
      </c>
      <c r="B1989" s="473">
        <v>2050</v>
      </c>
      <c r="C1989" s="473" t="str">
        <f t="shared" si="52"/>
        <v>San Luis Obispo_2050</v>
      </c>
      <c r="D1989" s="474">
        <v>281.56664115436388</v>
      </c>
      <c r="E1989" s="2"/>
      <c r="F1989" s="2"/>
      <c r="G1989" s="2"/>
      <c r="H1989" s="2"/>
      <c r="I1989" s="21"/>
      <c r="J1989" s="21"/>
      <c r="K1989" s="21"/>
    </row>
    <row r="1990" spans="1:11" ht="15.5" x14ac:dyDescent="0.35">
      <c r="A1990" s="468" t="s">
        <v>942</v>
      </c>
      <c r="B1990" s="469">
        <v>2015</v>
      </c>
      <c r="C1990" s="470" t="s">
        <v>943</v>
      </c>
      <c r="D1990" s="471">
        <v>472.15430513154882</v>
      </c>
      <c r="E1990" s="2"/>
      <c r="F1990" s="2"/>
      <c r="G1990" s="2"/>
      <c r="H1990" s="2"/>
      <c r="I1990" s="21"/>
      <c r="J1990" s="21"/>
      <c r="K1990" s="21"/>
    </row>
    <row r="1991" spans="1:11" ht="15.5" x14ac:dyDescent="0.35">
      <c r="A1991" s="468" t="s">
        <v>942</v>
      </c>
      <c r="B1991" s="469">
        <v>2016</v>
      </c>
      <c r="C1991" s="470" t="s">
        <v>944</v>
      </c>
      <c r="D1991" s="471">
        <v>461.58002983865231</v>
      </c>
      <c r="E1991" s="2"/>
      <c r="F1991" s="2"/>
      <c r="G1991" s="2"/>
      <c r="H1991" s="2"/>
      <c r="I1991" s="21"/>
      <c r="J1991" s="21"/>
      <c r="K1991" s="21"/>
    </row>
    <row r="1992" spans="1:11" ht="15.5" x14ac:dyDescent="0.35">
      <c r="A1992" s="472" t="s">
        <v>942</v>
      </c>
      <c r="B1992" s="473">
        <v>2017</v>
      </c>
      <c r="C1992" s="473" t="str">
        <f t="shared" ref="C1992:C2025" si="53">CONCATENATE(A1992,"_",B1992)</f>
        <v>San Mateo_2017</v>
      </c>
      <c r="D1992" s="474">
        <v>452.1672920082159</v>
      </c>
      <c r="E1992" s="2"/>
      <c r="F1992" s="2"/>
      <c r="G1992" s="2"/>
      <c r="H1992" s="2"/>
      <c r="I1992" s="21"/>
      <c r="J1992" s="21"/>
      <c r="K1992" s="21"/>
    </row>
    <row r="1993" spans="1:11" ht="15.5" x14ac:dyDescent="0.35">
      <c r="A1993" s="472" t="s">
        <v>942</v>
      </c>
      <c r="B1993" s="473">
        <v>2018</v>
      </c>
      <c r="C1993" s="473" t="str">
        <f t="shared" si="53"/>
        <v>San Mateo_2018</v>
      </c>
      <c r="D1993" s="474">
        <v>442.17584381535448</v>
      </c>
      <c r="E1993" s="2"/>
      <c r="F1993" s="2"/>
      <c r="G1993" s="2"/>
      <c r="H1993" s="2"/>
      <c r="I1993" s="21"/>
      <c r="J1993" s="21"/>
      <c r="K1993" s="21"/>
    </row>
    <row r="1994" spans="1:11" ht="15.5" x14ac:dyDescent="0.35">
      <c r="A1994" s="472" t="s">
        <v>942</v>
      </c>
      <c r="B1994" s="473">
        <v>2019</v>
      </c>
      <c r="C1994" s="473" t="str">
        <f t="shared" si="53"/>
        <v>San Mateo_2019</v>
      </c>
      <c r="D1994" s="474">
        <v>431.69789127012803</v>
      </c>
      <c r="E1994" s="2"/>
      <c r="F1994" s="2"/>
      <c r="G1994" s="2"/>
      <c r="H1994" s="2"/>
      <c r="I1994" s="21"/>
      <c r="J1994" s="21"/>
      <c r="K1994" s="21"/>
    </row>
    <row r="1995" spans="1:11" ht="15.5" x14ac:dyDescent="0.35">
      <c r="A1995" s="472" t="s">
        <v>942</v>
      </c>
      <c r="B1995" s="473">
        <v>2020</v>
      </c>
      <c r="C1995" s="473" t="str">
        <f t="shared" si="53"/>
        <v>San Mateo_2020</v>
      </c>
      <c r="D1995" s="474">
        <v>420.9858599141221</v>
      </c>
      <c r="E1995" s="2"/>
      <c r="F1995" s="2"/>
      <c r="G1995" s="2"/>
      <c r="H1995" s="2"/>
      <c r="I1995" s="21"/>
      <c r="J1995" s="21"/>
      <c r="K1995" s="21"/>
    </row>
    <row r="1996" spans="1:11" ht="15.5" x14ac:dyDescent="0.35">
      <c r="A1996" s="472" t="s">
        <v>942</v>
      </c>
      <c r="B1996" s="473">
        <v>2021</v>
      </c>
      <c r="C1996" s="473" t="str">
        <f t="shared" si="53"/>
        <v>San Mateo_2021</v>
      </c>
      <c r="D1996" s="474">
        <v>410.11224557737381</v>
      </c>
      <c r="E1996" s="2"/>
      <c r="F1996" s="2"/>
      <c r="G1996" s="2"/>
      <c r="H1996" s="2"/>
      <c r="I1996" s="21"/>
      <c r="J1996" s="21"/>
      <c r="K1996" s="21"/>
    </row>
    <row r="1997" spans="1:11" ht="15.5" x14ac:dyDescent="0.35">
      <c r="A1997" s="472" t="s">
        <v>942</v>
      </c>
      <c r="B1997" s="473">
        <v>2022</v>
      </c>
      <c r="C1997" s="473" t="str">
        <f t="shared" si="53"/>
        <v>San Mateo_2022</v>
      </c>
      <c r="D1997" s="474">
        <v>399.43208977146134</v>
      </c>
      <c r="E1997" s="2"/>
      <c r="F1997" s="2"/>
      <c r="G1997" s="2"/>
      <c r="H1997" s="2"/>
      <c r="I1997" s="21"/>
      <c r="J1997" s="21"/>
      <c r="K1997" s="21"/>
    </row>
    <row r="1998" spans="1:11" ht="15.5" x14ac:dyDescent="0.35">
      <c r="A1998" s="472" t="s">
        <v>942</v>
      </c>
      <c r="B1998" s="473">
        <v>2023</v>
      </c>
      <c r="C1998" s="473" t="str">
        <f t="shared" si="53"/>
        <v>San Mateo_2023</v>
      </c>
      <c r="D1998" s="474">
        <v>388.7889406133271</v>
      </c>
      <c r="E1998" s="2"/>
      <c r="F1998" s="2"/>
      <c r="G1998" s="2"/>
      <c r="H1998" s="2"/>
      <c r="I1998" s="21"/>
      <c r="J1998" s="21"/>
      <c r="K1998" s="21"/>
    </row>
    <row r="1999" spans="1:11" ht="15.5" x14ac:dyDescent="0.35">
      <c r="A1999" s="472" t="s">
        <v>942</v>
      </c>
      <c r="B1999" s="473">
        <v>2024</v>
      </c>
      <c r="C1999" s="473" t="str">
        <f t="shared" si="53"/>
        <v>San Mateo_2024</v>
      </c>
      <c r="D1999" s="474">
        <v>378.19897571362071</v>
      </c>
      <c r="E1999" s="2"/>
      <c r="F1999" s="2"/>
      <c r="G1999" s="2"/>
      <c r="H1999" s="2"/>
      <c r="I1999" s="21"/>
      <c r="J1999" s="21"/>
      <c r="K1999" s="21"/>
    </row>
    <row r="2000" spans="1:11" ht="15.5" x14ac:dyDescent="0.35">
      <c r="A2000" s="472" t="s">
        <v>942</v>
      </c>
      <c r="B2000" s="473">
        <v>2025</v>
      </c>
      <c r="C2000" s="473" t="str">
        <f t="shared" si="53"/>
        <v>San Mateo_2025</v>
      </c>
      <c r="D2000" s="474">
        <v>367.60225189993236</v>
      </c>
      <c r="E2000" s="2"/>
      <c r="F2000" s="2"/>
      <c r="G2000" s="2"/>
      <c r="H2000" s="2"/>
      <c r="I2000" s="21"/>
      <c r="J2000" s="21"/>
      <c r="K2000" s="21"/>
    </row>
    <row r="2001" spans="1:11" ht="15.5" x14ac:dyDescent="0.35">
      <c r="A2001" s="472" t="s">
        <v>942</v>
      </c>
      <c r="B2001" s="473">
        <v>2026</v>
      </c>
      <c r="C2001" s="473" t="str">
        <f t="shared" si="53"/>
        <v>San Mateo_2026</v>
      </c>
      <c r="D2001" s="474">
        <v>358.49919977205411</v>
      </c>
      <c r="E2001" s="2"/>
      <c r="F2001" s="2"/>
      <c r="G2001" s="2"/>
      <c r="H2001" s="2"/>
      <c r="I2001" s="21"/>
      <c r="J2001" s="21"/>
      <c r="K2001" s="21"/>
    </row>
    <row r="2002" spans="1:11" ht="15.5" x14ac:dyDescent="0.35">
      <c r="A2002" s="472" t="s">
        <v>942</v>
      </c>
      <c r="B2002" s="473">
        <v>2027</v>
      </c>
      <c r="C2002" s="473" t="str">
        <f t="shared" si="53"/>
        <v>San Mateo_2027</v>
      </c>
      <c r="D2002" s="474">
        <v>350.45563010109134</v>
      </c>
      <c r="E2002" s="2"/>
      <c r="F2002" s="2"/>
      <c r="G2002" s="2"/>
      <c r="H2002" s="2"/>
      <c r="I2002" s="21"/>
      <c r="J2002" s="21"/>
      <c r="K2002" s="21"/>
    </row>
    <row r="2003" spans="1:11" ht="15.5" x14ac:dyDescent="0.35">
      <c r="A2003" s="472" t="s">
        <v>942</v>
      </c>
      <c r="B2003" s="473">
        <v>2028</v>
      </c>
      <c r="C2003" s="473" t="str">
        <f t="shared" si="53"/>
        <v>San Mateo_2028</v>
      </c>
      <c r="D2003" s="474">
        <v>343.28764785845038</v>
      </c>
      <c r="E2003" s="2"/>
      <c r="F2003" s="2"/>
      <c r="G2003" s="2"/>
      <c r="H2003" s="2"/>
      <c r="I2003" s="21"/>
      <c r="J2003" s="21"/>
      <c r="K2003" s="21"/>
    </row>
    <row r="2004" spans="1:11" ht="15.5" x14ac:dyDescent="0.35">
      <c r="A2004" s="472" t="s">
        <v>942</v>
      </c>
      <c r="B2004" s="473">
        <v>2029</v>
      </c>
      <c r="C2004" s="473" t="str">
        <f t="shared" si="53"/>
        <v>San Mateo_2029</v>
      </c>
      <c r="D2004" s="474">
        <v>336.90045048255115</v>
      </c>
      <c r="E2004" s="2"/>
      <c r="F2004" s="2"/>
      <c r="G2004" s="2"/>
      <c r="H2004" s="2"/>
      <c r="I2004" s="21"/>
      <c r="J2004" s="21"/>
      <c r="K2004" s="21"/>
    </row>
    <row r="2005" spans="1:11" ht="15.5" x14ac:dyDescent="0.35">
      <c r="A2005" s="472" t="s">
        <v>942</v>
      </c>
      <c r="B2005" s="473">
        <v>2030</v>
      </c>
      <c r="C2005" s="473" t="str">
        <f t="shared" si="53"/>
        <v>San Mateo_2030</v>
      </c>
      <c r="D2005" s="474">
        <v>331.23794334238187</v>
      </c>
      <c r="E2005" s="2"/>
      <c r="F2005" s="2"/>
      <c r="G2005" s="2"/>
      <c r="H2005" s="2"/>
      <c r="I2005" s="21"/>
      <c r="J2005" s="21"/>
      <c r="K2005" s="21"/>
    </row>
    <row r="2006" spans="1:11" ht="15.5" x14ac:dyDescent="0.35">
      <c r="A2006" s="472" t="s">
        <v>942</v>
      </c>
      <c r="B2006" s="473">
        <v>2031</v>
      </c>
      <c r="C2006" s="473" t="str">
        <f t="shared" si="53"/>
        <v>San Mateo_2031</v>
      </c>
      <c r="D2006" s="474">
        <v>326.21394002735872</v>
      </c>
      <c r="E2006" s="2"/>
      <c r="F2006" s="2"/>
      <c r="G2006" s="2"/>
      <c r="H2006" s="2"/>
      <c r="I2006" s="21"/>
      <c r="J2006" s="21"/>
      <c r="K2006" s="21"/>
    </row>
    <row r="2007" spans="1:11" ht="15.5" x14ac:dyDescent="0.35">
      <c r="A2007" s="472" t="s">
        <v>942</v>
      </c>
      <c r="B2007" s="473">
        <v>2032</v>
      </c>
      <c r="C2007" s="473" t="str">
        <f t="shared" si="53"/>
        <v>San Mateo_2032</v>
      </c>
      <c r="D2007" s="474">
        <v>321.77469344429329</v>
      </c>
      <c r="E2007" s="2"/>
      <c r="F2007" s="2"/>
      <c r="G2007" s="2"/>
      <c r="H2007" s="2"/>
      <c r="I2007" s="21"/>
      <c r="J2007" s="21"/>
      <c r="K2007" s="21"/>
    </row>
    <row r="2008" spans="1:11" ht="15.5" x14ac:dyDescent="0.35">
      <c r="A2008" s="472" t="s">
        <v>942</v>
      </c>
      <c r="B2008" s="473">
        <v>2033</v>
      </c>
      <c r="C2008" s="473" t="str">
        <f t="shared" si="53"/>
        <v>San Mateo_2033</v>
      </c>
      <c r="D2008" s="474">
        <v>317.87567260904723</v>
      </c>
      <c r="E2008" s="2"/>
      <c r="F2008" s="2"/>
      <c r="G2008" s="2"/>
      <c r="H2008" s="2"/>
      <c r="I2008" s="21"/>
      <c r="J2008" s="21"/>
      <c r="K2008" s="21"/>
    </row>
    <row r="2009" spans="1:11" ht="15.5" x14ac:dyDescent="0.35">
      <c r="A2009" s="472" t="s">
        <v>942</v>
      </c>
      <c r="B2009" s="473">
        <v>2034</v>
      </c>
      <c r="C2009" s="473" t="str">
        <f t="shared" si="53"/>
        <v>San Mateo_2034</v>
      </c>
      <c r="D2009" s="474">
        <v>314.45978327365583</v>
      </c>
      <c r="E2009" s="2"/>
      <c r="F2009" s="2"/>
      <c r="G2009" s="2"/>
      <c r="H2009" s="2"/>
      <c r="I2009" s="21"/>
      <c r="J2009" s="21"/>
      <c r="K2009" s="21"/>
    </row>
    <row r="2010" spans="1:11" ht="15.5" x14ac:dyDescent="0.35">
      <c r="A2010" s="472" t="s">
        <v>942</v>
      </c>
      <c r="B2010" s="473">
        <v>2035</v>
      </c>
      <c r="C2010" s="473" t="str">
        <f t="shared" si="53"/>
        <v>San Mateo_2035</v>
      </c>
      <c r="D2010" s="474">
        <v>311.48047482165151</v>
      </c>
      <c r="E2010" s="2"/>
      <c r="F2010" s="2"/>
      <c r="G2010" s="2"/>
      <c r="H2010" s="2"/>
      <c r="I2010" s="21"/>
      <c r="J2010" s="21"/>
      <c r="K2010" s="21"/>
    </row>
    <row r="2011" spans="1:11" ht="15.5" x14ac:dyDescent="0.35">
      <c r="A2011" s="472" t="s">
        <v>942</v>
      </c>
      <c r="B2011" s="473">
        <v>2036</v>
      </c>
      <c r="C2011" s="473" t="str">
        <f t="shared" si="53"/>
        <v>San Mateo_2036</v>
      </c>
      <c r="D2011" s="474">
        <v>308.90830859632405</v>
      </c>
      <c r="E2011" s="2"/>
      <c r="F2011" s="2"/>
      <c r="G2011" s="2"/>
      <c r="H2011" s="2"/>
      <c r="I2011" s="21"/>
      <c r="J2011" s="21"/>
      <c r="K2011" s="21"/>
    </row>
    <row r="2012" spans="1:11" ht="15.5" x14ac:dyDescent="0.35">
      <c r="A2012" s="472" t="s">
        <v>942</v>
      </c>
      <c r="B2012" s="473">
        <v>2037</v>
      </c>
      <c r="C2012" s="473" t="str">
        <f t="shared" si="53"/>
        <v>San Mateo_2037</v>
      </c>
      <c r="D2012" s="474">
        <v>306.70756372710491</v>
      </c>
      <c r="E2012" s="2"/>
      <c r="F2012" s="2"/>
      <c r="G2012" s="2"/>
      <c r="H2012" s="2"/>
      <c r="I2012" s="21"/>
      <c r="J2012" s="21"/>
      <c r="K2012" s="21"/>
    </row>
    <row r="2013" spans="1:11" ht="15.5" x14ac:dyDescent="0.35">
      <c r="A2013" s="472" t="s">
        <v>942</v>
      </c>
      <c r="B2013" s="473">
        <v>2038</v>
      </c>
      <c r="C2013" s="473" t="str">
        <f t="shared" si="53"/>
        <v>San Mateo_2038</v>
      </c>
      <c r="D2013" s="474">
        <v>304.84247667556974</v>
      </c>
      <c r="E2013" s="2"/>
      <c r="F2013" s="2"/>
      <c r="G2013" s="2"/>
      <c r="H2013" s="2"/>
      <c r="I2013" s="21"/>
      <c r="J2013" s="21"/>
      <c r="K2013" s="21"/>
    </row>
    <row r="2014" spans="1:11" ht="15.5" x14ac:dyDescent="0.35">
      <c r="A2014" s="472" t="s">
        <v>942</v>
      </c>
      <c r="B2014" s="473">
        <v>2039</v>
      </c>
      <c r="C2014" s="473" t="str">
        <f t="shared" si="53"/>
        <v>San Mateo_2039</v>
      </c>
      <c r="D2014" s="474">
        <v>303.27130247329131</v>
      </c>
      <c r="E2014" s="2"/>
      <c r="F2014" s="2"/>
      <c r="G2014" s="2"/>
      <c r="H2014" s="2"/>
      <c r="I2014" s="21"/>
      <c r="J2014" s="21"/>
      <c r="K2014" s="21"/>
    </row>
    <row r="2015" spans="1:11" ht="15.5" x14ac:dyDescent="0.35">
      <c r="A2015" s="472" t="s">
        <v>942</v>
      </c>
      <c r="B2015" s="473">
        <v>2040</v>
      </c>
      <c r="C2015" s="473" t="str">
        <f t="shared" si="53"/>
        <v>San Mateo_2040</v>
      </c>
      <c r="D2015" s="474">
        <v>301.96662270251085</v>
      </c>
      <c r="E2015" s="2"/>
      <c r="F2015" s="2"/>
      <c r="G2015" s="2"/>
      <c r="H2015" s="2"/>
      <c r="I2015" s="21"/>
      <c r="J2015" s="21"/>
      <c r="K2015" s="21"/>
    </row>
    <row r="2016" spans="1:11" ht="15.5" x14ac:dyDescent="0.35">
      <c r="A2016" s="472" t="s">
        <v>942</v>
      </c>
      <c r="B2016" s="473">
        <v>2041</v>
      </c>
      <c r="C2016" s="473" t="str">
        <f t="shared" si="53"/>
        <v>San Mateo_2041</v>
      </c>
      <c r="D2016" s="474">
        <v>300.89593827919464</v>
      </c>
      <c r="E2016" s="2"/>
      <c r="F2016" s="2"/>
      <c r="G2016" s="2"/>
      <c r="H2016" s="2"/>
      <c r="I2016" s="21"/>
      <c r="J2016" s="21"/>
      <c r="K2016" s="21"/>
    </row>
    <row r="2017" spans="1:11" ht="15.5" x14ac:dyDescent="0.35">
      <c r="A2017" s="472" t="s">
        <v>942</v>
      </c>
      <c r="B2017" s="473">
        <v>2042</v>
      </c>
      <c r="C2017" s="473" t="str">
        <f t="shared" si="53"/>
        <v>San Mateo_2042</v>
      </c>
      <c r="D2017" s="474">
        <v>300.01364885457554</v>
      </c>
      <c r="E2017" s="2"/>
      <c r="F2017" s="2"/>
      <c r="G2017" s="2"/>
      <c r="H2017" s="2"/>
      <c r="I2017" s="21"/>
      <c r="J2017" s="21"/>
      <c r="K2017" s="21"/>
    </row>
    <row r="2018" spans="1:11" ht="15.5" x14ac:dyDescent="0.35">
      <c r="A2018" s="472" t="s">
        <v>942</v>
      </c>
      <c r="B2018" s="473">
        <v>2043</v>
      </c>
      <c r="C2018" s="473" t="str">
        <f t="shared" si="53"/>
        <v>San Mateo_2043</v>
      </c>
      <c r="D2018" s="474">
        <v>299.29426957467098</v>
      </c>
      <c r="E2018" s="2"/>
      <c r="F2018" s="2"/>
      <c r="G2018" s="2"/>
      <c r="H2018" s="2"/>
      <c r="I2018" s="21"/>
      <c r="J2018" s="21"/>
      <c r="K2018" s="21"/>
    </row>
    <row r="2019" spans="1:11" ht="15.5" x14ac:dyDescent="0.35">
      <c r="A2019" s="472" t="s">
        <v>942</v>
      </c>
      <c r="B2019" s="473">
        <v>2044</v>
      </c>
      <c r="C2019" s="473" t="str">
        <f t="shared" si="53"/>
        <v>San Mateo_2044</v>
      </c>
      <c r="D2019" s="474">
        <v>298.70844353296457</v>
      </c>
      <c r="E2019" s="2"/>
      <c r="F2019" s="2"/>
      <c r="G2019" s="2"/>
      <c r="H2019" s="2"/>
      <c r="I2019" s="21"/>
      <c r="J2019" s="21"/>
      <c r="K2019" s="21"/>
    </row>
    <row r="2020" spans="1:11" ht="15.5" x14ac:dyDescent="0.35">
      <c r="A2020" s="472" t="s">
        <v>942</v>
      </c>
      <c r="B2020" s="473">
        <v>2045</v>
      </c>
      <c r="C2020" s="473" t="str">
        <f t="shared" si="53"/>
        <v>San Mateo_2045</v>
      </c>
      <c r="D2020" s="474">
        <v>298.22459478628394</v>
      </c>
      <c r="E2020" s="2"/>
      <c r="F2020" s="2"/>
      <c r="G2020" s="2"/>
      <c r="H2020" s="2"/>
      <c r="I2020" s="21"/>
      <c r="J2020" s="21"/>
      <c r="K2020" s="21"/>
    </row>
    <row r="2021" spans="1:11" ht="15.5" x14ac:dyDescent="0.35">
      <c r="A2021" s="472" t="s">
        <v>942</v>
      </c>
      <c r="B2021" s="473">
        <v>2046</v>
      </c>
      <c r="C2021" s="473" t="str">
        <f t="shared" si="53"/>
        <v>San Mateo_2046</v>
      </c>
      <c r="D2021" s="474">
        <v>297.83642158894133</v>
      </c>
      <c r="E2021" s="2"/>
      <c r="F2021" s="2"/>
      <c r="G2021" s="2"/>
      <c r="H2021" s="2"/>
      <c r="I2021" s="21"/>
      <c r="J2021" s="21"/>
      <c r="K2021" s="21"/>
    </row>
    <row r="2022" spans="1:11" ht="15.5" x14ac:dyDescent="0.35">
      <c r="A2022" s="472" t="s">
        <v>942</v>
      </c>
      <c r="B2022" s="473">
        <v>2047</v>
      </c>
      <c r="C2022" s="473" t="str">
        <f t="shared" si="53"/>
        <v>San Mateo_2047</v>
      </c>
      <c r="D2022" s="474">
        <v>297.52019613194483</v>
      </c>
      <c r="E2022" s="2"/>
      <c r="F2022" s="2"/>
      <c r="G2022" s="2"/>
      <c r="H2022" s="2"/>
      <c r="I2022" s="21"/>
      <c r="J2022" s="21"/>
      <c r="K2022" s="21"/>
    </row>
    <row r="2023" spans="1:11" ht="15.5" x14ac:dyDescent="0.35">
      <c r="A2023" s="472" t="s">
        <v>942</v>
      </c>
      <c r="B2023" s="473">
        <v>2048</v>
      </c>
      <c r="C2023" s="473" t="str">
        <f t="shared" si="53"/>
        <v>San Mateo_2048</v>
      </c>
      <c r="D2023" s="474">
        <v>297.26558847724471</v>
      </c>
      <c r="E2023" s="2"/>
      <c r="F2023" s="2"/>
      <c r="G2023" s="2"/>
      <c r="H2023" s="2"/>
      <c r="I2023" s="21"/>
      <c r="J2023" s="21"/>
      <c r="K2023" s="21"/>
    </row>
    <row r="2024" spans="1:11" ht="15.5" x14ac:dyDescent="0.35">
      <c r="A2024" s="472" t="s">
        <v>942</v>
      </c>
      <c r="B2024" s="473">
        <v>2049</v>
      </c>
      <c r="C2024" s="473" t="str">
        <f t="shared" si="53"/>
        <v>San Mateo_2049</v>
      </c>
      <c r="D2024" s="474">
        <v>297.05320490072046</v>
      </c>
      <c r="E2024" s="2"/>
      <c r="F2024" s="2"/>
      <c r="G2024" s="2"/>
      <c r="H2024" s="2"/>
      <c r="I2024" s="21"/>
      <c r="J2024" s="21"/>
      <c r="K2024" s="21"/>
    </row>
    <row r="2025" spans="1:11" ht="15.5" x14ac:dyDescent="0.35">
      <c r="A2025" s="472" t="s">
        <v>942</v>
      </c>
      <c r="B2025" s="473">
        <v>2050</v>
      </c>
      <c r="C2025" s="473" t="str">
        <f t="shared" si="53"/>
        <v>San Mateo_2050</v>
      </c>
      <c r="D2025" s="474">
        <v>296.8912369521783</v>
      </c>
      <c r="E2025" s="2"/>
      <c r="F2025" s="2"/>
      <c r="G2025" s="2"/>
      <c r="H2025" s="2"/>
      <c r="I2025" s="21"/>
      <c r="J2025" s="21"/>
      <c r="K2025" s="21"/>
    </row>
    <row r="2026" spans="1:11" ht="15.5" x14ac:dyDescent="0.35">
      <c r="A2026" s="468" t="s">
        <v>945</v>
      </c>
      <c r="B2026" s="469">
        <v>2015</v>
      </c>
      <c r="C2026" s="470" t="s">
        <v>946</v>
      </c>
      <c r="D2026" s="471">
        <v>493.78441282672765</v>
      </c>
      <c r="E2026" s="2"/>
      <c r="F2026" s="2"/>
      <c r="G2026" s="2"/>
      <c r="H2026" s="2"/>
      <c r="I2026" s="21"/>
      <c r="J2026" s="21"/>
      <c r="K2026" s="21"/>
    </row>
    <row r="2027" spans="1:11" ht="15.5" x14ac:dyDescent="0.35">
      <c r="A2027" s="468" t="s">
        <v>945</v>
      </c>
      <c r="B2027" s="469">
        <v>2016</v>
      </c>
      <c r="C2027" s="470" t="s">
        <v>947</v>
      </c>
      <c r="D2027" s="471">
        <v>484.64351011572228</v>
      </c>
      <c r="E2027" s="2"/>
      <c r="F2027" s="2"/>
      <c r="G2027" s="2"/>
      <c r="H2027" s="2"/>
      <c r="I2027" s="21"/>
      <c r="J2027" s="21"/>
      <c r="K2027" s="21"/>
    </row>
    <row r="2028" spans="1:11" ht="15.5" x14ac:dyDescent="0.35">
      <c r="A2028" s="472" t="s">
        <v>945</v>
      </c>
      <c r="B2028" s="473">
        <v>2017</v>
      </c>
      <c r="C2028" s="473" t="str">
        <f t="shared" ref="C2028:C2061" si="54">CONCATENATE(A2028,"_",B2028)</f>
        <v>Santa Barbara_2017</v>
      </c>
      <c r="D2028" s="474">
        <v>473.54606944444123</v>
      </c>
      <c r="E2028" s="2"/>
      <c r="F2028" s="2"/>
      <c r="G2028" s="2"/>
      <c r="H2028" s="2"/>
      <c r="I2028" s="21"/>
      <c r="J2028" s="21"/>
      <c r="K2028" s="21"/>
    </row>
    <row r="2029" spans="1:11" ht="15.5" x14ac:dyDescent="0.35">
      <c r="A2029" s="472" t="s">
        <v>945</v>
      </c>
      <c r="B2029" s="473">
        <v>2018</v>
      </c>
      <c r="C2029" s="473" t="str">
        <f t="shared" si="54"/>
        <v>Santa Barbara_2018</v>
      </c>
      <c r="D2029" s="474">
        <v>461.89828369924038</v>
      </c>
      <c r="E2029" s="2"/>
      <c r="F2029" s="2"/>
      <c r="G2029" s="2"/>
      <c r="H2029" s="2"/>
      <c r="I2029" s="21"/>
      <c r="J2029" s="21"/>
      <c r="K2029" s="21"/>
    </row>
    <row r="2030" spans="1:11" ht="15.5" x14ac:dyDescent="0.35">
      <c r="A2030" s="472" t="s">
        <v>945</v>
      </c>
      <c r="B2030" s="473">
        <v>2019</v>
      </c>
      <c r="C2030" s="473" t="str">
        <f t="shared" si="54"/>
        <v>Santa Barbara_2019</v>
      </c>
      <c r="D2030" s="474">
        <v>449.82669683226771</v>
      </c>
      <c r="E2030" s="2"/>
      <c r="F2030" s="2"/>
      <c r="G2030" s="2"/>
      <c r="H2030" s="2"/>
      <c r="I2030" s="21"/>
      <c r="J2030" s="21"/>
      <c r="K2030" s="21"/>
    </row>
    <row r="2031" spans="1:11" ht="15.5" x14ac:dyDescent="0.35">
      <c r="A2031" s="472" t="s">
        <v>945</v>
      </c>
      <c r="B2031" s="473">
        <v>2020</v>
      </c>
      <c r="C2031" s="473" t="str">
        <f t="shared" si="54"/>
        <v>Santa Barbara_2020</v>
      </c>
      <c r="D2031" s="474">
        <v>437.47226262122871</v>
      </c>
      <c r="E2031" s="2"/>
      <c r="F2031" s="2"/>
      <c r="G2031" s="2"/>
      <c r="H2031" s="2"/>
      <c r="I2031" s="21"/>
      <c r="J2031" s="21"/>
      <c r="K2031" s="21"/>
    </row>
    <row r="2032" spans="1:11" ht="15.5" x14ac:dyDescent="0.35">
      <c r="A2032" s="472" t="s">
        <v>945</v>
      </c>
      <c r="B2032" s="473">
        <v>2021</v>
      </c>
      <c r="C2032" s="473" t="str">
        <f t="shared" si="54"/>
        <v>Santa Barbara_2021</v>
      </c>
      <c r="D2032" s="474">
        <v>424.92881335917457</v>
      </c>
      <c r="E2032" s="2"/>
      <c r="F2032" s="2"/>
      <c r="G2032" s="2"/>
      <c r="H2032" s="2"/>
      <c r="I2032" s="21"/>
      <c r="J2032" s="21"/>
      <c r="K2032" s="21"/>
    </row>
    <row r="2033" spans="1:11" ht="15.5" x14ac:dyDescent="0.35">
      <c r="A2033" s="472" t="s">
        <v>945</v>
      </c>
      <c r="B2033" s="473">
        <v>2022</v>
      </c>
      <c r="C2033" s="473" t="str">
        <f t="shared" si="54"/>
        <v>Santa Barbara_2022</v>
      </c>
      <c r="D2033" s="474">
        <v>412.49241391984657</v>
      </c>
      <c r="E2033" s="2"/>
      <c r="F2033" s="2"/>
      <c r="G2033" s="2"/>
      <c r="H2033" s="2"/>
      <c r="I2033" s="21"/>
      <c r="J2033" s="21"/>
      <c r="K2033" s="21"/>
    </row>
    <row r="2034" spans="1:11" ht="15.5" x14ac:dyDescent="0.35">
      <c r="A2034" s="472" t="s">
        <v>945</v>
      </c>
      <c r="B2034" s="473">
        <v>2023</v>
      </c>
      <c r="C2034" s="473" t="str">
        <f t="shared" si="54"/>
        <v>Santa Barbara_2023</v>
      </c>
      <c r="D2034" s="474">
        <v>400.11954651768889</v>
      </c>
      <c r="E2034" s="2"/>
      <c r="F2034" s="2"/>
      <c r="G2034" s="2"/>
      <c r="H2034" s="2"/>
      <c r="I2034" s="21"/>
      <c r="J2034" s="21"/>
      <c r="K2034" s="21"/>
    </row>
    <row r="2035" spans="1:11" ht="15.5" x14ac:dyDescent="0.35">
      <c r="A2035" s="472" t="s">
        <v>945</v>
      </c>
      <c r="B2035" s="473">
        <v>2024</v>
      </c>
      <c r="C2035" s="473" t="str">
        <f t="shared" si="54"/>
        <v>Santa Barbara_2024</v>
      </c>
      <c r="D2035" s="474">
        <v>387.8888206213515</v>
      </c>
      <c r="E2035" s="2"/>
      <c r="F2035" s="2"/>
      <c r="G2035" s="2"/>
      <c r="H2035" s="2"/>
      <c r="I2035" s="21"/>
      <c r="J2035" s="21"/>
      <c r="K2035" s="21"/>
    </row>
    <row r="2036" spans="1:11" ht="15.5" x14ac:dyDescent="0.35">
      <c r="A2036" s="472" t="s">
        <v>945</v>
      </c>
      <c r="B2036" s="473">
        <v>2025</v>
      </c>
      <c r="C2036" s="473" t="str">
        <f t="shared" si="54"/>
        <v>Santa Barbara_2025</v>
      </c>
      <c r="D2036" s="474">
        <v>375.79895500037361</v>
      </c>
      <c r="E2036" s="2"/>
      <c r="F2036" s="2"/>
      <c r="G2036" s="2"/>
      <c r="H2036" s="2"/>
      <c r="I2036" s="21"/>
      <c r="J2036" s="21"/>
      <c r="K2036" s="21"/>
    </row>
    <row r="2037" spans="1:11" ht="15.5" x14ac:dyDescent="0.35">
      <c r="A2037" s="472" t="s">
        <v>945</v>
      </c>
      <c r="B2037" s="473">
        <v>2026</v>
      </c>
      <c r="C2037" s="473" t="str">
        <f t="shared" si="54"/>
        <v>Santa Barbara_2026</v>
      </c>
      <c r="D2037" s="474">
        <v>363.92781217340718</v>
      </c>
      <c r="E2037" s="2"/>
      <c r="F2037" s="2"/>
      <c r="G2037" s="2"/>
      <c r="H2037" s="2"/>
      <c r="I2037" s="21"/>
      <c r="J2037" s="21"/>
      <c r="K2037" s="21"/>
    </row>
    <row r="2038" spans="1:11" ht="15.5" x14ac:dyDescent="0.35">
      <c r="A2038" s="472" t="s">
        <v>945</v>
      </c>
      <c r="B2038" s="473">
        <v>2027</v>
      </c>
      <c r="C2038" s="473" t="str">
        <f t="shared" si="54"/>
        <v>Santa Barbara_2027</v>
      </c>
      <c r="D2038" s="474">
        <v>353.62650042660977</v>
      </c>
      <c r="E2038" s="2"/>
      <c r="F2038" s="2"/>
      <c r="G2038" s="2"/>
      <c r="H2038" s="2"/>
      <c r="I2038" s="21"/>
      <c r="J2038" s="21"/>
      <c r="K2038" s="21"/>
    </row>
    <row r="2039" spans="1:11" ht="15.5" x14ac:dyDescent="0.35">
      <c r="A2039" s="472" t="s">
        <v>945</v>
      </c>
      <c r="B2039" s="473">
        <v>2028</v>
      </c>
      <c r="C2039" s="473" t="str">
        <f t="shared" si="54"/>
        <v>Santa Barbara_2028</v>
      </c>
      <c r="D2039" s="474">
        <v>344.24657042014962</v>
      </c>
      <c r="E2039" s="2"/>
      <c r="F2039" s="2"/>
      <c r="G2039" s="2"/>
      <c r="H2039" s="2"/>
      <c r="I2039" s="21"/>
      <c r="J2039" s="21"/>
      <c r="K2039" s="21"/>
    </row>
    <row r="2040" spans="1:11" ht="15.5" x14ac:dyDescent="0.35">
      <c r="A2040" s="472" t="s">
        <v>945</v>
      </c>
      <c r="B2040" s="473">
        <v>2029</v>
      </c>
      <c r="C2040" s="473" t="str">
        <f t="shared" si="54"/>
        <v>Santa Barbara_2029</v>
      </c>
      <c r="D2040" s="474">
        <v>335.71592146757325</v>
      </c>
      <c r="E2040" s="2"/>
      <c r="F2040" s="2"/>
      <c r="G2040" s="2"/>
      <c r="H2040" s="2"/>
      <c r="I2040" s="21"/>
      <c r="J2040" s="21"/>
      <c r="K2040" s="21"/>
    </row>
    <row r="2041" spans="1:11" ht="15.5" x14ac:dyDescent="0.35">
      <c r="A2041" s="472" t="s">
        <v>945</v>
      </c>
      <c r="B2041" s="473">
        <v>2030</v>
      </c>
      <c r="C2041" s="473" t="str">
        <f t="shared" si="54"/>
        <v>Santa Barbara_2030</v>
      </c>
      <c r="D2041" s="474">
        <v>328.01843707008857</v>
      </c>
      <c r="E2041" s="2"/>
      <c r="F2041" s="2"/>
      <c r="G2041" s="2"/>
      <c r="H2041" s="2"/>
      <c r="I2041" s="21"/>
      <c r="J2041" s="21"/>
      <c r="K2041" s="21"/>
    </row>
    <row r="2042" spans="1:11" ht="15.5" x14ac:dyDescent="0.35">
      <c r="A2042" s="472" t="s">
        <v>945</v>
      </c>
      <c r="B2042" s="473">
        <v>2031</v>
      </c>
      <c r="C2042" s="473" t="str">
        <f t="shared" si="54"/>
        <v>Santa Barbara_2031</v>
      </c>
      <c r="D2042" s="474">
        <v>321.09984683310091</v>
      </c>
      <c r="E2042" s="2"/>
      <c r="F2042" s="2"/>
      <c r="G2042" s="2"/>
      <c r="H2042" s="2"/>
      <c r="I2042" s="21"/>
      <c r="J2042" s="21"/>
      <c r="K2042" s="21"/>
    </row>
    <row r="2043" spans="1:11" ht="15.5" x14ac:dyDescent="0.35">
      <c r="A2043" s="472" t="s">
        <v>945</v>
      </c>
      <c r="B2043" s="473">
        <v>2032</v>
      </c>
      <c r="C2043" s="473" t="str">
        <f t="shared" si="54"/>
        <v>Santa Barbara_2032</v>
      </c>
      <c r="D2043" s="474">
        <v>314.92079038079919</v>
      </c>
      <c r="E2043" s="2"/>
      <c r="F2043" s="2"/>
      <c r="G2043" s="2"/>
      <c r="H2043" s="2"/>
      <c r="I2043" s="21"/>
      <c r="J2043" s="21"/>
      <c r="K2043" s="21"/>
    </row>
    <row r="2044" spans="1:11" ht="15.5" x14ac:dyDescent="0.35">
      <c r="A2044" s="472" t="s">
        <v>945</v>
      </c>
      <c r="B2044" s="473">
        <v>2033</v>
      </c>
      <c r="C2044" s="473" t="str">
        <f t="shared" si="54"/>
        <v>Santa Barbara_2033</v>
      </c>
      <c r="D2044" s="474">
        <v>309.42792464488616</v>
      </c>
      <c r="E2044" s="2"/>
      <c r="F2044" s="2"/>
      <c r="G2044" s="2"/>
      <c r="H2044" s="2"/>
      <c r="I2044" s="21"/>
      <c r="J2044" s="21"/>
      <c r="K2044" s="21"/>
    </row>
    <row r="2045" spans="1:11" ht="15.5" x14ac:dyDescent="0.35">
      <c r="A2045" s="472" t="s">
        <v>945</v>
      </c>
      <c r="B2045" s="473">
        <v>2034</v>
      </c>
      <c r="C2045" s="473" t="str">
        <f t="shared" si="54"/>
        <v>Santa Barbara_2034</v>
      </c>
      <c r="D2045" s="474">
        <v>304.54356476816275</v>
      </c>
      <c r="E2045" s="2"/>
      <c r="F2045" s="2"/>
      <c r="G2045" s="2"/>
      <c r="H2045" s="2"/>
      <c r="I2045" s="21"/>
      <c r="J2045" s="21"/>
      <c r="K2045" s="21"/>
    </row>
    <row r="2046" spans="1:11" ht="15.5" x14ac:dyDescent="0.35">
      <c r="A2046" s="472" t="s">
        <v>945</v>
      </c>
      <c r="B2046" s="473">
        <v>2035</v>
      </c>
      <c r="C2046" s="473" t="str">
        <f t="shared" si="54"/>
        <v>Santa Barbara_2035</v>
      </c>
      <c r="D2046" s="474">
        <v>300.24246364761717</v>
      </c>
      <c r="E2046" s="2"/>
      <c r="F2046" s="2"/>
      <c r="G2046" s="2"/>
      <c r="H2046" s="2"/>
      <c r="I2046" s="21"/>
      <c r="J2046" s="21"/>
      <c r="K2046" s="21"/>
    </row>
    <row r="2047" spans="1:11" ht="15.5" x14ac:dyDescent="0.35">
      <c r="A2047" s="472" t="s">
        <v>945</v>
      </c>
      <c r="B2047" s="473">
        <v>2036</v>
      </c>
      <c r="C2047" s="473" t="str">
        <f t="shared" si="54"/>
        <v>Santa Barbara_2036</v>
      </c>
      <c r="D2047" s="474">
        <v>296.47097141878396</v>
      </c>
      <c r="E2047" s="2"/>
      <c r="F2047" s="2"/>
      <c r="G2047" s="2"/>
      <c r="H2047" s="2"/>
      <c r="I2047" s="21"/>
      <c r="J2047" s="21"/>
      <c r="K2047" s="21"/>
    </row>
    <row r="2048" spans="1:11" ht="15.5" x14ac:dyDescent="0.35">
      <c r="A2048" s="472" t="s">
        <v>945</v>
      </c>
      <c r="B2048" s="473">
        <v>2037</v>
      </c>
      <c r="C2048" s="473" t="str">
        <f t="shared" si="54"/>
        <v>Santa Barbara_2037</v>
      </c>
      <c r="D2048" s="474">
        <v>293.20697027310337</v>
      </c>
      <c r="E2048" s="2"/>
      <c r="F2048" s="2"/>
      <c r="G2048" s="2"/>
      <c r="H2048" s="2"/>
      <c r="I2048" s="21"/>
      <c r="J2048" s="21"/>
      <c r="K2048" s="21"/>
    </row>
    <row r="2049" spans="1:11" ht="15.5" x14ac:dyDescent="0.35">
      <c r="A2049" s="472" t="s">
        <v>945</v>
      </c>
      <c r="B2049" s="473">
        <v>2038</v>
      </c>
      <c r="C2049" s="473" t="str">
        <f t="shared" si="54"/>
        <v>Santa Barbara_2038</v>
      </c>
      <c r="D2049" s="474">
        <v>290.38687310338173</v>
      </c>
      <c r="E2049" s="2"/>
      <c r="F2049" s="2"/>
      <c r="G2049" s="2"/>
      <c r="H2049" s="2"/>
      <c r="I2049" s="21"/>
      <c r="J2049" s="21"/>
      <c r="K2049" s="21"/>
    </row>
    <row r="2050" spans="1:11" ht="15.5" x14ac:dyDescent="0.35">
      <c r="A2050" s="472" t="s">
        <v>945</v>
      </c>
      <c r="B2050" s="473">
        <v>2039</v>
      </c>
      <c r="C2050" s="473" t="str">
        <f t="shared" si="54"/>
        <v>Santa Barbara_2039</v>
      </c>
      <c r="D2050" s="474">
        <v>287.96373342362529</v>
      </c>
      <c r="E2050" s="2"/>
      <c r="F2050" s="2"/>
      <c r="G2050" s="2"/>
      <c r="H2050" s="2"/>
      <c r="I2050" s="21"/>
      <c r="J2050" s="21"/>
      <c r="K2050" s="21"/>
    </row>
    <row r="2051" spans="1:11" ht="15.5" x14ac:dyDescent="0.35">
      <c r="A2051" s="472" t="s">
        <v>945</v>
      </c>
      <c r="B2051" s="473">
        <v>2040</v>
      </c>
      <c r="C2051" s="473" t="str">
        <f t="shared" si="54"/>
        <v>Santa Barbara_2040</v>
      </c>
      <c r="D2051" s="474">
        <v>285.89461678953074</v>
      </c>
      <c r="E2051" s="2"/>
      <c r="F2051" s="2"/>
      <c r="G2051" s="2"/>
      <c r="H2051" s="2"/>
      <c r="I2051" s="21"/>
      <c r="J2051" s="21"/>
      <c r="K2051" s="21"/>
    </row>
    <row r="2052" spans="1:11" ht="15.5" x14ac:dyDescent="0.35">
      <c r="A2052" s="472" t="s">
        <v>945</v>
      </c>
      <c r="B2052" s="473">
        <v>2041</v>
      </c>
      <c r="C2052" s="473" t="str">
        <f t="shared" si="54"/>
        <v>Santa Barbara_2041</v>
      </c>
      <c r="D2052" s="474">
        <v>284.1555939086075</v>
      </c>
      <c r="E2052" s="2"/>
      <c r="F2052" s="2"/>
      <c r="G2052" s="2"/>
      <c r="H2052" s="2"/>
      <c r="I2052" s="21"/>
      <c r="J2052" s="21"/>
      <c r="K2052" s="21"/>
    </row>
    <row r="2053" spans="1:11" ht="15.5" x14ac:dyDescent="0.35">
      <c r="A2053" s="472" t="s">
        <v>945</v>
      </c>
      <c r="B2053" s="473">
        <v>2042</v>
      </c>
      <c r="C2053" s="473" t="str">
        <f t="shared" si="54"/>
        <v>Santa Barbara_2042</v>
      </c>
      <c r="D2053" s="474">
        <v>282.67669781151676</v>
      </c>
      <c r="E2053" s="2"/>
      <c r="F2053" s="2"/>
      <c r="G2053" s="2"/>
      <c r="H2053" s="2"/>
      <c r="I2053" s="21"/>
      <c r="J2053" s="21"/>
      <c r="K2053" s="21"/>
    </row>
    <row r="2054" spans="1:11" ht="15.5" x14ac:dyDescent="0.35">
      <c r="A2054" s="472" t="s">
        <v>945</v>
      </c>
      <c r="B2054" s="473">
        <v>2043</v>
      </c>
      <c r="C2054" s="473" t="str">
        <f t="shared" si="54"/>
        <v>Santa Barbara_2043</v>
      </c>
      <c r="D2054" s="474">
        <v>281.44008170153387</v>
      </c>
      <c r="E2054" s="2"/>
      <c r="F2054" s="2"/>
      <c r="G2054" s="2"/>
      <c r="H2054" s="2"/>
      <c r="I2054" s="21"/>
      <c r="J2054" s="21"/>
      <c r="K2054" s="21"/>
    </row>
    <row r="2055" spans="1:11" ht="15.5" x14ac:dyDescent="0.35">
      <c r="A2055" s="472" t="s">
        <v>945</v>
      </c>
      <c r="B2055" s="473">
        <v>2044</v>
      </c>
      <c r="C2055" s="473" t="str">
        <f t="shared" si="54"/>
        <v>Santa Barbara_2044</v>
      </c>
      <c r="D2055" s="474">
        <v>280.3957465755102</v>
      </c>
      <c r="E2055" s="2"/>
      <c r="F2055" s="2"/>
      <c r="G2055" s="2"/>
      <c r="H2055" s="2"/>
      <c r="I2055" s="21"/>
      <c r="J2055" s="21"/>
      <c r="K2055" s="21"/>
    </row>
    <row r="2056" spans="1:11" ht="15.5" x14ac:dyDescent="0.35">
      <c r="A2056" s="472" t="s">
        <v>945</v>
      </c>
      <c r="B2056" s="473">
        <v>2045</v>
      </c>
      <c r="C2056" s="473" t="str">
        <f t="shared" si="54"/>
        <v>Santa Barbara_2045</v>
      </c>
      <c r="D2056" s="474">
        <v>279.49876650558474</v>
      </c>
      <c r="E2056" s="2"/>
      <c r="F2056" s="2"/>
      <c r="G2056" s="2"/>
      <c r="H2056" s="2"/>
      <c r="I2056" s="21"/>
      <c r="J2056" s="21"/>
      <c r="K2056" s="21"/>
    </row>
    <row r="2057" spans="1:11" ht="15.5" x14ac:dyDescent="0.35">
      <c r="A2057" s="472" t="s">
        <v>945</v>
      </c>
      <c r="B2057" s="473">
        <v>2046</v>
      </c>
      <c r="C2057" s="473" t="str">
        <f t="shared" si="54"/>
        <v>Santa Barbara_2046</v>
      </c>
      <c r="D2057" s="474">
        <v>278.74185857132687</v>
      </c>
      <c r="E2057" s="2"/>
      <c r="F2057" s="2"/>
      <c r="G2057" s="2"/>
      <c r="H2057" s="2"/>
      <c r="I2057" s="21"/>
      <c r="J2057" s="21"/>
      <c r="K2057" s="21"/>
    </row>
    <row r="2058" spans="1:11" ht="15.5" x14ac:dyDescent="0.35">
      <c r="A2058" s="472" t="s">
        <v>945</v>
      </c>
      <c r="B2058" s="473">
        <v>2047</v>
      </c>
      <c r="C2058" s="473" t="str">
        <f t="shared" si="54"/>
        <v>Santa Barbara_2047</v>
      </c>
      <c r="D2058" s="474">
        <v>278.10376236165695</v>
      </c>
      <c r="E2058" s="2"/>
      <c r="F2058" s="2"/>
      <c r="G2058" s="2"/>
      <c r="H2058" s="2"/>
      <c r="I2058" s="21"/>
      <c r="J2058" s="21"/>
      <c r="K2058" s="21"/>
    </row>
    <row r="2059" spans="1:11" ht="15.5" x14ac:dyDescent="0.35">
      <c r="A2059" s="472" t="s">
        <v>945</v>
      </c>
      <c r="B2059" s="473">
        <v>2048</v>
      </c>
      <c r="C2059" s="473" t="str">
        <f t="shared" si="54"/>
        <v>Santa Barbara_2048</v>
      </c>
      <c r="D2059" s="474">
        <v>277.55846606601102</v>
      </c>
      <c r="E2059" s="2"/>
      <c r="F2059" s="2"/>
      <c r="G2059" s="2"/>
      <c r="H2059" s="2"/>
      <c r="I2059" s="21"/>
      <c r="J2059" s="21"/>
      <c r="K2059" s="21"/>
    </row>
    <row r="2060" spans="1:11" ht="15.5" x14ac:dyDescent="0.35">
      <c r="A2060" s="472" t="s">
        <v>945</v>
      </c>
      <c r="B2060" s="473">
        <v>2049</v>
      </c>
      <c r="C2060" s="473" t="str">
        <f t="shared" si="54"/>
        <v>Santa Barbara_2049</v>
      </c>
      <c r="D2060" s="474">
        <v>277.11270008458564</v>
      </c>
      <c r="E2060" s="2"/>
      <c r="F2060" s="2"/>
      <c r="G2060" s="2"/>
      <c r="H2060" s="2"/>
      <c r="I2060" s="21"/>
      <c r="J2060" s="21"/>
      <c r="K2060" s="21"/>
    </row>
    <row r="2061" spans="1:11" ht="15.5" x14ac:dyDescent="0.35">
      <c r="A2061" s="472" t="s">
        <v>945</v>
      </c>
      <c r="B2061" s="473">
        <v>2050</v>
      </c>
      <c r="C2061" s="473" t="str">
        <f t="shared" si="54"/>
        <v>Santa Barbara_2050</v>
      </c>
      <c r="D2061" s="474">
        <v>276.75839191960574</v>
      </c>
      <c r="E2061" s="2"/>
      <c r="F2061" s="2"/>
      <c r="G2061" s="2"/>
      <c r="H2061" s="2"/>
      <c r="I2061" s="21"/>
      <c r="J2061" s="21"/>
      <c r="K2061" s="21"/>
    </row>
    <row r="2062" spans="1:11" ht="15.5" x14ac:dyDescent="0.35">
      <c r="A2062" s="468" t="s">
        <v>948</v>
      </c>
      <c r="B2062" s="469">
        <v>2015</v>
      </c>
      <c r="C2062" s="470" t="s">
        <v>949</v>
      </c>
      <c r="D2062" s="471">
        <v>480.56321134291784</v>
      </c>
      <c r="E2062" s="2"/>
      <c r="F2062" s="2"/>
      <c r="G2062" s="2"/>
      <c r="H2062" s="2"/>
      <c r="I2062" s="21"/>
      <c r="J2062" s="21"/>
      <c r="K2062" s="21"/>
    </row>
    <row r="2063" spans="1:11" ht="15.5" x14ac:dyDescent="0.35">
      <c r="A2063" s="468" t="s">
        <v>948</v>
      </c>
      <c r="B2063" s="469">
        <v>2016</v>
      </c>
      <c r="C2063" s="470" t="s">
        <v>950</v>
      </c>
      <c r="D2063" s="471">
        <v>470.82222467833674</v>
      </c>
      <c r="E2063" s="2"/>
      <c r="F2063" s="2"/>
      <c r="G2063" s="2"/>
      <c r="H2063" s="2"/>
      <c r="I2063" s="21"/>
      <c r="J2063" s="21"/>
      <c r="K2063" s="21"/>
    </row>
    <row r="2064" spans="1:11" ht="15.5" x14ac:dyDescent="0.35">
      <c r="A2064" s="472" t="s">
        <v>948</v>
      </c>
      <c r="B2064" s="473">
        <v>2017</v>
      </c>
      <c r="C2064" s="473" t="str">
        <f t="shared" ref="C2064:C2097" si="55">CONCATENATE(A2064,"_",B2064)</f>
        <v>Santa Clara_2017</v>
      </c>
      <c r="D2064" s="474">
        <v>460.01777863272292</v>
      </c>
      <c r="E2064" s="2"/>
      <c r="F2064" s="2"/>
      <c r="G2064" s="2"/>
      <c r="H2064" s="2"/>
      <c r="I2064" s="21"/>
      <c r="J2064" s="21"/>
      <c r="K2064" s="21"/>
    </row>
    <row r="2065" spans="1:11" ht="15.5" x14ac:dyDescent="0.35">
      <c r="A2065" s="472" t="s">
        <v>948</v>
      </c>
      <c r="B2065" s="473">
        <v>2018</v>
      </c>
      <c r="C2065" s="473" t="str">
        <f t="shared" si="55"/>
        <v>Santa Clara_2018</v>
      </c>
      <c r="D2065" s="474">
        <v>448.55109114249234</v>
      </c>
      <c r="E2065" s="2"/>
      <c r="F2065" s="2"/>
      <c r="G2065" s="2"/>
      <c r="H2065" s="2"/>
      <c r="I2065" s="21"/>
      <c r="J2065" s="21"/>
      <c r="K2065" s="21"/>
    </row>
    <row r="2066" spans="1:11" ht="15.5" x14ac:dyDescent="0.35">
      <c r="A2066" s="472" t="s">
        <v>948</v>
      </c>
      <c r="B2066" s="473">
        <v>2019</v>
      </c>
      <c r="C2066" s="473" t="str">
        <f t="shared" si="55"/>
        <v>Santa Clara_2019</v>
      </c>
      <c r="D2066" s="474">
        <v>436.75386869233319</v>
      </c>
      <c r="E2066" s="2"/>
      <c r="F2066" s="2"/>
      <c r="G2066" s="2"/>
      <c r="H2066" s="2"/>
      <c r="I2066" s="21"/>
      <c r="J2066" s="21"/>
      <c r="K2066" s="21"/>
    </row>
    <row r="2067" spans="1:11" ht="15.5" x14ac:dyDescent="0.35">
      <c r="A2067" s="472" t="s">
        <v>948</v>
      </c>
      <c r="B2067" s="473">
        <v>2020</v>
      </c>
      <c r="C2067" s="473" t="str">
        <f t="shared" si="55"/>
        <v>Santa Clara_2020</v>
      </c>
      <c r="D2067" s="474">
        <v>424.75108565127914</v>
      </c>
      <c r="E2067" s="2"/>
      <c r="F2067" s="2"/>
      <c r="G2067" s="2"/>
      <c r="H2067" s="2"/>
      <c r="I2067" s="21"/>
      <c r="J2067" s="21"/>
      <c r="K2067" s="21"/>
    </row>
    <row r="2068" spans="1:11" ht="15.5" x14ac:dyDescent="0.35">
      <c r="A2068" s="472" t="s">
        <v>948</v>
      </c>
      <c r="B2068" s="473">
        <v>2021</v>
      </c>
      <c r="C2068" s="473" t="str">
        <f t="shared" si="55"/>
        <v>Santa Clara_2021</v>
      </c>
      <c r="D2068" s="474">
        <v>412.63407239864841</v>
      </c>
      <c r="E2068" s="2"/>
      <c r="F2068" s="2"/>
      <c r="G2068" s="2"/>
      <c r="H2068" s="2"/>
      <c r="I2068" s="21"/>
      <c r="J2068" s="21"/>
      <c r="K2068" s="21"/>
    </row>
    <row r="2069" spans="1:11" ht="15.5" x14ac:dyDescent="0.35">
      <c r="A2069" s="472" t="s">
        <v>948</v>
      </c>
      <c r="B2069" s="473">
        <v>2022</v>
      </c>
      <c r="C2069" s="473" t="str">
        <f t="shared" si="55"/>
        <v>Santa Clara_2022</v>
      </c>
      <c r="D2069" s="474">
        <v>400.70921514008853</v>
      </c>
      <c r="E2069" s="2"/>
      <c r="F2069" s="2"/>
      <c r="G2069" s="2"/>
      <c r="H2069" s="2"/>
      <c r="I2069" s="21"/>
      <c r="J2069" s="21"/>
      <c r="K2069" s="21"/>
    </row>
    <row r="2070" spans="1:11" ht="15.5" x14ac:dyDescent="0.35">
      <c r="A2070" s="472" t="s">
        <v>948</v>
      </c>
      <c r="B2070" s="473">
        <v>2023</v>
      </c>
      <c r="C2070" s="473" t="str">
        <f t="shared" si="55"/>
        <v>Santa Clara_2023</v>
      </c>
      <c r="D2070" s="474">
        <v>388.86461927193261</v>
      </c>
      <c r="E2070" s="2"/>
      <c r="F2070" s="2"/>
      <c r="G2070" s="2"/>
      <c r="H2070" s="2"/>
      <c r="I2070" s="21"/>
      <c r="J2070" s="21"/>
      <c r="K2070" s="21"/>
    </row>
    <row r="2071" spans="1:11" ht="15.5" x14ac:dyDescent="0.35">
      <c r="A2071" s="472" t="s">
        <v>948</v>
      </c>
      <c r="B2071" s="473">
        <v>2024</v>
      </c>
      <c r="C2071" s="473" t="str">
        <f t="shared" si="55"/>
        <v>Santa Clara_2024</v>
      </c>
      <c r="D2071" s="474">
        <v>377.15580067900794</v>
      </c>
      <c r="E2071" s="2"/>
      <c r="F2071" s="2"/>
      <c r="G2071" s="2"/>
      <c r="H2071" s="2"/>
      <c r="I2071" s="21"/>
      <c r="J2071" s="21"/>
      <c r="K2071" s="21"/>
    </row>
    <row r="2072" spans="1:11" ht="15.5" x14ac:dyDescent="0.35">
      <c r="A2072" s="472" t="s">
        <v>948</v>
      </c>
      <c r="B2072" s="473">
        <v>2025</v>
      </c>
      <c r="C2072" s="473" t="str">
        <f t="shared" si="55"/>
        <v>Santa Clara_2025</v>
      </c>
      <c r="D2072" s="474">
        <v>365.56419306222944</v>
      </c>
      <c r="E2072" s="2"/>
      <c r="F2072" s="2"/>
      <c r="G2072" s="2"/>
      <c r="H2072" s="2"/>
      <c r="I2072" s="21"/>
      <c r="J2072" s="21"/>
      <c r="K2072" s="21"/>
    </row>
    <row r="2073" spans="1:11" ht="15.5" x14ac:dyDescent="0.35">
      <c r="A2073" s="472" t="s">
        <v>948</v>
      </c>
      <c r="B2073" s="473">
        <v>2026</v>
      </c>
      <c r="C2073" s="473" t="str">
        <f t="shared" si="55"/>
        <v>Santa Clara_2026</v>
      </c>
      <c r="D2073" s="474">
        <v>355.07825251636831</v>
      </c>
      <c r="E2073" s="2"/>
      <c r="F2073" s="2"/>
      <c r="G2073" s="2"/>
      <c r="H2073" s="2"/>
      <c r="I2073" s="21"/>
      <c r="J2073" s="21"/>
      <c r="K2073" s="21"/>
    </row>
    <row r="2074" spans="1:11" ht="15.5" x14ac:dyDescent="0.35">
      <c r="A2074" s="472" t="s">
        <v>948</v>
      </c>
      <c r="B2074" s="473">
        <v>2027</v>
      </c>
      <c r="C2074" s="473" t="str">
        <f t="shared" si="55"/>
        <v>Santa Clara_2027</v>
      </c>
      <c r="D2074" s="474">
        <v>345.54296767543366</v>
      </c>
      <c r="E2074" s="2"/>
      <c r="F2074" s="2"/>
      <c r="G2074" s="2"/>
      <c r="H2074" s="2"/>
      <c r="I2074" s="21"/>
      <c r="J2074" s="21"/>
      <c r="K2074" s="21"/>
    </row>
    <row r="2075" spans="1:11" ht="15.5" x14ac:dyDescent="0.35">
      <c r="A2075" s="472" t="s">
        <v>948</v>
      </c>
      <c r="B2075" s="473">
        <v>2028</v>
      </c>
      <c r="C2075" s="473" t="str">
        <f t="shared" si="55"/>
        <v>Santa Clara_2028</v>
      </c>
      <c r="D2075" s="474">
        <v>336.98864263759219</v>
      </c>
      <c r="E2075" s="2"/>
      <c r="F2075" s="2"/>
      <c r="G2075" s="2"/>
      <c r="H2075" s="2"/>
      <c r="I2075" s="21"/>
      <c r="J2075" s="21"/>
      <c r="K2075" s="21"/>
    </row>
    <row r="2076" spans="1:11" ht="15.5" x14ac:dyDescent="0.35">
      <c r="A2076" s="472" t="s">
        <v>948</v>
      </c>
      <c r="B2076" s="473">
        <v>2029</v>
      </c>
      <c r="C2076" s="473" t="str">
        <f t="shared" si="55"/>
        <v>Santa Clara_2029</v>
      </c>
      <c r="D2076" s="474">
        <v>329.33758762690928</v>
      </c>
      <c r="E2076" s="2"/>
      <c r="F2076" s="2"/>
      <c r="G2076" s="2"/>
      <c r="H2076" s="2"/>
      <c r="I2076" s="21"/>
      <c r="J2076" s="21"/>
      <c r="K2076" s="21"/>
    </row>
    <row r="2077" spans="1:11" ht="15.5" x14ac:dyDescent="0.35">
      <c r="A2077" s="472" t="s">
        <v>948</v>
      </c>
      <c r="B2077" s="473">
        <v>2030</v>
      </c>
      <c r="C2077" s="473" t="str">
        <f t="shared" si="55"/>
        <v>Santa Clara_2030</v>
      </c>
      <c r="D2077" s="474">
        <v>322.53311527554541</v>
      </c>
      <c r="E2077" s="2"/>
      <c r="F2077" s="2"/>
      <c r="G2077" s="2"/>
      <c r="H2077" s="2"/>
      <c r="I2077" s="21"/>
      <c r="J2077" s="21"/>
      <c r="K2077" s="21"/>
    </row>
    <row r="2078" spans="1:11" ht="15.5" x14ac:dyDescent="0.35">
      <c r="A2078" s="472" t="s">
        <v>948</v>
      </c>
      <c r="B2078" s="473">
        <v>2031</v>
      </c>
      <c r="C2078" s="473" t="str">
        <f t="shared" si="55"/>
        <v>Santa Clara_2031</v>
      </c>
      <c r="D2078" s="474">
        <v>316.49602031609345</v>
      </c>
      <c r="E2078" s="2"/>
      <c r="F2078" s="2"/>
      <c r="G2078" s="2"/>
      <c r="H2078" s="2"/>
      <c r="I2078" s="21"/>
      <c r="J2078" s="21"/>
      <c r="K2078" s="21"/>
    </row>
    <row r="2079" spans="1:11" ht="15.5" x14ac:dyDescent="0.35">
      <c r="A2079" s="472" t="s">
        <v>948</v>
      </c>
      <c r="B2079" s="473">
        <v>2032</v>
      </c>
      <c r="C2079" s="473" t="str">
        <f t="shared" si="55"/>
        <v>Santa Clara_2032</v>
      </c>
      <c r="D2079" s="474">
        <v>311.17004309589402</v>
      </c>
      <c r="E2079" s="2"/>
      <c r="F2079" s="2"/>
      <c r="G2079" s="2"/>
      <c r="H2079" s="2"/>
      <c r="I2079" s="21"/>
      <c r="J2079" s="21"/>
      <c r="K2079" s="21"/>
    </row>
    <row r="2080" spans="1:11" ht="15.5" x14ac:dyDescent="0.35">
      <c r="A2080" s="472" t="s">
        <v>948</v>
      </c>
      <c r="B2080" s="473">
        <v>2033</v>
      </c>
      <c r="C2080" s="473" t="str">
        <f t="shared" si="55"/>
        <v>Santa Clara_2033</v>
      </c>
      <c r="D2080" s="474">
        <v>306.50230517614358</v>
      </c>
      <c r="E2080" s="2"/>
      <c r="F2080" s="2"/>
      <c r="G2080" s="2"/>
      <c r="H2080" s="2"/>
      <c r="I2080" s="21"/>
      <c r="J2080" s="21"/>
      <c r="K2080" s="21"/>
    </row>
    <row r="2081" spans="1:11" ht="15.5" x14ac:dyDescent="0.35">
      <c r="A2081" s="472" t="s">
        <v>948</v>
      </c>
      <c r="B2081" s="473">
        <v>2034</v>
      </c>
      <c r="C2081" s="473" t="str">
        <f t="shared" si="55"/>
        <v>Santa Clara_2034</v>
      </c>
      <c r="D2081" s="474">
        <v>302.42053083336936</v>
      </c>
      <c r="E2081" s="2"/>
      <c r="F2081" s="2"/>
      <c r="G2081" s="2"/>
      <c r="H2081" s="2"/>
      <c r="I2081" s="21"/>
      <c r="J2081" s="21"/>
      <c r="K2081" s="21"/>
    </row>
    <row r="2082" spans="1:11" ht="15.5" x14ac:dyDescent="0.35">
      <c r="A2082" s="472" t="s">
        <v>948</v>
      </c>
      <c r="B2082" s="473">
        <v>2035</v>
      </c>
      <c r="C2082" s="473" t="str">
        <f t="shared" si="55"/>
        <v>Santa Clara_2035</v>
      </c>
      <c r="D2082" s="474">
        <v>298.88209788484994</v>
      </c>
      <c r="E2082" s="2"/>
      <c r="F2082" s="2"/>
      <c r="G2082" s="2"/>
      <c r="H2082" s="2"/>
      <c r="I2082" s="21"/>
      <c r="J2082" s="21"/>
      <c r="K2082" s="21"/>
    </row>
    <row r="2083" spans="1:11" ht="15.5" x14ac:dyDescent="0.35">
      <c r="A2083" s="472" t="s">
        <v>948</v>
      </c>
      <c r="B2083" s="473">
        <v>2036</v>
      </c>
      <c r="C2083" s="473" t="str">
        <f t="shared" si="55"/>
        <v>Santa Clara_2036</v>
      </c>
      <c r="D2083" s="474">
        <v>295.83671922616981</v>
      </c>
      <c r="E2083" s="2"/>
      <c r="F2083" s="2"/>
      <c r="G2083" s="2"/>
      <c r="H2083" s="2"/>
      <c r="I2083" s="21"/>
      <c r="J2083" s="21"/>
      <c r="K2083" s="21"/>
    </row>
    <row r="2084" spans="1:11" ht="15.5" x14ac:dyDescent="0.35">
      <c r="A2084" s="472" t="s">
        <v>948</v>
      </c>
      <c r="B2084" s="473">
        <v>2037</v>
      </c>
      <c r="C2084" s="473" t="str">
        <f t="shared" si="55"/>
        <v>Santa Clara_2037</v>
      </c>
      <c r="D2084" s="474">
        <v>293.24503306043897</v>
      </c>
      <c r="E2084" s="2"/>
      <c r="F2084" s="2"/>
      <c r="G2084" s="2"/>
      <c r="H2084" s="2"/>
      <c r="I2084" s="21"/>
      <c r="J2084" s="21"/>
      <c r="K2084" s="21"/>
    </row>
    <row r="2085" spans="1:11" ht="15.5" x14ac:dyDescent="0.35">
      <c r="A2085" s="472" t="s">
        <v>948</v>
      </c>
      <c r="B2085" s="473">
        <v>2038</v>
      </c>
      <c r="C2085" s="473" t="str">
        <f t="shared" si="55"/>
        <v>Santa Clara_2038</v>
      </c>
      <c r="D2085" s="474">
        <v>291.05937651683479</v>
      </c>
      <c r="E2085" s="2"/>
      <c r="F2085" s="2"/>
      <c r="G2085" s="2"/>
      <c r="H2085" s="2"/>
      <c r="I2085" s="21"/>
      <c r="J2085" s="21"/>
      <c r="K2085" s="21"/>
    </row>
    <row r="2086" spans="1:11" ht="15.5" x14ac:dyDescent="0.35">
      <c r="A2086" s="472" t="s">
        <v>948</v>
      </c>
      <c r="B2086" s="473">
        <v>2039</v>
      </c>
      <c r="C2086" s="473" t="str">
        <f t="shared" si="55"/>
        <v>Santa Clara_2039</v>
      </c>
      <c r="D2086" s="474">
        <v>289.22841927540242</v>
      </c>
      <c r="E2086" s="2"/>
      <c r="F2086" s="2"/>
      <c r="G2086" s="2"/>
      <c r="H2086" s="2"/>
      <c r="I2086" s="21"/>
      <c r="J2086" s="21"/>
      <c r="K2086" s="21"/>
    </row>
    <row r="2087" spans="1:11" ht="15.5" x14ac:dyDescent="0.35">
      <c r="A2087" s="472" t="s">
        <v>948</v>
      </c>
      <c r="B2087" s="473">
        <v>2040</v>
      </c>
      <c r="C2087" s="473" t="str">
        <f t="shared" si="55"/>
        <v>Santa Clara_2040</v>
      </c>
      <c r="D2087" s="474">
        <v>287.70120979789129</v>
      </c>
      <c r="E2087" s="2"/>
      <c r="F2087" s="2"/>
      <c r="G2087" s="2"/>
      <c r="H2087" s="2"/>
      <c r="I2087" s="21"/>
      <c r="J2087" s="21"/>
      <c r="K2087" s="21"/>
    </row>
    <row r="2088" spans="1:11" ht="15.5" x14ac:dyDescent="0.35">
      <c r="A2088" s="472" t="s">
        <v>948</v>
      </c>
      <c r="B2088" s="473">
        <v>2041</v>
      </c>
      <c r="C2088" s="473" t="str">
        <f t="shared" si="55"/>
        <v>Santa Clara_2041</v>
      </c>
      <c r="D2088" s="474">
        <v>286.44985072702838</v>
      </c>
      <c r="E2088" s="2"/>
      <c r="F2088" s="2"/>
      <c r="G2088" s="2"/>
      <c r="H2088" s="2"/>
      <c r="I2088" s="21"/>
      <c r="J2088" s="21"/>
      <c r="K2088" s="21"/>
    </row>
    <row r="2089" spans="1:11" ht="15.5" x14ac:dyDescent="0.35">
      <c r="A2089" s="472" t="s">
        <v>948</v>
      </c>
      <c r="B2089" s="473">
        <v>2042</v>
      </c>
      <c r="C2089" s="473" t="str">
        <f t="shared" si="55"/>
        <v>Santa Clara_2042</v>
      </c>
      <c r="D2089" s="474">
        <v>285.41532550842783</v>
      </c>
      <c r="E2089" s="2"/>
      <c r="F2089" s="2"/>
      <c r="G2089" s="2"/>
      <c r="H2089" s="2"/>
      <c r="I2089" s="21"/>
      <c r="J2089" s="21"/>
      <c r="K2089" s="21"/>
    </row>
    <row r="2090" spans="1:11" ht="15.5" x14ac:dyDescent="0.35">
      <c r="A2090" s="472" t="s">
        <v>948</v>
      </c>
      <c r="B2090" s="473">
        <v>2043</v>
      </c>
      <c r="C2090" s="473" t="str">
        <f t="shared" si="55"/>
        <v>Santa Clara_2043</v>
      </c>
      <c r="D2090" s="474">
        <v>284.57139658232296</v>
      </c>
      <c r="E2090" s="2"/>
      <c r="F2090" s="2"/>
      <c r="G2090" s="2"/>
      <c r="H2090" s="2"/>
      <c r="I2090" s="21"/>
      <c r="J2090" s="21"/>
      <c r="K2090" s="21"/>
    </row>
    <row r="2091" spans="1:11" ht="15.5" x14ac:dyDescent="0.35">
      <c r="A2091" s="472" t="s">
        <v>948</v>
      </c>
      <c r="B2091" s="473">
        <v>2044</v>
      </c>
      <c r="C2091" s="473" t="str">
        <f t="shared" si="55"/>
        <v>Santa Clara_2044</v>
      </c>
      <c r="D2091" s="474">
        <v>283.88167422430371</v>
      </c>
      <c r="E2091" s="2"/>
      <c r="F2091" s="2"/>
      <c r="G2091" s="2"/>
      <c r="H2091" s="2"/>
      <c r="I2091" s="21"/>
      <c r="J2091" s="21"/>
      <c r="K2091" s="21"/>
    </row>
    <row r="2092" spans="1:11" ht="15.5" x14ac:dyDescent="0.35">
      <c r="A2092" s="472" t="s">
        <v>948</v>
      </c>
      <c r="B2092" s="473">
        <v>2045</v>
      </c>
      <c r="C2092" s="473" t="str">
        <f t="shared" si="55"/>
        <v>Santa Clara_2045</v>
      </c>
      <c r="D2092" s="474">
        <v>283.2987601933072</v>
      </c>
      <c r="E2092" s="2"/>
      <c r="F2092" s="2"/>
      <c r="G2092" s="2"/>
      <c r="H2092" s="2"/>
      <c r="I2092" s="21"/>
      <c r="J2092" s="21"/>
      <c r="K2092" s="21"/>
    </row>
    <row r="2093" spans="1:11" ht="15.5" x14ac:dyDescent="0.35">
      <c r="A2093" s="472" t="s">
        <v>948</v>
      </c>
      <c r="B2093" s="473">
        <v>2046</v>
      </c>
      <c r="C2093" s="473" t="str">
        <f t="shared" si="55"/>
        <v>Santa Clara_2046</v>
      </c>
      <c r="D2093" s="474">
        <v>282.82328193048625</v>
      </c>
      <c r="E2093" s="2"/>
      <c r="F2093" s="2"/>
      <c r="G2093" s="2"/>
      <c r="H2093" s="2"/>
      <c r="I2093" s="21"/>
      <c r="J2093" s="21"/>
      <c r="K2093" s="21"/>
    </row>
    <row r="2094" spans="1:11" ht="15.5" x14ac:dyDescent="0.35">
      <c r="A2094" s="472" t="s">
        <v>948</v>
      </c>
      <c r="B2094" s="473">
        <v>2047</v>
      </c>
      <c r="C2094" s="473" t="str">
        <f t="shared" si="55"/>
        <v>Santa Clara_2047</v>
      </c>
      <c r="D2094" s="474">
        <v>282.44265323480113</v>
      </c>
      <c r="E2094" s="2"/>
      <c r="F2094" s="2"/>
      <c r="G2094" s="2"/>
      <c r="H2094" s="2"/>
      <c r="I2094" s="21"/>
      <c r="J2094" s="21"/>
      <c r="K2094" s="21"/>
    </row>
    <row r="2095" spans="1:11" ht="15.5" x14ac:dyDescent="0.35">
      <c r="A2095" s="472" t="s">
        <v>948</v>
      </c>
      <c r="B2095" s="473">
        <v>2048</v>
      </c>
      <c r="C2095" s="473" t="str">
        <f t="shared" si="55"/>
        <v>Santa Clara_2048</v>
      </c>
      <c r="D2095" s="474">
        <v>282.13603885572172</v>
      </c>
      <c r="E2095" s="2"/>
      <c r="F2095" s="2"/>
      <c r="G2095" s="2"/>
      <c r="H2095" s="2"/>
      <c r="I2095" s="21"/>
      <c r="J2095" s="21"/>
      <c r="K2095" s="21"/>
    </row>
    <row r="2096" spans="1:11" ht="15.5" x14ac:dyDescent="0.35">
      <c r="A2096" s="472" t="s">
        <v>948</v>
      </c>
      <c r="B2096" s="473">
        <v>2049</v>
      </c>
      <c r="C2096" s="473" t="str">
        <f t="shared" si="55"/>
        <v>Santa Clara_2049</v>
      </c>
      <c r="D2096" s="474">
        <v>281.88034391171897</v>
      </c>
      <c r="E2096" s="2"/>
      <c r="F2096" s="2"/>
      <c r="G2096" s="2"/>
      <c r="H2096" s="2"/>
      <c r="I2096" s="21"/>
      <c r="J2096" s="21"/>
      <c r="K2096" s="21"/>
    </row>
    <row r="2097" spans="1:11" ht="15.5" x14ac:dyDescent="0.35">
      <c r="A2097" s="472" t="s">
        <v>948</v>
      </c>
      <c r="B2097" s="473">
        <v>2050</v>
      </c>
      <c r="C2097" s="473" t="str">
        <f t="shared" si="55"/>
        <v>Santa Clara_2050</v>
      </c>
      <c r="D2097" s="474">
        <v>281.67689763661161</v>
      </c>
      <c r="E2097" s="2"/>
      <c r="F2097" s="2"/>
      <c r="G2097" s="2"/>
      <c r="H2097" s="2"/>
      <c r="I2097" s="21"/>
      <c r="J2097" s="21"/>
      <c r="K2097" s="21"/>
    </row>
    <row r="2098" spans="1:11" ht="15.5" x14ac:dyDescent="0.35">
      <c r="A2098" s="468" t="s">
        <v>951</v>
      </c>
      <c r="B2098" s="469">
        <v>2015</v>
      </c>
      <c r="C2098" s="470" t="s">
        <v>952</v>
      </c>
      <c r="D2098" s="471">
        <v>522.19030584973848</v>
      </c>
      <c r="E2098" s="2"/>
      <c r="F2098" s="2"/>
      <c r="G2098" s="2"/>
      <c r="H2098" s="2"/>
      <c r="I2098" s="21"/>
      <c r="J2098" s="21"/>
      <c r="K2098" s="21"/>
    </row>
    <row r="2099" spans="1:11" ht="15.5" x14ac:dyDescent="0.35">
      <c r="A2099" s="468" t="s">
        <v>951</v>
      </c>
      <c r="B2099" s="469">
        <v>2016</v>
      </c>
      <c r="C2099" s="470" t="s">
        <v>953</v>
      </c>
      <c r="D2099" s="471">
        <v>512.72985214221364</v>
      </c>
      <c r="E2099" s="2"/>
      <c r="F2099" s="2"/>
      <c r="G2099" s="2"/>
      <c r="H2099" s="2"/>
      <c r="I2099" s="21"/>
      <c r="J2099" s="21"/>
      <c r="K2099" s="21"/>
    </row>
    <row r="2100" spans="1:11" ht="15.5" x14ac:dyDescent="0.35">
      <c r="A2100" s="472" t="s">
        <v>951</v>
      </c>
      <c r="B2100" s="473">
        <v>2017</v>
      </c>
      <c r="C2100" s="473" t="str">
        <f t="shared" ref="C2100:C2133" si="56">CONCATENATE(A2100,"_",B2100)</f>
        <v>Santa Cruz_2017</v>
      </c>
      <c r="D2100" s="474">
        <v>500.76490405206187</v>
      </c>
      <c r="E2100" s="2"/>
      <c r="F2100" s="2"/>
      <c r="G2100" s="2"/>
      <c r="H2100" s="2"/>
      <c r="I2100" s="21"/>
      <c r="J2100" s="21"/>
      <c r="K2100" s="21"/>
    </row>
    <row r="2101" spans="1:11" ht="15.5" x14ac:dyDescent="0.35">
      <c r="A2101" s="472" t="s">
        <v>951</v>
      </c>
      <c r="B2101" s="473">
        <v>2018</v>
      </c>
      <c r="C2101" s="473" t="str">
        <f t="shared" si="56"/>
        <v>Santa Cruz_2018</v>
      </c>
      <c r="D2101" s="474">
        <v>488.17660171406328</v>
      </c>
      <c r="E2101" s="2"/>
      <c r="F2101" s="2"/>
      <c r="G2101" s="2"/>
      <c r="H2101" s="2"/>
      <c r="I2101" s="21"/>
      <c r="J2101" s="21"/>
      <c r="K2101" s="21"/>
    </row>
    <row r="2102" spans="1:11" ht="15.5" x14ac:dyDescent="0.35">
      <c r="A2102" s="472" t="s">
        <v>951</v>
      </c>
      <c r="B2102" s="473">
        <v>2019</v>
      </c>
      <c r="C2102" s="473" t="str">
        <f t="shared" si="56"/>
        <v>Santa Cruz_2019</v>
      </c>
      <c r="D2102" s="474">
        <v>475.16254128964999</v>
      </c>
      <c r="E2102" s="2"/>
      <c r="F2102" s="2"/>
      <c r="G2102" s="2"/>
      <c r="H2102" s="2"/>
      <c r="I2102" s="21"/>
      <c r="J2102" s="21"/>
      <c r="K2102" s="21"/>
    </row>
    <row r="2103" spans="1:11" ht="15.5" x14ac:dyDescent="0.35">
      <c r="A2103" s="472" t="s">
        <v>951</v>
      </c>
      <c r="B2103" s="473">
        <v>2020</v>
      </c>
      <c r="C2103" s="473" t="str">
        <f t="shared" si="56"/>
        <v>Santa Cruz_2020</v>
      </c>
      <c r="D2103" s="474">
        <v>461.8811911726529</v>
      </c>
      <c r="E2103" s="2"/>
      <c r="F2103" s="2"/>
      <c r="G2103" s="2"/>
      <c r="H2103" s="2"/>
      <c r="I2103" s="21"/>
      <c r="J2103" s="21"/>
      <c r="K2103" s="21"/>
    </row>
    <row r="2104" spans="1:11" ht="15.5" x14ac:dyDescent="0.35">
      <c r="A2104" s="472" t="s">
        <v>951</v>
      </c>
      <c r="B2104" s="473">
        <v>2021</v>
      </c>
      <c r="C2104" s="473" t="str">
        <f t="shared" si="56"/>
        <v>Santa Cruz_2021</v>
      </c>
      <c r="D2104" s="474">
        <v>449.57464202888184</v>
      </c>
      <c r="E2104" s="2"/>
      <c r="F2104" s="2"/>
      <c r="G2104" s="2"/>
      <c r="H2104" s="2"/>
      <c r="I2104" s="21"/>
      <c r="J2104" s="21"/>
      <c r="K2104" s="21"/>
    </row>
    <row r="2105" spans="1:11" ht="15.5" x14ac:dyDescent="0.35">
      <c r="A2105" s="472" t="s">
        <v>951</v>
      </c>
      <c r="B2105" s="473">
        <v>2022</v>
      </c>
      <c r="C2105" s="473" t="str">
        <f t="shared" si="56"/>
        <v>Santa Cruz_2022</v>
      </c>
      <c r="D2105" s="474">
        <v>436.23578328291239</v>
      </c>
      <c r="E2105" s="2"/>
      <c r="F2105" s="2"/>
      <c r="G2105" s="2"/>
      <c r="H2105" s="2"/>
      <c r="I2105" s="21"/>
      <c r="J2105" s="21"/>
      <c r="K2105" s="21"/>
    </row>
    <row r="2106" spans="1:11" ht="15.5" x14ac:dyDescent="0.35">
      <c r="A2106" s="472" t="s">
        <v>951</v>
      </c>
      <c r="B2106" s="473">
        <v>2023</v>
      </c>
      <c r="C2106" s="473" t="str">
        <f t="shared" si="56"/>
        <v>Santa Cruz_2023</v>
      </c>
      <c r="D2106" s="474">
        <v>423.00766632997829</v>
      </c>
      <c r="E2106" s="2"/>
      <c r="F2106" s="2"/>
      <c r="G2106" s="2"/>
      <c r="H2106" s="2"/>
      <c r="I2106" s="21"/>
      <c r="J2106" s="21"/>
      <c r="K2106" s="21"/>
    </row>
    <row r="2107" spans="1:11" ht="15.5" x14ac:dyDescent="0.35">
      <c r="A2107" s="472" t="s">
        <v>951</v>
      </c>
      <c r="B2107" s="473">
        <v>2024</v>
      </c>
      <c r="C2107" s="473" t="str">
        <f t="shared" si="56"/>
        <v>Santa Cruz_2024</v>
      </c>
      <c r="D2107" s="474">
        <v>409.97448968807356</v>
      </c>
      <c r="E2107" s="2"/>
      <c r="F2107" s="2"/>
      <c r="G2107" s="2"/>
      <c r="H2107" s="2"/>
      <c r="I2107" s="21"/>
      <c r="J2107" s="21"/>
      <c r="K2107" s="21"/>
    </row>
    <row r="2108" spans="1:11" ht="15.5" x14ac:dyDescent="0.35">
      <c r="A2108" s="472" t="s">
        <v>951</v>
      </c>
      <c r="B2108" s="473">
        <v>2025</v>
      </c>
      <c r="C2108" s="473" t="str">
        <f t="shared" si="56"/>
        <v>Santa Cruz_2025</v>
      </c>
      <c r="D2108" s="474">
        <v>397.14864041110536</v>
      </c>
      <c r="E2108" s="2"/>
      <c r="F2108" s="2"/>
      <c r="G2108" s="2"/>
      <c r="H2108" s="2"/>
      <c r="I2108" s="21"/>
      <c r="J2108" s="21"/>
      <c r="K2108" s="21"/>
    </row>
    <row r="2109" spans="1:11" ht="15.5" x14ac:dyDescent="0.35">
      <c r="A2109" s="472" t="s">
        <v>951</v>
      </c>
      <c r="B2109" s="473">
        <v>2026</v>
      </c>
      <c r="C2109" s="473" t="str">
        <f t="shared" si="56"/>
        <v>Santa Cruz_2026</v>
      </c>
      <c r="D2109" s="474">
        <v>385.30842206164584</v>
      </c>
      <c r="E2109" s="2"/>
      <c r="F2109" s="2"/>
      <c r="G2109" s="2"/>
      <c r="H2109" s="2"/>
      <c r="I2109" s="21"/>
      <c r="J2109" s="21"/>
      <c r="K2109" s="21"/>
    </row>
    <row r="2110" spans="1:11" ht="15.5" x14ac:dyDescent="0.35">
      <c r="A2110" s="472" t="s">
        <v>951</v>
      </c>
      <c r="B2110" s="473">
        <v>2027</v>
      </c>
      <c r="C2110" s="473" t="str">
        <f t="shared" si="56"/>
        <v>Santa Cruz_2027</v>
      </c>
      <c r="D2110" s="474">
        <v>374.32780768568864</v>
      </c>
      <c r="E2110" s="2"/>
      <c r="F2110" s="2"/>
      <c r="G2110" s="2"/>
      <c r="H2110" s="2"/>
      <c r="I2110" s="21"/>
      <c r="J2110" s="21"/>
      <c r="K2110" s="21"/>
    </row>
    <row r="2111" spans="1:11" ht="15.5" x14ac:dyDescent="0.35">
      <c r="A2111" s="472" t="s">
        <v>951</v>
      </c>
      <c r="B2111" s="473">
        <v>2028</v>
      </c>
      <c r="C2111" s="473" t="str">
        <f t="shared" si="56"/>
        <v>Santa Cruz_2028</v>
      </c>
      <c r="D2111" s="474">
        <v>364.29669040952746</v>
      </c>
      <c r="E2111" s="2"/>
      <c r="F2111" s="2"/>
      <c r="G2111" s="2"/>
      <c r="H2111" s="2"/>
      <c r="I2111" s="21"/>
      <c r="J2111" s="21"/>
      <c r="K2111" s="21"/>
    </row>
    <row r="2112" spans="1:11" ht="15.5" x14ac:dyDescent="0.35">
      <c r="A2112" s="472" t="s">
        <v>951</v>
      </c>
      <c r="B2112" s="473">
        <v>2029</v>
      </c>
      <c r="C2112" s="473" t="str">
        <f t="shared" si="56"/>
        <v>Santa Cruz_2029</v>
      </c>
      <c r="D2112" s="474">
        <v>355.15189481166777</v>
      </c>
      <c r="E2112" s="2"/>
      <c r="F2112" s="2"/>
      <c r="G2112" s="2"/>
      <c r="H2112" s="2"/>
      <c r="I2112" s="21"/>
      <c r="J2112" s="21"/>
      <c r="K2112" s="21"/>
    </row>
    <row r="2113" spans="1:11" ht="15.5" x14ac:dyDescent="0.35">
      <c r="A2113" s="472" t="s">
        <v>951</v>
      </c>
      <c r="B2113" s="473">
        <v>2030</v>
      </c>
      <c r="C2113" s="473" t="str">
        <f t="shared" si="56"/>
        <v>Santa Cruz_2030</v>
      </c>
      <c r="D2113" s="474">
        <v>346.91277659972121</v>
      </c>
      <c r="E2113" s="2"/>
      <c r="F2113" s="2"/>
      <c r="G2113" s="2"/>
      <c r="H2113" s="2"/>
      <c r="I2113" s="21"/>
      <c r="J2113" s="21"/>
      <c r="K2113" s="21"/>
    </row>
    <row r="2114" spans="1:11" ht="15.5" x14ac:dyDescent="0.35">
      <c r="A2114" s="472" t="s">
        <v>951</v>
      </c>
      <c r="B2114" s="473">
        <v>2031</v>
      </c>
      <c r="C2114" s="473" t="str">
        <f t="shared" si="56"/>
        <v>Santa Cruz_2031</v>
      </c>
      <c r="D2114" s="474">
        <v>339.49134547043889</v>
      </c>
      <c r="E2114" s="2"/>
      <c r="F2114" s="2"/>
      <c r="G2114" s="2"/>
      <c r="H2114" s="2"/>
      <c r="I2114" s="21"/>
      <c r="J2114" s="21"/>
      <c r="K2114" s="21"/>
    </row>
    <row r="2115" spans="1:11" ht="15.5" x14ac:dyDescent="0.35">
      <c r="A2115" s="472" t="s">
        <v>951</v>
      </c>
      <c r="B2115" s="473">
        <v>2032</v>
      </c>
      <c r="C2115" s="473" t="str">
        <f t="shared" si="56"/>
        <v>Santa Cruz_2032</v>
      </c>
      <c r="D2115" s="474">
        <v>332.86520923023176</v>
      </c>
      <c r="E2115" s="2"/>
      <c r="F2115" s="2"/>
      <c r="G2115" s="2"/>
      <c r="H2115" s="2"/>
      <c r="I2115" s="21"/>
      <c r="J2115" s="21"/>
      <c r="K2115" s="21"/>
    </row>
    <row r="2116" spans="1:11" ht="15.5" x14ac:dyDescent="0.35">
      <c r="A2116" s="472" t="s">
        <v>951</v>
      </c>
      <c r="B2116" s="473">
        <v>2033</v>
      </c>
      <c r="C2116" s="473" t="str">
        <f t="shared" si="56"/>
        <v>Santa Cruz_2033</v>
      </c>
      <c r="D2116" s="474">
        <v>326.98760082422797</v>
      </c>
      <c r="E2116" s="2"/>
      <c r="F2116" s="2"/>
      <c r="G2116" s="2"/>
      <c r="H2116" s="2"/>
      <c r="I2116" s="21"/>
      <c r="J2116" s="21"/>
      <c r="K2116" s="21"/>
    </row>
    <row r="2117" spans="1:11" ht="15.5" x14ac:dyDescent="0.35">
      <c r="A2117" s="472" t="s">
        <v>951</v>
      </c>
      <c r="B2117" s="473">
        <v>2034</v>
      </c>
      <c r="C2117" s="473" t="str">
        <f t="shared" si="56"/>
        <v>Santa Cruz_2034</v>
      </c>
      <c r="D2117" s="474">
        <v>321.7589512064568</v>
      </c>
      <c r="E2117" s="2"/>
      <c r="F2117" s="2"/>
      <c r="G2117" s="2"/>
      <c r="H2117" s="2"/>
      <c r="I2117" s="21"/>
      <c r="J2117" s="21"/>
      <c r="K2117" s="21"/>
    </row>
    <row r="2118" spans="1:11" ht="15.5" x14ac:dyDescent="0.35">
      <c r="A2118" s="472" t="s">
        <v>951</v>
      </c>
      <c r="B2118" s="473">
        <v>2035</v>
      </c>
      <c r="C2118" s="473" t="str">
        <f t="shared" si="56"/>
        <v>Santa Cruz_2035</v>
      </c>
      <c r="D2118" s="474">
        <v>317.15521678919526</v>
      </c>
      <c r="E2118" s="2"/>
      <c r="F2118" s="2"/>
      <c r="G2118" s="2"/>
      <c r="H2118" s="2"/>
      <c r="I2118" s="21"/>
      <c r="J2118" s="21"/>
      <c r="K2118" s="21"/>
    </row>
    <row r="2119" spans="1:11" ht="15.5" x14ac:dyDescent="0.35">
      <c r="A2119" s="472" t="s">
        <v>951</v>
      </c>
      <c r="B2119" s="473">
        <v>2036</v>
      </c>
      <c r="C2119" s="473" t="str">
        <f t="shared" si="56"/>
        <v>Santa Cruz_2036</v>
      </c>
      <c r="D2119" s="474">
        <v>313.12631117250743</v>
      </c>
      <c r="E2119" s="2"/>
      <c r="F2119" s="2"/>
      <c r="G2119" s="2"/>
      <c r="H2119" s="2"/>
      <c r="I2119" s="21"/>
      <c r="J2119" s="21"/>
      <c r="K2119" s="21"/>
    </row>
    <row r="2120" spans="1:11" ht="15.5" x14ac:dyDescent="0.35">
      <c r="A2120" s="472" t="s">
        <v>951</v>
      </c>
      <c r="B2120" s="473">
        <v>2037</v>
      </c>
      <c r="C2120" s="473" t="str">
        <f t="shared" si="56"/>
        <v>Santa Cruz_2037</v>
      </c>
      <c r="D2120" s="474">
        <v>309.63654621474228</v>
      </c>
      <c r="E2120" s="2"/>
      <c r="F2120" s="2"/>
      <c r="G2120" s="2"/>
      <c r="H2120" s="2"/>
      <c r="I2120" s="21"/>
      <c r="J2120" s="21"/>
      <c r="K2120" s="21"/>
    </row>
    <row r="2121" spans="1:11" ht="15.5" x14ac:dyDescent="0.35">
      <c r="A2121" s="472" t="s">
        <v>951</v>
      </c>
      <c r="B2121" s="473">
        <v>2038</v>
      </c>
      <c r="C2121" s="473" t="str">
        <f t="shared" si="56"/>
        <v>Santa Cruz_2038</v>
      </c>
      <c r="D2121" s="474">
        <v>306.62739855309655</v>
      </c>
      <c r="E2121" s="2"/>
      <c r="F2121" s="2"/>
      <c r="G2121" s="2"/>
      <c r="H2121" s="2"/>
      <c r="I2121" s="21"/>
      <c r="J2121" s="21"/>
      <c r="K2121" s="21"/>
    </row>
    <row r="2122" spans="1:11" ht="15.5" x14ac:dyDescent="0.35">
      <c r="A2122" s="472" t="s">
        <v>951</v>
      </c>
      <c r="B2122" s="473">
        <v>2039</v>
      </c>
      <c r="C2122" s="473" t="str">
        <f t="shared" si="56"/>
        <v>Santa Cruz_2039</v>
      </c>
      <c r="D2122" s="474">
        <v>304.03874471118024</v>
      </c>
      <c r="E2122" s="2"/>
      <c r="F2122" s="2"/>
      <c r="G2122" s="2"/>
      <c r="H2122" s="2"/>
      <c r="I2122" s="21"/>
      <c r="J2122" s="21"/>
      <c r="K2122" s="21"/>
    </row>
    <row r="2123" spans="1:11" ht="15.5" x14ac:dyDescent="0.35">
      <c r="A2123" s="472" t="s">
        <v>951</v>
      </c>
      <c r="B2123" s="473">
        <v>2040</v>
      </c>
      <c r="C2123" s="473" t="str">
        <f t="shared" si="56"/>
        <v>Santa Cruz_2040</v>
      </c>
      <c r="D2123" s="474">
        <v>301.82352093796521</v>
      </c>
      <c r="E2123" s="2"/>
      <c r="F2123" s="2"/>
      <c r="G2123" s="2"/>
      <c r="H2123" s="2"/>
      <c r="I2123" s="21"/>
      <c r="J2123" s="21"/>
      <c r="K2123" s="21"/>
    </row>
    <row r="2124" spans="1:11" ht="15.5" x14ac:dyDescent="0.35">
      <c r="A2124" s="472" t="s">
        <v>951</v>
      </c>
      <c r="B2124" s="473">
        <v>2041</v>
      </c>
      <c r="C2124" s="473" t="str">
        <f t="shared" si="56"/>
        <v>Santa Cruz_2041</v>
      </c>
      <c r="D2124" s="474">
        <v>299.94744173577635</v>
      </c>
      <c r="E2124" s="2"/>
      <c r="F2124" s="2"/>
      <c r="G2124" s="2"/>
      <c r="H2124" s="2"/>
      <c r="I2124" s="21"/>
      <c r="J2124" s="21"/>
      <c r="K2124" s="21"/>
    </row>
    <row r="2125" spans="1:11" ht="15.5" x14ac:dyDescent="0.35">
      <c r="A2125" s="472" t="s">
        <v>951</v>
      </c>
      <c r="B2125" s="473">
        <v>2042</v>
      </c>
      <c r="C2125" s="473" t="str">
        <f t="shared" si="56"/>
        <v>Santa Cruz_2042</v>
      </c>
      <c r="D2125" s="474">
        <v>298.33548874146999</v>
      </c>
      <c r="E2125" s="2"/>
      <c r="F2125" s="2"/>
      <c r="G2125" s="2"/>
      <c r="H2125" s="2"/>
      <c r="I2125" s="21"/>
      <c r="J2125" s="21"/>
      <c r="K2125" s="21"/>
    </row>
    <row r="2126" spans="1:11" ht="15.5" x14ac:dyDescent="0.35">
      <c r="A2126" s="472" t="s">
        <v>951</v>
      </c>
      <c r="B2126" s="473">
        <v>2043</v>
      </c>
      <c r="C2126" s="473" t="str">
        <f t="shared" si="56"/>
        <v>Santa Cruz_2043</v>
      </c>
      <c r="D2126" s="474">
        <v>296.97704984433784</v>
      </c>
      <c r="E2126" s="2"/>
      <c r="F2126" s="2"/>
      <c r="G2126" s="2"/>
      <c r="H2126" s="2"/>
      <c r="I2126" s="21"/>
      <c r="J2126" s="21"/>
      <c r="K2126" s="21"/>
    </row>
    <row r="2127" spans="1:11" ht="15.5" x14ac:dyDescent="0.35">
      <c r="A2127" s="472" t="s">
        <v>951</v>
      </c>
      <c r="B2127" s="473">
        <v>2044</v>
      </c>
      <c r="C2127" s="473" t="str">
        <f t="shared" si="56"/>
        <v>Santa Cruz_2044</v>
      </c>
      <c r="D2127" s="474">
        <v>295.82406615905018</v>
      </c>
      <c r="E2127" s="2"/>
      <c r="F2127" s="2"/>
      <c r="G2127" s="2"/>
      <c r="H2127" s="2"/>
      <c r="I2127" s="21"/>
      <c r="J2127" s="21"/>
      <c r="K2127" s="21"/>
    </row>
    <row r="2128" spans="1:11" ht="15.5" x14ac:dyDescent="0.35">
      <c r="A2128" s="472" t="s">
        <v>951</v>
      </c>
      <c r="B2128" s="473">
        <v>2045</v>
      </c>
      <c r="C2128" s="473" t="str">
        <f t="shared" si="56"/>
        <v>Santa Cruz_2045</v>
      </c>
      <c r="D2128" s="474">
        <v>294.8093629348528</v>
      </c>
      <c r="E2128" s="2"/>
      <c r="F2128" s="2"/>
      <c r="G2128" s="2"/>
      <c r="H2128" s="2"/>
      <c r="I2128" s="21"/>
      <c r="J2128" s="21"/>
      <c r="K2128" s="21"/>
    </row>
    <row r="2129" spans="1:11" ht="15.5" x14ac:dyDescent="0.35">
      <c r="A2129" s="472" t="s">
        <v>951</v>
      </c>
      <c r="B2129" s="473">
        <v>2046</v>
      </c>
      <c r="C2129" s="473" t="str">
        <f t="shared" si="56"/>
        <v>Santa Cruz_2046</v>
      </c>
      <c r="D2129" s="474">
        <v>293.93371855630232</v>
      </c>
      <c r="E2129" s="2"/>
      <c r="F2129" s="2"/>
      <c r="G2129" s="2"/>
      <c r="H2129" s="2"/>
      <c r="I2129" s="21"/>
      <c r="J2129" s="21"/>
      <c r="K2129" s="21"/>
    </row>
    <row r="2130" spans="1:11" ht="15.5" x14ac:dyDescent="0.35">
      <c r="A2130" s="472" t="s">
        <v>951</v>
      </c>
      <c r="B2130" s="473">
        <v>2047</v>
      </c>
      <c r="C2130" s="473" t="str">
        <f t="shared" si="56"/>
        <v>Santa Cruz_2047</v>
      </c>
      <c r="D2130" s="474">
        <v>293.21009546210223</v>
      </c>
      <c r="E2130" s="2"/>
      <c r="F2130" s="2"/>
      <c r="G2130" s="2"/>
      <c r="H2130" s="2"/>
      <c r="I2130" s="21"/>
      <c r="J2130" s="21"/>
      <c r="K2130" s="21"/>
    </row>
    <row r="2131" spans="1:11" ht="15.5" x14ac:dyDescent="0.35">
      <c r="A2131" s="472" t="s">
        <v>951</v>
      </c>
      <c r="B2131" s="473">
        <v>2048</v>
      </c>
      <c r="C2131" s="473" t="str">
        <f t="shared" si="56"/>
        <v>Santa Cruz_2048</v>
      </c>
      <c r="D2131" s="474">
        <v>292.60826937901106</v>
      </c>
      <c r="E2131" s="2"/>
      <c r="F2131" s="2"/>
      <c r="G2131" s="2"/>
      <c r="H2131" s="2"/>
      <c r="I2131" s="21"/>
      <c r="J2131" s="21"/>
      <c r="K2131" s="21"/>
    </row>
    <row r="2132" spans="1:11" ht="15.5" x14ac:dyDescent="0.35">
      <c r="A2132" s="472" t="s">
        <v>951</v>
      </c>
      <c r="B2132" s="473">
        <v>2049</v>
      </c>
      <c r="C2132" s="473" t="str">
        <f t="shared" si="56"/>
        <v>Santa Cruz_2049</v>
      </c>
      <c r="D2132" s="474">
        <v>292.08945842205299</v>
      </c>
      <c r="E2132" s="2"/>
      <c r="F2132" s="2"/>
      <c r="G2132" s="2"/>
      <c r="H2132" s="2"/>
      <c r="I2132" s="21"/>
      <c r="J2132" s="21"/>
      <c r="K2132" s="21"/>
    </row>
    <row r="2133" spans="1:11" ht="15.5" x14ac:dyDescent="0.35">
      <c r="A2133" s="472" t="s">
        <v>951</v>
      </c>
      <c r="B2133" s="473">
        <v>2050</v>
      </c>
      <c r="C2133" s="473" t="str">
        <f t="shared" si="56"/>
        <v>Santa Cruz_2050</v>
      </c>
      <c r="D2133" s="474">
        <v>291.67394382101207</v>
      </c>
      <c r="E2133" s="2"/>
      <c r="F2133" s="2"/>
      <c r="G2133" s="2"/>
      <c r="H2133" s="2"/>
      <c r="I2133" s="21"/>
      <c r="J2133" s="21"/>
      <c r="K2133" s="21"/>
    </row>
    <row r="2134" spans="1:11" ht="15.5" x14ac:dyDescent="0.35">
      <c r="A2134" s="468" t="s">
        <v>954</v>
      </c>
      <c r="B2134" s="469">
        <v>2015</v>
      </c>
      <c r="C2134" s="470" t="s">
        <v>955</v>
      </c>
      <c r="D2134" s="471">
        <v>532.14054934762112</v>
      </c>
      <c r="E2134" s="2"/>
      <c r="F2134" s="2"/>
      <c r="G2134" s="2"/>
      <c r="H2134" s="2"/>
      <c r="I2134" s="21"/>
      <c r="J2134" s="21"/>
      <c r="K2134" s="21"/>
    </row>
    <row r="2135" spans="1:11" ht="15.5" x14ac:dyDescent="0.35">
      <c r="A2135" s="468" t="s">
        <v>954</v>
      </c>
      <c r="B2135" s="469">
        <v>2016</v>
      </c>
      <c r="C2135" s="470" t="s">
        <v>956</v>
      </c>
      <c r="D2135" s="471">
        <v>521.75306853863071</v>
      </c>
      <c r="E2135" s="2"/>
      <c r="F2135" s="2"/>
      <c r="G2135" s="2"/>
      <c r="H2135" s="2"/>
      <c r="I2135" s="21"/>
      <c r="J2135" s="21"/>
      <c r="K2135" s="21"/>
    </row>
    <row r="2136" spans="1:11" ht="15.5" x14ac:dyDescent="0.35">
      <c r="A2136" s="472" t="s">
        <v>954</v>
      </c>
      <c r="B2136" s="473">
        <v>2017</v>
      </c>
      <c r="C2136" s="473" t="str">
        <f t="shared" ref="C2136:C2169" si="57">CONCATENATE(A2136,"_",B2136)</f>
        <v>Shasta_2017</v>
      </c>
      <c r="D2136" s="474">
        <v>507.99518767895898</v>
      </c>
      <c r="E2136" s="2"/>
      <c r="F2136" s="2"/>
      <c r="G2136" s="2"/>
      <c r="H2136" s="2"/>
      <c r="I2136" s="21"/>
      <c r="J2136" s="21"/>
      <c r="K2136" s="21"/>
    </row>
    <row r="2137" spans="1:11" ht="15.5" x14ac:dyDescent="0.35">
      <c r="A2137" s="472" t="s">
        <v>954</v>
      </c>
      <c r="B2137" s="473">
        <v>2018</v>
      </c>
      <c r="C2137" s="473" t="str">
        <f t="shared" si="57"/>
        <v>Shasta_2018</v>
      </c>
      <c r="D2137" s="474">
        <v>493.79725948986919</v>
      </c>
      <c r="E2137" s="2"/>
      <c r="F2137" s="2"/>
      <c r="G2137" s="2"/>
      <c r="H2137" s="2"/>
      <c r="I2137" s="21"/>
      <c r="J2137" s="21"/>
      <c r="K2137" s="21"/>
    </row>
    <row r="2138" spans="1:11" ht="15.5" x14ac:dyDescent="0.35">
      <c r="A2138" s="472" t="s">
        <v>954</v>
      </c>
      <c r="B2138" s="473">
        <v>2019</v>
      </c>
      <c r="C2138" s="473" t="str">
        <f t="shared" si="57"/>
        <v>Shasta_2019</v>
      </c>
      <c r="D2138" s="474">
        <v>479.29370646428345</v>
      </c>
      <c r="E2138" s="2"/>
      <c r="F2138" s="2"/>
      <c r="G2138" s="2"/>
      <c r="H2138" s="2"/>
      <c r="I2138" s="21"/>
      <c r="J2138" s="21"/>
      <c r="K2138" s="21"/>
    </row>
    <row r="2139" spans="1:11" ht="15.5" x14ac:dyDescent="0.35">
      <c r="A2139" s="472" t="s">
        <v>954</v>
      </c>
      <c r="B2139" s="473">
        <v>2020</v>
      </c>
      <c r="C2139" s="473" t="str">
        <f t="shared" si="57"/>
        <v>Shasta_2020</v>
      </c>
      <c r="D2139" s="474">
        <v>464.6235694040725</v>
      </c>
      <c r="E2139" s="2"/>
      <c r="F2139" s="2"/>
      <c r="G2139" s="2"/>
      <c r="H2139" s="2"/>
      <c r="I2139" s="21"/>
      <c r="J2139" s="21"/>
      <c r="K2139" s="21"/>
    </row>
    <row r="2140" spans="1:11" ht="15.5" x14ac:dyDescent="0.35">
      <c r="A2140" s="472" t="s">
        <v>954</v>
      </c>
      <c r="B2140" s="473">
        <v>2021</v>
      </c>
      <c r="C2140" s="473" t="str">
        <f t="shared" si="57"/>
        <v>Shasta_2021</v>
      </c>
      <c r="D2140" s="474">
        <v>449.91338884524163</v>
      </c>
      <c r="E2140" s="2"/>
      <c r="F2140" s="2"/>
      <c r="G2140" s="2"/>
      <c r="H2140" s="2"/>
      <c r="I2140" s="21"/>
      <c r="J2140" s="21"/>
      <c r="K2140" s="21"/>
    </row>
    <row r="2141" spans="1:11" ht="15.5" x14ac:dyDescent="0.35">
      <c r="A2141" s="472" t="s">
        <v>954</v>
      </c>
      <c r="B2141" s="473">
        <v>2022</v>
      </c>
      <c r="C2141" s="473" t="str">
        <f t="shared" si="57"/>
        <v>Shasta_2022</v>
      </c>
      <c r="D2141" s="474">
        <v>435.496198296356</v>
      </c>
      <c r="E2141" s="2"/>
      <c r="F2141" s="2"/>
      <c r="G2141" s="2"/>
      <c r="H2141" s="2"/>
      <c r="I2141" s="21"/>
      <c r="J2141" s="21"/>
      <c r="K2141" s="21"/>
    </row>
    <row r="2142" spans="1:11" ht="15.5" x14ac:dyDescent="0.35">
      <c r="A2142" s="472" t="s">
        <v>954</v>
      </c>
      <c r="B2142" s="473">
        <v>2023</v>
      </c>
      <c r="C2142" s="473" t="str">
        <f t="shared" si="57"/>
        <v>Shasta_2023</v>
      </c>
      <c r="D2142" s="474">
        <v>421.33792492484338</v>
      </c>
      <c r="E2142" s="2"/>
      <c r="F2142" s="2"/>
      <c r="G2142" s="2"/>
      <c r="H2142" s="2"/>
      <c r="I2142" s="21"/>
      <c r="J2142" s="21"/>
      <c r="K2142" s="21"/>
    </row>
    <row r="2143" spans="1:11" ht="15.5" x14ac:dyDescent="0.35">
      <c r="A2143" s="472" t="s">
        <v>954</v>
      </c>
      <c r="B2143" s="473">
        <v>2024</v>
      </c>
      <c r="C2143" s="473" t="str">
        <f t="shared" si="57"/>
        <v>Shasta_2024</v>
      </c>
      <c r="D2143" s="474">
        <v>407.48437104123246</v>
      </c>
      <c r="E2143" s="2"/>
      <c r="F2143" s="2"/>
      <c r="G2143" s="2"/>
      <c r="H2143" s="2"/>
      <c r="I2143" s="21"/>
      <c r="J2143" s="21"/>
      <c r="K2143" s="21"/>
    </row>
    <row r="2144" spans="1:11" ht="15.5" x14ac:dyDescent="0.35">
      <c r="A2144" s="472" t="s">
        <v>954</v>
      </c>
      <c r="B2144" s="473">
        <v>2025</v>
      </c>
      <c r="C2144" s="473" t="str">
        <f t="shared" si="57"/>
        <v>Shasta_2025</v>
      </c>
      <c r="D2144" s="474">
        <v>393.94403927908724</v>
      </c>
      <c r="E2144" s="2"/>
      <c r="F2144" s="2"/>
      <c r="G2144" s="2"/>
      <c r="H2144" s="2"/>
      <c r="I2144" s="21"/>
      <c r="J2144" s="21"/>
      <c r="K2144" s="21"/>
    </row>
    <row r="2145" spans="1:11" ht="15.5" x14ac:dyDescent="0.35">
      <c r="A2145" s="472" t="s">
        <v>954</v>
      </c>
      <c r="B2145" s="473">
        <v>2026</v>
      </c>
      <c r="C2145" s="473" t="str">
        <f t="shared" si="57"/>
        <v>Shasta_2026</v>
      </c>
      <c r="D2145" s="474">
        <v>381.64940970259204</v>
      </c>
      <c r="E2145" s="2"/>
      <c r="F2145" s="2"/>
      <c r="G2145" s="2"/>
      <c r="H2145" s="2"/>
      <c r="I2145" s="21"/>
      <c r="J2145" s="21"/>
      <c r="K2145" s="21"/>
    </row>
    <row r="2146" spans="1:11" ht="15.5" x14ac:dyDescent="0.35">
      <c r="A2146" s="472" t="s">
        <v>954</v>
      </c>
      <c r="B2146" s="473">
        <v>2027</v>
      </c>
      <c r="C2146" s="473" t="str">
        <f t="shared" si="57"/>
        <v>Shasta_2027</v>
      </c>
      <c r="D2146" s="474">
        <v>370.44820482006679</v>
      </c>
      <c r="E2146" s="2"/>
      <c r="F2146" s="2"/>
      <c r="G2146" s="2"/>
      <c r="H2146" s="2"/>
      <c r="I2146" s="21"/>
      <c r="J2146" s="21"/>
      <c r="K2146" s="21"/>
    </row>
    <row r="2147" spans="1:11" ht="15.5" x14ac:dyDescent="0.35">
      <c r="A2147" s="472" t="s">
        <v>954</v>
      </c>
      <c r="B2147" s="473">
        <v>2028</v>
      </c>
      <c r="C2147" s="473" t="str">
        <f t="shared" si="57"/>
        <v>Shasta_2028</v>
      </c>
      <c r="D2147" s="474">
        <v>360.40336252826512</v>
      </c>
      <c r="E2147" s="2"/>
      <c r="F2147" s="2"/>
      <c r="G2147" s="2"/>
      <c r="H2147" s="2"/>
      <c r="I2147" s="21"/>
      <c r="J2147" s="21"/>
      <c r="K2147" s="21"/>
    </row>
    <row r="2148" spans="1:11" ht="15.5" x14ac:dyDescent="0.35">
      <c r="A2148" s="472" t="s">
        <v>954</v>
      </c>
      <c r="B2148" s="473">
        <v>2029</v>
      </c>
      <c r="C2148" s="473" t="str">
        <f t="shared" si="57"/>
        <v>Shasta_2029</v>
      </c>
      <c r="D2148" s="474">
        <v>351.41135868639651</v>
      </c>
      <c r="E2148" s="2"/>
      <c r="F2148" s="2"/>
      <c r="G2148" s="2"/>
      <c r="H2148" s="2"/>
      <c r="I2148" s="21"/>
      <c r="J2148" s="21"/>
      <c r="K2148" s="21"/>
    </row>
    <row r="2149" spans="1:11" ht="15.5" x14ac:dyDescent="0.35">
      <c r="A2149" s="472" t="s">
        <v>954</v>
      </c>
      <c r="B2149" s="473">
        <v>2030</v>
      </c>
      <c r="C2149" s="473" t="str">
        <f t="shared" si="57"/>
        <v>Shasta_2030</v>
      </c>
      <c r="D2149" s="474">
        <v>343.4028879154809</v>
      </c>
      <c r="E2149" s="2"/>
      <c r="F2149" s="2"/>
      <c r="G2149" s="2"/>
      <c r="H2149" s="2"/>
      <c r="I2149" s="21"/>
      <c r="J2149" s="21"/>
      <c r="K2149" s="21"/>
    </row>
    <row r="2150" spans="1:11" ht="15.5" x14ac:dyDescent="0.35">
      <c r="A2150" s="472" t="s">
        <v>954</v>
      </c>
      <c r="B2150" s="473">
        <v>2031</v>
      </c>
      <c r="C2150" s="473" t="str">
        <f t="shared" si="57"/>
        <v>Shasta_2031</v>
      </c>
      <c r="D2150" s="474">
        <v>336.30597550361921</v>
      </c>
      <c r="E2150" s="2"/>
      <c r="F2150" s="2"/>
      <c r="G2150" s="2"/>
      <c r="H2150" s="2"/>
      <c r="I2150" s="21"/>
      <c r="J2150" s="21"/>
      <c r="K2150" s="21"/>
    </row>
    <row r="2151" spans="1:11" ht="15.5" x14ac:dyDescent="0.35">
      <c r="A2151" s="472" t="s">
        <v>954</v>
      </c>
      <c r="B2151" s="473">
        <v>2032</v>
      </c>
      <c r="C2151" s="473" t="str">
        <f t="shared" si="57"/>
        <v>Shasta_2032</v>
      </c>
      <c r="D2151" s="474">
        <v>330.04723910459978</v>
      </c>
      <c r="E2151" s="2"/>
      <c r="F2151" s="2"/>
      <c r="G2151" s="2"/>
      <c r="H2151" s="2"/>
      <c r="I2151" s="21"/>
      <c r="J2151" s="21"/>
      <c r="K2151" s="21"/>
    </row>
    <row r="2152" spans="1:11" ht="15.5" x14ac:dyDescent="0.35">
      <c r="A2152" s="472" t="s">
        <v>954</v>
      </c>
      <c r="B2152" s="473">
        <v>2033</v>
      </c>
      <c r="C2152" s="473" t="str">
        <f t="shared" si="57"/>
        <v>Shasta_2033</v>
      </c>
      <c r="D2152" s="474">
        <v>324.55729438791514</v>
      </c>
      <c r="E2152" s="2"/>
      <c r="F2152" s="2"/>
      <c r="G2152" s="2"/>
      <c r="H2152" s="2"/>
      <c r="I2152" s="21"/>
      <c r="J2152" s="21"/>
      <c r="K2152" s="21"/>
    </row>
    <row r="2153" spans="1:11" ht="15.5" x14ac:dyDescent="0.35">
      <c r="A2153" s="472" t="s">
        <v>954</v>
      </c>
      <c r="B2153" s="473">
        <v>2034</v>
      </c>
      <c r="C2153" s="473" t="str">
        <f t="shared" si="57"/>
        <v>Shasta_2034</v>
      </c>
      <c r="D2153" s="474">
        <v>319.74932126160667</v>
      </c>
      <c r="E2153" s="2"/>
      <c r="F2153" s="2"/>
      <c r="G2153" s="2"/>
      <c r="H2153" s="2"/>
      <c r="I2153" s="21"/>
      <c r="J2153" s="21"/>
      <c r="K2153" s="21"/>
    </row>
    <row r="2154" spans="1:11" ht="15.5" x14ac:dyDescent="0.35">
      <c r="A2154" s="472" t="s">
        <v>954</v>
      </c>
      <c r="B2154" s="473">
        <v>2035</v>
      </c>
      <c r="C2154" s="473" t="str">
        <f t="shared" si="57"/>
        <v>Shasta_2035</v>
      </c>
      <c r="D2154" s="474">
        <v>315.5851557330592</v>
      </c>
      <c r="E2154" s="2"/>
      <c r="F2154" s="2"/>
      <c r="G2154" s="2"/>
      <c r="H2154" s="2"/>
      <c r="I2154" s="21"/>
      <c r="J2154" s="21"/>
      <c r="K2154" s="21"/>
    </row>
    <row r="2155" spans="1:11" ht="15.5" x14ac:dyDescent="0.35">
      <c r="A2155" s="472" t="s">
        <v>954</v>
      </c>
      <c r="B2155" s="473">
        <v>2036</v>
      </c>
      <c r="C2155" s="473" t="str">
        <f t="shared" si="57"/>
        <v>Shasta_2036</v>
      </c>
      <c r="D2155" s="474">
        <v>311.98281500285327</v>
      </c>
      <c r="E2155" s="2"/>
      <c r="F2155" s="2"/>
      <c r="G2155" s="2"/>
      <c r="H2155" s="2"/>
      <c r="I2155" s="21"/>
      <c r="J2155" s="21"/>
      <c r="K2155" s="21"/>
    </row>
    <row r="2156" spans="1:11" ht="15.5" x14ac:dyDescent="0.35">
      <c r="A2156" s="472" t="s">
        <v>954</v>
      </c>
      <c r="B2156" s="473">
        <v>2037</v>
      </c>
      <c r="C2156" s="473" t="str">
        <f t="shared" si="57"/>
        <v>Shasta_2037</v>
      </c>
      <c r="D2156" s="474">
        <v>308.91697323029814</v>
      </c>
      <c r="E2156" s="2"/>
      <c r="F2156" s="2"/>
      <c r="G2156" s="2"/>
      <c r="H2156" s="2"/>
      <c r="I2156" s="21"/>
      <c r="J2156" s="21"/>
      <c r="K2156" s="21"/>
    </row>
    <row r="2157" spans="1:11" ht="15.5" x14ac:dyDescent="0.35">
      <c r="A2157" s="472" t="s">
        <v>954</v>
      </c>
      <c r="B2157" s="473">
        <v>2038</v>
      </c>
      <c r="C2157" s="473" t="str">
        <f t="shared" si="57"/>
        <v>Shasta_2038</v>
      </c>
      <c r="D2157" s="474">
        <v>306.32121152771714</v>
      </c>
      <c r="E2157" s="2"/>
      <c r="F2157" s="2"/>
      <c r="G2157" s="2"/>
      <c r="H2157" s="2"/>
      <c r="I2157" s="21"/>
      <c r="J2157" s="21"/>
      <c r="K2157" s="21"/>
    </row>
    <row r="2158" spans="1:11" ht="15.5" x14ac:dyDescent="0.35">
      <c r="A2158" s="472" t="s">
        <v>954</v>
      </c>
      <c r="B2158" s="473">
        <v>2039</v>
      </c>
      <c r="C2158" s="473" t="str">
        <f t="shared" si="57"/>
        <v>Shasta_2039</v>
      </c>
      <c r="D2158" s="474">
        <v>304.11675420710861</v>
      </c>
      <c r="E2158" s="2"/>
      <c r="F2158" s="2"/>
      <c r="G2158" s="2"/>
      <c r="H2158" s="2"/>
      <c r="I2158" s="21"/>
      <c r="J2158" s="21"/>
      <c r="K2158" s="21"/>
    </row>
    <row r="2159" spans="1:11" ht="15.5" x14ac:dyDescent="0.35">
      <c r="A2159" s="472" t="s">
        <v>954</v>
      </c>
      <c r="B2159" s="473">
        <v>2040</v>
      </c>
      <c r="C2159" s="473" t="str">
        <f t="shared" si="57"/>
        <v>Shasta_2040</v>
      </c>
      <c r="D2159" s="474">
        <v>302.27563860389756</v>
      </c>
      <c r="E2159" s="2"/>
      <c r="F2159" s="2"/>
      <c r="G2159" s="2"/>
      <c r="H2159" s="2"/>
      <c r="I2159" s="21"/>
      <c r="J2159" s="21"/>
      <c r="K2159" s="21"/>
    </row>
    <row r="2160" spans="1:11" ht="15.5" x14ac:dyDescent="0.35">
      <c r="A2160" s="472" t="s">
        <v>954</v>
      </c>
      <c r="B2160" s="473">
        <v>2041</v>
      </c>
      <c r="C2160" s="473" t="str">
        <f t="shared" si="57"/>
        <v>Shasta_2041</v>
      </c>
      <c r="D2160" s="474">
        <v>300.75632240037743</v>
      </c>
      <c r="E2160" s="2"/>
      <c r="F2160" s="2"/>
      <c r="G2160" s="2"/>
      <c r="H2160" s="2"/>
      <c r="I2160" s="21"/>
      <c r="J2160" s="21"/>
      <c r="K2160" s="21"/>
    </row>
    <row r="2161" spans="1:11" ht="15.5" x14ac:dyDescent="0.35">
      <c r="A2161" s="472" t="s">
        <v>954</v>
      </c>
      <c r="B2161" s="473">
        <v>2042</v>
      </c>
      <c r="C2161" s="473" t="str">
        <f t="shared" si="57"/>
        <v>Shasta_2042</v>
      </c>
      <c r="D2161" s="474">
        <v>299.48878881519357</v>
      </c>
      <c r="E2161" s="2"/>
      <c r="F2161" s="2"/>
      <c r="G2161" s="2"/>
      <c r="H2161" s="2"/>
      <c r="I2161" s="21"/>
      <c r="J2161" s="21"/>
      <c r="K2161" s="21"/>
    </row>
    <row r="2162" spans="1:11" ht="15.5" x14ac:dyDescent="0.35">
      <c r="A2162" s="472" t="s">
        <v>954</v>
      </c>
      <c r="B2162" s="473">
        <v>2043</v>
      </c>
      <c r="C2162" s="473" t="str">
        <f t="shared" si="57"/>
        <v>Shasta_2043</v>
      </c>
      <c r="D2162" s="474">
        <v>298.4494293338484</v>
      </c>
      <c r="E2162" s="2"/>
      <c r="F2162" s="2"/>
      <c r="G2162" s="2"/>
      <c r="H2162" s="2"/>
      <c r="I2162" s="21"/>
      <c r="J2162" s="21"/>
      <c r="K2162" s="21"/>
    </row>
    <row r="2163" spans="1:11" ht="15.5" x14ac:dyDescent="0.35">
      <c r="A2163" s="472" t="s">
        <v>954</v>
      </c>
      <c r="B2163" s="473">
        <v>2044</v>
      </c>
      <c r="C2163" s="473" t="str">
        <f t="shared" si="57"/>
        <v>Shasta_2044</v>
      </c>
      <c r="D2163" s="474">
        <v>297.57935225395454</v>
      </c>
      <c r="E2163" s="2"/>
      <c r="F2163" s="2"/>
      <c r="G2163" s="2"/>
      <c r="H2163" s="2"/>
      <c r="I2163" s="21"/>
      <c r="J2163" s="21"/>
      <c r="K2163" s="21"/>
    </row>
    <row r="2164" spans="1:11" ht="15.5" x14ac:dyDescent="0.35">
      <c r="A2164" s="472" t="s">
        <v>954</v>
      </c>
      <c r="B2164" s="473">
        <v>2045</v>
      </c>
      <c r="C2164" s="473" t="str">
        <f t="shared" si="57"/>
        <v>Shasta_2045</v>
      </c>
      <c r="D2164" s="474">
        <v>296.84543248524767</v>
      </c>
      <c r="E2164" s="2"/>
      <c r="F2164" s="2"/>
      <c r="G2164" s="2"/>
      <c r="H2164" s="2"/>
      <c r="I2164" s="21"/>
      <c r="J2164" s="21"/>
      <c r="K2164" s="21"/>
    </row>
    <row r="2165" spans="1:11" ht="15.5" x14ac:dyDescent="0.35">
      <c r="A2165" s="472" t="s">
        <v>954</v>
      </c>
      <c r="B2165" s="473">
        <v>2046</v>
      </c>
      <c r="C2165" s="473" t="str">
        <f t="shared" si="57"/>
        <v>Shasta_2046</v>
      </c>
      <c r="D2165" s="474">
        <v>296.23865956059348</v>
      </c>
      <c r="E2165" s="2"/>
      <c r="F2165" s="2"/>
      <c r="G2165" s="2"/>
      <c r="H2165" s="2"/>
      <c r="I2165" s="21"/>
      <c r="J2165" s="21"/>
      <c r="K2165" s="21"/>
    </row>
    <row r="2166" spans="1:11" ht="15.5" x14ac:dyDescent="0.35">
      <c r="A2166" s="472" t="s">
        <v>954</v>
      </c>
      <c r="B2166" s="473">
        <v>2047</v>
      </c>
      <c r="C2166" s="473" t="str">
        <f t="shared" si="57"/>
        <v>Shasta_2047</v>
      </c>
      <c r="D2166" s="474">
        <v>295.74194438391777</v>
      </c>
      <c r="E2166" s="2"/>
      <c r="F2166" s="2"/>
      <c r="G2166" s="2"/>
      <c r="H2166" s="2"/>
      <c r="I2166" s="21"/>
      <c r="J2166" s="21"/>
      <c r="K2166" s="21"/>
    </row>
    <row r="2167" spans="1:11" ht="15.5" x14ac:dyDescent="0.35">
      <c r="A2167" s="472" t="s">
        <v>954</v>
      </c>
      <c r="B2167" s="473">
        <v>2048</v>
      </c>
      <c r="C2167" s="473" t="str">
        <f t="shared" si="57"/>
        <v>Shasta_2048</v>
      </c>
      <c r="D2167" s="474">
        <v>295.32732358066022</v>
      </c>
      <c r="E2167" s="2"/>
      <c r="F2167" s="2"/>
      <c r="G2167" s="2"/>
      <c r="H2167" s="2"/>
      <c r="I2167" s="21"/>
      <c r="J2167" s="21"/>
      <c r="K2167" s="21"/>
    </row>
    <row r="2168" spans="1:11" ht="15.5" x14ac:dyDescent="0.35">
      <c r="A2168" s="472" t="s">
        <v>954</v>
      </c>
      <c r="B2168" s="473">
        <v>2049</v>
      </c>
      <c r="C2168" s="473" t="str">
        <f t="shared" si="57"/>
        <v>Shasta_2049</v>
      </c>
      <c r="D2168" s="474">
        <v>294.97508814344917</v>
      </c>
      <c r="E2168" s="2"/>
      <c r="F2168" s="2"/>
      <c r="G2168" s="2"/>
      <c r="H2168" s="2"/>
      <c r="I2168" s="21"/>
      <c r="J2168" s="21"/>
      <c r="K2168" s="21"/>
    </row>
    <row r="2169" spans="1:11" ht="15.5" x14ac:dyDescent="0.35">
      <c r="A2169" s="472" t="s">
        <v>954</v>
      </c>
      <c r="B2169" s="473">
        <v>2050</v>
      </c>
      <c r="C2169" s="473" t="str">
        <f t="shared" si="57"/>
        <v>Shasta_2050</v>
      </c>
      <c r="D2169" s="474">
        <v>294.69258039793277</v>
      </c>
      <c r="E2169" s="2"/>
      <c r="F2169" s="2"/>
      <c r="G2169" s="2"/>
      <c r="H2169" s="2"/>
      <c r="I2169" s="21"/>
      <c r="J2169" s="21"/>
      <c r="K2169" s="21"/>
    </row>
    <row r="2170" spans="1:11" ht="15.5" x14ac:dyDescent="0.35">
      <c r="A2170" s="468" t="s">
        <v>957</v>
      </c>
      <c r="B2170" s="469">
        <v>2015</v>
      </c>
      <c r="C2170" s="470" t="s">
        <v>958</v>
      </c>
      <c r="D2170" s="471">
        <v>560.73032010793622</v>
      </c>
      <c r="E2170" s="2"/>
      <c r="F2170" s="2"/>
      <c r="G2170" s="2"/>
      <c r="H2170" s="2"/>
      <c r="I2170" s="21"/>
      <c r="J2170" s="21"/>
      <c r="K2170" s="21"/>
    </row>
    <row r="2171" spans="1:11" ht="15.5" x14ac:dyDescent="0.35">
      <c r="A2171" s="468" t="s">
        <v>957</v>
      </c>
      <c r="B2171" s="469">
        <v>2016</v>
      </c>
      <c r="C2171" s="470" t="s">
        <v>959</v>
      </c>
      <c r="D2171" s="471">
        <v>549.99080543746925</v>
      </c>
      <c r="E2171" s="2"/>
      <c r="F2171" s="2"/>
      <c r="G2171" s="2"/>
      <c r="H2171" s="2"/>
      <c r="I2171" s="21"/>
      <c r="J2171" s="21"/>
      <c r="K2171" s="21"/>
    </row>
    <row r="2172" spans="1:11" ht="15.5" x14ac:dyDescent="0.35">
      <c r="A2172" s="472" t="s">
        <v>957</v>
      </c>
      <c r="B2172" s="473">
        <v>2017</v>
      </c>
      <c r="C2172" s="473" t="str">
        <f t="shared" ref="C2172:C2205" si="58">CONCATENATE(A2172,"_",B2172)</f>
        <v>Sierra_2017</v>
      </c>
      <c r="D2172" s="474">
        <v>536.70938802958813</v>
      </c>
      <c r="E2172" s="2"/>
      <c r="F2172" s="2"/>
      <c r="G2172" s="2"/>
      <c r="H2172" s="2"/>
      <c r="I2172" s="21"/>
      <c r="J2172" s="21"/>
      <c r="K2172" s="21"/>
    </row>
    <row r="2173" spans="1:11" ht="15.5" x14ac:dyDescent="0.35">
      <c r="A2173" s="472" t="s">
        <v>957</v>
      </c>
      <c r="B2173" s="473">
        <v>2018</v>
      </c>
      <c r="C2173" s="473" t="str">
        <f t="shared" si="58"/>
        <v>Sierra_2018</v>
      </c>
      <c r="D2173" s="474">
        <v>523.12481801414765</v>
      </c>
      <c r="E2173" s="2"/>
      <c r="F2173" s="2"/>
      <c r="G2173" s="2"/>
      <c r="H2173" s="2"/>
      <c r="I2173" s="21"/>
      <c r="J2173" s="21"/>
      <c r="K2173" s="21"/>
    </row>
    <row r="2174" spans="1:11" ht="15.5" x14ac:dyDescent="0.35">
      <c r="A2174" s="472" t="s">
        <v>957</v>
      </c>
      <c r="B2174" s="473">
        <v>2019</v>
      </c>
      <c r="C2174" s="473" t="str">
        <f t="shared" si="58"/>
        <v>Sierra_2019</v>
      </c>
      <c r="D2174" s="474">
        <v>509.05077309215523</v>
      </c>
      <c r="E2174" s="2"/>
      <c r="F2174" s="2"/>
      <c r="G2174" s="2"/>
      <c r="H2174" s="2"/>
      <c r="I2174" s="21"/>
      <c r="J2174" s="21"/>
      <c r="K2174" s="21"/>
    </row>
    <row r="2175" spans="1:11" ht="15.5" x14ac:dyDescent="0.35">
      <c r="A2175" s="472" t="s">
        <v>957</v>
      </c>
      <c r="B2175" s="473">
        <v>2020</v>
      </c>
      <c r="C2175" s="473" t="str">
        <f t="shared" si="58"/>
        <v>Sierra_2020</v>
      </c>
      <c r="D2175" s="474">
        <v>494.49543215128165</v>
      </c>
      <c r="E2175" s="2"/>
      <c r="F2175" s="2"/>
      <c r="G2175" s="2"/>
      <c r="H2175" s="2"/>
      <c r="I2175" s="21"/>
      <c r="J2175" s="21"/>
      <c r="K2175" s="21"/>
    </row>
    <row r="2176" spans="1:11" ht="15.5" x14ac:dyDescent="0.35">
      <c r="A2176" s="472" t="s">
        <v>957</v>
      </c>
      <c r="B2176" s="473">
        <v>2021</v>
      </c>
      <c r="C2176" s="473" t="str">
        <f t="shared" si="58"/>
        <v>Sierra_2021</v>
      </c>
      <c r="D2176" s="474">
        <v>479.8006034992552</v>
      </c>
      <c r="E2176" s="2"/>
      <c r="F2176" s="2"/>
      <c r="G2176" s="2"/>
      <c r="H2176" s="2"/>
      <c r="I2176" s="21"/>
      <c r="J2176" s="21"/>
      <c r="K2176" s="21"/>
    </row>
    <row r="2177" spans="1:11" ht="15.5" x14ac:dyDescent="0.35">
      <c r="A2177" s="472" t="s">
        <v>957</v>
      </c>
      <c r="B2177" s="473">
        <v>2022</v>
      </c>
      <c r="C2177" s="473" t="str">
        <f t="shared" si="58"/>
        <v>Sierra_2022</v>
      </c>
      <c r="D2177" s="474">
        <v>465.18348346646502</v>
      </c>
      <c r="E2177" s="2"/>
      <c r="F2177" s="2"/>
      <c r="G2177" s="2"/>
      <c r="H2177" s="2"/>
      <c r="I2177" s="21"/>
      <c r="J2177" s="21"/>
      <c r="K2177" s="21"/>
    </row>
    <row r="2178" spans="1:11" ht="15.5" x14ac:dyDescent="0.35">
      <c r="A2178" s="472" t="s">
        <v>957</v>
      </c>
      <c r="B2178" s="473">
        <v>2023</v>
      </c>
      <c r="C2178" s="473" t="str">
        <f t="shared" si="58"/>
        <v>Sierra_2023</v>
      </c>
      <c r="D2178" s="474">
        <v>450.79584382818143</v>
      </c>
      <c r="E2178" s="2"/>
      <c r="F2178" s="2"/>
      <c r="G2178" s="2"/>
      <c r="H2178" s="2"/>
      <c r="I2178" s="21"/>
      <c r="J2178" s="21"/>
      <c r="K2178" s="21"/>
    </row>
    <row r="2179" spans="1:11" ht="15.5" x14ac:dyDescent="0.35">
      <c r="A2179" s="472" t="s">
        <v>957</v>
      </c>
      <c r="B2179" s="473">
        <v>2024</v>
      </c>
      <c r="C2179" s="473" t="str">
        <f t="shared" si="58"/>
        <v>Sierra_2024</v>
      </c>
      <c r="D2179" s="474">
        <v>436.52539885409362</v>
      </c>
      <c r="E2179" s="2"/>
      <c r="F2179" s="2"/>
      <c r="G2179" s="2"/>
      <c r="H2179" s="2"/>
      <c r="I2179" s="21"/>
      <c r="J2179" s="21"/>
      <c r="K2179" s="21"/>
    </row>
    <row r="2180" spans="1:11" ht="15.5" x14ac:dyDescent="0.35">
      <c r="A2180" s="472" t="s">
        <v>957</v>
      </c>
      <c r="B2180" s="473">
        <v>2025</v>
      </c>
      <c r="C2180" s="473" t="str">
        <f t="shared" si="58"/>
        <v>Sierra_2025</v>
      </c>
      <c r="D2180" s="474">
        <v>422.50279679368663</v>
      </c>
      <c r="E2180" s="2"/>
      <c r="F2180" s="2"/>
      <c r="G2180" s="2"/>
      <c r="H2180" s="2"/>
      <c r="I2180" s="21"/>
      <c r="J2180" s="21"/>
      <c r="K2180" s="21"/>
    </row>
    <row r="2181" spans="1:11" ht="15.5" x14ac:dyDescent="0.35">
      <c r="A2181" s="472" t="s">
        <v>957</v>
      </c>
      <c r="B2181" s="473">
        <v>2026</v>
      </c>
      <c r="C2181" s="473" t="str">
        <f t="shared" si="58"/>
        <v>Sierra_2026</v>
      </c>
      <c r="D2181" s="474">
        <v>409.88216284583035</v>
      </c>
      <c r="E2181" s="2"/>
      <c r="F2181" s="2"/>
      <c r="G2181" s="2"/>
      <c r="H2181" s="2"/>
      <c r="I2181" s="21"/>
      <c r="J2181" s="21"/>
      <c r="K2181" s="21"/>
    </row>
    <row r="2182" spans="1:11" ht="15.5" x14ac:dyDescent="0.35">
      <c r="A2182" s="472" t="s">
        <v>957</v>
      </c>
      <c r="B2182" s="473">
        <v>2027</v>
      </c>
      <c r="C2182" s="473" t="str">
        <f t="shared" si="58"/>
        <v>Sierra_2027</v>
      </c>
      <c r="D2182" s="474">
        <v>398.36064619533568</v>
      </c>
      <c r="E2182" s="2"/>
      <c r="F2182" s="2"/>
      <c r="G2182" s="2"/>
      <c r="H2182" s="2"/>
      <c r="I2182" s="21"/>
      <c r="J2182" s="21"/>
      <c r="K2182" s="21"/>
    </row>
    <row r="2183" spans="1:11" ht="15.5" x14ac:dyDescent="0.35">
      <c r="A2183" s="472" t="s">
        <v>957</v>
      </c>
      <c r="B2183" s="473">
        <v>2028</v>
      </c>
      <c r="C2183" s="473" t="str">
        <f t="shared" si="58"/>
        <v>Sierra_2028</v>
      </c>
      <c r="D2183" s="474">
        <v>387.96057351683635</v>
      </c>
      <c r="E2183" s="2"/>
      <c r="F2183" s="2"/>
      <c r="G2183" s="2"/>
      <c r="H2183" s="2"/>
      <c r="I2183" s="21"/>
      <c r="J2183" s="21"/>
      <c r="K2183" s="21"/>
    </row>
    <row r="2184" spans="1:11" ht="15.5" x14ac:dyDescent="0.35">
      <c r="A2184" s="472" t="s">
        <v>957</v>
      </c>
      <c r="B2184" s="473">
        <v>2029</v>
      </c>
      <c r="C2184" s="473" t="str">
        <f t="shared" si="58"/>
        <v>Sierra_2029</v>
      </c>
      <c r="D2184" s="474">
        <v>378.55826113370114</v>
      </c>
      <c r="E2184" s="2"/>
      <c r="F2184" s="2"/>
      <c r="G2184" s="2"/>
      <c r="H2184" s="2"/>
      <c r="I2184" s="21"/>
      <c r="J2184" s="21"/>
      <c r="K2184" s="21"/>
    </row>
    <row r="2185" spans="1:11" ht="15.5" x14ac:dyDescent="0.35">
      <c r="A2185" s="472" t="s">
        <v>957</v>
      </c>
      <c r="B2185" s="473">
        <v>2030</v>
      </c>
      <c r="C2185" s="473" t="str">
        <f t="shared" si="58"/>
        <v>Sierra_2030</v>
      </c>
      <c r="D2185" s="474">
        <v>370.16757390315666</v>
      </c>
      <c r="E2185" s="2"/>
      <c r="F2185" s="2"/>
      <c r="G2185" s="2"/>
      <c r="H2185" s="2"/>
      <c r="I2185" s="21"/>
      <c r="J2185" s="21"/>
      <c r="K2185" s="21"/>
    </row>
    <row r="2186" spans="1:11" ht="15.5" x14ac:dyDescent="0.35">
      <c r="A2186" s="472" t="s">
        <v>957</v>
      </c>
      <c r="B2186" s="473">
        <v>2031</v>
      </c>
      <c r="C2186" s="473" t="str">
        <f t="shared" si="58"/>
        <v>Sierra_2031</v>
      </c>
      <c r="D2186" s="474">
        <v>362.65808973358264</v>
      </c>
      <c r="E2186" s="2"/>
      <c r="F2186" s="2"/>
      <c r="G2186" s="2"/>
      <c r="H2186" s="2"/>
      <c r="I2186" s="21"/>
      <c r="J2186" s="21"/>
      <c r="K2186" s="21"/>
    </row>
    <row r="2187" spans="1:11" ht="15.5" x14ac:dyDescent="0.35">
      <c r="A2187" s="472" t="s">
        <v>957</v>
      </c>
      <c r="B2187" s="473">
        <v>2032</v>
      </c>
      <c r="C2187" s="473" t="str">
        <f t="shared" si="58"/>
        <v>Sierra_2032</v>
      </c>
      <c r="D2187" s="474">
        <v>356.01351994349591</v>
      </c>
      <c r="E2187" s="2"/>
      <c r="F2187" s="2"/>
      <c r="G2187" s="2"/>
      <c r="H2187" s="2"/>
      <c r="I2187" s="21"/>
      <c r="J2187" s="21"/>
      <c r="K2187" s="21"/>
    </row>
    <row r="2188" spans="1:11" ht="15.5" x14ac:dyDescent="0.35">
      <c r="A2188" s="472" t="s">
        <v>957</v>
      </c>
      <c r="B2188" s="473">
        <v>2033</v>
      </c>
      <c r="C2188" s="473" t="str">
        <f t="shared" si="58"/>
        <v>Sierra_2033</v>
      </c>
      <c r="D2188" s="474">
        <v>350.17779303981501</v>
      </c>
      <c r="E2188" s="2"/>
      <c r="F2188" s="2"/>
      <c r="G2188" s="2"/>
      <c r="H2188" s="2"/>
      <c r="I2188" s="21"/>
      <c r="J2188" s="21"/>
      <c r="K2188" s="21"/>
    </row>
    <row r="2189" spans="1:11" ht="15.5" x14ac:dyDescent="0.35">
      <c r="A2189" s="472" t="s">
        <v>957</v>
      </c>
      <c r="B2189" s="473">
        <v>2034</v>
      </c>
      <c r="C2189" s="473" t="str">
        <f t="shared" si="58"/>
        <v>Sierra_2034</v>
      </c>
      <c r="D2189" s="474">
        <v>344.99235459705324</v>
      </c>
      <c r="E2189" s="2"/>
      <c r="F2189" s="2"/>
      <c r="G2189" s="2"/>
      <c r="H2189" s="2"/>
      <c r="I2189" s="21"/>
      <c r="J2189" s="21"/>
      <c r="K2189" s="21"/>
    </row>
    <row r="2190" spans="1:11" ht="15.5" x14ac:dyDescent="0.35">
      <c r="A2190" s="472" t="s">
        <v>957</v>
      </c>
      <c r="B2190" s="473">
        <v>2035</v>
      </c>
      <c r="C2190" s="473" t="str">
        <f t="shared" si="58"/>
        <v>Sierra_2035</v>
      </c>
      <c r="D2190" s="474">
        <v>340.40735658812594</v>
      </c>
      <c r="E2190" s="2"/>
      <c r="F2190" s="2"/>
      <c r="G2190" s="2"/>
      <c r="H2190" s="2"/>
      <c r="I2190" s="21"/>
      <c r="J2190" s="21"/>
      <c r="K2190" s="21"/>
    </row>
    <row r="2191" spans="1:11" ht="15.5" x14ac:dyDescent="0.35">
      <c r="A2191" s="472" t="s">
        <v>957</v>
      </c>
      <c r="B2191" s="473">
        <v>2036</v>
      </c>
      <c r="C2191" s="473" t="str">
        <f t="shared" si="58"/>
        <v>Sierra_2036</v>
      </c>
      <c r="D2191" s="474">
        <v>336.44257617216272</v>
      </c>
      <c r="E2191" s="2"/>
      <c r="F2191" s="2"/>
      <c r="G2191" s="2"/>
      <c r="H2191" s="2"/>
      <c r="I2191" s="21"/>
      <c r="J2191" s="21"/>
      <c r="K2191" s="21"/>
    </row>
    <row r="2192" spans="1:11" ht="15.5" x14ac:dyDescent="0.35">
      <c r="A2192" s="472" t="s">
        <v>957</v>
      </c>
      <c r="B2192" s="473">
        <v>2037</v>
      </c>
      <c r="C2192" s="473" t="str">
        <f t="shared" si="58"/>
        <v>Sierra_2037</v>
      </c>
      <c r="D2192" s="474">
        <v>333.02039898511373</v>
      </c>
      <c r="E2192" s="2"/>
      <c r="F2192" s="2"/>
      <c r="G2192" s="2"/>
      <c r="H2192" s="2"/>
      <c r="I2192" s="21"/>
      <c r="J2192" s="21"/>
      <c r="K2192" s="21"/>
    </row>
    <row r="2193" spans="1:11" ht="15.5" x14ac:dyDescent="0.35">
      <c r="A2193" s="472" t="s">
        <v>957</v>
      </c>
      <c r="B2193" s="473">
        <v>2038</v>
      </c>
      <c r="C2193" s="473" t="str">
        <f t="shared" si="58"/>
        <v>Sierra_2038</v>
      </c>
      <c r="D2193" s="474">
        <v>330.11794241089689</v>
      </c>
      <c r="E2193" s="2"/>
      <c r="F2193" s="2"/>
      <c r="G2193" s="2"/>
      <c r="H2193" s="2"/>
      <c r="I2193" s="21"/>
      <c r="J2193" s="21"/>
      <c r="K2193" s="21"/>
    </row>
    <row r="2194" spans="1:11" ht="15.5" x14ac:dyDescent="0.35">
      <c r="A2194" s="472" t="s">
        <v>957</v>
      </c>
      <c r="B2194" s="473">
        <v>2039</v>
      </c>
      <c r="C2194" s="473" t="str">
        <f t="shared" si="58"/>
        <v>Sierra_2039</v>
      </c>
      <c r="D2194" s="474">
        <v>327.63235340072873</v>
      </c>
      <c r="E2194" s="2"/>
      <c r="F2194" s="2"/>
      <c r="G2194" s="2"/>
      <c r="H2194" s="2"/>
      <c r="I2194" s="21"/>
      <c r="J2194" s="21"/>
      <c r="K2194" s="21"/>
    </row>
    <row r="2195" spans="1:11" ht="15.5" x14ac:dyDescent="0.35">
      <c r="A2195" s="472" t="s">
        <v>957</v>
      </c>
      <c r="B2195" s="473">
        <v>2040</v>
      </c>
      <c r="C2195" s="473" t="str">
        <f t="shared" si="58"/>
        <v>Sierra_2040</v>
      </c>
      <c r="D2195" s="474">
        <v>325.51723039160743</v>
      </c>
      <c r="E2195" s="2"/>
      <c r="F2195" s="2"/>
      <c r="G2195" s="2"/>
      <c r="H2195" s="2"/>
      <c r="I2195" s="21"/>
      <c r="J2195" s="21"/>
      <c r="K2195" s="21"/>
    </row>
    <row r="2196" spans="1:11" ht="15.5" x14ac:dyDescent="0.35">
      <c r="A2196" s="472" t="s">
        <v>957</v>
      </c>
      <c r="B2196" s="473">
        <v>2041</v>
      </c>
      <c r="C2196" s="473" t="str">
        <f t="shared" si="58"/>
        <v>Sierra_2041</v>
      </c>
      <c r="D2196" s="474">
        <v>323.76345934761304</v>
      </c>
      <c r="E2196" s="2"/>
      <c r="F2196" s="2"/>
      <c r="G2196" s="2"/>
      <c r="H2196" s="2"/>
      <c r="I2196" s="21"/>
      <c r="J2196" s="21"/>
      <c r="K2196" s="21"/>
    </row>
    <row r="2197" spans="1:11" ht="15.5" x14ac:dyDescent="0.35">
      <c r="A2197" s="472" t="s">
        <v>957</v>
      </c>
      <c r="B2197" s="473">
        <v>2042</v>
      </c>
      <c r="C2197" s="473" t="str">
        <f t="shared" si="58"/>
        <v>Sierra_2042</v>
      </c>
      <c r="D2197" s="474">
        <v>322.27153024767699</v>
      </c>
      <c r="E2197" s="2"/>
      <c r="F2197" s="2"/>
      <c r="G2197" s="2"/>
      <c r="H2197" s="2"/>
      <c r="I2197" s="21"/>
      <c r="J2197" s="21"/>
      <c r="K2197" s="21"/>
    </row>
    <row r="2198" spans="1:11" ht="15.5" x14ac:dyDescent="0.35">
      <c r="A2198" s="472" t="s">
        <v>957</v>
      </c>
      <c r="B2198" s="473">
        <v>2043</v>
      </c>
      <c r="C2198" s="473" t="str">
        <f t="shared" si="58"/>
        <v>Sierra_2043</v>
      </c>
      <c r="D2198" s="474">
        <v>321.03455879091501</v>
      </c>
      <c r="E2198" s="2"/>
      <c r="F2198" s="2"/>
      <c r="G2198" s="2"/>
      <c r="H2198" s="2"/>
      <c r="I2198" s="21"/>
      <c r="J2198" s="21"/>
      <c r="K2198" s="21"/>
    </row>
    <row r="2199" spans="1:11" ht="15.5" x14ac:dyDescent="0.35">
      <c r="A2199" s="472" t="s">
        <v>957</v>
      </c>
      <c r="B2199" s="473">
        <v>2044</v>
      </c>
      <c r="C2199" s="473" t="str">
        <f t="shared" si="58"/>
        <v>Sierra_2044</v>
      </c>
      <c r="D2199" s="474">
        <v>319.97388124788654</v>
      </c>
      <c r="E2199" s="2"/>
      <c r="F2199" s="2"/>
      <c r="G2199" s="2"/>
      <c r="H2199" s="2"/>
      <c r="I2199" s="21"/>
      <c r="J2199" s="21"/>
      <c r="K2199" s="21"/>
    </row>
    <row r="2200" spans="1:11" ht="15.5" x14ac:dyDescent="0.35">
      <c r="A2200" s="472" t="s">
        <v>957</v>
      </c>
      <c r="B2200" s="473">
        <v>2045</v>
      </c>
      <c r="C2200" s="473" t="str">
        <f t="shared" si="58"/>
        <v>Sierra_2045</v>
      </c>
      <c r="D2200" s="474">
        <v>319.05565595656589</v>
      </c>
      <c r="E2200" s="2"/>
      <c r="F2200" s="2"/>
      <c r="G2200" s="2"/>
      <c r="H2200" s="2"/>
      <c r="I2200" s="21"/>
      <c r="J2200" s="21"/>
      <c r="K2200" s="21"/>
    </row>
    <row r="2201" spans="1:11" ht="15.5" x14ac:dyDescent="0.35">
      <c r="A2201" s="472" t="s">
        <v>957</v>
      </c>
      <c r="B2201" s="473">
        <v>2046</v>
      </c>
      <c r="C2201" s="473" t="str">
        <f t="shared" si="58"/>
        <v>Sierra_2046</v>
      </c>
      <c r="D2201" s="474">
        <v>318.30446001847935</v>
      </c>
      <c r="E2201" s="2"/>
      <c r="F2201" s="2"/>
      <c r="G2201" s="2"/>
      <c r="H2201" s="2"/>
      <c r="I2201" s="21"/>
      <c r="J2201" s="21"/>
      <c r="K2201" s="21"/>
    </row>
    <row r="2202" spans="1:11" ht="15.5" x14ac:dyDescent="0.35">
      <c r="A2202" s="472" t="s">
        <v>957</v>
      </c>
      <c r="B2202" s="473">
        <v>2047</v>
      </c>
      <c r="C2202" s="473" t="str">
        <f t="shared" si="58"/>
        <v>Sierra_2047</v>
      </c>
      <c r="D2202" s="474">
        <v>317.6398120730359</v>
      </c>
      <c r="E2202" s="2"/>
      <c r="F2202" s="2"/>
      <c r="G2202" s="2"/>
      <c r="H2202" s="2"/>
      <c r="I2202" s="21"/>
      <c r="J2202" s="21"/>
      <c r="K2202" s="21"/>
    </row>
    <row r="2203" spans="1:11" ht="15.5" x14ac:dyDescent="0.35">
      <c r="A2203" s="472" t="s">
        <v>957</v>
      </c>
      <c r="B2203" s="473">
        <v>2048</v>
      </c>
      <c r="C2203" s="473" t="str">
        <f t="shared" si="58"/>
        <v>Sierra_2048</v>
      </c>
      <c r="D2203" s="474">
        <v>317.10209656371978</v>
      </c>
      <c r="E2203" s="2"/>
      <c r="F2203" s="2"/>
      <c r="G2203" s="2"/>
      <c r="H2203" s="2"/>
      <c r="I2203" s="21"/>
      <c r="J2203" s="21"/>
      <c r="K2203" s="21"/>
    </row>
    <row r="2204" spans="1:11" ht="15.5" x14ac:dyDescent="0.35">
      <c r="A2204" s="472" t="s">
        <v>957</v>
      </c>
      <c r="B2204" s="473">
        <v>2049</v>
      </c>
      <c r="C2204" s="473" t="str">
        <f t="shared" si="58"/>
        <v>Sierra_2049</v>
      </c>
      <c r="D2204" s="474">
        <v>316.62871679134122</v>
      </c>
      <c r="E2204" s="2"/>
      <c r="F2204" s="2"/>
      <c r="G2204" s="2"/>
      <c r="H2204" s="2"/>
      <c r="I2204" s="21"/>
      <c r="J2204" s="21"/>
      <c r="K2204" s="21"/>
    </row>
    <row r="2205" spans="1:11" ht="15.5" x14ac:dyDescent="0.35">
      <c r="A2205" s="472" t="s">
        <v>957</v>
      </c>
      <c r="B2205" s="473">
        <v>2050</v>
      </c>
      <c r="C2205" s="473" t="str">
        <f t="shared" si="58"/>
        <v>Sierra_2050</v>
      </c>
      <c r="D2205" s="474">
        <v>316.24828327970778</v>
      </c>
      <c r="E2205" s="2"/>
      <c r="F2205" s="2"/>
      <c r="G2205" s="2"/>
      <c r="H2205" s="2"/>
      <c r="I2205" s="21"/>
      <c r="J2205" s="21"/>
      <c r="K2205" s="21"/>
    </row>
    <row r="2206" spans="1:11" ht="15.5" x14ac:dyDescent="0.35">
      <c r="A2206" s="468" t="s">
        <v>960</v>
      </c>
      <c r="B2206" s="469">
        <v>2015</v>
      </c>
      <c r="C2206" s="470" t="s">
        <v>961</v>
      </c>
      <c r="D2206" s="471">
        <v>556.55503202765703</v>
      </c>
      <c r="E2206" s="2"/>
      <c r="F2206" s="2"/>
      <c r="G2206" s="2"/>
      <c r="H2206" s="2"/>
      <c r="I2206" s="21"/>
      <c r="J2206" s="21"/>
      <c r="K2206" s="21"/>
    </row>
    <row r="2207" spans="1:11" ht="15.5" x14ac:dyDescent="0.35">
      <c r="A2207" s="468" t="s">
        <v>960</v>
      </c>
      <c r="B2207" s="469">
        <v>2016</v>
      </c>
      <c r="C2207" s="470" t="s">
        <v>962</v>
      </c>
      <c r="D2207" s="471">
        <v>546.26179885583201</v>
      </c>
      <c r="E2207" s="2"/>
      <c r="F2207" s="2"/>
      <c r="G2207" s="2"/>
      <c r="H2207" s="2"/>
      <c r="I2207" s="21"/>
      <c r="J2207" s="21"/>
      <c r="K2207" s="21"/>
    </row>
    <row r="2208" spans="1:11" ht="15.5" x14ac:dyDescent="0.35">
      <c r="A2208" s="472" t="s">
        <v>960</v>
      </c>
      <c r="B2208" s="473">
        <v>2017</v>
      </c>
      <c r="C2208" s="473" t="str">
        <f t="shared" ref="C2208:C2241" si="59">CONCATENATE(A2208,"_",B2208)</f>
        <v>Siskiyou_2017</v>
      </c>
      <c r="D2208" s="474">
        <v>533.25315201496346</v>
      </c>
      <c r="E2208" s="2"/>
      <c r="F2208" s="2"/>
      <c r="G2208" s="2"/>
      <c r="H2208" s="2"/>
      <c r="I2208" s="21"/>
      <c r="J2208" s="21"/>
      <c r="K2208" s="21"/>
    </row>
    <row r="2209" spans="1:11" ht="15.5" x14ac:dyDescent="0.35">
      <c r="A2209" s="472" t="s">
        <v>960</v>
      </c>
      <c r="B2209" s="473">
        <v>2018</v>
      </c>
      <c r="C2209" s="473" t="str">
        <f t="shared" si="59"/>
        <v>Siskiyou_2018</v>
      </c>
      <c r="D2209" s="474">
        <v>519.77666350690356</v>
      </c>
      <c r="E2209" s="2"/>
      <c r="F2209" s="2"/>
      <c r="G2209" s="2"/>
      <c r="H2209" s="2"/>
      <c r="I2209" s="21"/>
      <c r="J2209" s="21"/>
      <c r="K2209" s="21"/>
    </row>
    <row r="2210" spans="1:11" ht="15.5" x14ac:dyDescent="0.35">
      <c r="A2210" s="472" t="s">
        <v>960</v>
      </c>
      <c r="B2210" s="473">
        <v>2019</v>
      </c>
      <c r="C2210" s="473" t="str">
        <f t="shared" si="59"/>
        <v>Siskiyou_2019</v>
      </c>
      <c r="D2210" s="474">
        <v>505.69648859738123</v>
      </c>
      <c r="E2210" s="2"/>
      <c r="F2210" s="2"/>
      <c r="G2210" s="2"/>
      <c r="H2210" s="2"/>
      <c r="I2210" s="21"/>
      <c r="J2210" s="21"/>
      <c r="K2210" s="21"/>
    </row>
    <row r="2211" spans="1:11" ht="15.5" x14ac:dyDescent="0.35">
      <c r="A2211" s="472" t="s">
        <v>960</v>
      </c>
      <c r="B2211" s="473">
        <v>2020</v>
      </c>
      <c r="C2211" s="473" t="str">
        <f t="shared" si="59"/>
        <v>Siskiyou_2020</v>
      </c>
      <c r="D2211" s="474">
        <v>491.30205106034862</v>
      </c>
      <c r="E2211" s="2"/>
      <c r="F2211" s="2"/>
      <c r="G2211" s="2"/>
      <c r="H2211" s="2"/>
      <c r="I2211" s="21"/>
      <c r="J2211" s="21"/>
      <c r="K2211" s="21"/>
    </row>
    <row r="2212" spans="1:11" ht="15.5" x14ac:dyDescent="0.35">
      <c r="A2212" s="472" t="s">
        <v>960</v>
      </c>
      <c r="B2212" s="473">
        <v>2021</v>
      </c>
      <c r="C2212" s="473" t="str">
        <f t="shared" si="59"/>
        <v>Siskiyou_2021</v>
      </c>
      <c r="D2212" s="474">
        <v>476.66505418787733</v>
      </c>
      <c r="E2212" s="2"/>
      <c r="F2212" s="2"/>
      <c r="G2212" s="2"/>
      <c r="H2212" s="2"/>
      <c r="I2212" s="21"/>
      <c r="J2212" s="21"/>
      <c r="K2212" s="21"/>
    </row>
    <row r="2213" spans="1:11" ht="15.5" x14ac:dyDescent="0.35">
      <c r="A2213" s="472" t="s">
        <v>960</v>
      </c>
      <c r="B2213" s="473">
        <v>2022</v>
      </c>
      <c r="C2213" s="473" t="str">
        <f t="shared" si="59"/>
        <v>Siskiyou_2022</v>
      </c>
      <c r="D2213" s="474">
        <v>462.03753551386853</v>
      </c>
      <c r="E2213" s="2"/>
      <c r="F2213" s="2"/>
      <c r="G2213" s="2"/>
      <c r="H2213" s="2"/>
      <c r="I2213" s="21"/>
      <c r="J2213" s="21"/>
      <c r="K2213" s="21"/>
    </row>
    <row r="2214" spans="1:11" ht="15.5" x14ac:dyDescent="0.35">
      <c r="A2214" s="472" t="s">
        <v>960</v>
      </c>
      <c r="B2214" s="473">
        <v>2023</v>
      </c>
      <c r="C2214" s="473" t="str">
        <f t="shared" si="59"/>
        <v>Siskiyou_2023</v>
      </c>
      <c r="D2214" s="474">
        <v>447.59169550814471</v>
      </c>
      <c r="E2214" s="2"/>
      <c r="F2214" s="2"/>
      <c r="G2214" s="2"/>
      <c r="H2214" s="2"/>
      <c r="I2214" s="21"/>
      <c r="J2214" s="21"/>
      <c r="K2214" s="21"/>
    </row>
    <row r="2215" spans="1:11" ht="15.5" x14ac:dyDescent="0.35">
      <c r="A2215" s="472" t="s">
        <v>960</v>
      </c>
      <c r="B2215" s="473">
        <v>2024</v>
      </c>
      <c r="C2215" s="473" t="str">
        <f t="shared" si="59"/>
        <v>Siskiyou_2024</v>
      </c>
      <c r="D2215" s="474">
        <v>433.39214934427707</v>
      </c>
      <c r="E2215" s="2"/>
      <c r="F2215" s="2"/>
      <c r="G2215" s="2"/>
      <c r="H2215" s="2"/>
      <c r="I2215" s="21"/>
      <c r="J2215" s="21"/>
      <c r="K2215" s="21"/>
    </row>
    <row r="2216" spans="1:11" ht="15.5" x14ac:dyDescent="0.35">
      <c r="A2216" s="472" t="s">
        <v>960</v>
      </c>
      <c r="B2216" s="473">
        <v>2025</v>
      </c>
      <c r="C2216" s="473" t="str">
        <f t="shared" si="59"/>
        <v>Siskiyou_2025</v>
      </c>
      <c r="D2216" s="474">
        <v>419.46585810244301</v>
      </c>
      <c r="E2216" s="2"/>
      <c r="F2216" s="2"/>
      <c r="G2216" s="2"/>
      <c r="H2216" s="2"/>
      <c r="I2216" s="21"/>
      <c r="J2216" s="21"/>
      <c r="K2216" s="21"/>
    </row>
    <row r="2217" spans="1:11" ht="15.5" x14ac:dyDescent="0.35">
      <c r="A2217" s="472" t="s">
        <v>960</v>
      </c>
      <c r="B2217" s="473">
        <v>2026</v>
      </c>
      <c r="C2217" s="473" t="str">
        <f t="shared" si="59"/>
        <v>Siskiyou_2026</v>
      </c>
      <c r="D2217" s="474">
        <v>406.75694758115321</v>
      </c>
      <c r="E2217" s="2"/>
      <c r="F2217" s="2"/>
      <c r="G2217" s="2"/>
      <c r="H2217" s="2"/>
      <c r="I2217" s="21"/>
      <c r="J2217" s="21"/>
      <c r="K2217" s="21"/>
    </row>
    <row r="2218" spans="1:11" ht="15.5" x14ac:dyDescent="0.35">
      <c r="A2218" s="472" t="s">
        <v>960</v>
      </c>
      <c r="B2218" s="473">
        <v>2027</v>
      </c>
      <c r="C2218" s="473" t="str">
        <f t="shared" si="59"/>
        <v>Siskiyou_2027</v>
      </c>
      <c r="D2218" s="474">
        <v>395.08970482839226</v>
      </c>
      <c r="E2218" s="2"/>
      <c r="F2218" s="2"/>
      <c r="G2218" s="2"/>
      <c r="H2218" s="2"/>
      <c r="I2218" s="21"/>
      <c r="J2218" s="21"/>
      <c r="K2218" s="21"/>
    </row>
    <row r="2219" spans="1:11" ht="15.5" x14ac:dyDescent="0.35">
      <c r="A2219" s="472" t="s">
        <v>960</v>
      </c>
      <c r="B2219" s="473">
        <v>2028</v>
      </c>
      <c r="C2219" s="473" t="str">
        <f t="shared" si="59"/>
        <v>Siskiyou_2028</v>
      </c>
      <c r="D2219" s="474">
        <v>384.53782769987748</v>
      </c>
      <c r="E2219" s="2"/>
      <c r="F2219" s="2"/>
      <c r="G2219" s="2"/>
      <c r="H2219" s="2"/>
      <c r="I2219" s="21"/>
      <c r="J2219" s="21"/>
      <c r="K2219" s="21"/>
    </row>
    <row r="2220" spans="1:11" ht="15.5" x14ac:dyDescent="0.35">
      <c r="A2220" s="472" t="s">
        <v>960</v>
      </c>
      <c r="B2220" s="473">
        <v>2029</v>
      </c>
      <c r="C2220" s="473" t="str">
        <f t="shared" si="59"/>
        <v>Siskiyou_2029</v>
      </c>
      <c r="D2220" s="474">
        <v>374.99846887091707</v>
      </c>
      <c r="E2220" s="2"/>
      <c r="F2220" s="2"/>
      <c r="G2220" s="2"/>
      <c r="H2220" s="2"/>
      <c r="I2220" s="21"/>
      <c r="J2220" s="21"/>
      <c r="K2220" s="21"/>
    </row>
    <row r="2221" spans="1:11" ht="15.5" x14ac:dyDescent="0.35">
      <c r="A2221" s="472" t="s">
        <v>960</v>
      </c>
      <c r="B2221" s="473">
        <v>2030</v>
      </c>
      <c r="C2221" s="473" t="str">
        <f t="shared" si="59"/>
        <v>Siskiyou_2030</v>
      </c>
      <c r="D2221" s="474">
        <v>366.42853610603765</v>
      </c>
      <c r="E2221" s="2"/>
      <c r="F2221" s="2"/>
      <c r="G2221" s="2"/>
      <c r="H2221" s="2"/>
      <c r="I2221" s="21"/>
      <c r="J2221" s="21"/>
      <c r="K2221" s="21"/>
    </row>
    <row r="2222" spans="1:11" ht="15.5" x14ac:dyDescent="0.35">
      <c r="A2222" s="472" t="s">
        <v>960</v>
      </c>
      <c r="B2222" s="473">
        <v>2031</v>
      </c>
      <c r="C2222" s="473" t="str">
        <f t="shared" si="59"/>
        <v>Siskiyou_2031</v>
      </c>
      <c r="D2222" s="474">
        <v>358.74859029052567</v>
      </c>
      <c r="E2222" s="2"/>
      <c r="F2222" s="2"/>
      <c r="G2222" s="2"/>
      <c r="H2222" s="2"/>
      <c r="I2222" s="21"/>
      <c r="J2222" s="21"/>
      <c r="K2222" s="21"/>
    </row>
    <row r="2223" spans="1:11" ht="15.5" x14ac:dyDescent="0.35">
      <c r="A2223" s="472" t="s">
        <v>960</v>
      </c>
      <c r="B2223" s="473">
        <v>2032</v>
      </c>
      <c r="C2223" s="473" t="str">
        <f t="shared" si="59"/>
        <v>Siskiyou_2032</v>
      </c>
      <c r="D2223" s="474">
        <v>351.93119864667949</v>
      </c>
      <c r="E2223" s="2"/>
      <c r="F2223" s="2"/>
      <c r="G2223" s="2"/>
      <c r="H2223" s="2"/>
      <c r="I2223" s="21"/>
      <c r="J2223" s="21"/>
      <c r="K2223" s="21"/>
    </row>
    <row r="2224" spans="1:11" ht="15.5" x14ac:dyDescent="0.35">
      <c r="A2224" s="472" t="s">
        <v>960</v>
      </c>
      <c r="B2224" s="473">
        <v>2033</v>
      </c>
      <c r="C2224" s="473" t="str">
        <f t="shared" si="59"/>
        <v>Siskiyou_2033</v>
      </c>
      <c r="D2224" s="474">
        <v>345.87588103823396</v>
      </c>
      <c r="E2224" s="2"/>
      <c r="F2224" s="2"/>
      <c r="G2224" s="2"/>
      <c r="H2224" s="2"/>
      <c r="I2224" s="21"/>
      <c r="J2224" s="21"/>
      <c r="K2224" s="21"/>
    </row>
    <row r="2225" spans="1:11" ht="15.5" x14ac:dyDescent="0.35">
      <c r="A2225" s="472" t="s">
        <v>960</v>
      </c>
      <c r="B2225" s="473">
        <v>2034</v>
      </c>
      <c r="C2225" s="473" t="str">
        <f t="shared" si="59"/>
        <v>Siskiyou_2034</v>
      </c>
      <c r="D2225" s="474">
        <v>340.52896515737223</v>
      </c>
      <c r="E2225" s="2"/>
      <c r="F2225" s="2"/>
      <c r="G2225" s="2"/>
      <c r="H2225" s="2"/>
      <c r="I2225" s="21"/>
      <c r="J2225" s="21"/>
      <c r="K2225" s="21"/>
    </row>
    <row r="2226" spans="1:11" ht="15.5" x14ac:dyDescent="0.35">
      <c r="A2226" s="472" t="s">
        <v>960</v>
      </c>
      <c r="B2226" s="473">
        <v>2035</v>
      </c>
      <c r="C2226" s="473" t="str">
        <f t="shared" si="59"/>
        <v>Siskiyou_2035</v>
      </c>
      <c r="D2226" s="474">
        <v>335.82891481358308</v>
      </c>
      <c r="E2226" s="2"/>
      <c r="F2226" s="2"/>
      <c r="G2226" s="2"/>
      <c r="H2226" s="2"/>
      <c r="I2226" s="21"/>
      <c r="J2226" s="21"/>
      <c r="K2226" s="21"/>
    </row>
    <row r="2227" spans="1:11" ht="15.5" x14ac:dyDescent="0.35">
      <c r="A2227" s="472" t="s">
        <v>960</v>
      </c>
      <c r="B2227" s="473">
        <v>2036</v>
      </c>
      <c r="C2227" s="473" t="str">
        <f t="shared" si="59"/>
        <v>Siskiyou_2036</v>
      </c>
      <c r="D2227" s="474">
        <v>331.73740955987205</v>
      </c>
      <c r="E2227" s="2"/>
      <c r="F2227" s="2"/>
      <c r="G2227" s="2"/>
      <c r="H2227" s="2"/>
      <c r="I2227" s="21"/>
      <c r="J2227" s="21"/>
      <c r="K2227" s="21"/>
    </row>
    <row r="2228" spans="1:11" ht="15.5" x14ac:dyDescent="0.35">
      <c r="A2228" s="472" t="s">
        <v>960</v>
      </c>
      <c r="B2228" s="473">
        <v>2037</v>
      </c>
      <c r="C2228" s="473" t="str">
        <f t="shared" si="59"/>
        <v>Siskiyou_2037</v>
      </c>
      <c r="D2228" s="474">
        <v>328.1974944907958</v>
      </c>
      <c r="E2228" s="2"/>
      <c r="F2228" s="2"/>
      <c r="G2228" s="2"/>
      <c r="H2228" s="2"/>
      <c r="I2228" s="21"/>
      <c r="J2228" s="21"/>
      <c r="K2228" s="21"/>
    </row>
    <row r="2229" spans="1:11" ht="15.5" x14ac:dyDescent="0.35">
      <c r="A2229" s="472" t="s">
        <v>960</v>
      </c>
      <c r="B2229" s="473">
        <v>2038</v>
      </c>
      <c r="C2229" s="473" t="str">
        <f t="shared" si="59"/>
        <v>Siskiyou_2038</v>
      </c>
      <c r="D2229" s="474">
        <v>325.16888718535779</v>
      </c>
      <c r="E2229" s="2"/>
      <c r="F2229" s="2"/>
      <c r="G2229" s="2"/>
      <c r="H2229" s="2"/>
      <c r="I2229" s="21"/>
      <c r="J2229" s="21"/>
      <c r="K2229" s="21"/>
    </row>
    <row r="2230" spans="1:11" ht="15.5" x14ac:dyDescent="0.35">
      <c r="A2230" s="472" t="s">
        <v>960</v>
      </c>
      <c r="B2230" s="473">
        <v>2039</v>
      </c>
      <c r="C2230" s="473" t="str">
        <f t="shared" si="59"/>
        <v>Siskiyou_2039</v>
      </c>
      <c r="D2230" s="474">
        <v>322.56443863936045</v>
      </c>
      <c r="E2230" s="2"/>
      <c r="F2230" s="2"/>
      <c r="G2230" s="2"/>
      <c r="H2230" s="2"/>
      <c r="I2230" s="21"/>
      <c r="J2230" s="21"/>
      <c r="K2230" s="21"/>
    </row>
    <row r="2231" spans="1:11" ht="15.5" x14ac:dyDescent="0.35">
      <c r="A2231" s="472" t="s">
        <v>960</v>
      </c>
      <c r="B2231" s="473">
        <v>2040</v>
      </c>
      <c r="C2231" s="473" t="str">
        <f t="shared" si="59"/>
        <v>Siskiyou_2040</v>
      </c>
      <c r="D2231" s="474">
        <v>320.34670765714964</v>
      </c>
      <c r="E2231" s="2"/>
      <c r="F2231" s="2"/>
      <c r="G2231" s="2"/>
      <c r="H2231" s="2"/>
      <c r="I2231" s="21"/>
      <c r="J2231" s="21"/>
      <c r="K2231" s="21"/>
    </row>
    <row r="2232" spans="1:11" ht="15.5" x14ac:dyDescent="0.35">
      <c r="A2232" s="472" t="s">
        <v>960</v>
      </c>
      <c r="B2232" s="473">
        <v>2041</v>
      </c>
      <c r="C2232" s="473" t="str">
        <f t="shared" si="59"/>
        <v>Siskiyou_2041</v>
      </c>
      <c r="D2232" s="474">
        <v>318.49773054146772</v>
      </c>
      <c r="E2232" s="2"/>
      <c r="F2232" s="2"/>
      <c r="G2232" s="2"/>
      <c r="H2232" s="2"/>
      <c r="I2232" s="21"/>
      <c r="J2232" s="21"/>
      <c r="K2232" s="21"/>
    </row>
    <row r="2233" spans="1:11" ht="15.5" x14ac:dyDescent="0.35">
      <c r="A2233" s="472" t="s">
        <v>960</v>
      </c>
      <c r="B2233" s="473">
        <v>2042</v>
      </c>
      <c r="C2233" s="473" t="str">
        <f t="shared" si="59"/>
        <v>Siskiyou_2042</v>
      </c>
      <c r="D2233" s="474">
        <v>316.91830106164917</v>
      </c>
      <c r="E2233" s="2"/>
      <c r="F2233" s="2"/>
      <c r="G2233" s="2"/>
      <c r="H2233" s="2"/>
      <c r="I2233" s="21"/>
      <c r="J2233" s="21"/>
      <c r="K2233" s="21"/>
    </row>
    <row r="2234" spans="1:11" ht="15.5" x14ac:dyDescent="0.35">
      <c r="A2234" s="472" t="s">
        <v>960</v>
      </c>
      <c r="B2234" s="473">
        <v>2043</v>
      </c>
      <c r="C2234" s="473" t="str">
        <f t="shared" si="59"/>
        <v>Siskiyou_2043</v>
      </c>
      <c r="D2234" s="474">
        <v>315.5968859870942</v>
      </c>
      <c r="E2234" s="2"/>
      <c r="F2234" s="2"/>
      <c r="G2234" s="2"/>
      <c r="H2234" s="2"/>
      <c r="I2234" s="21"/>
      <c r="J2234" s="21"/>
      <c r="K2234" s="21"/>
    </row>
    <row r="2235" spans="1:11" ht="15.5" x14ac:dyDescent="0.35">
      <c r="A2235" s="472" t="s">
        <v>960</v>
      </c>
      <c r="B2235" s="473">
        <v>2044</v>
      </c>
      <c r="C2235" s="473" t="str">
        <f t="shared" si="59"/>
        <v>Siskiyou_2044</v>
      </c>
      <c r="D2235" s="474">
        <v>314.4676314099641</v>
      </c>
      <c r="E2235" s="2"/>
      <c r="F2235" s="2"/>
      <c r="G2235" s="2"/>
      <c r="H2235" s="2"/>
      <c r="I2235" s="21"/>
      <c r="J2235" s="21"/>
      <c r="K2235" s="21"/>
    </row>
    <row r="2236" spans="1:11" ht="15.5" x14ac:dyDescent="0.35">
      <c r="A2236" s="472" t="s">
        <v>960</v>
      </c>
      <c r="B2236" s="473">
        <v>2045</v>
      </c>
      <c r="C2236" s="473" t="str">
        <f t="shared" si="59"/>
        <v>Siskiyou_2045</v>
      </c>
      <c r="D2236" s="474">
        <v>313.48692577885612</v>
      </c>
      <c r="E2236" s="2"/>
      <c r="F2236" s="2"/>
      <c r="G2236" s="2"/>
      <c r="H2236" s="2"/>
      <c r="I2236" s="21"/>
      <c r="J2236" s="21"/>
      <c r="K2236" s="21"/>
    </row>
    <row r="2237" spans="1:11" ht="15.5" x14ac:dyDescent="0.35">
      <c r="A2237" s="472" t="s">
        <v>960</v>
      </c>
      <c r="B2237" s="473">
        <v>2046</v>
      </c>
      <c r="C2237" s="473" t="str">
        <f t="shared" si="59"/>
        <v>Siskiyou_2046</v>
      </c>
      <c r="D2237" s="474">
        <v>312.64817068189166</v>
      </c>
      <c r="E2237" s="2"/>
      <c r="F2237" s="2"/>
      <c r="G2237" s="2"/>
      <c r="H2237" s="2"/>
      <c r="I2237" s="21"/>
      <c r="J2237" s="21"/>
      <c r="K2237" s="21"/>
    </row>
    <row r="2238" spans="1:11" ht="15.5" x14ac:dyDescent="0.35">
      <c r="A2238" s="472" t="s">
        <v>960</v>
      </c>
      <c r="B2238" s="473">
        <v>2047</v>
      </c>
      <c r="C2238" s="473" t="str">
        <f t="shared" si="59"/>
        <v>Siskiyou_2047</v>
      </c>
      <c r="D2238" s="474">
        <v>311.94976872725886</v>
      </c>
      <c r="E2238" s="2"/>
      <c r="F2238" s="2"/>
      <c r="G2238" s="2"/>
      <c r="H2238" s="2"/>
      <c r="I2238" s="21"/>
      <c r="J2238" s="21"/>
      <c r="K2238" s="21"/>
    </row>
    <row r="2239" spans="1:11" ht="15.5" x14ac:dyDescent="0.35">
      <c r="A2239" s="472" t="s">
        <v>960</v>
      </c>
      <c r="B2239" s="473">
        <v>2048</v>
      </c>
      <c r="C2239" s="473" t="str">
        <f t="shared" si="59"/>
        <v>Siskiyou_2048</v>
      </c>
      <c r="D2239" s="474">
        <v>311.35312418531322</v>
      </c>
      <c r="E2239" s="2"/>
      <c r="F2239" s="2"/>
      <c r="G2239" s="2"/>
      <c r="H2239" s="2"/>
      <c r="I2239" s="21"/>
      <c r="J2239" s="21"/>
      <c r="K2239" s="21"/>
    </row>
    <row r="2240" spans="1:11" ht="15.5" x14ac:dyDescent="0.35">
      <c r="A2240" s="472" t="s">
        <v>960</v>
      </c>
      <c r="B2240" s="473">
        <v>2049</v>
      </c>
      <c r="C2240" s="473" t="str">
        <f t="shared" si="59"/>
        <v>Siskiyou_2049</v>
      </c>
      <c r="D2240" s="474">
        <v>310.8359468346116</v>
      </c>
      <c r="E2240" s="2"/>
      <c r="F2240" s="2"/>
      <c r="G2240" s="2"/>
      <c r="H2240" s="2"/>
      <c r="I2240" s="21"/>
      <c r="J2240" s="21"/>
      <c r="K2240" s="21"/>
    </row>
    <row r="2241" spans="1:11" ht="15.5" x14ac:dyDescent="0.35">
      <c r="A2241" s="472" t="s">
        <v>960</v>
      </c>
      <c r="B2241" s="473">
        <v>2050</v>
      </c>
      <c r="C2241" s="473" t="str">
        <f t="shared" si="59"/>
        <v>Siskiyou_2050</v>
      </c>
      <c r="D2241" s="474">
        <v>310.40384282581641</v>
      </c>
      <c r="E2241" s="2"/>
      <c r="F2241" s="2"/>
      <c r="G2241" s="2"/>
      <c r="H2241" s="2"/>
      <c r="I2241" s="21"/>
      <c r="J2241" s="21"/>
      <c r="K2241" s="21"/>
    </row>
    <row r="2242" spans="1:11" ht="15.5" x14ac:dyDescent="0.35">
      <c r="A2242" s="468" t="s">
        <v>963</v>
      </c>
      <c r="B2242" s="469">
        <v>2015</v>
      </c>
      <c r="C2242" s="470" t="s">
        <v>964</v>
      </c>
      <c r="D2242" s="471">
        <v>506.49191774603895</v>
      </c>
      <c r="E2242" s="2"/>
      <c r="F2242" s="2"/>
      <c r="G2242" s="2"/>
      <c r="H2242" s="2"/>
      <c r="I2242" s="21"/>
      <c r="J2242" s="21"/>
      <c r="K2242" s="21"/>
    </row>
    <row r="2243" spans="1:11" ht="15.5" x14ac:dyDescent="0.35">
      <c r="A2243" s="468" t="s">
        <v>963</v>
      </c>
      <c r="B2243" s="469">
        <v>2016</v>
      </c>
      <c r="C2243" s="470" t="s">
        <v>965</v>
      </c>
      <c r="D2243" s="471">
        <v>498.31664263424273</v>
      </c>
      <c r="E2243" s="2"/>
      <c r="F2243" s="2"/>
      <c r="G2243" s="2"/>
      <c r="H2243" s="2"/>
      <c r="I2243" s="21"/>
      <c r="J2243" s="21"/>
      <c r="K2243" s="21"/>
    </row>
    <row r="2244" spans="1:11" ht="15.5" x14ac:dyDescent="0.35">
      <c r="A2244" s="472" t="s">
        <v>963</v>
      </c>
      <c r="B2244" s="473">
        <v>2017</v>
      </c>
      <c r="C2244" s="473" t="str">
        <f t="shared" ref="C2244:C2277" si="60">CONCATENATE(A2244,"_",B2244)</f>
        <v>Solano_2017</v>
      </c>
      <c r="D2244" s="474">
        <v>486.73396430964169</v>
      </c>
      <c r="E2244" s="2"/>
      <c r="F2244" s="2"/>
      <c r="G2244" s="2"/>
      <c r="H2244" s="2"/>
      <c r="I2244" s="21"/>
      <c r="J2244" s="21"/>
      <c r="K2244" s="21"/>
    </row>
    <row r="2245" spans="1:11" ht="15.5" x14ac:dyDescent="0.35">
      <c r="A2245" s="472" t="s">
        <v>963</v>
      </c>
      <c r="B2245" s="473">
        <v>2018</v>
      </c>
      <c r="C2245" s="473" t="str">
        <f t="shared" si="60"/>
        <v>Solano_2018</v>
      </c>
      <c r="D2245" s="474">
        <v>474.32738085766039</v>
      </c>
      <c r="E2245" s="2"/>
      <c r="F2245" s="2"/>
      <c r="G2245" s="2"/>
      <c r="H2245" s="2"/>
      <c r="I2245" s="21"/>
      <c r="J2245" s="21"/>
      <c r="K2245" s="21"/>
    </row>
    <row r="2246" spans="1:11" ht="15.5" x14ac:dyDescent="0.35">
      <c r="A2246" s="472" t="s">
        <v>963</v>
      </c>
      <c r="B2246" s="473">
        <v>2019</v>
      </c>
      <c r="C2246" s="473" t="str">
        <f t="shared" si="60"/>
        <v>Solano_2019</v>
      </c>
      <c r="D2246" s="474">
        <v>461.45865324414137</v>
      </c>
      <c r="E2246" s="2"/>
      <c r="F2246" s="2"/>
      <c r="G2246" s="2"/>
      <c r="H2246" s="2"/>
      <c r="I2246" s="21"/>
      <c r="J2246" s="21"/>
      <c r="K2246" s="21"/>
    </row>
    <row r="2247" spans="1:11" ht="15.5" x14ac:dyDescent="0.35">
      <c r="A2247" s="472" t="s">
        <v>963</v>
      </c>
      <c r="B2247" s="473">
        <v>2020</v>
      </c>
      <c r="C2247" s="473" t="str">
        <f t="shared" si="60"/>
        <v>Solano_2020</v>
      </c>
      <c r="D2247" s="474">
        <v>448.30794477635453</v>
      </c>
      <c r="E2247" s="2"/>
      <c r="F2247" s="2"/>
      <c r="G2247" s="2"/>
      <c r="H2247" s="2"/>
      <c r="I2247" s="21"/>
      <c r="J2247" s="21"/>
      <c r="K2247" s="21"/>
    </row>
    <row r="2248" spans="1:11" ht="15.5" x14ac:dyDescent="0.35">
      <c r="A2248" s="472" t="s">
        <v>963</v>
      </c>
      <c r="B2248" s="473">
        <v>2021</v>
      </c>
      <c r="C2248" s="473" t="str">
        <f t="shared" si="60"/>
        <v>Solano_2021</v>
      </c>
      <c r="D2248" s="474">
        <v>434.96941895474782</v>
      </c>
      <c r="E2248" s="2"/>
      <c r="F2248" s="2"/>
      <c r="G2248" s="2"/>
      <c r="H2248" s="2"/>
      <c r="I2248" s="21"/>
      <c r="J2248" s="21"/>
      <c r="K2248" s="21"/>
    </row>
    <row r="2249" spans="1:11" ht="15.5" x14ac:dyDescent="0.35">
      <c r="A2249" s="472" t="s">
        <v>963</v>
      </c>
      <c r="B2249" s="473">
        <v>2022</v>
      </c>
      <c r="C2249" s="473" t="str">
        <f t="shared" si="60"/>
        <v>Solano_2022</v>
      </c>
      <c r="D2249" s="474">
        <v>421.78472768118797</v>
      </c>
      <c r="E2249" s="2"/>
      <c r="F2249" s="2"/>
      <c r="G2249" s="2"/>
      <c r="H2249" s="2"/>
      <c r="I2249" s="21"/>
      <c r="J2249" s="21"/>
      <c r="K2249" s="21"/>
    </row>
    <row r="2250" spans="1:11" ht="15.5" x14ac:dyDescent="0.35">
      <c r="A2250" s="472" t="s">
        <v>963</v>
      </c>
      <c r="B2250" s="473">
        <v>2023</v>
      </c>
      <c r="C2250" s="473" t="str">
        <f t="shared" si="60"/>
        <v>Solano_2023</v>
      </c>
      <c r="D2250" s="474">
        <v>408.65717441414643</v>
      </c>
      <c r="E2250" s="2"/>
      <c r="F2250" s="2"/>
      <c r="G2250" s="2"/>
      <c r="H2250" s="2"/>
      <c r="I2250" s="21"/>
      <c r="J2250" s="21"/>
      <c r="K2250" s="21"/>
    </row>
    <row r="2251" spans="1:11" ht="15.5" x14ac:dyDescent="0.35">
      <c r="A2251" s="472" t="s">
        <v>963</v>
      </c>
      <c r="B2251" s="473">
        <v>2024</v>
      </c>
      <c r="C2251" s="473" t="str">
        <f t="shared" si="60"/>
        <v>Solano_2024</v>
      </c>
      <c r="D2251" s="474">
        <v>395.68583641054676</v>
      </c>
      <c r="E2251" s="2"/>
      <c r="F2251" s="2"/>
      <c r="G2251" s="2"/>
      <c r="H2251" s="2"/>
      <c r="I2251" s="21"/>
      <c r="J2251" s="21"/>
      <c r="K2251" s="21"/>
    </row>
    <row r="2252" spans="1:11" ht="15.5" x14ac:dyDescent="0.35">
      <c r="A2252" s="472" t="s">
        <v>963</v>
      </c>
      <c r="B2252" s="473">
        <v>2025</v>
      </c>
      <c r="C2252" s="473" t="str">
        <f t="shared" si="60"/>
        <v>Solano_2025</v>
      </c>
      <c r="D2252" s="474">
        <v>382.86905487393284</v>
      </c>
      <c r="E2252" s="2"/>
      <c r="F2252" s="2"/>
      <c r="G2252" s="2"/>
      <c r="H2252" s="2"/>
      <c r="I2252" s="21"/>
      <c r="J2252" s="21"/>
      <c r="K2252" s="21"/>
    </row>
    <row r="2253" spans="1:11" ht="15.5" x14ac:dyDescent="0.35">
      <c r="A2253" s="472" t="s">
        <v>963</v>
      </c>
      <c r="B2253" s="473">
        <v>2026</v>
      </c>
      <c r="C2253" s="473" t="str">
        <f t="shared" si="60"/>
        <v>Solano_2026</v>
      </c>
      <c r="D2253" s="474">
        <v>371.67551550374839</v>
      </c>
      <c r="E2253" s="2"/>
      <c r="F2253" s="2"/>
      <c r="G2253" s="2"/>
      <c r="H2253" s="2"/>
      <c r="I2253" s="21"/>
      <c r="J2253" s="21"/>
      <c r="K2253" s="21"/>
    </row>
    <row r="2254" spans="1:11" ht="15.5" x14ac:dyDescent="0.35">
      <c r="A2254" s="472" t="s">
        <v>963</v>
      </c>
      <c r="B2254" s="473">
        <v>2027</v>
      </c>
      <c r="C2254" s="473" t="str">
        <f t="shared" si="60"/>
        <v>Solano_2027</v>
      </c>
      <c r="D2254" s="474">
        <v>360.98358739492346</v>
      </c>
      <c r="E2254" s="2"/>
      <c r="F2254" s="2"/>
      <c r="G2254" s="2"/>
      <c r="H2254" s="2"/>
      <c r="I2254" s="21"/>
      <c r="J2254" s="21"/>
      <c r="K2254" s="21"/>
    </row>
    <row r="2255" spans="1:11" ht="15.5" x14ac:dyDescent="0.35">
      <c r="A2255" s="472" t="s">
        <v>963</v>
      </c>
      <c r="B2255" s="473">
        <v>2028</v>
      </c>
      <c r="C2255" s="473" t="str">
        <f t="shared" si="60"/>
        <v>Solano_2028</v>
      </c>
      <c r="D2255" s="474">
        <v>351.38144964573763</v>
      </c>
      <c r="E2255" s="2"/>
      <c r="F2255" s="2"/>
      <c r="G2255" s="2"/>
      <c r="H2255" s="2"/>
      <c r="I2255" s="21"/>
      <c r="J2255" s="21"/>
      <c r="K2255" s="21"/>
    </row>
    <row r="2256" spans="1:11" ht="15.5" x14ac:dyDescent="0.35">
      <c r="A2256" s="472" t="s">
        <v>963</v>
      </c>
      <c r="B2256" s="473">
        <v>2029</v>
      </c>
      <c r="C2256" s="473" t="str">
        <f t="shared" si="60"/>
        <v>Solano_2029</v>
      </c>
      <c r="D2256" s="474">
        <v>342.79805854820393</v>
      </c>
      <c r="E2256" s="2"/>
      <c r="F2256" s="2"/>
      <c r="G2256" s="2"/>
      <c r="H2256" s="2"/>
      <c r="I2256" s="21"/>
      <c r="J2256" s="21"/>
      <c r="K2256" s="21"/>
    </row>
    <row r="2257" spans="1:11" ht="15.5" x14ac:dyDescent="0.35">
      <c r="A2257" s="472" t="s">
        <v>963</v>
      </c>
      <c r="B2257" s="473">
        <v>2030</v>
      </c>
      <c r="C2257" s="473" t="str">
        <f t="shared" si="60"/>
        <v>Solano_2030</v>
      </c>
      <c r="D2257" s="474">
        <v>335.18388001751941</v>
      </c>
      <c r="E2257" s="2"/>
      <c r="F2257" s="2"/>
      <c r="G2257" s="2"/>
      <c r="H2257" s="2"/>
      <c r="I2257" s="21"/>
      <c r="J2257" s="21"/>
      <c r="K2257" s="21"/>
    </row>
    <row r="2258" spans="1:11" ht="15.5" x14ac:dyDescent="0.35">
      <c r="A2258" s="472" t="s">
        <v>963</v>
      </c>
      <c r="B2258" s="473">
        <v>2031</v>
      </c>
      <c r="C2258" s="473" t="str">
        <f t="shared" si="60"/>
        <v>Solano_2031</v>
      </c>
      <c r="D2258" s="474">
        <v>328.46066692942611</v>
      </c>
      <c r="E2258" s="2"/>
      <c r="F2258" s="2"/>
      <c r="G2258" s="2"/>
      <c r="H2258" s="2"/>
      <c r="I2258" s="21"/>
      <c r="J2258" s="21"/>
      <c r="K2258" s="21"/>
    </row>
    <row r="2259" spans="1:11" ht="15.5" x14ac:dyDescent="0.35">
      <c r="A2259" s="472" t="s">
        <v>963</v>
      </c>
      <c r="B2259" s="473">
        <v>2032</v>
      </c>
      <c r="C2259" s="473" t="str">
        <f t="shared" si="60"/>
        <v>Solano_2032</v>
      </c>
      <c r="D2259" s="474">
        <v>322.55018393996585</v>
      </c>
      <c r="E2259" s="2"/>
      <c r="F2259" s="2"/>
      <c r="G2259" s="2"/>
      <c r="H2259" s="2"/>
      <c r="I2259" s="21"/>
      <c r="J2259" s="21"/>
      <c r="K2259" s="21"/>
    </row>
    <row r="2260" spans="1:11" ht="15.5" x14ac:dyDescent="0.35">
      <c r="A2260" s="472" t="s">
        <v>963</v>
      </c>
      <c r="B2260" s="473">
        <v>2033</v>
      </c>
      <c r="C2260" s="473" t="str">
        <f t="shared" si="60"/>
        <v>Solano_2033</v>
      </c>
      <c r="D2260" s="474">
        <v>317.38584138184763</v>
      </c>
      <c r="E2260" s="2"/>
      <c r="F2260" s="2"/>
      <c r="G2260" s="2"/>
      <c r="H2260" s="2"/>
      <c r="I2260" s="21"/>
      <c r="J2260" s="21"/>
      <c r="K2260" s="21"/>
    </row>
    <row r="2261" spans="1:11" ht="15.5" x14ac:dyDescent="0.35">
      <c r="A2261" s="472" t="s">
        <v>963</v>
      </c>
      <c r="B2261" s="473">
        <v>2034</v>
      </c>
      <c r="C2261" s="473" t="str">
        <f t="shared" si="60"/>
        <v>Solano_2034</v>
      </c>
      <c r="D2261" s="474">
        <v>312.89796021112619</v>
      </c>
      <c r="E2261" s="2"/>
      <c r="F2261" s="2"/>
      <c r="G2261" s="2"/>
      <c r="H2261" s="2"/>
      <c r="I2261" s="21"/>
      <c r="J2261" s="21"/>
      <c r="K2261" s="21"/>
    </row>
    <row r="2262" spans="1:11" ht="15.5" x14ac:dyDescent="0.35">
      <c r="A2262" s="472" t="s">
        <v>963</v>
      </c>
      <c r="B2262" s="473">
        <v>2035</v>
      </c>
      <c r="C2262" s="473" t="str">
        <f t="shared" si="60"/>
        <v>Solano_2035</v>
      </c>
      <c r="D2262" s="474">
        <v>309.02146844138377</v>
      </c>
      <c r="E2262" s="2"/>
      <c r="F2262" s="2"/>
      <c r="G2262" s="2"/>
      <c r="H2262" s="2"/>
      <c r="I2262" s="21"/>
      <c r="J2262" s="21"/>
      <c r="K2262" s="21"/>
    </row>
    <row r="2263" spans="1:11" ht="15.5" x14ac:dyDescent="0.35">
      <c r="A2263" s="472" t="s">
        <v>963</v>
      </c>
      <c r="B2263" s="473">
        <v>2036</v>
      </c>
      <c r="C2263" s="473" t="str">
        <f t="shared" si="60"/>
        <v>Solano_2036</v>
      </c>
      <c r="D2263" s="474">
        <v>305.69943008022187</v>
      </c>
      <c r="E2263" s="2"/>
      <c r="F2263" s="2"/>
      <c r="G2263" s="2"/>
      <c r="H2263" s="2"/>
      <c r="I2263" s="21"/>
      <c r="J2263" s="21"/>
      <c r="K2263" s="21"/>
    </row>
    <row r="2264" spans="1:11" ht="15.5" x14ac:dyDescent="0.35">
      <c r="A2264" s="472" t="s">
        <v>963</v>
      </c>
      <c r="B2264" s="473">
        <v>2037</v>
      </c>
      <c r="C2264" s="473" t="str">
        <f t="shared" si="60"/>
        <v>Solano_2037</v>
      </c>
      <c r="D2264" s="474">
        <v>302.88024828203282</v>
      </c>
      <c r="E2264" s="2"/>
      <c r="F2264" s="2"/>
      <c r="G2264" s="2"/>
      <c r="H2264" s="2"/>
      <c r="I2264" s="21"/>
      <c r="J2264" s="21"/>
      <c r="K2264" s="21"/>
    </row>
    <row r="2265" spans="1:11" ht="15.5" x14ac:dyDescent="0.35">
      <c r="A2265" s="472" t="s">
        <v>963</v>
      </c>
      <c r="B2265" s="473">
        <v>2038</v>
      </c>
      <c r="C2265" s="473" t="str">
        <f t="shared" si="60"/>
        <v>Solano_2038</v>
      </c>
      <c r="D2265" s="474">
        <v>300.50797313456519</v>
      </c>
      <c r="E2265" s="2"/>
      <c r="F2265" s="2"/>
      <c r="G2265" s="2"/>
      <c r="H2265" s="2"/>
      <c r="I2265" s="21"/>
      <c r="J2265" s="21"/>
      <c r="K2265" s="21"/>
    </row>
    <row r="2266" spans="1:11" ht="15.5" x14ac:dyDescent="0.35">
      <c r="A2266" s="472" t="s">
        <v>963</v>
      </c>
      <c r="B2266" s="473">
        <v>2039</v>
      </c>
      <c r="C2266" s="473" t="str">
        <f t="shared" si="60"/>
        <v>Solano_2039</v>
      </c>
      <c r="D2266" s="474">
        <v>298.52667809465822</v>
      </c>
      <c r="E2266" s="2"/>
      <c r="F2266" s="2"/>
      <c r="G2266" s="2"/>
      <c r="H2266" s="2"/>
      <c r="I2266" s="21"/>
      <c r="J2266" s="21"/>
      <c r="K2266" s="21"/>
    </row>
    <row r="2267" spans="1:11" ht="15.5" x14ac:dyDescent="0.35">
      <c r="A2267" s="472" t="s">
        <v>963</v>
      </c>
      <c r="B2267" s="473">
        <v>2040</v>
      </c>
      <c r="C2267" s="473" t="str">
        <f t="shared" si="60"/>
        <v>Solano_2040</v>
      </c>
      <c r="D2267" s="474">
        <v>296.8795092879493</v>
      </c>
      <c r="E2267" s="2"/>
      <c r="F2267" s="2"/>
      <c r="G2267" s="2"/>
      <c r="H2267" s="2"/>
      <c r="I2267" s="21"/>
      <c r="J2267" s="21"/>
      <c r="K2267" s="21"/>
    </row>
    <row r="2268" spans="1:11" ht="15.5" x14ac:dyDescent="0.35">
      <c r="A2268" s="472" t="s">
        <v>963</v>
      </c>
      <c r="B2268" s="473">
        <v>2041</v>
      </c>
      <c r="C2268" s="473" t="str">
        <f t="shared" si="60"/>
        <v>Solano_2041</v>
      </c>
      <c r="D2268" s="474">
        <v>295.53376755403315</v>
      </c>
      <c r="E2268" s="2"/>
      <c r="F2268" s="2"/>
      <c r="G2268" s="2"/>
      <c r="H2268" s="2"/>
      <c r="I2268" s="21"/>
      <c r="J2268" s="21"/>
      <c r="K2268" s="21"/>
    </row>
    <row r="2269" spans="1:11" ht="15.5" x14ac:dyDescent="0.35">
      <c r="A2269" s="472" t="s">
        <v>963</v>
      </c>
      <c r="B2269" s="473">
        <v>2042</v>
      </c>
      <c r="C2269" s="473" t="str">
        <f t="shared" si="60"/>
        <v>Solano_2042</v>
      </c>
      <c r="D2269" s="474">
        <v>294.43005483341716</v>
      </c>
      <c r="E2269" s="2"/>
      <c r="F2269" s="2"/>
      <c r="G2269" s="2"/>
      <c r="H2269" s="2"/>
      <c r="I2269" s="21"/>
      <c r="J2269" s="21"/>
      <c r="K2269" s="21"/>
    </row>
    <row r="2270" spans="1:11" ht="15.5" x14ac:dyDescent="0.35">
      <c r="A2270" s="472" t="s">
        <v>963</v>
      </c>
      <c r="B2270" s="473">
        <v>2043</v>
      </c>
      <c r="C2270" s="473" t="str">
        <f t="shared" si="60"/>
        <v>Solano_2043</v>
      </c>
      <c r="D2270" s="474">
        <v>293.53486001732074</v>
      </c>
      <c r="E2270" s="2"/>
      <c r="F2270" s="2"/>
      <c r="G2270" s="2"/>
      <c r="H2270" s="2"/>
      <c r="I2270" s="21"/>
      <c r="J2270" s="21"/>
      <c r="K2270" s="21"/>
    </row>
    <row r="2271" spans="1:11" ht="15.5" x14ac:dyDescent="0.35">
      <c r="A2271" s="472" t="s">
        <v>963</v>
      </c>
      <c r="B2271" s="473">
        <v>2044</v>
      </c>
      <c r="C2271" s="473" t="str">
        <f t="shared" si="60"/>
        <v>Solano_2044</v>
      </c>
      <c r="D2271" s="474">
        <v>292.80468816341494</v>
      </c>
      <c r="E2271" s="2"/>
      <c r="F2271" s="2"/>
      <c r="G2271" s="2"/>
      <c r="H2271" s="2"/>
      <c r="I2271" s="21"/>
      <c r="J2271" s="21"/>
      <c r="K2271" s="21"/>
    </row>
    <row r="2272" spans="1:11" ht="15.5" x14ac:dyDescent="0.35">
      <c r="A2272" s="472" t="s">
        <v>963</v>
      </c>
      <c r="B2272" s="473">
        <v>2045</v>
      </c>
      <c r="C2272" s="473" t="str">
        <f t="shared" si="60"/>
        <v>Solano_2045</v>
      </c>
      <c r="D2272" s="474">
        <v>292.20359549783308</v>
      </c>
      <c r="E2272" s="2"/>
      <c r="F2272" s="2"/>
      <c r="G2272" s="2"/>
      <c r="H2272" s="2"/>
      <c r="I2272" s="21"/>
      <c r="J2272" s="21"/>
      <c r="K2272" s="21"/>
    </row>
    <row r="2273" spans="1:11" ht="15.5" x14ac:dyDescent="0.35">
      <c r="A2273" s="472" t="s">
        <v>963</v>
      </c>
      <c r="B2273" s="473">
        <v>2046</v>
      </c>
      <c r="C2273" s="473" t="str">
        <f t="shared" si="60"/>
        <v>Solano_2046</v>
      </c>
      <c r="D2273" s="474">
        <v>291.70772192823915</v>
      </c>
      <c r="E2273" s="2"/>
      <c r="F2273" s="2"/>
      <c r="G2273" s="2"/>
      <c r="H2273" s="2"/>
      <c r="I2273" s="21"/>
      <c r="J2273" s="21"/>
      <c r="K2273" s="21"/>
    </row>
    <row r="2274" spans="1:11" ht="15.5" x14ac:dyDescent="0.35">
      <c r="A2274" s="472" t="s">
        <v>963</v>
      </c>
      <c r="B2274" s="473">
        <v>2047</v>
      </c>
      <c r="C2274" s="473" t="str">
        <f t="shared" si="60"/>
        <v>Solano_2047</v>
      </c>
      <c r="D2274" s="474">
        <v>291.3056648176169</v>
      </c>
      <c r="E2274" s="2"/>
      <c r="F2274" s="2"/>
      <c r="G2274" s="2"/>
      <c r="H2274" s="2"/>
      <c r="I2274" s="21"/>
      <c r="J2274" s="21"/>
      <c r="K2274" s="21"/>
    </row>
    <row r="2275" spans="1:11" ht="15.5" x14ac:dyDescent="0.35">
      <c r="A2275" s="472" t="s">
        <v>963</v>
      </c>
      <c r="B2275" s="473">
        <v>2048</v>
      </c>
      <c r="C2275" s="473" t="str">
        <f t="shared" si="60"/>
        <v>Solano_2048</v>
      </c>
      <c r="D2275" s="474">
        <v>290.97573461318746</v>
      </c>
      <c r="E2275" s="2"/>
      <c r="F2275" s="2"/>
      <c r="G2275" s="2"/>
      <c r="H2275" s="2"/>
      <c r="I2275" s="21"/>
      <c r="J2275" s="21"/>
      <c r="K2275" s="21"/>
    </row>
    <row r="2276" spans="1:11" ht="15.5" x14ac:dyDescent="0.35">
      <c r="A2276" s="472" t="s">
        <v>963</v>
      </c>
      <c r="B2276" s="473">
        <v>2049</v>
      </c>
      <c r="C2276" s="473" t="str">
        <f t="shared" si="60"/>
        <v>Solano_2049</v>
      </c>
      <c r="D2276" s="474">
        <v>290.70577882943348</v>
      </c>
      <c r="E2276" s="2"/>
      <c r="F2276" s="2"/>
      <c r="G2276" s="2"/>
      <c r="H2276" s="2"/>
      <c r="I2276" s="21"/>
      <c r="J2276" s="21"/>
      <c r="K2276" s="21"/>
    </row>
    <row r="2277" spans="1:11" ht="15.5" x14ac:dyDescent="0.35">
      <c r="A2277" s="472" t="s">
        <v>963</v>
      </c>
      <c r="B2277" s="473">
        <v>2050</v>
      </c>
      <c r="C2277" s="473" t="str">
        <f t="shared" si="60"/>
        <v>Solano_2050</v>
      </c>
      <c r="D2277" s="474">
        <v>290.49093148136933</v>
      </c>
      <c r="E2277" s="2"/>
      <c r="F2277" s="2"/>
      <c r="G2277" s="2"/>
      <c r="H2277" s="2"/>
      <c r="I2277" s="21"/>
      <c r="J2277" s="21"/>
      <c r="K2277" s="21"/>
    </row>
    <row r="2278" spans="1:11" ht="15.5" x14ac:dyDescent="0.35">
      <c r="A2278" s="468" t="s">
        <v>966</v>
      </c>
      <c r="B2278" s="469">
        <v>2015</v>
      </c>
      <c r="C2278" s="470" t="s">
        <v>967</v>
      </c>
      <c r="D2278" s="471">
        <v>512.35291602576422</v>
      </c>
      <c r="E2278" s="2"/>
      <c r="F2278" s="2"/>
      <c r="G2278" s="2"/>
      <c r="H2278" s="2"/>
      <c r="I2278" s="21"/>
      <c r="J2278" s="21"/>
      <c r="K2278" s="21"/>
    </row>
    <row r="2279" spans="1:11" ht="15.5" x14ac:dyDescent="0.35">
      <c r="A2279" s="468" t="s">
        <v>966</v>
      </c>
      <c r="B2279" s="469">
        <v>2016</v>
      </c>
      <c r="C2279" s="470" t="s">
        <v>968</v>
      </c>
      <c r="D2279" s="471">
        <v>502.04699269318883</v>
      </c>
      <c r="E2279" s="2"/>
      <c r="F2279" s="2"/>
      <c r="G2279" s="2"/>
      <c r="H2279" s="2"/>
      <c r="I2279" s="21"/>
      <c r="J2279" s="21"/>
      <c r="K2279" s="21"/>
    </row>
    <row r="2280" spans="1:11" ht="15.5" x14ac:dyDescent="0.35">
      <c r="A2280" s="472" t="s">
        <v>966</v>
      </c>
      <c r="B2280" s="473">
        <v>2017</v>
      </c>
      <c r="C2280" s="473" t="str">
        <f t="shared" ref="C2280:C2343" si="61">CONCATENATE(A2280,"_",B2280)</f>
        <v>Sonoma_2017</v>
      </c>
      <c r="D2280" s="474">
        <v>489.60861076884765</v>
      </c>
      <c r="E2280" s="2"/>
      <c r="F2280" s="2"/>
      <c r="G2280" s="2"/>
      <c r="H2280" s="2"/>
      <c r="I2280" s="21"/>
      <c r="J2280" s="21"/>
      <c r="K2280" s="21"/>
    </row>
    <row r="2281" spans="1:11" ht="15.5" x14ac:dyDescent="0.35">
      <c r="A2281" s="472" t="s">
        <v>966</v>
      </c>
      <c r="B2281" s="473">
        <v>2018</v>
      </c>
      <c r="C2281" s="473" t="str">
        <f t="shared" si="61"/>
        <v>Sonoma_2018</v>
      </c>
      <c r="D2281" s="474">
        <v>476.51620161125953</v>
      </c>
      <c r="E2281" s="2"/>
      <c r="F2281" s="2"/>
      <c r="G2281" s="2"/>
      <c r="H2281" s="2"/>
      <c r="I2281" s="21"/>
      <c r="J2281" s="21"/>
      <c r="K2281" s="21"/>
    </row>
    <row r="2282" spans="1:11" ht="15.5" x14ac:dyDescent="0.35">
      <c r="A2282" s="472" t="s">
        <v>966</v>
      </c>
      <c r="B2282" s="473">
        <v>2019</v>
      </c>
      <c r="C2282" s="473" t="str">
        <f t="shared" si="61"/>
        <v>Sonoma_2019</v>
      </c>
      <c r="D2282" s="474">
        <v>463.02516183166568</v>
      </c>
      <c r="E2282" s="2"/>
      <c r="F2282" s="2"/>
      <c r="G2282" s="2"/>
      <c r="H2282" s="2"/>
      <c r="I2282" s="21"/>
      <c r="J2282" s="21"/>
      <c r="K2282" s="21"/>
    </row>
    <row r="2283" spans="1:11" ht="15.5" x14ac:dyDescent="0.35">
      <c r="A2283" s="472" t="s">
        <v>966</v>
      </c>
      <c r="B2283" s="473">
        <v>2020</v>
      </c>
      <c r="C2283" s="473" t="str">
        <f t="shared" si="61"/>
        <v>Sonoma_2020</v>
      </c>
      <c r="D2283" s="474">
        <v>449.2978422402864</v>
      </c>
      <c r="E2283" s="2"/>
      <c r="F2283" s="2"/>
      <c r="G2283" s="2"/>
      <c r="H2283" s="2"/>
      <c r="I2283" s="21"/>
      <c r="J2283" s="21"/>
      <c r="K2283" s="21"/>
    </row>
    <row r="2284" spans="1:11" ht="15.5" x14ac:dyDescent="0.35">
      <c r="A2284" s="472" t="s">
        <v>966</v>
      </c>
      <c r="B2284" s="473">
        <v>2021</v>
      </c>
      <c r="C2284" s="473" t="str">
        <f t="shared" si="61"/>
        <v>Sonoma_2021</v>
      </c>
      <c r="D2284" s="474">
        <v>435.46582068437414</v>
      </c>
      <c r="E2284" s="2"/>
      <c r="F2284" s="2"/>
      <c r="G2284" s="2"/>
      <c r="H2284" s="2"/>
      <c r="I2284" s="21"/>
      <c r="J2284" s="21"/>
      <c r="K2284" s="21"/>
    </row>
    <row r="2285" spans="1:11" ht="15.5" x14ac:dyDescent="0.35">
      <c r="A2285" s="472" t="s">
        <v>966</v>
      </c>
      <c r="B2285" s="473">
        <v>2022</v>
      </c>
      <c r="C2285" s="473" t="str">
        <f t="shared" si="61"/>
        <v>Sonoma_2022</v>
      </c>
      <c r="D2285" s="474">
        <v>421.81926603276872</v>
      </c>
      <c r="E2285" s="2"/>
      <c r="F2285" s="2"/>
      <c r="G2285" s="2"/>
      <c r="H2285" s="2"/>
      <c r="I2285" s="21"/>
      <c r="J2285" s="21"/>
      <c r="K2285" s="21"/>
    </row>
    <row r="2286" spans="1:11" ht="15.5" x14ac:dyDescent="0.35">
      <c r="A2286" s="472" t="s">
        <v>966</v>
      </c>
      <c r="B2286" s="473">
        <v>2023</v>
      </c>
      <c r="C2286" s="473" t="str">
        <f t="shared" si="61"/>
        <v>Sonoma_2023</v>
      </c>
      <c r="D2286" s="474">
        <v>408.37430235913229</v>
      </c>
      <c r="E2286" s="2"/>
      <c r="F2286" s="2"/>
      <c r="G2286" s="2"/>
      <c r="H2286" s="2"/>
      <c r="I2286" s="21"/>
      <c r="J2286" s="21"/>
      <c r="K2286" s="21"/>
    </row>
    <row r="2287" spans="1:11" ht="15.5" x14ac:dyDescent="0.35">
      <c r="A2287" s="472" t="s">
        <v>966</v>
      </c>
      <c r="B2287" s="473">
        <v>2024</v>
      </c>
      <c r="C2287" s="473" t="str">
        <f t="shared" si="61"/>
        <v>Sonoma_2024</v>
      </c>
      <c r="D2287" s="474">
        <v>395.17367441288815</v>
      </c>
      <c r="E2287" s="2"/>
      <c r="F2287" s="2"/>
      <c r="G2287" s="2"/>
      <c r="H2287" s="2"/>
      <c r="I2287" s="21"/>
      <c r="J2287" s="21"/>
      <c r="K2287" s="21"/>
    </row>
    <row r="2288" spans="1:11" ht="15.5" x14ac:dyDescent="0.35">
      <c r="A2288" s="472" t="s">
        <v>966</v>
      </c>
      <c r="B2288" s="473">
        <v>2025</v>
      </c>
      <c r="C2288" s="473" t="str">
        <f t="shared" si="61"/>
        <v>Sonoma_2025</v>
      </c>
      <c r="D2288" s="474">
        <v>382.26135000407697</v>
      </c>
      <c r="E2288" s="2"/>
      <c r="F2288" s="2"/>
      <c r="G2288" s="2"/>
      <c r="H2288" s="2"/>
      <c r="I2288" s="21"/>
      <c r="J2288" s="21"/>
      <c r="K2288" s="21"/>
    </row>
    <row r="2289" spans="1:11" ht="15.5" x14ac:dyDescent="0.35">
      <c r="A2289" s="472" t="s">
        <v>966</v>
      </c>
      <c r="B2289" s="473">
        <v>2026</v>
      </c>
      <c r="C2289" s="473" t="str">
        <f t="shared" si="61"/>
        <v>Sonoma_2026</v>
      </c>
      <c r="D2289" s="474">
        <v>370.3774651959323</v>
      </c>
      <c r="E2289" s="2"/>
      <c r="F2289" s="2"/>
      <c r="G2289" s="2"/>
      <c r="H2289" s="2"/>
      <c r="I2289" s="21"/>
      <c r="J2289" s="21"/>
      <c r="K2289" s="21"/>
    </row>
    <row r="2290" spans="1:11" ht="15.5" x14ac:dyDescent="0.35">
      <c r="A2290" s="472" t="s">
        <v>966</v>
      </c>
      <c r="B2290" s="473">
        <v>2027</v>
      </c>
      <c r="C2290" s="473" t="str">
        <f t="shared" si="61"/>
        <v>Sonoma_2027</v>
      </c>
      <c r="D2290" s="474">
        <v>359.59827827279332</v>
      </c>
      <c r="E2290" s="2"/>
      <c r="F2290" s="2"/>
      <c r="G2290" s="2"/>
      <c r="H2290" s="2"/>
      <c r="I2290" s="21"/>
      <c r="J2290" s="21"/>
      <c r="K2290" s="21"/>
    </row>
    <row r="2291" spans="1:11" ht="15.5" x14ac:dyDescent="0.35">
      <c r="A2291" s="472" t="s">
        <v>966</v>
      </c>
      <c r="B2291" s="473">
        <v>2028</v>
      </c>
      <c r="C2291" s="473" t="str">
        <f t="shared" si="61"/>
        <v>Sonoma_2028</v>
      </c>
      <c r="D2291" s="474">
        <v>349.87134266634507</v>
      </c>
      <c r="E2291" s="2"/>
      <c r="F2291" s="2"/>
      <c r="G2291" s="2"/>
      <c r="H2291" s="2"/>
      <c r="I2291" s="21"/>
      <c r="J2291" s="21"/>
      <c r="K2291" s="21"/>
    </row>
    <row r="2292" spans="1:11" ht="15.5" x14ac:dyDescent="0.35">
      <c r="A2292" s="472" t="s">
        <v>966</v>
      </c>
      <c r="B2292" s="473">
        <v>2029</v>
      </c>
      <c r="C2292" s="473" t="str">
        <f t="shared" si="61"/>
        <v>Sonoma_2029</v>
      </c>
      <c r="D2292" s="474">
        <v>341.12528637638616</v>
      </c>
      <c r="E2292" s="2"/>
      <c r="F2292" s="2"/>
      <c r="G2292" s="2"/>
      <c r="H2292" s="2"/>
      <c r="I2292" s="21"/>
      <c r="J2292" s="21"/>
      <c r="K2292" s="21"/>
    </row>
    <row r="2293" spans="1:11" ht="15.5" x14ac:dyDescent="0.35">
      <c r="A2293" s="472" t="s">
        <v>966</v>
      </c>
      <c r="B2293" s="473">
        <v>2030</v>
      </c>
      <c r="C2293" s="473" t="str">
        <f t="shared" si="61"/>
        <v>Sonoma_2030</v>
      </c>
      <c r="D2293" s="474">
        <v>333.30095511541572</v>
      </c>
      <c r="E2293" s="2"/>
      <c r="F2293" s="2"/>
      <c r="G2293" s="2"/>
      <c r="H2293" s="2"/>
      <c r="I2293" s="21"/>
      <c r="J2293" s="21"/>
      <c r="K2293" s="21"/>
    </row>
    <row r="2294" spans="1:11" ht="15.5" x14ac:dyDescent="0.35">
      <c r="A2294" s="472" t="s">
        <v>966</v>
      </c>
      <c r="B2294" s="473">
        <v>2031</v>
      </c>
      <c r="C2294" s="473" t="str">
        <f t="shared" si="61"/>
        <v>Sonoma_2031</v>
      </c>
      <c r="D2294" s="474">
        <v>326.32317438297002</v>
      </c>
      <c r="E2294" s="2"/>
      <c r="F2294" s="2"/>
      <c r="G2294" s="2"/>
      <c r="H2294" s="2"/>
      <c r="I2294" s="21"/>
      <c r="J2294" s="21"/>
      <c r="K2294" s="21"/>
    </row>
    <row r="2295" spans="1:11" ht="15.5" x14ac:dyDescent="0.35">
      <c r="A2295" s="472" t="s">
        <v>966</v>
      </c>
      <c r="B2295" s="473">
        <v>2032</v>
      </c>
      <c r="C2295" s="473" t="str">
        <f t="shared" si="61"/>
        <v>Sonoma_2032</v>
      </c>
      <c r="D2295" s="474">
        <v>320.15447757407861</v>
      </c>
      <c r="E2295" s="2"/>
      <c r="F2295" s="2"/>
      <c r="G2295" s="2"/>
      <c r="H2295" s="2"/>
      <c r="I2295" s="21"/>
      <c r="J2295" s="21"/>
      <c r="K2295" s="21"/>
    </row>
    <row r="2296" spans="1:11" ht="15.5" x14ac:dyDescent="0.35">
      <c r="A2296" s="472" t="s">
        <v>966</v>
      </c>
      <c r="B2296" s="473">
        <v>2033</v>
      </c>
      <c r="C2296" s="473" t="str">
        <f t="shared" si="61"/>
        <v>Sonoma_2033</v>
      </c>
      <c r="D2296" s="474">
        <v>314.71155483654178</v>
      </c>
      <c r="E2296" s="2"/>
      <c r="F2296" s="2"/>
      <c r="G2296" s="2"/>
      <c r="H2296" s="2"/>
      <c r="I2296" s="21"/>
      <c r="J2296" s="21"/>
      <c r="K2296" s="21"/>
    </row>
    <row r="2297" spans="1:11" ht="15.5" x14ac:dyDescent="0.35">
      <c r="A2297" s="472" t="s">
        <v>966</v>
      </c>
      <c r="B2297" s="473">
        <v>2034</v>
      </c>
      <c r="C2297" s="473" t="str">
        <f t="shared" si="61"/>
        <v>Sonoma_2034</v>
      </c>
      <c r="D2297" s="474">
        <v>309.93525109220252</v>
      </c>
      <c r="E2297" s="2"/>
      <c r="F2297" s="2"/>
      <c r="G2297" s="2"/>
      <c r="H2297" s="2"/>
      <c r="I2297" s="21"/>
      <c r="J2297" s="21"/>
      <c r="K2297" s="21"/>
    </row>
    <row r="2298" spans="1:11" ht="15.5" x14ac:dyDescent="0.35">
      <c r="A2298" s="472" t="s">
        <v>966</v>
      </c>
      <c r="B2298" s="473">
        <v>2035</v>
      </c>
      <c r="C2298" s="473" t="str">
        <f t="shared" si="61"/>
        <v>Sonoma_2035</v>
      </c>
      <c r="D2298" s="474">
        <v>305.7741161743071</v>
      </c>
      <c r="E2298" s="2"/>
      <c r="F2298" s="2"/>
      <c r="G2298" s="2"/>
      <c r="H2298" s="2"/>
      <c r="I2298" s="21"/>
      <c r="J2298" s="21"/>
      <c r="K2298" s="21"/>
    </row>
    <row r="2299" spans="1:11" ht="15.5" x14ac:dyDescent="0.35">
      <c r="A2299" s="472" t="s">
        <v>966</v>
      </c>
      <c r="B2299" s="473">
        <v>2036</v>
      </c>
      <c r="C2299" s="473" t="str">
        <f t="shared" si="61"/>
        <v>Sonoma_2036</v>
      </c>
      <c r="D2299" s="474">
        <v>302.17926120647076</v>
      </c>
      <c r="E2299" s="2"/>
      <c r="F2299" s="2"/>
      <c r="G2299" s="2"/>
      <c r="H2299" s="2"/>
      <c r="I2299" s="21"/>
      <c r="J2299" s="21"/>
      <c r="K2299" s="21"/>
    </row>
    <row r="2300" spans="1:11" ht="15.5" x14ac:dyDescent="0.35">
      <c r="A2300" s="472" t="s">
        <v>966</v>
      </c>
      <c r="B2300" s="473">
        <v>2037</v>
      </c>
      <c r="C2300" s="473" t="str">
        <f t="shared" si="61"/>
        <v>Sonoma_2037</v>
      </c>
      <c r="D2300" s="474">
        <v>299.11288977736012</v>
      </c>
      <c r="E2300" s="2"/>
      <c r="F2300" s="2"/>
      <c r="G2300" s="2"/>
      <c r="H2300" s="2"/>
      <c r="I2300" s="21"/>
      <c r="J2300" s="21"/>
      <c r="K2300" s="21"/>
    </row>
    <row r="2301" spans="1:11" ht="15.5" x14ac:dyDescent="0.35">
      <c r="A2301" s="472" t="s">
        <v>966</v>
      </c>
      <c r="B2301" s="473">
        <v>2038</v>
      </c>
      <c r="C2301" s="473" t="str">
        <f t="shared" si="61"/>
        <v>Sonoma_2038</v>
      </c>
      <c r="D2301" s="474">
        <v>296.51715048501734</v>
      </c>
      <c r="E2301" s="2"/>
      <c r="F2301" s="2"/>
      <c r="G2301" s="2"/>
      <c r="H2301" s="2"/>
      <c r="I2301" s="21"/>
      <c r="J2301" s="21"/>
      <c r="K2301" s="21"/>
    </row>
    <row r="2302" spans="1:11" ht="15.5" x14ac:dyDescent="0.35">
      <c r="A2302" s="472" t="s">
        <v>966</v>
      </c>
      <c r="B2302" s="473">
        <v>2039</v>
      </c>
      <c r="C2302" s="473" t="str">
        <f t="shared" si="61"/>
        <v>Sonoma_2039</v>
      </c>
      <c r="D2302" s="474">
        <v>294.32712079201974</v>
      </c>
      <c r="E2302" s="2"/>
      <c r="F2302" s="2"/>
      <c r="G2302" s="2"/>
      <c r="H2302" s="2"/>
      <c r="I2302" s="21"/>
      <c r="J2302" s="21"/>
      <c r="K2302" s="21"/>
    </row>
    <row r="2303" spans="1:11" ht="15.5" x14ac:dyDescent="0.35">
      <c r="A2303" s="472" t="s">
        <v>966</v>
      </c>
      <c r="B2303" s="473">
        <v>2040</v>
      </c>
      <c r="C2303" s="473" t="str">
        <f t="shared" si="61"/>
        <v>Sonoma_2040</v>
      </c>
      <c r="D2303" s="474">
        <v>292.4912132873809</v>
      </c>
      <c r="E2303" s="2"/>
      <c r="F2303" s="2"/>
      <c r="G2303" s="2"/>
      <c r="H2303" s="2"/>
      <c r="I2303" s="21"/>
      <c r="J2303" s="21"/>
      <c r="K2303" s="21"/>
    </row>
    <row r="2304" spans="1:11" ht="15.5" x14ac:dyDescent="0.35">
      <c r="A2304" s="472" t="s">
        <v>966</v>
      </c>
      <c r="B2304" s="473">
        <v>2041</v>
      </c>
      <c r="C2304" s="473" t="str">
        <f t="shared" si="61"/>
        <v>Sonoma_2041</v>
      </c>
      <c r="D2304" s="474">
        <v>290.98348035684586</v>
      </c>
      <c r="E2304" s="2"/>
      <c r="F2304" s="2"/>
      <c r="G2304" s="2"/>
      <c r="H2304" s="2"/>
      <c r="I2304" s="21"/>
      <c r="J2304" s="21"/>
      <c r="K2304" s="21"/>
    </row>
    <row r="2305" spans="1:11" ht="15.5" x14ac:dyDescent="0.35">
      <c r="A2305" s="472" t="s">
        <v>966</v>
      </c>
      <c r="B2305" s="473">
        <v>2042</v>
      </c>
      <c r="C2305" s="473" t="str">
        <f t="shared" si="61"/>
        <v>Sonoma_2042</v>
      </c>
      <c r="D2305" s="474">
        <v>289.73195785982068</v>
      </c>
      <c r="E2305" s="2"/>
      <c r="F2305" s="2"/>
      <c r="G2305" s="2"/>
      <c r="H2305" s="2"/>
      <c r="I2305" s="21"/>
      <c r="J2305" s="21"/>
      <c r="K2305" s="21"/>
    </row>
    <row r="2306" spans="1:11" ht="15.5" x14ac:dyDescent="0.35">
      <c r="A2306" s="472" t="s">
        <v>966</v>
      </c>
      <c r="B2306" s="473">
        <v>2043</v>
      </c>
      <c r="C2306" s="473" t="str">
        <f t="shared" si="61"/>
        <v>Sonoma_2043</v>
      </c>
      <c r="D2306" s="474">
        <v>288.70574884551036</v>
      </c>
      <c r="E2306" s="2"/>
      <c r="F2306" s="2"/>
      <c r="G2306" s="2"/>
      <c r="H2306" s="2"/>
      <c r="I2306" s="21"/>
      <c r="J2306" s="21"/>
      <c r="K2306" s="21"/>
    </row>
    <row r="2307" spans="1:11" ht="15.5" x14ac:dyDescent="0.35">
      <c r="A2307" s="472" t="s">
        <v>966</v>
      </c>
      <c r="B2307" s="473">
        <v>2044</v>
      </c>
      <c r="C2307" s="473" t="str">
        <f t="shared" si="61"/>
        <v>Sonoma_2044</v>
      </c>
      <c r="D2307" s="474">
        <v>287.86051514233259</v>
      </c>
      <c r="E2307" s="2"/>
      <c r="F2307" s="2"/>
      <c r="G2307" s="2"/>
      <c r="H2307" s="2"/>
      <c r="I2307" s="21"/>
      <c r="J2307" s="21"/>
      <c r="K2307" s="21"/>
    </row>
    <row r="2308" spans="1:11" ht="15.5" x14ac:dyDescent="0.35">
      <c r="A2308" s="472" t="s">
        <v>966</v>
      </c>
      <c r="B2308" s="473">
        <v>2045</v>
      </c>
      <c r="C2308" s="473" t="str">
        <f t="shared" si="61"/>
        <v>Sonoma_2045</v>
      </c>
      <c r="D2308" s="474">
        <v>287.15070895481978</v>
      </c>
      <c r="E2308" s="2"/>
      <c r="F2308" s="2"/>
      <c r="G2308" s="2"/>
      <c r="H2308" s="2"/>
      <c r="I2308" s="21"/>
      <c r="J2308" s="21"/>
      <c r="K2308" s="21"/>
    </row>
    <row r="2309" spans="1:11" ht="15.5" x14ac:dyDescent="0.35">
      <c r="A2309" s="472" t="s">
        <v>966</v>
      </c>
      <c r="B2309" s="473">
        <v>2046</v>
      </c>
      <c r="C2309" s="473" t="str">
        <f t="shared" si="61"/>
        <v>Sonoma_2046</v>
      </c>
      <c r="D2309" s="474">
        <v>286.55963692769052</v>
      </c>
      <c r="E2309" s="2"/>
      <c r="F2309" s="2"/>
      <c r="G2309" s="2"/>
      <c r="H2309" s="2"/>
      <c r="I2309" s="21"/>
      <c r="J2309" s="21"/>
      <c r="K2309" s="21"/>
    </row>
    <row r="2310" spans="1:11" ht="15.5" x14ac:dyDescent="0.35">
      <c r="A2310" s="472" t="s">
        <v>966</v>
      </c>
      <c r="B2310" s="473">
        <v>2047</v>
      </c>
      <c r="C2310" s="473" t="str">
        <f t="shared" si="61"/>
        <v>Sonoma_2047</v>
      </c>
      <c r="D2310" s="474">
        <v>286.07857330817887</v>
      </c>
      <c r="E2310" s="2"/>
      <c r="F2310" s="2"/>
      <c r="G2310" s="2"/>
      <c r="H2310" s="2"/>
      <c r="I2310" s="21"/>
      <c r="J2310" s="21"/>
      <c r="K2310" s="21"/>
    </row>
    <row r="2311" spans="1:11" ht="15.5" x14ac:dyDescent="0.35">
      <c r="A2311" s="472" t="s">
        <v>966</v>
      </c>
      <c r="B2311" s="473">
        <v>2048</v>
      </c>
      <c r="C2311" s="473" t="str">
        <f t="shared" si="61"/>
        <v>Sonoma_2048</v>
      </c>
      <c r="D2311" s="474">
        <v>285.68578739542636</v>
      </c>
      <c r="E2311" s="2"/>
      <c r="F2311" s="2"/>
      <c r="G2311" s="2"/>
      <c r="H2311" s="2"/>
      <c r="I2311" s="21"/>
      <c r="J2311" s="21"/>
      <c r="K2311" s="21"/>
    </row>
    <row r="2312" spans="1:11" ht="15.5" x14ac:dyDescent="0.35">
      <c r="A2312" s="472" t="s">
        <v>966</v>
      </c>
      <c r="B2312" s="473">
        <v>2049</v>
      </c>
      <c r="C2312" s="473" t="str">
        <f t="shared" si="61"/>
        <v>Sonoma_2049</v>
      </c>
      <c r="D2312" s="474">
        <v>285.36173917174796</v>
      </c>
      <c r="E2312" s="2"/>
      <c r="F2312" s="2"/>
      <c r="G2312" s="2"/>
      <c r="H2312" s="2"/>
      <c r="I2312" s="21"/>
      <c r="J2312" s="21"/>
      <c r="K2312" s="21"/>
    </row>
    <row r="2313" spans="1:11" ht="15.5" x14ac:dyDescent="0.35">
      <c r="A2313" s="472" t="s">
        <v>966</v>
      </c>
      <c r="B2313" s="473">
        <v>2050</v>
      </c>
      <c r="C2313" s="473" t="str">
        <f t="shared" si="61"/>
        <v>Sonoma_2050</v>
      </c>
      <c r="D2313" s="474">
        <v>285.10080602752123</v>
      </c>
      <c r="E2313" s="2"/>
      <c r="F2313" s="2"/>
      <c r="G2313" s="2"/>
      <c r="H2313" s="2"/>
      <c r="I2313" s="21"/>
      <c r="J2313" s="21"/>
      <c r="K2313" s="21"/>
    </row>
    <row r="2314" spans="1:11" ht="15.5" x14ac:dyDescent="0.35">
      <c r="A2314" s="475" t="s">
        <v>969</v>
      </c>
      <c r="B2314" s="476">
        <v>2015</v>
      </c>
      <c r="C2314" s="476" t="str">
        <f t="shared" si="61"/>
        <v>South Central Coast_2015</v>
      </c>
      <c r="D2314" s="471">
        <v>495.78784981511166</v>
      </c>
      <c r="E2314" s="2"/>
      <c r="F2314" s="2"/>
      <c r="G2314" s="2"/>
      <c r="H2314" s="2"/>
      <c r="I2314" s="21"/>
      <c r="J2314" s="21"/>
      <c r="K2314" s="21"/>
    </row>
    <row r="2315" spans="1:11" ht="15.5" x14ac:dyDescent="0.35">
      <c r="A2315" s="475" t="s">
        <v>969</v>
      </c>
      <c r="B2315" s="476">
        <v>2016</v>
      </c>
      <c r="C2315" s="476" t="str">
        <f t="shared" si="61"/>
        <v>South Central Coast_2016</v>
      </c>
      <c r="D2315" s="471">
        <v>486.26262987912884</v>
      </c>
      <c r="E2315" s="2"/>
      <c r="F2315" s="2"/>
      <c r="G2315" s="2"/>
      <c r="H2315" s="2"/>
      <c r="I2315" s="21"/>
      <c r="J2315" s="21"/>
      <c r="K2315" s="21"/>
    </row>
    <row r="2316" spans="1:11" ht="15.5" x14ac:dyDescent="0.35">
      <c r="A2316" s="477" t="s">
        <v>969</v>
      </c>
      <c r="B2316" s="478">
        <v>2017</v>
      </c>
      <c r="C2316" s="478" t="str">
        <f t="shared" si="61"/>
        <v>South Central Coast_2017</v>
      </c>
      <c r="D2316" s="474">
        <v>474.67234848196733</v>
      </c>
      <c r="E2316" s="2"/>
      <c r="F2316" s="2"/>
      <c r="G2316" s="2"/>
      <c r="H2316" s="2"/>
      <c r="I2316" s="21"/>
      <c r="J2316" s="21"/>
      <c r="K2316" s="21"/>
    </row>
    <row r="2317" spans="1:11" ht="15.5" x14ac:dyDescent="0.35">
      <c r="A2317" s="477" t="s">
        <v>969</v>
      </c>
      <c r="B2317" s="478">
        <v>2018</v>
      </c>
      <c r="C2317" s="478" t="str">
        <f t="shared" si="61"/>
        <v>South Central Coast_2018</v>
      </c>
      <c r="D2317" s="474">
        <v>462.60947947378895</v>
      </c>
      <c r="E2317" s="2"/>
      <c r="F2317" s="2"/>
      <c r="G2317" s="2"/>
      <c r="H2317" s="2"/>
      <c r="I2317" s="21"/>
      <c r="J2317" s="21"/>
      <c r="K2317" s="21"/>
    </row>
    <row r="2318" spans="1:11" ht="15.5" x14ac:dyDescent="0.35">
      <c r="A2318" s="477" t="s">
        <v>969</v>
      </c>
      <c r="B2318" s="478">
        <v>2019</v>
      </c>
      <c r="C2318" s="478" t="str">
        <f t="shared" si="61"/>
        <v>South Central Coast_2019</v>
      </c>
      <c r="D2318" s="474">
        <v>450.52203983488675</v>
      </c>
      <c r="E2318" s="2"/>
      <c r="F2318" s="2"/>
      <c r="G2318" s="2"/>
      <c r="H2318" s="2"/>
      <c r="I2318" s="21"/>
      <c r="J2318" s="21"/>
      <c r="K2318" s="21"/>
    </row>
    <row r="2319" spans="1:11" ht="15.5" x14ac:dyDescent="0.35">
      <c r="A2319" s="477" t="s">
        <v>969</v>
      </c>
      <c r="B2319" s="478">
        <v>2020</v>
      </c>
      <c r="C2319" s="478" t="str">
        <f t="shared" si="61"/>
        <v>South Central Coast_2020</v>
      </c>
      <c r="D2319" s="474">
        <v>437.76294672031457</v>
      </c>
      <c r="E2319" s="2"/>
      <c r="F2319" s="2"/>
      <c r="G2319" s="2"/>
      <c r="H2319" s="2"/>
      <c r="I2319" s="21"/>
      <c r="J2319" s="21"/>
      <c r="K2319" s="21"/>
    </row>
    <row r="2320" spans="1:11" ht="15.5" x14ac:dyDescent="0.35">
      <c r="A2320" s="477" t="s">
        <v>969</v>
      </c>
      <c r="B2320" s="478">
        <v>2021</v>
      </c>
      <c r="C2320" s="478" t="str">
        <f t="shared" si="61"/>
        <v>South Central Coast_2021</v>
      </c>
      <c r="D2320" s="474">
        <v>425.62452458076552</v>
      </c>
      <c r="E2320" s="2"/>
      <c r="F2320" s="2"/>
      <c r="G2320" s="2"/>
      <c r="H2320" s="2"/>
      <c r="I2320" s="21"/>
      <c r="J2320" s="21"/>
      <c r="K2320" s="21"/>
    </row>
    <row r="2321" spans="1:11" ht="15.5" x14ac:dyDescent="0.35">
      <c r="A2321" s="477" t="s">
        <v>969</v>
      </c>
      <c r="B2321" s="478">
        <v>2022</v>
      </c>
      <c r="C2321" s="478" t="str">
        <f t="shared" si="61"/>
        <v>South Central Coast_2022</v>
      </c>
      <c r="D2321" s="474">
        <v>412.82266880245561</v>
      </c>
      <c r="E2321" s="2"/>
      <c r="F2321" s="2"/>
      <c r="G2321" s="2"/>
      <c r="H2321" s="2"/>
      <c r="I2321" s="21"/>
      <c r="J2321" s="21"/>
      <c r="K2321" s="21"/>
    </row>
    <row r="2322" spans="1:11" ht="15.5" x14ac:dyDescent="0.35">
      <c r="A2322" s="477" t="s">
        <v>969</v>
      </c>
      <c r="B2322" s="478">
        <v>2023</v>
      </c>
      <c r="C2322" s="478" t="str">
        <f t="shared" si="61"/>
        <v>South Central Coast_2023</v>
      </c>
      <c r="D2322" s="474">
        <v>400.10164924589668</v>
      </c>
      <c r="E2322" s="2"/>
      <c r="F2322" s="2"/>
      <c r="G2322" s="2"/>
      <c r="H2322" s="2"/>
      <c r="I2322" s="21"/>
      <c r="J2322" s="21"/>
      <c r="K2322" s="21"/>
    </row>
    <row r="2323" spans="1:11" ht="15.5" x14ac:dyDescent="0.35">
      <c r="A2323" s="477" t="s">
        <v>969</v>
      </c>
      <c r="B2323" s="478">
        <v>2024</v>
      </c>
      <c r="C2323" s="478" t="str">
        <f t="shared" si="61"/>
        <v>South Central Coast_2024</v>
      </c>
      <c r="D2323" s="474">
        <v>388.00055317271369</v>
      </c>
      <c r="E2323" s="2"/>
      <c r="F2323" s="2"/>
      <c r="G2323" s="2"/>
      <c r="H2323" s="2"/>
      <c r="I2323" s="21"/>
      <c r="J2323" s="21"/>
      <c r="K2323" s="21"/>
    </row>
    <row r="2324" spans="1:11" ht="15.5" x14ac:dyDescent="0.35">
      <c r="A2324" s="477" t="s">
        <v>969</v>
      </c>
      <c r="B2324" s="478">
        <v>2025</v>
      </c>
      <c r="C2324" s="478" t="str">
        <f t="shared" si="61"/>
        <v>South Central Coast_2025</v>
      </c>
      <c r="D2324" s="474">
        <v>375.5577340756119</v>
      </c>
      <c r="E2324" s="2"/>
      <c r="F2324" s="2"/>
      <c r="G2324" s="2"/>
      <c r="H2324" s="2"/>
      <c r="I2324" s="21"/>
      <c r="J2324" s="21"/>
      <c r="K2324" s="21"/>
    </row>
    <row r="2325" spans="1:11" ht="15.5" x14ac:dyDescent="0.35">
      <c r="A2325" s="477" t="s">
        <v>969</v>
      </c>
      <c r="B2325" s="478">
        <v>2026</v>
      </c>
      <c r="C2325" s="478" t="str">
        <f t="shared" si="61"/>
        <v>South Central Coast_2026</v>
      </c>
      <c r="D2325" s="474">
        <v>364.01960983898044</v>
      </c>
      <c r="E2325" s="2"/>
      <c r="F2325" s="2"/>
      <c r="G2325" s="2"/>
      <c r="H2325" s="2"/>
      <c r="I2325" s="21"/>
      <c r="J2325" s="21"/>
      <c r="K2325" s="21"/>
    </row>
    <row r="2326" spans="1:11" ht="15.5" x14ac:dyDescent="0.35">
      <c r="A2326" s="477" t="s">
        <v>969</v>
      </c>
      <c r="B2326" s="478">
        <v>2027</v>
      </c>
      <c r="C2326" s="478" t="str">
        <f t="shared" si="61"/>
        <v>South Central Coast_2027</v>
      </c>
      <c r="D2326" s="474">
        <v>353.6453220362439</v>
      </c>
      <c r="E2326" s="2"/>
      <c r="F2326" s="2"/>
      <c r="G2326" s="2"/>
      <c r="H2326" s="2"/>
      <c r="I2326" s="21"/>
      <c r="J2326" s="21"/>
      <c r="K2326" s="21"/>
    </row>
    <row r="2327" spans="1:11" ht="15.5" x14ac:dyDescent="0.35">
      <c r="A2327" s="477" t="s">
        <v>969</v>
      </c>
      <c r="B2327" s="478">
        <v>2028</v>
      </c>
      <c r="C2327" s="478" t="str">
        <f t="shared" si="61"/>
        <v>South Central Coast_2028</v>
      </c>
      <c r="D2327" s="474">
        <v>344.290046070926</v>
      </c>
      <c r="E2327" s="2"/>
      <c r="F2327" s="2"/>
      <c r="G2327" s="2"/>
      <c r="H2327" s="2"/>
      <c r="I2327" s="21"/>
      <c r="J2327" s="21"/>
      <c r="K2327" s="21"/>
    </row>
    <row r="2328" spans="1:11" ht="15.5" x14ac:dyDescent="0.35">
      <c r="A2328" s="477" t="s">
        <v>969</v>
      </c>
      <c r="B2328" s="478">
        <v>2029</v>
      </c>
      <c r="C2328" s="478" t="str">
        <f t="shared" si="61"/>
        <v>South Central Coast_2029</v>
      </c>
      <c r="D2328" s="474">
        <v>335.86452176349928</v>
      </c>
      <c r="E2328" s="2"/>
      <c r="F2328" s="2"/>
      <c r="G2328" s="2"/>
      <c r="H2328" s="2"/>
      <c r="I2328" s="21"/>
      <c r="J2328" s="21"/>
      <c r="K2328" s="21"/>
    </row>
    <row r="2329" spans="1:11" ht="15.5" x14ac:dyDescent="0.35">
      <c r="A2329" s="477" t="s">
        <v>969</v>
      </c>
      <c r="B2329" s="478">
        <v>2030</v>
      </c>
      <c r="C2329" s="478" t="str">
        <f t="shared" si="61"/>
        <v>South Central Coast_2030</v>
      </c>
      <c r="D2329" s="474">
        <v>328.32982935768678</v>
      </c>
      <c r="E2329" s="2"/>
      <c r="F2329" s="2"/>
      <c r="G2329" s="2"/>
      <c r="H2329" s="2"/>
      <c r="I2329" s="21"/>
      <c r="J2329" s="21"/>
      <c r="K2329" s="21"/>
    </row>
    <row r="2330" spans="1:11" ht="15.5" x14ac:dyDescent="0.35">
      <c r="A2330" s="477" t="s">
        <v>969</v>
      </c>
      <c r="B2330" s="478">
        <v>2031</v>
      </c>
      <c r="C2330" s="478" t="str">
        <f t="shared" si="61"/>
        <v>South Central Coast_2031</v>
      </c>
      <c r="D2330" s="474">
        <v>322.05999388651782</v>
      </c>
      <c r="E2330" s="2"/>
      <c r="F2330" s="2"/>
      <c r="G2330" s="2"/>
      <c r="H2330" s="2"/>
      <c r="I2330" s="21"/>
      <c r="J2330" s="21"/>
      <c r="K2330" s="21"/>
    </row>
    <row r="2331" spans="1:11" ht="15.5" x14ac:dyDescent="0.35">
      <c r="A2331" s="477" t="s">
        <v>969</v>
      </c>
      <c r="B2331" s="478">
        <v>2032</v>
      </c>
      <c r="C2331" s="478" t="str">
        <f t="shared" si="61"/>
        <v>South Central Coast_2032</v>
      </c>
      <c r="D2331" s="474">
        <v>316.1076516987203</v>
      </c>
      <c r="E2331" s="2"/>
      <c r="F2331" s="2"/>
      <c r="G2331" s="2"/>
      <c r="H2331" s="2"/>
      <c r="I2331" s="21"/>
      <c r="J2331" s="21"/>
      <c r="K2331" s="21"/>
    </row>
    <row r="2332" spans="1:11" ht="15.5" x14ac:dyDescent="0.35">
      <c r="A2332" s="477" t="s">
        <v>969</v>
      </c>
      <c r="B2332" s="478">
        <v>2033</v>
      </c>
      <c r="C2332" s="478" t="str">
        <f t="shared" si="61"/>
        <v>South Central Coast_2033</v>
      </c>
      <c r="D2332" s="474">
        <v>310.86668984221524</v>
      </c>
      <c r="E2332" s="2"/>
      <c r="F2332" s="2"/>
      <c r="G2332" s="2"/>
      <c r="H2332" s="2"/>
      <c r="I2332" s="21"/>
      <c r="J2332" s="21"/>
      <c r="K2332" s="21"/>
    </row>
    <row r="2333" spans="1:11" ht="15.5" x14ac:dyDescent="0.35">
      <c r="A2333" s="477" t="s">
        <v>969</v>
      </c>
      <c r="B2333" s="478">
        <v>2034</v>
      </c>
      <c r="C2333" s="478" t="str">
        <f t="shared" si="61"/>
        <v>South Central Coast_2034</v>
      </c>
      <c r="D2333" s="474">
        <v>306.26464773982389</v>
      </c>
      <c r="E2333" s="2"/>
      <c r="F2333" s="2"/>
      <c r="G2333" s="2"/>
      <c r="H2333" s="2"/>
      <c r="I2333" s="21"/>
      <c r="J2333" s="21"/>
      <c r="K2333" s="21"/>
    </row>
    <row r="2334" spans="1:11" ht="15.5" x14ac:dyDescent="0.35">
      <c r="A2334" s="477" t="s">
        <v>969</v>
      </c>
      <c r="B2334" s="478">
        <v>2035</v>
      </c>
      <c r="C2334" s="478" t="str">
        <f t="shared" si="61"/>
        <v>South Central Coast_2035</v>
      </c>
      <c r="D2334" s="474">
        <v>302.26016259090017</v>
      </c>
      <c r="E2334" s="2"/>
      <c r="F2334" s="2"/>
      <c r="G2334" s="2"/>
      <c r="H2334" s="2"/>
      <c r="I2334" s="21"/>
      <c r="J2334" s="21"/>
      <c r="K2334" s="21"/>
    </row>
    <row r="2335" spans="1:11" ht="15.5" x14ac:dyDescent="0.35">
      <c r="A2335" s="477" t="s">
        <v>969</v>
      </c>
      <c r="B2335" s="478">
        <v>2036</v>
      </c>
      <c r="C2335" s="478" t="str">
        <f t="shared" si="61"/>
        <v>South Central Coast_2036</v>
      </c>
      <c r="D2335" s="474">
        <v>298.79543090421208</v>
      </c>
      <c r="E2335" s="2"/>
      <c r="F2335" s="2"/>
      <c r="G2335" s="2"/>
      <c r="H2335" s="2"/>
      <c r="I2335" s="21"/>
      <c r="J2335" s="21"/>
      <c r="K2335" s="21"/>
    </row>
    <row r="2336" spans="1:11" ht="15.5" x14ac:dyDescent="0.35">
      <c r="A2336" s="477" t="s">
        <v>969</v>
      </c>
      <c r="B2336" s="478">
        <v>2037</v>
      </c>
      <c r="C2336" s="478" t="str">
        <f t="shared" si="61"/>
        <v>South Central Coast_2037</v>
      </c>
      <c r="D2336" s="474">
        <v>295.83288655381767</v>
      </c>
      <c r="E2336" s="2"/>
      <c r="F2336" s="2"/>
      <c r="G2336" s="2"/>
      <c r="H2336" s="2"/>
      <c r="I2336" s="21"/>
      <c r="J2336" s="21"/>
      <c r="K2336" s="21"/>
    </row>
    <row r="2337" spans="1:11" ht="15.5" x14ac:dyDescent="0.35">
      <c r="A2337" s="477" t="s">
        <v>969</v>
      </c>
      <c r="B2337" s="478">
        <v>2038</v>
      </c>
      <c r="C2337" s="478" t="str">
        <f t="shared" si="61"/>
        <v>South Central Coast_2038</v>
      </c>
      <c r="D2337" s="474">
        <v>293.31120007524743</v>
      </c>
      <c r="E2337" s="2"/>
      <c r="F2337" s="2"/>
      <c r="G2337" s="2"/>
      <c r="H2337" s="2"/>
      <c r="I2337" s="21"/>
      <c r="J2337" s="21"/>
      <c r="K2337" s="21"/>
    </row>
    <row r="2338" spans="1:11" ht="15.5" x14ac:dyDescent="0.35">
      <c r="A2338" s="477" t="s">
        <v>969</v>
      </c>
      <c r="B2338" s="478">
        <v>2039</v>
      </c>
      <c r="C2338" s="478" t="str">
        <f t="shared" si="61"/>
        <v>South Central Coast_2039</v>
      </c>
      <c r="D2338" s="474">
        <v>291.17062527909098</v>
      </c>
      <c r="E2338" s="2"/>
      <c r="F2338" s="2"/>
      <c r="G2338" s="2"/>
      <c r="H2338" s="2"/>
      <c r="I2338" s="21"/>
      <c r="J2338" s="21"/>
      <c r="K2338" s="21"/>
    </row>
    <row r="2339" spans="1:11" ht="15.5" x14ac:dyDescent="0.35">
      <c r="A2339" s="477" t="s">
        <v>969</v>
      </c>
      <c r="B2339" s="478">
        <v>2040</v>
      </c>
      <c r="C2339" s="478" t="str">
        <f t="shared" si="61"/>
        <v>South Central Coast_2040</v>
      </c>
      <c r="D2339" s="474">
        <v>289.36950631413475</v>
      </c>
      <c r="E2339" s="2"/>
      <c r="F2339" s="2"/>
      <c r="G2339" s="2"/>
      <c r="H2339" s="2"/>
      <c r="I2339" s="21"/>
      <c r="J2339" s="21"/>
      <c r="K2339" s="21"/>
    </row>
    <row r="2340" spans="1:11" ht="15.5" x14ac:dyDescent="0.35">
      <c r="A2340" s="477" t="s">
        <v>969</v>
      </c>
      <c r="B2340" s="478">
        <v>2041</v>
      </c>
      <c r="C2340" s="478" t="str">
        <f t="shared" si="61"/>
        <v>South Central Coast_2041</v>
      </c>
      <c r="D2340" s="474">
        <v>287.87615418625495</v>
      </c>
      <c r="E2340" s="2"/>
      <c r="F2340" s="2"/>
      <c r="G2340" s="2"/>
      <c r="H2340" s="2"/>
      <c r="I2340" s="21"/>
      <c r="J2340" s="21"/>
      <c r="K2340" s="21"/>
    </row>
    <row r="2341" spans="1:11" ht="15.5" x14ac:dyDescent="0.35">
      <c r="A2341" s="477" t="s">
        <v>969</v>
      </c>
      <c r="B2341" s="478">
        <v>2042</v>
      </c>
      <c r="C2341" s="478" t="str">
        <f t="shared" si="61"/>
        <v>South Central Coast_2042</v>
      </c>
      <c r="D2341" s="474">
        <v>286.62586982823797</v>
      </c>
      <c r="E2341" s="2"/>
      <c r="F2341" s="2"/>
      <c r="G2341" s="2"/>
      <c r="H2341" s="2"/>
      <c r="I2341" s="21"/>
      <c r="J2341" s="21"/>
      <c r="K2341" s="21"/>
    </row>
    <row r="2342" spans="1:11" ht="15.5" x14ac:dyDescent="0.35">
      <c r="A2342" s="477" t="s">
        <v>969</v>
      </c>
      <c r="B2342" s="478">
        <v>2043</v>
      </c>
      <c r="C2342" s="478" t="str">
        <f t="shared" si="61"/>
        <v>South Central Coast_2043</v>
      </c>
      <c r="D2342" s="474">
        <v>285.59127559470994</v>
      </c>
      <c r="E2342" s="2"/>
      <c r="F2342" s="2"/>
      <c r="G2342" s="2"/>
      <c r="H2342" s="2"/>
      <c r="I2342" s="21"/>
      <c r="J2342" s="21"/>
      <c r="K2342" s="21"/>
    </row>
    <row r="2343" spans="1:11" ht="15.5" x14ac:dyDescent="0.35">
      <c r="A2343" s="477" t="s">
        <v>969</v>
      </c>
      <c r="B2343" s="478">
        <v>2044</v>
      </c>
      <c r="C2343" s="478" t="str">
        <f t="shared" si="61"/>
        <v>South Central Coast_2044</v>
      </c>
      <c r="D2343" s="474">
        <v>284.72702050248029</v>
      </c>
      <c r="E2343" s="2"/>
      <c r="F2343" s="2"/>
      <c r="G2343" s="2"/>
      <c r="H2343" s="2"/>
      <c r="I2343" s="21"/>
      <c r="J2343" s="21"/>
      <c r="K2343" s="21"/>
    </row>
    <row r="2344" spans="1:11" ht="15.5" x14ac:dyDescent="0.35">
      <c r="A2344" s="477" t="s">
        <v>969</v>
      </c>
      <c r="B2344" s="478">
        <v>2045</v>
      </c>
      <c r="C2344" s="478" t="str">
        <f t="shared" ref="C2344:C2385" si="62">CONCATENATE(A2344,"_",B2344)</f>
        <v>South Central Coast_2045</v>
      </c>
      <c r="D2344" s="474">
        <v>283.99072596977692</v>
      </c>
      <c r="E2344" s="2"/>
      <c r="F2344" s="2"/>
      <c r="G2344" s="2"/>
      <c r="H2344" s="2"/>
      <c r="I2344" s="21"/>
      <c r="J2344" s="21"/>
      <c r="K2344" s="21"/>
    </row>
    <row r="2345" spans="1:11" ht="15.5" x14ac:dyDescent="0.35">
      <c r="A2345" s="477" t="s">
        <v>969</v>
      </c>
      <c r="B2345" s="478">
        <v>2046</v>
      </c>
      <c r="C2345" s="478" t="str">
        <f t="shared" si="62"/>
        <v>South Central Coast_2046</v>
      </c>
      <c r="D2345" s="474">
        <v>283.37282106755799</v>
      </c>
      <c r="E2345" s="2"/>
      <c r="F2345" s="2"/>
      <c r="G2345" s="2"/>
      <c r="H2345" s="2"/>
      <c r="I2345" s="21"/>
      <c r="J2345" s="21"/>
      <c r="K2345" s="21"/>
    </row>
    <row r="2346" spans="1:11" ht="15.5" x14ac:dyDescent="0.35">
      <c r="A2346" s="477" t="s">
        <v>969</v>
      </c>
      <c r="B2346" s="478">
        <v>2047</v>
      </c>
      <c r="C2346" s="478" t="str">
        <f t="shared" si="62"/>
        <v>South Central Coast_2047</v>
      </c>
      <c r="D2346" s="474">
        <v>282.8513441111557</v>
      </c>
      <c r="E2346" s="2"/>
      <c r="F2346" s="2"/>
      <c r="G2346" s="2"/>
      <c r="H2346" s="2"/>
      <c r="I2346" s="21"/>
      <c r="J2346" s="21"/>
      <c r="K2346" s="21"/>
    </row>
    <row r="2347" spans="1:11" ht="15.5" x14ac:dyDescent="0.35">
      <c r="A2347" s="477" t="s">
        <v>969</v>
      </c>
      <c r="B2347" s="478">
        <v>2048</v>
      </c>
      <c r="C2347" s="478" t="str">
        <f t="shared" si="62"/>
        <v>South Central Coast_2048</v>
      </c>
      <c r="D2347" s="474">
        <v>282.40764307550484</v>
      </c>
      <c r="E2347" s="2"/>
      <c r="F2347" s="2"/>
      <c r="G2347" s="2"/>
      <c r="H2347" s="2"/>
      <c r="I2347" s="21"/>
      <c r="J2347" s="21"/>
      <c r="K2347" s="21"/>
    </row>
    <row r="2348" spans="1:11" ht="15.5" x14ac:dyDescent="0.35">
      <c r="A2348" s="477" t="s">
        <v>969</v>
      </c>
      <c r="B2348" s="478">
        <v>2049</v>
      </c>
      <c r="C2348" s="478" t="str">
        <f t="shared" si="62"/>
        <v>South Central Coast_2049</v>
      </c>
      <c r="D2348" s="474">
        <v>282.03855055496797</v>
      </c>
      <c r="E2348" s="2"/>
      <c r="F2348" s="2"/>
      <c r="G2348" s="2"/>
      <c r="H2348" s="2"/>
      <c r="I2348" s="21"/>
      <c r="J2348" s="21"/>
      <c r="K2348" s="21"/>
    </row>
    <row r="2349" spans="1:11" ht="15.5" x14ac:dyDescent="0.35">
      <c r="A2349" s="477" t="s">
        <v>969</v>
      </c>
      <c r="B2349" s="478">
        <v>2050</v>
      </c>
      <c r="C2349" s="478" t="str">
        <f t="shared" si="62"/>
        <v>South Central Coast_2050</v>
      </c>
      <c r="D2349" s="474">
        <v>281.74571413537723</v>
      </c>
      <c r="E2349" s="2"/>
      <c r="F2349" s="2"/>
      <c r="G2349" s="2"/>
      <c r="H2349" s="2"/>
      <c r="I2349" s="21"/>
      <c r="J2349" s="21"/>
      <c r="K2349" s="21"/>
    </row>
    <row r="2350" spans="1:11" ht="15.5" x14ac:dyDescent="0.35">
      <c r="A2350" s="475" t="s">
        <v>970</v>
      </c>
      <c r="B2350" s="476">
        <v>2015</v>
      </c>
      <c r="C2350" s="476" t="str">
        <f t="shared" si="62"/>
        <v>South Coast_2015</v>
      </c>
      <c r="D2350" s="471">
        <v>506.43998880094853</v>
      </c>
      <c r="E2350" s="2"/>
      <c r="F2350" s="2"/>
      <c r="G2350" s="2"/>
      <c r="H2350" s="2"/>
      <c r="I2350" s="21"/>
      <c r="J2350" s="21"/>
      <c r="K2350" s="21"/>
    </row>
    <row r="2351" spans="1:11" ht="15.5" x14ac:dyDescent="0.35">
      <c r="A2351" s="475" t="s">
        <v>970</v>
      </c>
      <c r="B2351" s="476">
        <v>2016</v>
      </c>
      <c r="C2351" s="476" t="str">
        <f t="shared" si="62"/>
        <v>South Coast_2016</v>
      </c>
      <c r="D2351" s="471">
        <v>495.75692947282062</v>
      </c>
      <c r="E2351" s="2"/>
      <c r="F2351" s="2"/>
      <c r="G2351" s="2"/>
      <c r="H2351" s="2"/>
      <c r="I2351" s="21"/>
      <c r="J2351" s="21"/>
      <c r="K2351" s="21"/>
    </row>
    <row r="2352" spans="1:11" ht="15.5" x14ac:dyDescent="0.35">
      <c r="A2352" s="477" t="s">
        <v>970</v>
      </c>
      <c r="B2352" s="478">
        <v>2017</v>
      </c>
      <c r="C2352" s="478" t="str">
        <f t="shared" si="62"/>
        <v>South Coast_2017</v>
      </c>
      <c r="D2352" s="474">
        <v>484.45249697462469</v>
      </c>
      <c r="E2352" s="2"/>
      <c r="F2352" s="2"/>
      <c r="G2352" s="2"/>
      <c r="H2352" s="2"/>
      <c r="I2352" s="21"/>
      <c r="J2352" s="21"/>
      <c r="K2352" s="21"/>
    </row>
    <row r="2353" spans="1:11" ht="15.5" x14ac:dyDescent="0.35">
      <c r="A2353" s="477" t="s">
        <v>970</v>
      </c>
      <c r="B2353" s="478">
        <v>2018</v>
      </c>
      <c r="C2353" s="478" t="str">
        <f t="shared" si="62"/>
        <v>South Coast_2018</v>
      </c>
      <c r="D2353" s="474">
        <v>472.54646790433821</v>
      </c>
      <c r="E2353" s="2"/>
      <c r="F2353" s="2"/>
      <c r="G2353" s="2"/>
      <c r="H2353" s="2"/>
      <c r="I2353" s="21"/>
      <c r="J2353" s="21"/>
      <c r="K2353" s="21"/>
    </row>
    <row r="2354" spans="1:11" ht="15.5" x14ac:dyDescent="0.35">
      <c r="A2354" s="477" t="s">
        <v>970</v>
      </c>
      <c r="B2354" s="478">
        <v>2019</v>
      </c>
      <c r="C2354" s="478" t="str">
        <f t="shared" si="62"/>
        <v>South Coast_2019</v>
      </c>
      <c r="D2354" s="474">
        <v>459.77005503598775</v>
      </c>
      <c r="E2354" s="2"/>
      <c r="F2354" s="2"/>
      <c r="G2354" s="2"/>
      <c r="H2354" s="2"/>
      <c r="I2354" s="21"/>
      <c r="J2354" s="21"/>
      <c r="K2354" s="21"/>
    </row>
    <row r="2355" spans="1:11" ht="15.5" x14ac:dyDescent="0.35">
      <c r="A2355" s="477" t="s">
        <v>970</v>
      </c>
      <c r="B2355" s="478">
        <v>2020</v>
      </c>
      <c r="C2355" s="478" t="str">
        <f t="shared" si="62"/>
        <v>South Coast_2020</v>
      </c>
      <c r="D2355" s="474">
        <v>447.17887573595732</v>
      </c>
      <c r="E2355" s="2"/>
      <c r="F2355" s="2"/>
      <c r="G2355" s="2"/>
      <c r="H2355" s="2"/>
      <c r="I2355" s="21"/>
      <c r="J2355" s="21"/>
      <c r="K2355" s="21"/>
    </row>
    <row r="2356" spans="1:11" ht="15.5" x14ac:dyDescent="0.35">
      <c r="A2356" s="477" t="s">
        <v>970</v>
      </c>
      <c r="B2356" s="478">
        <v>2021</v>
      </c>
      <c r="C2356" s="478" t="str">
        <f t="shared" si="62"/>
        <v>South Coast_2021</v>
      </c>
      <c r="D2356" s="474">
        <v>434.98201931131433</v>
      </c>
      <c r="E2356" s="2"/>
      <c r="F2356" s="2"/>
      <c r="G2356" s="2"/>
      <c r="H2356" s="2"/>
      <c r="I2356" s="21"/>
      <c r="J2356" s="21"/>
      <c r="K2356" s="21"/>
    </row>
    <row r="2357" spans="1:11" ht="15.5" x14ac:dyDescent="0.35">
      <c r="A2357" s="477" t="s">
        <v>970</v>
      </c>
      <c r="B2357" s="478">
        <v>2022</v>
      </c>
      <c r="C2357" s="478" t="str">
        <f t="shared" si="62"/>
        <v>South Coast_2022</v>
      </c>
      <c r="D2357" s="474">
        <v>422.36167724699521</v>
      </c>
      <c r="E2357" s="2"/>
      <c r="F2357" s="2"/>
      <c r="G2357" s="2"/>
      <c r="H2357" s="2"/>
      <c r="I2357" s="21"/>
      <c r="J2357" s="21"/>
      <c r="K2357" s="21"/>
    </row>
    <row r="2358" spans="1:11" ht="15.5" x14ac:dyDescent="0.35">
      <c r="A2358" s="477" t="s">
        <v>970</v>
      </c>
      <c r="B2358" s="478">
        <v>2023</v>
      </c>
      <c r="C2358" s="478" t="str">
        <f t="shared" si="62"/>
        <v>South Coast_2023</v>
      </c>
      <c r="D2358" s="474">
        <v>409.81478514376056</v>
      </c>
      <c r="E2358" s="2"/>
      <c r="F2358" s="2"/>
      <c r="G2358" s="2"/>
      <c r="H2358" s="2"/>
      <c r="I2358" s="21"/>
      <c r="J2358" s="21"/>
      <c r="K2358" s="21"/>
    </row>
    <row r="2359" spans="1:11" ht="15.5" x14ac:dyDescent="0.35">
      <c r="A2359" s="477" t="s">
        <v>970</v>
      </c>
      <c r="B2359" s="478">
        <v>2024</v>
      </c>
      <c r="C2359" s="478" t="str">
        <f t="shared" si="62"/>
        <v>South Coast_2024</v>
      </c>
      <c r="D2359" s="474">
        <v>398.91893002987172</v>
      </c>
      <c r="E2359" s="2"/>
      <c r="F2359" s="2"/>
      <c r="G2359" s="2"/>
      <c r="H2359" s="2"/>
      <c r="I2359" s="21"/>
      <c r="J2359" s="21"/>
      <c r="K2359" s="21"/>
    </row>
    <row r="2360" spans="1:11" ht="15.5" x14ac:dyDescent="0.35">
      <c r="A2360" s="477" t="s">
        <v>970</v>
      </c>
      <c r="B2360" s="478">
        <v>2025</v>
      </c>
      <c r="C2360" s="478" t="str">
        <f t="shared" si="62"/>
        <v>South Coast_2025</v>
      </c>
      <c r="D2360" s="474">
        <v>386.55583706867094</v>
      </c>
      <c r="E2360" s="2"/>
      <c r="F2360" s="2"/>
      <c r="G2360" s="2"/>
      <c r="H2360" s="2"/>
      <c r="I2360" s="21"/>
      <c r="J2360" s="21"/>
      <c r="K2360" s="21"/>
    </row>
    <row r="2361" spans="1:11" ht="15.5" x14ac:dyDescent="0.35">
      <c r="A2361" s="477" t="s">
        <v>970</v>
      </c>
      <c r="B2361" s="478">
        <v>2026</v>
      </c>
      <c r="C2361" s="478" t="str">
        <f t="shared" si="62"/>
        <v>South Coast_2026</v>
      </c>
      <c r="D2361" s="474">
        <v>375.55825613896201</v>
      </c>
      <c r="E2361" s="2"/>
      <c r="F2361" s="2"/>
      <c r="G2361" s="2"/>
      <c r="H2361" s="2"/>
      <c r="I2361" s="21"/>
      <c r="J2361" s="21"/>
      <c r="K2361" s="21"/>
    </row>
    <row r="2362" spans="1:11" ht="15.5" x14ac:dyDescent="0.35">
      <c r="A2362" s="477" t="s">
        <v>970</v>
      </c>
      <c r="B2362" s="478">
        <v>2027</v>
      </c>
      <c r="C2362" s="478" t="str">
        <f t="shared" si="62"/>
        <v>South Coast_2027</v>
      </c>
      <c r="D2362" s="474">
        <v>365.70241594586156</v>
      </c>
      <c r="E2362" s="2"/>
      <c r="F2362" s="2"/>
      <c r="G2362" s="2"/>
      <c r="H2362" s="2"/>
      <c r="I2362" s="21"/>
      <c r="J2362" s="21"/>
      <c r="K2362" s="21"/>
    </row>
    <row r="2363" spans="1:11" ht="15.5" x14ac:dyDescent="0.35">
      <c r="A2363" s="477" t="s">
        <v>970</v>
      </c>
      <c r="B2363" s="478">
        <v>2028</v>
      </c>
      <c r="C2363" s="478" t="str">
        <f t="shared" si="62"/>
        <v>South Coast_2028</v>
      </c>
      <c r="D2363" s="474">
        <v>356.93581844186673</v>
      </c>
      <c r="E2363" s="2"/>
      <c r="F2363" s="2"/>
      <c r="G2363" s="2"/>
      <c r="H2363" s="2"/>
      <c r="I2363" s="21"/>
      <c r="J2363" s="21"/>
      <c r="K2363" s="21"/>
    </row>
    <row r="2364" spans="1:11" ht="15.5" x14ac:dyDescent="0.35">
      <c r="A2364" s="477" t="s">
        <v>970</v>
      </c>
      <c r="B2364" s="478">
        <v>2029</v>
      </c>
      <c r="C2364" s="478" t="str">
        <f t="shared" si="62"/>
        <v>South Coast_2029</v>
      </c>
      <c r="D2364" s="474">
        <v>349.11269756600382</v>
      </c>
      <c r="E2364" s="2"/>
      <c r="F2364" s="2"/>
      <c r="G2364" s="2"/>
      <c r="H2364" s="2"/>
      <c r="I2364" s="21"/>
      <c r="J2364" s="21"/>
      <c r="K2364" s="21"/>
    </row>
    <row r="2365" spans="1:11" ht="15.5" x14ac:dyDescent="0.35">
      <c r="A2365" s="477" t="s">
        <v>970</v>
      </c>
      <c r="B2365" s="478">
        <v>2030</v>
      </c>
      <c r="C2365" s="478" t="str">
        <f t="shared" si="62"/>
        <v>South Coast_2030</v>
      </c>
      <c r="D2365" s="474">
        <v>342.15655303988376</v>
      </c>
      <c r="E2365" s="2"/>
      <c r="F2365" s="2"/>
      <c r="G2365" s="2"/>
      <c r="H2365" s="2"/>
      <c r="I2365" s="21"/>
      <c r="J2365" s="21"/>
      <c r="K2365" s="21"/>
    </row>
    <row r="2366" spans="1:11" ht="15.5" x14ac:dyDescent="0.35">
      <c r="A2366" s="477" t="s">
        <v>970</v>
      </c>
      <c r="B2366" s="478">
        <v>2031</v>
      </c>
      <c r="C2366" s="478" t="str">
        <f t="shared" si="62"/>
        <v>South Coast_2031</v>
      </c>
      <c r="D2366" s="474">
        <v>336.14963336705875</v>
      </c>
      <c r="E2366" s="2"/>
      <c r="F2366" s="2"/>
      <c r="G2366" s="2"/>
      <c r="H2366" s="2"/>
      <c r="I2366" s="21"/>
      <c r="J2366" s="21"/>
      <c r="K2366" s="21"/>
    </row>
    <row r="2367" spans="1:11" ht="15.5" x14ac:dyDescent="0.35">
      <c r="A2367" s="477" t="s">
        <v>970</v>
      </c>
      <c r="B2367" s="478">
        <v>2032</v>
      </c>
      <c r="C2367" s="478" t="str">
        <f t="shared" si="62"/>
        <v>South Coast_2032</v>
      </c>
      <c r="D2367" s="474">
        <v>330.6959102255633</v>
      </c>
      <c r="E2367" s="2"/>
      <c r="F2367" s="2"/>
      <c r="G2367" s="2"/>
      <c r="H2367" s="2"/>
      <c r="I2367" s="21"/>
      <c r="J2367" s="21"/>
      <c r="K2367" s="21"/>
    </row>
    <row r="2368" spans="1:11" ht="15.5" x14ac:dyDescent="0.35">
      <c r="A2368" s="477" t="s">
        <v>970</v>
      </c>
      <c r="B2368" s="478">
        <v>2033</v>
      </c>
      <c r="C2368" s="478" t="str">
        <f t="shared" si="62"/>
        <v>South Coast_2033</v>
      </c>
      <c r="D2368" s="474">
        <v>325.89549071703311</v>
      </c>
      <c r="E2368" s="2"/>
      <c r="F2368" s="2"/>
      <c r="G2368" s="2"/>
      <c r="H2368" s="2"/>
      <c r="I2368" s="21"/>
      <c r="J2368" s="21"/>
      <c r="K2368" s="21"/>
    </row>
    <row r="2369" spans="1:11" ht="15.5" x14ac:dyDescent="0.35">
      <c r="A2369" s="477" t="s">
        <v>970</v>
      </c>
      <c r="B2369" s="478">
        <v>2034</v>
      </c>
      <c r="C2369" s="478" t="str">
        <f t="shared" si="62"/>
        <v>South Coast_2034</v>
      </c>
      <c r="D2369" s="474">
        <v>321.68214129728756</v>
      </c>
      <c r="E2369" s="2"/>
      <c r="F2369" s="2"/>
      <c r="G2369" s="2"/>
      <c r="H2369" s="2"/>
      <c r="I2369" s="21"/>
      <c r="J2369" s="21"/>
      <c r="K2369" s="21"/>
    </row>
    <row r="2370" spans="1:11" ht="15.5" x14ac:dyDescent="0.35">
      <c r="A2370" s="477" t="s">
        <v>970</v>
      </c>
      <c r="B2370" s="478">
        <v>2035</v>
      </c>
      <c r="C2370" s="478" t="str">
        <f t="shared" si="62"/>
        <v>South Coast_2035</v>
      </c>
      <c r="D2370" s="474">
        <v>318.0216984496181</v>
      </c>
      <c r="E2370" s="2"/>
      <c r="F2370" s="2"/>
      <c r="G2370" s="2"/>
      <c r="H2370" s="2"/>
      <c r="I2370" s="21"/>
      <c r="J2370" s="21"/>
      <c r="K2370" s="21"/>
    </row>
    <row r="2371" spans="1:11" ht="15.5" x14ac:dyDescent="0.35">
      <c r="A2371" s="477" t="s">
        <v>970</v>
      </c>
      <c r="B2371" s="478">
        <v>2036</v>
      </c>
      <c r="C2371" s="478" t="str">
        <f t="shared" si="62"/>
        <v>South Coast_2036</v>
      </c>
      <c r="D2371" s="474">
        <v>314.85255733992614</v>
      </c>
      <c r="E2371" s="2"/>
      <c r="F2371" s="2"/>
      <c r="G2371" s="2"/>
      <c r="H2371" s="2"/>
      <c r="I2371" s="21"/>
      <c r="J2371" s="21"/>
      <c r="K2371" s="21"/>
    </row>
    <row r="2372" spans="1:11" ht="15.5" x14ac:dyDescent="0.35">
      <c r="A2372" s="477" t="s">
        <v>970</v>
      </c>
      <c r="B2372" s="478">
        <v>2037</v>
      </c>
      <c r="C2372" s="478" t="str">
        <f t="shared" si="62"/>
        <v>South Coast_2037</v>
      </c>
      <c r="D2372" s="474">
        <v>312.14200963173522</v>
      </c>
      <c r="E2372" s="2"/>
      <c r="F2372" s="2"/>
      <c r="G2372" s="2"/>
      <c r="H2372" s="2"/>
      <c r="I2372" s="21"/>
      <c r="J2372" s="21"/>
      <c r="K2372" s="21"/>
    </row>
    <row r="2373" spans="1:11" ht="15.5" x14ac:dyDescent="0.35">
      <c r="A2373" s="477" t="s">
        <v>970</v>
      </c>
      <c r="B2373" s="478">
        <v>2038</v>
      </c>
      <c r="C2373" s="478" t="str">
        <f t="shared" si="62"/>
        <v>South Coast_2038</v>
      </c>
      <c r="D2373" s="474">
        <v>309.83816847818838</v>
      </c>
      <c r="E2373" s="2"/>
      <c r="F2373" s="2"/>
      <c r="G2373" s="2"/>
      <c r="H2373" s="2"/>
      <c r="I2373" s="21"/>
      <c r="J2373" s="21"/>
      <c r="K2373" s="21"/>
    </row>
    <row r="2374" spans="1:11" ht="15.5" x14ac:dyDescent="0.35">
      <c r="A2374" s="477" t="s">
        <v>970</v>
      </c>
      <c r="B2374" s="478">
        <v>2039</v>
      </c>
      <c r="C2374" s="478" t="str">
        <f t="shared" si="62"/>
        <v>South Coast_2039</v>
      </c>
      <c r="D2374" s="474">
        <v>307.88714041498395</v>
      </c>
      <c r="E2374" s="2"/>
      <c r="F2374" s="2"/>
      <c r="G2374" s="2"/>
      <c r="H2374" s="2"/>
      <c r="I2374" s="21"/>
      <c r="J2374" s="21"/>
      <c r="K2374" s="21"/>
    </row>
    <row r="2375" spans="1:11" ht="15.5" x14ac:dyDescent="0.35">
      <c r="A2375" s="477" t="s">
        <v>970</v>
      </c>
      <c r="B2375" s="478">
        <v>2040</v>
      </c>
      <c r="C2375" s="478" t="str">
        <f t="shared" si="62"/>
        <v>South Coast_2040</v>
      </c>
      <c r="D2375" s="474">
        <v>306.24455530156473</v>
      </c>
      <c r="E2375" s="2"/>
      <c r="F2375" s="2"/>
      <c r="G2375" s="2"/>
      <c r="H2375" s="2"/>
      <c r="I2375" s="21"/>
      <c r="J2375" s="21"/>
      <c r="K2375" s="21"/>
    </row>
    <row r="2376" spans="1:11" ht="15.5" x14ac:dyDescent="0.35">
      <c r="A2376" s="477" t="s">
        <v>970</v>
      </c>
      <c r="B2376" s="478">
        <v>2041</v>
      </c>
      <c r="C2376" s="478" t="str">
        <f t="shared" si="62"/>
        <v>South Coast_2041</v>
      </c>
      <c r="D2376" s="474">
        <v>304.8884373835059</v>
      </c>
      <c r="E2376" s="2"/>
      <c r="F2376" s="2"/>
      <c r="G2376" s="2"/>
      <c r="H2376" s="2"/>
      <c r="I2376" s="21"/>
      <c r="J2376" s="21"/>
      <c r="K2376" s="21"/>
    </row>
    <row r="2377" spans="1:11" ht="15.5" x14ac:dyDescent="0.35">
      <c r="A2377" s="477" t="s">
        <v>970</v>
      </c>
      <c r="B2377" s="478">
        <v>2042</v>
      </c>
      <c r="C2377" s="478" t="str">
        <f t="shared" si="62"/>
        <v>South Coast_2042</v>
      </c>
      <c r="D2377" s="474">
        <v>303.74947609091765</v>
      </c>
      <c r="E2377" s="2"/>
      <c r="F2377" s="2"/>
      <c r="G2377" s="2"/>
      <c r="H2377" s="2"/>
      <c r="I2377" s="21"/>
      <c r="J2377" s="21"/>
      <c r="K2377" s="21"/>
    </row>
    <row r="2378" spans="1:11" ht="15.5" x14ac:dyDescent="0.35">
      <c r="A2378" s="477" t="s">
        <v>970</v>
      </c>
      <c r="B2378" s="478">
        <v>2043</v>
      </c>
      <c r="C2378" s="478" t="str">
        <f t="shared" si="62"/>
        <v>South Coast_2043</v>
      </c>
      <c r="D2378" s="474">
        <v>302.8095922220412</v>
      </c>
      <c r="E2378" s="2"/>
      <c r="F2378" s="2"/>
      <c r="G2378" s="2"/>
      <c r="H2378" s="2"/>
      <c r="I2378" s="21"/>
      <c r="J2378" s="21"/>
      <c r="K2378" s="21"/>
    </row>
    <row r="2379" spans="1:11" ht="15.5" x14ac:dyDescent="0.35">
      <c r="A2379" s="477" t="s">
        <v>970</v>
      </c>
      <c r="B2379" s="478">
        <v>2044</v>
      </c>
      <c r="C2379" s="478" t="str">
        <f t="shared" si="62"/>
        <v>South Coast_2044</v>
      </c>
      <c r="D2379" s="474">
        <v>302.02160183243763</v>
      </c>
      <c r="E2379" s="2"/>
      <c r="F2379" s="2"/>
      <c r="G2379" s="2"/>
      <c r="H2379" s="2"/>
      <c r="I2379" s="21"/>
      <c r="J2379" s="21"/>
      <c r="K2379" s="21"/>
    </row>
    <row r="2380" spans="1:11" ht="15.5" x14ac:dyDescent="0.35">
      <c r="A2380" s="477" t="s">
        <v>970</v>
      </c>
      <c r="B2380" s="478">
        <v>2045</v>
      </c>
      <c r="C2380" s="478" t="str">
        <f t="shared" si="62"/>
        <v>South Coast_2045</v>
      </c>
      <c r="D2380" s="474">
        <v>301.34494286056565</v>
      </c>
      <c r="E2380" s="2"/>
      <c r="F2380" s="2"/>
      <c r="G2380" s="2"/>
      <c r="H2380" s="2"/>
      <c r="I2380" s="21"/>
      <c r="J2380" s="21"/>
      <c r="K2380" s="21"/>
    </row>
    <row r="2381" spans="1:11" ht="15.5" x14ac:dyDescent="0.35">
      <c r="A2381" s="477" t="s">
        <v>970</v>
      </c>
      <c r="B2381" s="478">
        <v>2046</v>
      </c>
      <c r="C2381" s="478" t="str">
        <f t="shared" si="62"/>
        <v>South Coast_2046</v>
      </c>
      <c r="D2381" s="474">
        <v>300.77782243224596</v>
      </c>
      <c r="E2381" s="2"/>
      <c r="F2381" s="2"/>
      <c r="G2381" s="2"/>
      <c r="H2381" s="2"/>
      <c r="I2381" s="21"/>
      <c r="J2381" s="21"/>
      <c r="K2381" s="21"/>
    </row>
    <row r="2382" spans="1:11" ht="15.5" x14ac:dyDescent="0.35">
      <c r="A2382" s="477" t="s">
        <v>970</v>
      </c>
      <c r="B2382" s="478">
        <v>2047</v>
      </c>
      <c r="C2382" s="478" t="str">
        <f t="shared" si="62"/>
        <v>South Coast_2047</v>
      </c>
      <c r="D2382" s="474">
        <v>300.29441765384041</v>
      </c>
      <c r="E2382" s="2"/>
      <c r="F2382" s="2"/>
      <c r="G2382" s="2"/>
      <c r="H2382" s="2"/>
      <c r="I2382" s="21"/>
      <c r="J2382" s="21"/>
      <c r="K2382" s="21"/>
    </row>
    <row r="2383" spans="1:11" ht="15.5" x14ac:dyDescent="0.35">
      <c r="A2383" s="477" t="s">
        <v>970</v>
      </c>
      <c r="B2383" s="478">
        <v>2048</v>
      </c>
      <c r="C2383" s="478" t="str">
        <f t="shared" si="62"/>
        <v>South Coast_2048</v>
      </c>
      <c r="D2383" s="474">
        <v>299.88117666024027</v>
      </c>
      <c r="E2383" s="2"/>
      <c r="F2383" s="2"/>
      <c r="G2383" s="2"/>
      <c r="H2383" s="2"/>
      <c r="I2383" s="21"/>
      <c r="J2383" s="21"/>
      <c r="K2383" s="21"/>
    </row>
    <row r="2384" spans="1:11" ht="15.5" x14ac:dyDescent="0.35">
      <c r="A2384" s="477" t="s">
        <v>970</v>
      </c>
      <c r="B2384" s="478">
        <v>2049</v>
      </c>
      <c r="C2384" s="478" t="str">
        <f t="shared" si="62"/>
        <v>South Coast_2049</v>
      </c>
      <c r="D2384" s="474">
        <v>299.52758727663115</v>
      </c>
      <c r="E2384" s="2"/>
      <c r="F2384" s="2"/>
      <c r="G2384" s="2"/>
      <c r="H2384" s="2"/>
      <c r="I2384" s="21"/>
      <c r="J2384" s="21"/>
      <c r="K2384" s="21"/>
    </row>
    <row r="2385" spans="1:11" ht="15.5" x14ac:dyDescent="0.35">
      <c r="A2385" s="477" t="s">
        <v>970</v>
      </c>
      <c r="B2385" s="478">
        <v>2050</v>
      </c>
      <c r="C2385" s="478" t="str">
        <f t="shared" si="62"/>
        <v>South Coast_2050</v>
      </c>
      <c r="D2385" s="474">
        <v>299.2461113826742</v>
      </c>
      <c r="E2385" s="2"/>
      <c r="F2385" s="2"/>
      <c r="G2385" s="2"/>
      <c r="H2385" s="2"/>
      <c r="I2385" s="21"/>
      <c r="J2385" s="21"/>
      <c r="K2385" s="21"/>
    </row>
    <row r="2386" spans="1:11" ht="15.5" x14ac:dyDescent="0.35">
      <c r="A2386" s="468" t="s">
        <v>971</v>
      </c>
      <c r="B2386" s="469">
        <v>2015</v>
      </c>
      <c r="C2386" s="470" t="s">
        <v>972</v>
      </c>
      <c r="D2386" s="471">
        <v>521.53023428227732</v>
      </c>
      <c r="E2386" s="2"/>
      <c r="F2386" s="2"/>
      <c r="G2386" s="2"/>
      <c r="H2386" s="2"/>
      <c r="I2386" s="21"/>
      <c r="J2386" s="21"/>
      <c r="K2386" s="21"/>
    </row>
    <row r="2387" spans="1:11" ht="15.5" x14ac:dyDescent="0.35">
      <c r="A2387" s="468" t="s">
        <v>971</v>
      </c>
      <c r="B2387" s="469">
        <v>2016</v>
      </c>
      <c r="C2387" s="470" t="s">
        <v>973</v>
      </c>
      <c r="D2387" s="471">
        <v>510.86539277531858</v>
      </c>
      <c r="E2387" s="2"/>
      <c r="F2387" s="2"/>
      <c r="G2387" s="2"/>
      <c r="H2387" s="2"/>
      <c r="I2387" s="21"/>
      <c r="J2387" s="21"/>
      <c r="K2387" s="21"/>
    </row>
    <row r="2388" spans="1:11" ht="15.5" x14ac:dyDescent="0.35">
      <c r="A2388" s="472" t="s">
        <v>971</v>
      </c>
      <c r="B2388" s="473">
        <v>2017</v>
      </c>
      <c r="C2388" s="473" t="str">
        <f t="shared" ref="C2388:C2421" si="63">CONCATENATE(A2388,"_",B2388)</f>
        <v>Stanislaus_2017</v>
      </c>
      <c r="D2388" s="474">
        <v>498.39215990320099</v>
      </c>
      <c r="E2388" s="2"/>
      <c r="F2388" s="2"/>
      <c r="G2388" s="2"/>
      <c r="H2388" s="2"/>
      <c r="I2388" s="21"/>
      <c r="J2388" s="21"/>
      <c r="K2388" s="21"/>
    </row>
    <row r="2389" spans="1:11" ht="15.5" x14ac:dyDescent="0.35">
      <c r="A2389" s="472" t="s">
        <v>971</v>
      </c>
      <c r="B2389" s="473">
        <v>2018</v>
      </c>
      <c r="C2389" s="473" t="str">
        <f t="shared" si="63"/>
        <v>Stanislaus_2018</v>
      </c>
      <c r="D2389" s="474">
        <v>488.80412157802124</v>
      </c>
      <c r="E2389" s="2"/>
      <c r="F2389" s="2"/>
      <c r="G2389" s="2"/>
      <c r="H2389" s="2"/>
      <c r="I2389" s="21"/>
      <c r="J2389" s="21"/>
      <c r="K2389" s="21"/>
    </row>
    <row r="2390" spans="1:11" ht="15.5" x14ac:dyDescent="0.35">
      <c r="A2390" s="472" t="s">
        <v>971</v>
      </c>
      <c r="B2390" s="473">
        <v>2019</v>
      </c>
      <c r="C2390" s="473" t="str">
        <f t="shared" si="63"/>
        <v>Stanislaus_2019</v>
      </c>
      <c r="D2390" s="474">
        <v>474.6580898507583</v>
      </c>
      <c r="E2390" s="2"/>
      <c r="F2390" s="2"/>
      <c r="G2390" s="2"/>
      <c r="H2390" s="2"/>
      <c r="I2390" s="21"/>
      <c r="J2390" s="21"/>
      <c r="K2390" s="21"/>
    </row>
    <row r="2391" spans="1:11" ht="15.5" x14ac:dyDescent="0.35">
      <c r="A2391" s="472" t="s">
        <v>971</v>
      </c>
      <c r="B2391" s="473">
        <v>2020</v>
      </c>
      <c r="C2391" s="473" t="str">
        <f t="shared" si="63"/>
        <v>Stanislaus_2020</v>
      </c>
      <c r="D2391" s="474">
        <v>460.25542322448729</v>
      </c>
      <c r="E2391" s="2"/>
      <c r="F2391" s="2"/>
      <c r="G2391" s="2"/>
      <c r="H2391" s="2"/>
      <c r="I2391" s="21"/>
      <c r="J2391" s="21"/>
      <c r="K2391" s="21"/>
    </row>
    <row r="2392" spans="1:11" ht="15.5" x14ac:dyDescent="0.35">
      <c r="A2392" s="472" t="s">
        <v>971</v>
      </c>
      <c r="B2392" s="473">
        <v>2021</v>
      </c>
      <c r="C2392" s="473" t="str">
        <f t="shared" si="63"/>
        <v>Stanislaus_2021</v>
      </c>
      <c r="D2392" s="474">
        <v>446.51574556288307</v>
      </c>
      <c r="E2392" s="2"/>
      <c r="F2392" s="2"/>
      <c r="G2392" s="2"/>
      <c r="H2392" s="2"/>
      <c r="I2392" s="21"/>
      <c r="J2392" s="21"/>
      <c r="K2392" s="21"/>
    </row>
    <row r="2393" spans="1:11" ht="15.5" x14ac:dyDescent="0.35">
      <c r="A2393" s="472" t="s">
        <v>971</v>
      </c>
      <c r="B2393" s="473">
        <v>2022</v>
      </c>
      <c r="C2393" s="473" t="str">
        <f t="shared" si="63"/>
        <v>Stanislaus_2022</v>
      </c>
      <c r="D2393" s="474">
        <v>432.24219064181676</v>
      </c>
      <c r="E2393" s="2"/>
      <c r="F2393" s="2"/>
      <c r="G2393" s="2"/>
      <c r="H2393" s="2"/>
      <c r="I2393" s="21"/>
      <c r="J2393" s="21"/>
      <c r="K2393" s="21"/>
    </row>
    <row r="2394" spans="1:11" ht="15.5" x14ac:dyDescent="0.35">
      <c r="A2394" s="472" t="s">
        <v>971</v>
      </c>
      <c r="B2394" s="473">
        <v>2023</v>
      </c>
      <c r="C2394" s="473" t="str">
        <f t="shared" si="63"/>
        <v>Stanislaus_2023</v>
      </c>
      <c r="D2394" s="474">
        <v>418.16485867782814</v>
      </c>
      <c r="E2394" s="2"/>
      <c r="F2394" s="2"/>
      <c r="G2394" s="2"/>
      <c r="H2394" s="2"/>
      <c r="I2394" s="21"/>
      <c r="J2394" s="21"/>
      <c r="K2394" s="21"/>
    </row>
    <row r="2395" spans="1:11" ht="15.5" x14ac:dyDescent="0.35">
      <c r="A2395" s="472" t="s">
        <v>971</v>
      </c>
      <c r="B2395" s="473">
        <v>2024</v>
      </c>
      <c r="C2395" s="473" t="str">
        <f t="shared" si="63"/>
        <v>Stanislaus_2024</v>
      </c>
      <c r="D2395" s="474">
        <v>404.2318878168312</v>
      </c>
      <c r="E2395" s="2"/>
      <c r="F2395" s="2"/>
      <c r="G2395" s="2"/>
      <c r="H2395" s="2"/>
      <c r="I2395" s="21"/>
      <c r="J2395" s="21"/>
      <c r="K2395" s="21"/>
    </row>
    <row r="2396" spans="1:11" ht="15.5" x14ac:dyDescent="0.35">
      <c r="A2396" s="472" t="s">
        <v>971</v>
      </c>
      <c r="B2396" s="473">
        <v>2025</v>
      </c>
      <c r="C2396" s="473" t="str">
        <f t="shared" si="63"/>
        <v>Stanislaus_2025</v>
      </c>
      <c r="D2396" s="474">
        <v>390.72902961610106</v>
      </c>
      <c r="E2396" s="2"/>
      <c r="F2396" s="2"/>
      <c r="G2396" s="2"/>
      <c r="H2396" s="2"/>
      <c r="I2396" s="21"/>
      <c r="J2396" s="21"/>
      <c r="K2396" s="21"/>
    </row>
    <row r="2397" spans="1:11" ht="15.5" x14ac:dyDescent="0.35">
      <c r="A2397" s="472" t="s">
        <v>971</v>
      </c>
      <c r="B2397" s="473">
        <v>2026</v>
      </c>
      <c r="C2397" s="473" t="str">
        <f t="shared" si="63"/>
        <v>Stanislaus_2026</v>
      </c>
      <c r="D2397" s="474">
        <v>378.6051020085456</v>
      </c>
      <c r="E2397" s="2"/>
      <c r="F2397" s="2"/>
      <c r="G2397" s="2"/>
      <c r="H2397" s="2"/>
      <c r="I2397" s="21"/>
      <c r="J2397" s="21"/>
      <c r="K2397" s="21"/>
    </row>
    <row r="2398" spans="1:11" ht="15.5" x14ac:dyDescent="0.35">
      <c r="A2398" s="472" t="s">
        <v>971</v>
      </c>
      <c r="B2398" s="473">
        <v>2027</v>
      </c>
      <c r="C2398" s="473" t="str">
        <f t="shared" si="63"/>
        <v>Stanislaus_2027</v>
      </c>
      <c r="D2398" s="474">
        <v>367.26461348751252</v>
      </c>
      <c r="E2398" s="2"/>
      <c r="F2398" s="2"/>
      <c r="G2398" s="2"/>
      <c r="H2398" s="2"/>
      <c r="I2398" s="21"/>
      <c r="J2398" s="21"/>
      <c r="K2398" s="21"/>
    </row>
    <row r="2399" spans="1:11" ht="15.5" x14ac:dyDescent="0.35">
      <c r="A2399" s="472" t="s">
        <v>971</v>
      </c>
      <c r="B2399" s="473">
        <v>2028</v>
      </c>
      <c r="C2399" s="473" t="str">
        <f t="shared" si="63"/>
        <v>Stanislaus_2028</v>
      </c>
      <c r="D2399" s="474">
        <v>357.05902876461653</v>
      </c>
      <c r="E2399" s="2"/>
      <c r="F2399" s="2"/>
      <c r="G2399" s="2"/>
      <c r="H2399" s="2"/>
      <c r="I2399" s="21"/>
      <c r="J2399" s="21"/>
      <c r="K2399" s="21"/>
    </row>
    <row r="2400" spans="1:11" ht="15.5" x14ac:dyDescent="0.35">
      <c r="A2400" s="472" t="s">
        <v>971</v>
      </c>
      <c r="B2400" s="473">
        <v>2029</v>
      </c>
      <c r="C2400" s="473" t="str">
        <f t="shared" si="63"/>
        <v>Stanislaus_2029</v>
      </c>
      <c r="D2400" s="474">
        <v>347.90940736377848</v>
      </c>
      <c r="E2400" s="2"/>
      <c r="F2400" s="2"/>
      <c r="G2400" s="2"/>
      <c r="H2400" s="2"/>
      <c r="I2400" s="21"/>
      <c r="J2400" s="21"/>
      <c r="K2400" s="21"/>
    </row>
    <row r="2401" spans="1:11" ht="15.5" x14ac:dyDescent="0.35">
      <c r="A2401" s="472" t="s">
        <v>971</v>
      </c>
      <c r="B2401" s="473">
        <v>2030</v>
      </c>
      <c r="C2401" s="473" t="str">
        <f t="shared" si="63"/>
        <v>Stanislaus_2030</v>
      </c>
      <c r="D2401" s="474">
        <v>339.76152076961534</v>
      </c>
      <c r="E2401" s="2"/>
      <c r="F2401" s="2"/>
      <c r="G2401" s="2"/>
      <c r="H2401" s="2"/>
      <c r="I2401" s="21"/>
      <c r="J2401" s="21"/>
      <c r="K2401" s="21"/>
    </row>
    <row r="2402" spans="1:11" ht="15.5" x14ac:dyDescent="0.35">
      <c r="A2402" s="472" t="s">
        <v>971</v>
      </c>
      <c r="B2402" s="473">
        <v>2031</v>
      </c>
      <c r="C2402" s="473" t="str">
        <f t="shared" si="63"/>
        <v>Stanislaus_2031</v>
      </c>
      <c r="D2402" s="474">
        <v>332.5343599310321</v>
      </c>
      <c r="E2402" s="2"/>
      <c r="F2402" s="2"/>
      <c r="G2402" s="2"/>
      <c r="H2402" s="2"/>
      <c r="I2402" s="21"/>
      <c r="J2402" s="21"/>
      <c r="K2402" s="21"/>
    </row>
    <row r="2403" spans="1:11" ht="15.5" x14ac:dyDescent="0.35">
      <c r="A2403" s="472" t="s">
        <v>971</v>
      </c>
      <c r="B2403" s="473">
        <v>2032</v>
      </c>
      <c r="C2403" s="473" t="str">
        <f t="shared" si="63"/>
        <v>Stanislaus_2032</v>
      </c>
      <c r="D2403" s="474">
        <v>326.15601026920399</v>
      </c>
      <c r="E2403" s="2"/>
      <c r="F2403" s="2"/>
      <c r="G2403" s="2"/>
      <c r="H2403" s="2"/>
      <c r="I2403" s="21"/>
      <c r="J2403" s="21"/>
      <c r="K2403" s="21"/>
    </row>
    <row r="2404" spans="1:11" ht="15.5" x14ac:dyDescent="0.35">
      <c r="A2404" s="472" t="s">
        <v>971</v>
      </c>
      <c r="B2404" s="473">
        <v>2033</v>
      </c>
      <c r="C2404" s="473" t="str">
        <f t="shared" si="63"/>
        <v>Stanislaus_2033</v>
      </c>
      <c r="D2404" s="474">
        <v>320.5508430661622</v>
      </c>
      <c r="E2404" s="2"/>
      <c r="F2404" s="2"/>
      <c r="G2404" s="2"/>
      <c r="H2404" s="2"/>
      <c r="I2404" s="21"/>
      <c r="J2404" s="21"/>
      <c r="K2404" s="21"/>
    </row>
    <row r="2405" spans="1:11" ht="15.5" x14ac:dyDescent="0.35">
      <c r="A2405" s="472" t="s">
        <v>971</v>
      </c>
      <c r="B2405" s="473">
        <v>2034</v>
      </c>
      <c r="C2405" s="473" t="str">
        <f t="shared" si="63"/>
        <v>Stanislaus_2034</v>
      </c>
      <c r="D2405" s="474">
        <v>315.6535880356646</v>
      </c>
      <c r="E2405" s="2"/>
      <c r="F2405" s="2"/>
      <c r="G2405" s="2"/>
      <c r="H2405" s="2"/>
      <c r="I2405" s="21"/>
      <c r="J2405" s="21"/>
      <c r="K2405" s="21"/>
    </row>
    <row r="2406" spans="1:11" ht="15.5" x14ac:dyDescent="0.35">
      <c r="A2406" s="472" t="s">
        <v>971</v>
      </c>
      <c r="B2406" s="473">
        <v>2035</v>
      </c>
      <c r="C2406" s="473" t="str">
        <f t="shared" si="63"/>
        <v>Stanislaus_2035</v>
      </c>
      <c r="D2406" s="474">
        <v>311.40386043270621</v>
      </c>
      <c r="E2406" s="2"/>
      <c r="F2406" s="2"/>
      <c r="G2406" s="2"/>
      <c r="H2406" s="2"/>
      <c r="I2406" s="21"/>
      <c r="J2406" s="21"/>
      <c r="K2406" s="21"/>
    </row>
    <row r="2407" spans="1:11" ht="15.5" x14ac:dyDescent="0.35">
      <c r="A2407" s="472" t="s">
        <v>971</v>
      </c>
      <c r="B2407" s="473">
        <v>2036</v>
      </c>
      <c r="C2407" s="473" t="str">
        <f t="shared" si="63"/>
        <v>Stanislaus_2036</v>
      </c>
      <c r="D2407" s="474">
        <v>307.73637383354543</v>
      </c>
      <c r="E2407" s="2"/>
      <c r="F2407" s="2"/>
      <c r="G2407" s="2"/>
      <c r="H2407" s="2"/>
      <c r="I2407" s="21"/>
      <c r="J2407" s="21"/>
      <c r="K2407" s="21"/>
    </row>
    <row r="2408" spans="1:11" ht="15.5" x14ac:dyDescent="0.35">
      <c r="A2408" s="472" t="s">
        <v>971</v>
      </c>
      <c r="B2408" s="473">
        <v>2037</v>
      </c>
      <c r="C2408" s="473" t="str">
        <f t="shared" si="63"/>
        <v>Stanislaus_2037</v>
      </c>
      <c r="D2408" s="474">
        <v>304.60560978541093</v>
      </c>
      <c r="E2408" s="2"/>
      <c r="F2408" s="2"/>
      <c r="G2408" s="2"/>
      <c r="H2408" s="2"/>
      <c r="I2408" s="21"/>
      <c r="J2408" s="21"/>
      <c r="K2408" s="21"/>
    </row>
    <row r="2409" spans="1:11" ht="15.5" x14ac:dyDescent="0.35">
      <c r="A2409" s="472" t="s">
        <v>971</v>
      </c>
      <c r="B2409" s="473">
        <v>2038</v>
      </c>
      <c r="C2409" s="473" t="str">
        <f t="shared" si="63"/>
        <v>Stanislaus_2038</v>
      </c>
      <c r="D2409" s="474">
        <v>301.95793959312618</v>
      </c>
      <c r="E2409" s="2"/>
      <c r="F2409" s="2"/>
      <c r="G2409" s="2"/>
      <c r="H2409" s="2"/>
      <c r="I2409" s="21"/>
      <c r="J2409" s="21"/>
      <c r="K2409" s="21"/>
    </row>
    <row r="2410" spans="1:11" ht="15.5" x14ac:dyDescent="0.35">
      <c r="A2410" s="472" t="s">
        <v>971</v>
      </c>
      <c r="B2410" s="473">
        <v>2039</v>
      </c>
      <c r="C2410" s="473" t="str">
        <f t="shared" si="63"/>
        <v>Stanislaus_2039</v>
      </c>
      <c r="D2410" s="474">
        <v>299.72905515741775</v>
      </c>
      <c r="E2410" s="2"/>
      <c r="F2410" s="2"/>
      <c r="G2410" s="2"/>
      <c r="H2410" s="2"/>
      <c r="I2410" s="21"/>
      <c r="J2410" s="21"/>
      <c r="K2410" s="21"/>
    </row>
    <row r="2411" spans="1:11" ht="15.5" x14ac:dyDescent="0.35">
      <c r="A2411" s="472" t="s">
        <v>971</v>
      </c>
      <c r="B2411" s="473">
        <v>2040</v>
      </c>
      <c r="C2411" s="473" t="str">
        <f t="shared" si="63"/>
        <v>Stanislaus_2040</v>
      </c>
      <c r="D2411" s="474">
        <v>297.87330859683652</v>
      </c>
      <c r="E2411" s="2"/>
      <c r="F2411" s="2"/>
      <c r="G2411" s="2"/>
      <c r="H2411" s="2"/>
      <c r="I2411" s="21"/>
      <c r="J2411" s="21"/>
      <c r="K2411" s="21"/>
    </row>
    <row r="2412" spans="1:11" ht="15.5" x14ac:dyDescent="0.35">
      <c r="A2412" s="472" t="s">
        <v>971</v>
      </c>
      <c r="B2412" s="473">
        <v>2041</v>
      </c>
      <c r="C2412" s="473" t="str">
        <f t="shared" si="63"/>
        <v>Stanislaus_2041</v>
      </c>
      <c r="D2412" s="474">
        <v>296.3524858876853</v>
      </c>
      <c r="E2412" s="2"/>
      <c r="F2412" s="2"/>
      <c r="G2412" s="2"/>
      <c r="H2412" s="2"/>
      <c r="I2412" s="21"/>
      <c r="J2412" s="21"/>
      <c r="K2412" s="21"/>
    </row>
    <row r="2413" spans="1:11" ht="15.5" x14ac:dyDescent="0.35">
      <c r="A2413" s="472" t="s">
        <v>971</v>
      </c>
      <c r="B2413" s="473">
        <v>2042</v>
      </c>
      <c r="C2413" s="473" t="str">
        <f t="shared" si="63"/>
        <v>Stanislaus_2042</v>
      </c>
      <c r="D2413" s="474">
        <v>295.09907297145918</v>
      </c>
      <c r="E2413" s="2"/>
      <c r="F2413" s="2"/>
      <c r="G2413" s="2"/>
      <c r="H2413" s="2"/>
      <c r="I2413" s="21"/>
      <c r="J2413" s="21"/>
      <c r="K2413" s="21"/>
    </row>
    <row r="2414" spans="1:11" ht="15.5" x14ac:dyDescent="0.35">
      <c r="A2414" s="472" t="s">
        <v>971</v>
      </c>
      <c r="B2414" s="473">
        <v>2043</v>
      </c>
      <c r="C2414" s="473" t="str">
        <f t="shared" si="63"/>
        <v>Stanislaus_2043</v>
      </c>
      <c r="D2414" s="474">
        <v>294.0858024579303</v>
      </c>
      <c r="E2414" s="2"/>
      <c r="F2414" s="2"/>
      <c r="G2414" s="2"/>
      <c r="H2414" s="2"/>
      <c r="I2414" s="21"/>
      <c r="J2414" s="21"/>
      <c r="K2414" s="21"/>
    </row>
    <row r="2415" spans="1:11" ht="15.5" x14ac:dyDescent="0.35">
      <c r="A2415" s="472" t="s">
        <v>971</v>
      </c>
      <c r="B2415" s="473">
        <v>2044</v>
      </c>
      <c r="C2415" s="473" t="str">
        <f t="shared" si="63"/>
        <v>Stanislaus_2044</v>
      </c>
      <c r="D2415" s="474">
        <v>293.25600804677316</v>
      </c>
      <c r="E2415" s="2"/>
      <c r="F2415" s="2"/>
      <c r="G2415" s="2"/>
      <c r="H2415" s="2"/>
      <c r="I2415" s="21"/>
      <c r="J2415" s="21"/>
      <c r="K2415" s="21"/>
    </row>
    <row r="2416" spans="1:11" ht="15.5" x14ac:dyDescent="0.35">
      <c r="A2416" s="472" t="s">
        <v>971</v>
      </c>
      <c r="B2416" s="473">
        <v>2045</v>
      </c>
      <c r="C2416" s="473" t="str">
        <f t="shared" si="63"/>
        <v>Stanislaus_2045</v>
      </c>
      <c r="D2416" s="474">
        <v>292.57115976706257</v>
      </c>
      <c r="E2416" s="2"/>
      <c r="F2416" s="2"/>
      <c r="G2416" s="2"/>
      <c r="H2416" s="2"/>
      <c r="I2416" s="21"/>
      <c r="J2416" s="21"/>
      <c r="K2416" s="21"/>
    </row>
    <row r="2417" spans="1:11" ht="15.5" x14ac:dyDescent="0.35">
      <c r="A2417" s="472" t="s">
        <v>971</v>
      </c>
      <c r="B2417" s="473">
        <v>2046</v>
      </c>
      <c r="C2417" s="473" t="str">
        <f t="shared" si="63"/>
        <v>Stanislaus_2046</v>
      </c>
      <c r="D2417" s="474">
        <v>292.01231836067882</v>
      </c>
      <c r="E2417" s="2"/>
      <c r="F2417" s="2"/>
      <c r="G2417" s="2"/>
      <c r="H2417" s="2"/>
      <c r="I2417" s="21"/>
      <c r="J2417" s="21"/>
      <c r="K2417" s="21"/>
    </row>
    <row r="2418" spans="1:11" ht="15.5" x14ac:dyDescent="0.35">
      <c r="A2418" s="472" t="s">
        <v>971</v>
      </c>
      <c r="B2418" s="473">
        <v>2047</v>
      </c>
      <c r="C2418" s="473" t="str">
        <f t="shared" si="63"/>
        <v>Stanislaus_2047</v>
      </c>
      <c r="D2418" s="474">
        <v>291.5606624885657</v>
      </c>
      <c r="E2418" s="2"/>
      <c r="F2418" s="2"/>
      <c r="G2418" s="2"/>
      <c r="H2418" s="2"/>
      <c r="I2418" s="21"/>
      <c r="J2418" s="21"/>
      <c r="K2418" s="21"/>
    </row>
    <row r="2419" spans="1:11" ht="15.5" x14ac:dyDescent="0.35">
      <c r="A2419" s="472" t="s">
        <v>971</v>
      </c>
      <c r="B2419" s="473">
        <v>2048</v>
      </c>
      <c r="C2419" s="473" t="str">
        <f t="shared" si="63"/>
        <v>Stanislaus_2048</v>
      </c>
      <c r="D2419" s="474">
        <v>291.19321123018375</v>
      </c>
      <c r="E2419" s="2"/>
      <c r="F2419" s="2"/>
      <c r="G2419" s="2"/>
      <c r="H2419" s="2"/>
      <c r="I2419" s="21"/>
      <c r="J2419" s="21"/>
      <c r="K2419" s="21"/>
    </row>
    <row r="2420" spans="1:11" ht="15.5" x14ac:dyDescent="0.35">
      <c r="A2420" s="472" t="s">
        <v>971</v>
      </c>
      <c r="B2420" s="473">
        <v>2049</v>
      </c>
      <c r="C2420" s="473" t="str">
        <f t="shared" si="63"/>
        <v>Stanislaus_2049</v>
      </c>
      <c r="D2420" s="474">
        <v>290.89926213620538</v>
      </c>
      <c r="E2420" s="2"/>
      <c r="F2420" s="2"/>
      <c r="G2420" s="2"/>
      <c r="H2420" s="2"/>
      <c r="I2420" s="21"/>
      <c r="J2420" s="21"/>
      <c r="K2420" s="21"/>
    </row>
    <row r="2421" spans="1:11" ht="15.5" x14ac:dyDescent="0.35">
      <c r="A2421" s="472" t="s">
        <v>971</v>
      </c>
      <c r="B2421" s="473">
        <v>2050</v>
      </c>
      <c r="C2421" s="473" t="str">
        <f t="shared" si="63"/>
        <v>Stanislaus_2050</v>
      </c>
      <c r="D2421" s="474">
        <v>290.66435771536737</v>
      </c>
      <c r="E2421" s="2"/>
      <c r="F2421" s="2"/>
      <c r="G2421" s="2"/>
      <c r="H2421" s="2"/>
      <c r="I2421" s="21"/>
      <c r="J2421" s="21"/>
      <c r="K2421" s="21"/>
    </row>
    <row r="2422" spans="1:11" ht="15.5" x14ac:dyDescent="0.35">
      <c r="A2422" s="468" t="s">
        <v>974</v>
      </c>
      <c r="B2422" s="469">
        <v>2015</v>
      </c>
      <c r="C2422" s="470" t="s">
        <v>975</v>
      </c>
      <c r="D2422" s="471">
        <v>506.52586772142388</v>
      </c>
      <c r="E2422" s="2"/>
      <c r="F2422" s="2"/>
      <c r="G2422" s="2"/>
      <c r="H2422" s="2"/>
      <c r="I2422" s="21"/>
      <c r="J2422" s="21"/>
      <c r="K2422" s="21"/>
    </row>
    <row r="2423" spans="1:11" ht="15.5" x14ac:dyDescent="0.35">
      <c r="A2423" s="468" t="s">
        <v>974</v>
      </c>
      <c r="B2423" s="469">
        <v>2016</v>
      </c>
      <c r="C2423" s="470" t="s">
        <v>976</v>
      </c>
      <c r="D2423" s="471">
        <v>496.12611690211997</v>
      </c>
      <c r="E2423" s="2"/>
      <c r="F2423" s="2"/>
      <c r="G2423" s="2"/>
      <c r="H2423" s="2"/>
      <c r="I2423" s="21"/>
      <c r="J2423" s="21"/>
      <c r="K2423" s="21"/>
    </row>
    <row r="2424" spans="1:11" ht="15.5" x14ac:dyDescent="0.35">
      <c r="A2424" s="472" t="s">
        <v>974</v>
      </c>
      <c r="B2424" s="473">
        <v>2017</v>
      </c>
      <c r="C2424" s="473" t="str">
        <f t="shared" ref="C2424:C2457" si="64">CONCATENATE(A2424,"_",B2424)</f>
        <v>Sutter_2017</v>
      </c>
      <c r="D2424" s="474">
        <v>483.61456387109814</v>
      </c>
      <c r="E2424" s="2"/>
      <c r="F2424" s="2"/>
      <c r="G2424" s="2"/>
      <c r="H2424" s="2"/>
      <c r="I2424" s="21"/>
      <c r="J2424" s="21"/>
      <c r="K2424" s="21"/>
    </row>
    <row r="2425" spans="1:11" ht="15.5" x14ac:dyDescent="0.35">
      <c r="A2425" s="472" t="s">
        <v>974</v>
      </c>
      <c r="B2425" s="473">
        <v>2018</v>
      </c>
      <c r="C2425" s="473" t="str">
        <f t="shared" si="64"/>
        <v>Sutter_2018</v>
      </c>
      <c r="D2425" s="474">
        <v>470.30849804892779</v>
      </c>
      <c r="E2425" s="2"/>
      <c r="F2425" s="2"/>
      <c r="G2425" s="2"/>
      <c r="H2425" s="2"/>
      <c r="I2425" s="21"/>
      <c r="J2425" s="21"/>
      <c r="K2425" s="21"/>
    </row>
    <row r="2426" spans="1:11" ht="15.5" x14ac:dyDescent="0.35">
      <c r="A2426" s="472" t="s">
        <v>974</v>
      </c>
      <c r="B2426" s="473">
        <v>2019</v>
      </c>
      <c r="C2426" s="473" t="str">
        <f t="shared" si="64"/>
        <v>Sutter_2019</v>
      </c>
      <c r="D2426" s="474">
        <v>456.26072064557798</v>
      </c>
      <c r="E2426" s="2"/>
      <c r="F2426" s="2"/>
      <c r="G2426" s="2"/>
      <c r="H2426" s="2"/>
      <c r="I2426" s="21"/>
      <c r="J2426" s="21"/>
      <c r="K2426" s="21"/>
    </row>
    <row r="2427" spans="1:11" ht="15.5" x14ac:dyDescent="0.35">
      <c r="A2427" s="472" t="s">
        <v>974</v>
      </c>
      <c r="B2427" s="473">
        <v>2020</v>
      </c>
      <c r="C2427" s="473" t="str">
        <f t="shared" si="64"/>
        <v>Sutter_2020</v>
      </c>
      <c r="D2427" s="474">
        <v>442.38482947489723</v>
      </c>
      <c r="E2427" s="2"/>
      <c r="F2427" s="2"/>
      <c r="G2427" s="2"/>
      <c r="H2427" s="2"/>
      <c r="I2427" s="21"/>
      <c r="J2427" s="21"/>
      <c r="K2427" s="21"/>
    </row>
    <row r="2428" spans="1:11" ht="15.5" x14ac:dyDescent="0.35">
      <c r="A2428" s="472" t="s">
        <v>974</v>
      </c>
      <c r="B2428" s="473">
        <v>2021</v>
      </c>
      <c r="C2428" s="473" t="str">
        <f t="shared" si="64"/>
        <v>Sutter_2021</v>
      </c>
      <c r="D2428" s="474">
        <v>428.46991154716346</v>
      </c>
      <c r="E2428" s="2"/>
      <c r="F2428" s="2"/>
      <c r="G2428" s="2"/>
      <c r="H2428" s="2"/>
      <c r="I2428" s="21"/>
      <c r="J2428" s="21"/>
      <c r="K2428" s="21"/>
    </row>
    <row r="2429" spans="1:11" ht="15.5" x14ac:dyDescent="0.35">
      <c r="A2429" s="472" t="s">
        <v>974</v>
      </c>
      <c r="B2429" s="473">
        <v>2022</v>
      </c>
      <c r="C2429" s="473" t="str">
        <f t="shared" si="64"/>
        <v>Sutter_2022</v>
      </c>
      <c r="D2429" s="474">
        <v>414.83598647005181</v>
      </c>
      <c r="E2429" s="2"/>
      <c r="F2429" s="2"/>
      <c r="G2429" s="2"/>
      <c r="H2429" s="2"/>
      <c r="I2429" s="21"/>
      <c r="J2429" s="21"/>
      <c r="K2429" s="21"/>
    </row>
    <row r="2430" spans="1:11" ht="15.5" x14ac:dyDescent="0.35">
      <c r="A2430" s="472" t="s">
        <v>974</v>
      </c>
      <c r="B2430" s="473">
        <v>2023</v>
      </c>
      <c r="C2430" s="473" t="str">
        <f t="shared" si="64"/>
        <v>Sutter_2023</v>
      </c>
      <c r="D2430" s="474">
        <v>401.43848348071862</v>
      </c>
      <c r="E2430" s="2"/>
      <c r="F2430" s="2"/>
      <c r="G2430" s="2"/>
      <c r="H2430" s="2"/>
      <c r="I2430" s="21"/>
      <c r="J2430" s="21"/>
      <c r="K2430" s="21"/>
    </row>
    <row r="2431" spans="1:11" ht="15.5" x14ac:dyDescent="0.35">
      <c r="A2431" s="472" t="s">
        <v>974</v>
      </c>
      <c r="B2431" s="473">
        <v>2024</v>
      </c>
      <c r="C2431" s="473" t="str">
        <f t="shared" si="64"/>
        <v>Sutter_2024</v>
      </c>
      <c r="D2431" s="474">
        <v>388.27337705809174</v>
      </c>
      <c r="E2431" s="2"/>
      <c r="F2431" s="2"/>
      <c r="G2431" s="2"/>
      <c r="H2431" s="2"/>
      <c r="I2431" s="21"/>
      <c r="J2431" s="21"/>
      <c r="K2431" s="21"/>
    </row>
    <row r="2432" spans="1:11" ht="15.5" x14ac:dyDescent="0.35">
      <c r="A2432" s="472" t="s">
        <v>974</v>
      </c>
      <c r="B2432" s="473">
        <v>2025</v>
      </c>
      <c r="C2432" s="473" t="str">
        <f t="shared" si="64"/>
        <v>Sutter_2025</v>
      </c>
      <c r="D2432" s="474">
        <v>375.39690404056711</v>
      </c>
      <c r="E2432" s="2"/>
      <c r="F2432" s="2"/>
      <c r="G2432" s="2"/>
      <c r="H2432" s="2"/>
      <c r="I2432" s="21"/>
      <c r="J2432" s="21"/>
      <c r="K2432" s="21"/>
    </row>
    <row r="2433" spans="1:11" ht="15.5" x14ac:dyDescent="0.35">
      <c r="A2433" s="472" t="s">
        <v>974</v>
      </c>
      <c r="B2433" s="473">
        <v>2026</v>
      </c>
      <c r="C2433" s="473" t="str">
        <f t="shared" si="64"/>
        <v>Sutter_2026</v>
      </c>
      <c r="D2433" s="474">
        <v>363.65982655159502</v>
      </c>
      <c r="E2433" s="2"/>
      <c r="F2433" s="2"/>
      <c r="G2433" s="2"/>
      <c r="H2433" s="2"/>
      <c r="I2433" s="21"/>
      <c r="J2433" s="21"/>
      <c r="K2433" s="21"/>
    </row>
    <row r="2434" spans="1:11" ht="15.5" x14ac:dyDescent="0.35">
      <c r="A2434" s="472" t="s">
        <v>974</v>
      </c>
      <c r="B2434" s="473">
        <v>2027</v>
      </c>
      <c r="C2434" s="473" t="str">
        <f t="shared" si="64"/>
        <v>Sutter_2027</v>
      </c>
      <c r="D2434" s="474">
        <v>352.92657144273454</v>
      </c>
      <c r="E2434" s="2"/>
      <c r="F2434" s="2"/>
      <c r="G2434" s="2"/>
      <c r="H2434" s="2"/>
      <c r="I2434" s="21"/>
      <c r="J2434" s="21"/>
      <c r="K2434" s="21"/>
    </row>
    <row r="2435" spans="1:11" ht="15.5" x14ac:dyDescent="0.35">
      <c r="A2435" s="472" t="s">
        <v>974</v>
      </c>
      <c r="B2435" s="473">
        <v>2028</v>
      </c>
      <c r="C2435" s="473" t="str">
        <f t="shared" si="64"/>
        <v>Sutter_2028</v>
      </c>
      <c r="D2435" s="474">
        <v>343.26367263827564</v>
      </c>
      <c r="E2435" s="2"/>
      <c r="F2435" s="2"/>
      <c r="G2435" s="2"/>
      <c r="H2435" s="2"/>
      <c r="I2435" s="21"/>
      <c r="J2435" s="21"/>
      <c r="K2435" s="21"/>
    </row>
    <row r="2436" spans="1:11" ht="15.5" x14ac:dyDescent="0.35">
      <c r="A2436" s="472" t="s">
        <v>974</v>
      </c>
      <c r="B2436" s="473">
        <v>2029</v>
      </c>
      <c r="C2436" s="473" t="str">
        <f t="shared" si="64"/>
        <v>Sutter_2029</v>
      </c>
      <c r="D2436" s="474">
        <v>334.60968166215076</v>
      </c>
      <c r="E2436" s="2"/>
      <c r="F2436" s="2"/>
      <c r="G2436" s="2"/>
      <c r="H2436" s="2"/>
      <c r="I2436" s="21"/>
      <c r="J2436" s="21"/>
      <c r="K2436" s="21"/>
    </row>
    <row r="2437" spans="1:11" ht="15.5" x14ac:dyDescent="0.35">
      <c r="A2437" s="472" t="s">
        <v>974</v>
      </c>
      <c r="B2437" s="473">
        <v>2030</v>
      </c>
      <c r="C2437" s="473" t="str">
        <f t="shared" si="64"/>
        <v>Sutter_2030</v>
      </c>
      <c r="D2437" s="474">
        <v>326.90890923786213</v>
      </c>
      <c r="E2437" s="2"/>
      <c r="F2437" s="2"/>
      <c r="G2437" s="2"/>
      <c r="H2437" s="2"/>
      <c r="I2437" s="21"/>
      <c r="J2437" s="21"/>
      <c r="K2437" s="21"/>
    </row>
    <row r="2438" spans="1:11" ht="15.5" x14ac:dyDescent="0.35">
      <c r="A2438" s="472" t="s">
        <v>974</v>
      </c>
      <c r="B2438" s="473">
        <v>2031</v>
      </c>
      <c r="C2438" s="473" t="str">
        <f t="shared" si="64"/>
        <v>Sutter_2031</v>
      </c>
      <c r="D2438" s="474">
        <v>320.06194464457508</v>
      </c>
      <c r="E2438" s="2"/>
      <c r="F2438" s="2"/>
      <c r="G2438" s="2"/>
      <c r="H2438" s="2"/>
      <c r="I2438" s="21"/>
      <c r="J2438" s="21"/>
      <c r="K2438" s="21"/>
    </row>
    <row r="2439" spans="1:11" ht="15.5" x14ac:dyDescent="0.35">
      <c r="A2439" s="472" t="s">
        <v>974</v>
      </c>
      <c r="B2439" s="473">
        <v>2032</v>
      </c>
      <c r="C2439" s="473" t="str">
        <f t="shared" si="64"/>
        <v>Sutter_2032</v>
      </c>
      <c r="D2439" s="474">
        <v>314.0210475614121</v>
      </c>
      <c r="E2439" s="2"/>
      <c r="F2439" s="2"/>
      <c r="G2439" s="2"/>
      <c r="H2439" s="2"/>
      <c r="I2439" s="21"/>
      <c r="J2439" s="21"/>
      <c r="K2439" s="21"/>
    </row>
    <row r="2440" spans="1:11" ht="15.5" x14ac:dyDescent="0.35">
      <c r="A2440" s="472" t="s">
        <v>974</v>
      </c>
      <c r="B2440" s="473">
        <v>2033</v>
      </c>
      <c r="C2440" s="473" t="str">
        <f t="shared" si="64"/>
        <v>Sutter_2033</v>
      </c>
      <c r="D2440" s="474">
        <v>308.70672289441006</v>
      </c>
      <c r="E2440" s="2"/>
      <c r="F2440" s="2"/>
      <c r="G2440" s="2"/>
      <c r="H2440" s="2"/>
      <c r="I2440" s="21"/>
      <c r="J2440" s="21"/>
      <c r="K2440" s="21"/>
    </row>
    <row r="2441" spans="1:11" ht="15.5" x14ac:dyDescent="0.35">
      <c r="A2441" s="472" t="s">
        <v>974</v>
      </c>
      <c r="B2441" s="473">
        <v>2034</v>
      </c>
      <c r="C2441" s="473" t="str">
        <f t="shared" si="64"/>
        <v>Sutter_2034</v>
      </c>
      <c r="D2441" s="474">
        <v>304.03726675822315</v>
      </c>
      <c r="E2441" s="2"/>
      <c r="F2441" s="2"/>
      <c r="G2441" s="2"/>
      <c r="H2441" s="2"/>
      <c r="I2441" s="21"/>
      <c r="J2441" s="21"/>
      <c r="K2441" s="21"/>
    </row>
    <row r="2442" spans="1:11" ht="15.5" x14ac:dyDescent="0.35">
      <c r="A2442" s="472" t="s">
        <v>974</v>
      </c>
      <c r="B2442" s="473">
        <v>2035</v>
      </c>
      <c r="C2442" s="473" t="str">
        <f t="shared" si="64"/>
        <v>Sutter_2035</v>
      </c>
      <c r="D2442" s="474">
        <v>299.96987118876422</v>
      </c>
      <c r="E2442" s="2"/>
      <c r="F2442" s="2"/>
      <c r="G2442" s="2"/>
      <c r="H2442" s="2"/>
      <c r="I2442" s="21"/>
      <c r="J2442" s="21"/>
      <c r="K2442" s="21"/>
    </row>
    <row r="2443" spans="1:11" ht="15.5" x14ac:dyDescent="0.35">
      <c r="A2443" s="472" t="s">
        <v>974</v>
      </c>
      <c r="B2443" s="473">
        <v>2036</v>
      </c>
      <c r="C2443" s="473" t="str">
        <f t="shared" si="64"/>
        <v>Sutter_2036</v>
      </c>
      <c r="D2443" s="474">
        <v>296.44746853185433</v>
      </c>
      <c r="E2443" s="2"/>
      <c r="F2443" s="2"/>
      <c r="G2443" s="2"/>
      <c r="H2443" s="2"/>
      <c r="I2443" s="21"/>
      <c r="J2443" s="21"/>
      <c r="K2443" s="21"/>
    </row>
    <row r="2444" spans="1:11" ht="15.5" x14ac:dyDescent="0.35">
      <c r="A2444" s="472" t="s">
        <v>974</v>
      </c>
      <c r="B2444" s="473">
        <v>2037</v>
      </c>
      <c r="C2444" s="473" t="str">
        <f t="shared" si="64"/>
        <v>Sutter_2037</v>
      </c>
      <c r="D2444" s="474">
        <v>293.43565669976977</v>
      </c>
      <c r="E2444" s="2"/>
      <c r="F2444" s="2"/>
      <c r="G2444" s="2"/>
      <c r="H2444" s="2"/>
      <c r="I2444" s="21"/>
      <c r="J2444" s="21"/>
      <c r="K2444" s="21"/>
    </row>
    <row r="2445" spans="1:11" ht="15.5" x14ac:dyDescent="0.35">
      <c r="A2445" s="472" t="s">
        <v>974</v>
      </c>
      <c r="B2445" s="473">
        <v>2038</v>
      </c>
      <c r="C2445" s="473" t="str">
        <f t="shared" si="64"/>
        <v>Sutter_2038</v>
      </c>
      <c r="D2445" s="474">
        <v>290.87207747289574</v>
      </c>
      <c r="E2445" s="2"/>
      <c r="F2445" s="2"/>
      <c r="G2445" s="2"/>
      <c r="H2445" s="2"/>
      <c r="I2445" s="21"/>
      <c r="J2445" s="21"/>
      <c r="K2445" s="21"/>
    </row>
    <row r="2446" spans="1:11" ht="15.5" x14ac:dyDescent="0.35">
      <c r="A2446" s="472" t="s">
        <v>974</v>
      </c>
      <c r="B2446" s="473">
        <v>2039</v>
      </c>
      <c r="C2446" s="473" t="str">
        <f t="shared" si="64"/>
        <v>Sutter_2039</v>
      </c>
      <c r="D2446" s="474">
        <v>288.69460583006384</v>
      </c>
      <c r="E2446" s="2"/>
      <c r="F2446" s="2"/>
      <c r="G2446" s="2"/>
      <c r="H2446" s="2"/>
      <c r="I2446" s="21"/>
      <c r="J2446" s="21"/>
      <c r="K2446" s="21"/>
    </row>
    <row r="2447" spans="1:11" ht="15.5" x14ac:dyDescent="0.35">
      <c r="A2447" s="472" t="s">
        <v>974</v>
      </c>
      <c r="B2447" s="473">
        <v>2040</v>
      </c>
      <c r="C2447" s="473" t="str">
        <f t="shared" si="64"/>
        <v>Sutter_2040</v>
      </c>
      <c r="D2447" s="474">
        <v>286.86371663362831</v>
      </c>
      <c r="E2447" s="2"/>
      <c r="F2447" s="2"/>
      <c r="G2447" s="2"/>
      <c r="H2447" s="2"/>
      <c r="I2447" s="21"/>
      <c r="J2447" s="21"/>
      <c r="K2447" s="21"/>
    </row>
    <row r="2448" spans="1:11" ht="15.5" x14ac:dyDescent="0.35">
      <c r="A2448" s="472" t="s">
        <v>974</v>
      </c>
      <c r="B2448" s="473">
        <v>2041</v>
      </c>
      <c r="C2448" s="473" t="str">
        <f t="shared" si="64"/>
        <v>Sutter_2041</v>
      </c>
      <c r="D2448" s="474">
        <v>285.34873431116671</v>
      </c>
      <c r="E2448" s="2"/>
      <c r="F2448" s="2"/>
      <c r="G2448" s="2"/>
      <c r="H2448" s="2"/>
      <c r="I2448" s="21"/>
      <c r="J2448" s="21"/>
      <c r="K2448" s="21"/>
    </row>
    <row r="2449" spans="1:11" ht="15.5" x14ac:dyDescent="0.35">
      <c r="A2449" s="472" t="s">
        <v>974</v>
      </c>
      <c r="B2449" s="473">
        <v>2042</v>
      </c>
      <c r="C2449" s="473" t="str">
        <f t="shared" si="64"/>
        <v>Sutter_2042</v>
      </c>
      <c r="D2449" s="474">
        <v>284.07657478387995</v>
      </c>
      <c r="E2449" s="2"/>
      <c r="F2449" s="2"/>
      <c r="G2449" s="2"/>
      <c r="H2449" s="2"/>
      <c r="I2449" s="21"/>
      <c r="J2449" s="21"/>
      <c r="K2449" s="21"/>
    </row>
    <row r="2450" spans="1:11" ht="15.5" x14ac:dyDescent="0.35">
      <c r="A2450" s="472" t="s">
        <v>974</v>
      </c>
      <c r="B2450" s="473">
        <v>2043</v>
      </c>
      <c r="C2450" s="473" t="str">
        <f t="shared" si="64"/>
        <v>Sutter_2043</v>
      </c>
      <c r="D2450" s="474">
        <v>283.04097106485682</v>
      </c>
      <c r="E2450" s="2"/>
      <c r="F2450" s="2"/>
      <c r="G2450" s="2"/>
      <c r="H2450" s="2"/>
      <c r="I2450" s="21"/>
      <c r="J2450" s="21"/>
      <c r="K2450" s="21"/>
    </row>
    <row r="2451" spans="1:11" ht="15.5" x14ac:dyDescent="0.35">
      <c r="A2451" s="472" t="s">
        <v>974</v>
      </c>
      <c r="B2451" s="473">
        <v>2044</v>
      </c>
      <c r="C2451" s="473" t="str">
        <f t="shared" si="64"/>
        <v>Sutter_2044</v>
      </c>
      <c r="D2451" s="474">
        <v>282.17915503789857</v>
      </c>
      <c r="E2451" s="2"/>
      <c r="F2451" s="2"/>
      <c r="G2451" s="2"/>
      <c r="H2451" s="2"/>
      <c r="I2451" s="21"/>
      <c r="J2451" s="21"/>
      <c r="K2451" s="21"/>
    </row>
    <row r="2452" spans="1:11" ht="15.5" x14ac:dyDescent="0.35">
      <c r="A2452" s="472" t="s">
        <v>974</v>
      </c>
      <c r="B2452" s="473">
        <v>2045</v>
      </c>
      <c r="C2452" s="473" t="str">
        <f t="shared" si="64"/>
        <v>Sutter_2045</v>
      </c>
      <c r="D2452" s="474">
        <v>281.46307487933302</v>
      </c>
      <c r="E2452" s="2"/>
      <c r="F2452" s="2"/>
      <c r="G2452" s="2"/>
      <c r="H2452" s="2"/>
      <c r="I2452" s="21"/>
      <c r="J2452" s="21"/>
      <c r="K2452" s="21"/>
    </row>
    <row r="2453" spans="1:11" ht="15.5" x14ac:dyDescent="0.35">
      <c r="A2453" s="472" t="s">
        <v>974</v>
      </c>
      <c r="B2453" s="473">
        <v>2046</v>
      </c>
      <c r="C2453" s="473" t="str">
        <f t="shared" si="64"/>
        <v>Sutter_2046</v>
      </c>
      <c r="D2453" s="474">
        <v>280.86875789815264</v>
      </c>
      <c r="E2453" s="2"/>
      <c r="F2453" s="2"/>
      <c r="G2453" s="2"/>
      <c r="H2453" s="2"/>
      <c r="I2453" s="21"/>
      <c r="J2453" s="21"/>
      <c r="K2453" s="21"/>
    </row>
    <row r="2454" spans="1:11" ht="15.5" x14ac:dyDescent="0.35">
      <c r="A2454" s="472" t="s">
        <v>974</v>
      </c>
      <c r="B2454" s="473">
        <v>2047</v>
      </c>
      <c r="C2454" s="473" t="str">
        <f t="shared" si="64"/>
        <v>Sutter_2047</v>
      </c>
      <c r="D2454" s="474">
        <v>280.38290167540026</v>
      </c>
      <c r="E2454" s="2"/>
      <c r="F2454" s="2"/>
      <c r="G2454" s="2"/>
      <c r="H2454" s="2"/>
      <c r="I2454" s="21"/>
      <c r="J2454" s="21"/>
      <c r="K2454" s="21"/>
    </row>
    <row r="2455" spans="1:11" ht="15.5" x14ac:dyDescent="0.35">
      <c r="A2455" s="472" t="s">
        <v>974</v>
      </c>
      <c r="B2455" s="473">
        <v>2048</v>
      </c>
      <c r="C2455" s="473" t="str">
        <f t="shared" si="64"/>
        <v>Sutter_2048</v>
      </c>
      <c r="D2455" s="474">
        <v>279.97710466022829</v>
      </c>
      <c r="E2455" s="2"/>
      <c r="F2455" s="2"/>
      <c r="G2455" s="2"/>
      <c r="H2455" s="2"/>
      <c r="I2455" s="21"/>
      <c r="J2455" s="21"/>
      <c r="K2455" s="21"/>
    </row>
    <row r="2456" spans="1:11" ht="15.5" x14ac:dyDescent="0.35">
      <c r="A2456" s="472" t="s">
        <v>974</v>
      </c>
      <c r="B2456" s="473">
        <v>2049</v>
      </c>
      <c r="C2456" s="473" t="str">
        <f t="shared" si="64"/>
        <v>Sutter_2049</v>
      </c>
      <c r="D2456" s="474">
        <v>279.64194295508474</v>
      </c>
      <c r="E2456" s="2"/>
      <c r="F2456" s="2"/>
      <c r="G2456" s="2"/>
      <c r="H2456" s="2"/>
      <c r="I2456" s="21"/>
      <c r="J2456" s="21"/>
      <c r="K2456" s="21"/>
    </row>
    <row r="2457" spans="1:11" ht="15.5" x14ac:dyDescent="0.35">
      <c r="A2457" s="472" t="s">
        <v>974</v>
      </c>
      <c r="B2457" s="473">
        <v>2050</v>
      </c>
      <c r="C2457" s="473" t="str">
        <f t="shared" si="64"/>
        <v>Sutter_2050</v>
      </c>
      <c r="D2457" s="474">
        <v>279.3692879382279</v>
      </c>
      <c r="E2457" s="2"/>
      <c r="F2457" s="2"/>
      <c r="G2457" s="2"/>
      <c r="H2457" s="2"/>
      <c r="I2457" s="21"/>
      <c r="J2457" s="21"/>
      <c r="K2457" s="21"/>
    </row>
    <row r="2458" spans="1:11" ht="15.5" x14ac:dyDescent="0.35">
      <c r="A2458" s="468" t="s">
        <v>977</v>
      </c>
      <c r="B2458" s="469">
        <v>2015</v>
      </c>
      <c r="C2458" s="470" t="s">
        <v>978</v>
      </c>
      <c r="D2458" s="471">
        <v>527.1040536274736</v>
      </c>
      <c r="E2458" s="2"/>
      <c r="F2458" s="2"/>
      <c r="G2458" s="2"/>
      <c r="H2458" s="2"/>
      <c r="I2458" s="21"/>
      <c r="J2458" s="21"/>
      <c r="K2458" s="21"/>
    </row>
    <row r="2459" spans="1:11" ht="15.5" x14ac:dyDescent="0.35">
      <c r="A2459" s="468" t="s">
        <v>977</v>
      </c>
      <c r="B2459" s="469">
        <v>2016</v>
      </c>
      <c r="C2459" s="470" t="s">
        <v>979</v>
      </c>
      <c r="D2459" s="471">
        <v>517.1289666910219</v>
      </c>
      <c r="E2459" s="2"/>
      <c r="F2459" s="2"/>
      <c r="G2459" s="2"/>
      <c r="H2459" s="2"/>
      <c r="I2459" s="21"/>
      <c r="J2459" s="21"/>
      <c r="K2459" s="21"/>
    </row>
    <row r="2460" spans="1:11" ht="15.5" x14ac:dyDescent="0.35">
      <c r="A2460" s="472" t="s">
        <v>977</v>
      </c>
      <c r="B2460" s="473">
        <v>2017</v>
      </c>
      <c r="C2460" s="473" t="str">
        <f t="shared" ref="C2460:C2493" si="65">CONCATENATE(A2460,"_",B2460)</f>
        <v>Tehama_2017</v>
      </c>
      <c r="D2460" s="474">
        <v>503.67097370015915</v>
      </c>
      <c r="E2460" s="2"/>
      <c r="F2460" s="2"/>
      <c r="G2460" s="2"/>
      <c r="H2460" s="2"/>
      <c r="I2460" s="21"/>
      <c r="J2460" s="21"/>
      <c r="K2460" s="21"/>
    </row>
    <row r="2461" spans="1:11" ht="15.5" x14ac:dyDescent="0.35">
      <c r="A2461" s="472" t="s">
        <v>977</v>
      </c>
      <c r="B2461" s="473">
        <v>2018</v>
      </c>
      <c r="C2461" s="473" t="str">
        <f t="shared" si="65"/>
        <v>Tehama_2018</v>
      </c>
      <c r="D2461" s="474">
        <v>489.67342738581107</v>
      </c>
      <c r="E2461" s="2"/>
      <c r="F2461" s="2"/>
      <c r="G2461" s="2"/>
      <c r="H2461" s="2"/>
      <c r="I2461" s="21"/>
      <c r="J2461" s="21"/>
      <c r="K2461" s="21"/>
    </row>
    <row r="2462" spans="1:11" ht="15.5" x14ac:dyDescent="0.35">
      <c r="A2462" s="472" t="s">
        <v>977</v>
      </c>
      <c r="B2462" s="473">
        <v>2019</v>
      </c>
      <c r="C2462" s="473" t="str">
        <f t="shared" si="65"/>
        <v>Tehama_2019</v>
      </c>
      <c r="D2462" s="474">
        <v>475.26135207868037</v>
      </c>
      <c r="E2462" s="2"/>
      <c r="F2462" s="2"/>
      <c r="G2462" s="2"/>
      <c r="H2462" s="2"/>
      <c r="I2462" s="21"/>
      <c r="J2462" s="21"/>
      <c r="K2462" s="21"/>
    </row>
    <row r="2463" spans="1:11" ht="15.5" x14ac:dyDescent="0.35">
      <c r="A2463" s="472" t="s">
        <v>977</v>
      </c>
      <c r="B2463" s="473">
        <v>2020</v>
      </c>
      <c r="C2463" s="473" t="str">
        <f t="shared" si="65"/>
        <v>Tehama_2020</v>
      </c>
      <c r="D2463" s="474">
        <v>460.68928656167691</v>
      </c>
      <c r="E2463" s="2"/>
      <c r="F2463" s="2"/>
      <c r="G2463" s="2"/>
      <c r="H2463" s="2"/>
      <c r="I2463" s="21"/>
      <c r="J2463" s="21"/>
      <c r="K2463" s="21"/>
    </row>
    <row r="2464" spans="1:11" ht="15.5" x14ac:dyDescent="0.35">
      <c r="A2464" s="472" t="s">
        <v>977</v>
      </c>
      <c r="B2464" s="473">
        <v>2021</v>
      </c>
      <c r="C2464" s="473" t="str">
        <f t="shared" si="65"/>
        <v>Tehama_2021</v>
      </c>
      <c r="D2464" s="474">
        <v>446.07600633257528</v>
      </c>
      <c r="E2464" s="2"/>
      <c r="F2464" s="2"/>
      <c r="G2464" s="2"/>
      <c r="H2464" s="2"/>
      <c r="I2464" s="21"/>
      <c r="J2464" s="21"/>
      <c r="K2464" s="21"/>
    </row>
    <row r="2465" spans="1:11" ht="15.5" x14ac:dyDescent="0.35">
      <c r="A2465" s="472" t="s">
        <v>977</v>
      </c>
      <c r="B2465" s="473">
        <v>2022</v>
      </c>
      <c r="C2465" s="473" t="str">
        <f t="shared" si="65"/>
        <v>Tehama_2022</v>
      </c>
      <c r="D2465" s="474">
        <v>431.7403690033816</v>
      </c>
      <c r="E2465" s="2"/>
      <c r="F2465" s="2"/>
      <c r="G2465" s="2"/>
      <c r="H2465" s="2"/>
      <c r="I2465" s="21"/>
      <c r="J2465" s="21"/>
      <c r="K2465" s="21"/>
    </row>
    <row r="2466" spans="1:11" ht="15.5" x14ac:dyDescent="0.35">
      <c r="A2466" s="472" t="s">
        <v>977</v>
      </c>
      <c r="B2466" s="473">
        <v>2023</v>
      </c>
      <c r="C2466" s="473" t="str">
        <f t="shared" si="65"/>
        <v>Tehama_2023</v>
      </c>
      <c r="D2466" s="474">
        <v>417.67987252748759</v>
      </c>
      <c r="E2466" s="2"/>
      <c r="F2466" s="2"/>
      <c r="G2466" s="2"/>
      <c r="H2466" s="2"/>
      <c r="I2466" s="21"/>
      <c r="J2466" s="21"/>
      <c r="K2466" s="21"/>
    </row>
    <row r="2467" spans="1:11" ht="15.5" x14ac:dyDescent="0.35">
      <c r="A2467" s="472" t="s">
        <v>977</v>
      </c>
      <c r="B2467" s="473">
        <v>2024</v>
      </c>
      <c r="C2467" s="473" t="str">
        <f t="shared" si="65"/>
        <v>Tehama_2024</v>
      </c>
      <c r="D2467" s="474">
        <v>403.92373519017696</v>
      </c>
      <c r="E2467" s="2"/>
      <c r="F2467" s="2"/>
      <c r="G2467" s="2"/>
      <c r="H2467" s="2"/>
      <c r="I2467" s="21"/>
      <c r="J2467" s="21"/>
      <c r="K2467" s="21"/>
    </row>
    <row r="2468" spans="1:11" ht="15.5" x14ac:dyDescent="0.35">
      <c r="A2468" s="472" t="s">
        <v>977</v>
      </c>
      <c r="B2468" s="473">
        <v>2025</v>
      </c>
      <c r="C2468" s="473" t="str">
        <f t="shared" si="65"/>
        <v>Tehama_2025</v>
      </c>
      <c r="D2468" s="474">
        <v>390.47407084819531</v>
      </c>
      <c r="E2468" s="2"/>
      <c r="F2468" s="2"/>
      <c r="G2468" s="2"/>
      <c r="H2468" s="2"/>
      <c r="I2468" s="21"/>
      <c r="J2468" s="21"/>
      <c r="K2468" s="21"/>
    </row>
    <row r="2469" spans="1:11" ht="15.5" x14ac:dyDescent="0.35">
      <c r="A2469" s="472" t="s">
        <v>977</v>
      </c>
      <c r="B2469" s="473">
        <v>2026</v>
      </c>
      <c r="C2469" s="473" t="str">
        <f t="shared" si="65"/>
        <v>Tehama_2026</v>
      </c>
      <c r="D2469" s="474">
        <v>378.2474172698191</v>
      </c>
      <c r="E2469" s="2"/>
      <c r="F2469" s="2"/>
      <c r="G2469" s="2"/>
      <c r="H2469" s="2"/>
      <c r="I2469" s="21"/>
      <c r="J2469" s="21"/>
      <c r="K2469" s="21"/>
    </row>
    <row r="2470" spans="1:11" ht="15.5" x14ac:dyDescent="0.35">
      <c r="A2470" s="472" t="s">
        <v>977</v>
      </c>
      <c r="B2470" s="473">
        <v>2027</v>
      </c>
      <c r="C2470" s="473" t="str">
        <f t="shared" si="65"/>
        <v>Tehama_2027</v>
      </c>
      <c r="D2470" s="474">
        <v>367.1086172393708</v>
      </c>
      <c r="E2470" s="2"/>
      <c r="F2470" s="2"/>
      <c r="G2470" s="2"/>
      <c r="H2470" s="2"/>
      <c r="I2470" s="21"/>
      <c r="J2470" s="21"/>
      <c r="K2470" s="21"/>
    </row>
    <row r="2471" spans="1:11" ht="15.5" x14ac:dyDescent="0.35">
      <c r="A2471" s="472" t="s">
        <v>977</v>
      </c>
      <c r="B2471" s="473">
        <v>2028</v>
      </c>
      <c r="C2471" s="473" t="str">
        <f t="shared" si="65"/>
        <v>Tehama_2028</v>
      </c>
      <c r="D2471" s="474">
        <v>357.11559222712674</v>
      </c>
      <c r="E2471" s="2"/>
      <c r="F2471" s="2"/>
      <c r="G2471" s="2"/>
      <c r="H2471" s="2"/>
      <c r="I2471" s="21"/>
      <c r="J2471" s="21"/>
      <c r="K2471" s="21"/>
    </row>
    <row r="2472" spans="1:11" ht="15.5" x14ac:dyDescent="0.35">
      <c r="A2472" s="472" t="s">
        <v>977</v>
      </c>
      <c r="B2472" s="473">
        <v>2029</v>
      </c>
      <c r="C2472" s="473" t="str">
        <f t="shared" si="65"/>
        <v>Tehama_2029</v>
      </c>
      <c r="D2472" s="474">
        <v>348.17551174605438</v>
      </c>
      <c r="E2472" s="2"/>
      <c r="F2472" s="2"/>
      <c r="G2472" s="2"/>
      <c r="H2472" s="2"/>
      <c r="I2472" s="21"/>
      <c r="J2472" s="21"/>
      <c r="K2472" s="21"/>
    </row>
    <row r="2473" spans="1:11" ht="15.5" x14ac:dyDescent="0.35">
      <c r="A2473" s="472" t="s">
        <v>977</v>
      </c>
      <c r="B2473" s="473">
        <v>2030</v>
      </c>
      <c r="C2473" s="473" t="str">
        <f t="shared" si="65"/>
        <v>Tehama_2030</v>
      </c>
      <c r="D2473" s="474">
        <v>340.21544678429603</v>
      </c>
      <c r="E2473" s="2"/>
      <c r="F2473" s="2"/>
      <c r="G2473" s="2"/>
      <c r="H2473" s="2"/>
      <c r="I2473" s="21"/>
      <c r="J2473" s="21"/>
      <c r="K2473" s="21"/>
    </row>
    <row r="2474" spans="1:11" ht="15.5" x14ac:dyDescent="0.35">
      <c r="A2474" s="472" t="s">
        <v>977</v>
      </c>
      <c r="B2474" s="473">
        <v>2031</v>
      </c>
      <c r="C2474" s="473" t="str">
        <f t="shared" si="65"/>
        <v>Tehama_2031</v>
      </c>
      <c r="D2474" s="474">
        <v>333.15751786903525</v>
      </c>
      <c r="E2474" s="2"/>
      <c r="F2474" s="2"/>
      <c r="G2474" s="2"/>
      <c r="H2474" s="2"/>
      <c r="I2474" s="21"/>
      <c r="J2474" s="21"/>
      <c r="K2474" s="21"/>
    </row>
    <row r="2475" spans="1:11" ht="15.5" x14ac:dyDescent="0.35">
      <c r="A2475" s="472" t="s">
        <v>977</v>
      </c>
      <c r="B2475" s="473">
        <v>2032</v>
      </c>
      <c r="C2475" s="473" t="str">
        <f t="shared" si="65"/>
        <v>Tehama_2032</v>
      </c>
      <c r="D2475" s="474">
        <v>326.93798185255184</v>
      </c>
      <c r="E2475" s="2"/>
      <c r="F2475" s="2"/>
      <c r="G2475" s="2"/>
      <c r="H2475" s="2"/>
      <c r="I2475" s="21"/>
      <c r="J2475" s="21"/>
      <c r="K2475" s="21"/>
    </row>
    <row r="2476" spans="1:11" ht="15.5" x14ac:dyDescent="0.35">
      <c r="A2476" s="472" t="s">
        <v>977</v>
      </c>
      <c r="B2476" s="473">
        <v>2033</v>
      </c>
      <c r="C2476" s="473" t="str">
        <f t="shared" si="65"/>
        <v>Tehama_2033</v>
      </c>
      <c r="D2476" s="474">
        <v>321.47170401009191</v>
      </c>
      <c r="E2476" s="2"/>
      <c r="F2476" s="2"/>
      <c r="G2476" s="2"/>
      <c r="H2476" s="2"/>
      <c r="I2476" s="21"/>
      <c r="J2476" s="21"/>
      <c r="K2476" s="21"/>
    </row>
    <row r="2477" spans="1:11" ht="15.5" x14ac:dyDescent="0.35">
      <c r="A2477" s="472" t="s">
        <v>977</v>
      </c>
      <c r="B2477" s="473">
        <v>2034</v>
      </c>
      <c r="C2477" s="473" t="str">
        <f t="shared" si="65"/>
        <v>Tehama_2034</v>
      </c>
      <c r="D2477" s="474">
        <v>316.69155559567679</v>
      </c>
      <c r="E2477" s="2"/>
      <c r="F2477" s="2"/>
      <c r="G2477" s="2"/>
      <c r="H2477" s="2"/>
      <c r="I2477" s="21"/>
      <c r="J2477" s="21"/>
      <c r="K2477" s="21"/>
    </row>
    <row r="2478" spans="1:11" ht="15.5" x14ac:dyDescent="0.35">
      <c r="A2478" s="472" t="s">
        <v>977</v>
      </c>
      <c r="B2478" s="473">
        <v>2035</v>
      </c>
      <c r="C2478" s="473" t="str">
        <f t="shared" si="65"/>
        <v>Tehama_2035</v>
      </c>
      <c r="D2478" s="474">
        <v>312.54293559708401</v>
      </c>
      <c r="E2478" s="2"/>
      <c r="F2478" s="2"/>
      <c r="G2478" s="2"/>
      <c r="H2478" s="2"/>
      <c r="I2478" s="21"/>
      <c r="J2478" s="21"/>
      <c r="K2478" s="21"/>
    </row>
    <row r="2479" spans="1:11" ht="15.5" x14ac:dyDescent="0.35">
      <c r="A2479" s="472" t="s">
        <v>977</v>
      </c>
      <c r="B2479" s="473">
        <v>2036</v>
      </c>
      <c r="C2479" s="473" t="str">
        <f t="shared" si="65"/>
        <v>Tehama_2036</v>
      </c>
      <c r="D2479" s="474">
        <v>308.96308539881426</v>
      </c>
      <c r="E2479" s="2"/>
      <c r="F2479" s="2"/>
      <c r="G2479" s="2"/>
      <c r="H2479" s="2"/>
      <c r="I2479" s="21"/>
      <c r="J2479" s="21"/>
      <c r="K2479" s="21"/>
    </row>
    <row r="2480" spans="1:11" ht="15.5" x14ac:dyDescent="0.35">
      <c r="A2480" s="472" t="s">
        <v>977</v>
      </c>
      <c r="B2480" s="473">
        <v>2037</v>
      </c>
      <c r="C2480" s="473" t="str">
        <f t="shared" si="65"/>
        <v>Tehama_2037</v>
      </c>
      <c r="D2480" s="474">
        <v>305.90377446994165</v>
      </c>
      <c r="E2480" s="2"/>
      <c r="F2480" s="2"/>
      <c r="G2480" s="2"/>
      <c r="H2480" s="2"/>
      <c r="I2480" s="21"/>
      <c r="J2480" s="21"/>
      <c r="K2480" s="21"/>
    </row>
    <row r="2481" spans="1:11" ht="15.5" x14ac:dyDescent="0.35">
      <c r="A2481" s="472" t="s">
        <v>977</v>
      </c>
      <c r="B2481" s="473">
        <v>2038</v>
      </c>
      <c r="C2481" s="473" t="str">
        <f t="shared" si="65"/>
        <v>Tehama_2038</v>
      </c>
      <c r="D2481" s="474">
        <v>303.30874144202232</v>
      </c>
      <c r="E2481" s="2"/>
      <c r="F2481" s="2"/>
      <c r="G2481" s="2"/>
      <c r="H2481" s="2"/>
      <c r="I2481" s="21"/>
      <c r="J2481" s="21"/>
      <c r="K2481" s="21"/>
    </row>
    <row r="2482" spans="1:11" ht="15.5" x14ac:dyDescent="0.35">
      <c r="A2482" s="472" t="s">
        <v>977</v>
      </c>
      <c r="B2482" s="473">
        <v>2039</v>
      </c>
      <c r="C2482" s="473" t="str">
        <f t="shared" si="65"/>
        <v>Tehama_2039</v>
      </c>
      <c r="D2482" s="474">
        <v>301.11097787213862</v>
      </c>
      <c r="E2482" s="2"/>
      <c r="F2482" s="2"/>
      <c r="G2482" s="2"/>
      <c r="H2482" s="2"/>
      <c r="I2482" s="21"/>
      <c r="J2482" s="21"/>
      <c r="K2482" s="21"/>
    </row>
    <row r="2483" spans="1:11" ht="15.5" x14ac:dyDescent="0.35">
      <c r="A2483" s="472" t="s">
        <v>977</v>
      </c>
      <c r="B2483" s="473">
        <v>2040</v>
      </c>
      <c r="C2483" s="473" t="str">
        <f t="shared" si="65"/>
        <v>Tehama_2040</v>
      </c>
      <c r="D2483" s="474">
        <v>299.26953669738765</v>
      </c>
      <c r="E2483" s="2"/>
      <c r="F2483" s="2"/>
      <c r="G2483" s="2"/>
      <c r="H2483" s="2"/>
      <c r="I2483" s="21"/>
      <c r="J2483" s="21"/>
      <c r="K2483" s="21"/>
    </row>
    <row r="2484" spans="1:11" ht="15.5" x14ac:dyDescent="0.35">
      <c r="A2484" s="472" t="s">
        <v>977</v>
      </c>
      <c r="B2484" s="473">
        <v>2041</v>
      </c>
      <c r="C2484" s="473" t="str">
        <f t="shared" si="65"/>
        <v>Tehama_2041</v>
      </c>
      <c r="D2484" s="474">
        <v>297.75200602250379</v>
      </c>
      <c r="E2484" s="2"/>
      <c r="F2484" s="2"/>
      <c r="G2484" s="2"/>
      <c r="H2484" s="2"/>
      <c r="I2484" s="21"/>
      <c r="J2484" s="21"/>
      <c r="K2484" s="21"/>
    </row>
    <row r="2485" spans="1:11" ht="15.5" x14ac:dyDescent="0.35">
      <c r="A2485" s="472" t="s">
        <v>977</v>
      </c>
      <c r="B2485" s="473">
        <v>2042</v>
      </c>
      <c r="C2485" s="473" t="str">
        <f t="shared" si="65"/>
        <v>Tehama_2042</v>
      </c>
      <c r="D2485" s="474">
        <v>296.47569005700274</v>
      </c>
      <c r="E2485" s="2"/>
      <c r="F2485" s="2"/>
      <c r="G2485" s="2"/>
      <c r="H2485" s="2"/>
      <c r="I2485" s="21"/>
      <c r="J2485" s="21"/>
      <c r="K2485" s="21"/>
    </row>
    <row r="2486" spans="1:11" ht="15.5" x14ac:dyDescent="0.35">
      <c r="A2486" s="472" t="s">
        <v>977</v>
      </c>
      <c r="B2486" s="473">
        <v>2043</v>
      </c>
      <c r="C2486" s="473" t="str">
        <f t="shared" si="65"/>
        <v>Tehama_2043</v>
      </c>
      <c r="D2486" s="474">
        <v>295.42763390699008</v>
      </c>
      <c r="E2486" s="2"/>
      <c r="F2486" s="2"/>
      <c r="G2486" s="2"/>
      <c r="H2486" s="2"/>
      <c r="I2486" s="21"/>
      <c r="J2486" s="21"/>
      <c r="K2486" s="21"/>
    </row>
    <row r="2487" spans="1:11" ht="15.5" x14ac:dyDescent="0.35">
      <c r="A2487" s="472" t="s">
        <v>977</v>
      </c>
      <c r="B2487" s="473">
        <v>2044</v>
      </c>
      <c r="C2487" s="473" t="str">
        <f t="shared" si="65"/>
        <v>Tehama_2044</v>
      </c>
      <c r="D2487" s="474">
        <v>294.5595394190704</v>
      </c>
      <c r="E2487" s="2"/>
      <c r="F2487" s="2"/>
      <c r="G2487" s="2"/>
      <c r="H2487" s="2"/>
      <c r="I2487" s="21"/>
      <c r="J2487" s="21"/>
      <c r="K2487" s="21"/>
    </row>
    <row r="2488" spans="1:11" ht="15.5" x14ac:dyDescent="0.35">
      <c r="A2488" s="472" t="s">
        <v>977</v>
      </c>
      <c r="B2488" s="473">
        <v>2045</v>
      </c>
      <c r="C2488" s="473" t="str">
        <f t="shared" si="65"/>
        <v>Tehama_2045</v>
      </c>
      <c r="D2488" s="474">
        <v>293.82234536669927</v>
      </c>
      <c r="E2488" s="2"/>
      <c r="F2488" s="2"/>
      <c r="G2488" s="2"/>
      <c r="H2488" s="2"/>
      <c r="I2488" s="21"/>
      <c r="J2488" s="21"/>
      <c r="K2488" s="21"/>
    </row>
    <row r="2489" spans="1:11" ht="15.5" x14ac:dyDescent="0.35">
      <c r="A2489" s="472" t="s">
        <v>977</v>
      </c>
      <c r="B2489" s="473">
        <v>2046</v>
      </c>
      <c r="C2489" s="473" t="str">
        <f t="shared" si="65"/>
        <v>Tehama_2046</v>
      </c>
      <c r="D2489" s="474">
        <v>293.20922057606236</v>
      </c>
      <c r="E2489" s="2"/>
      <c r="F2489" s="2"/>
      <c r="G2489" s="2"/>
      <c r="H2489" s="2"/>
      <c r="I2489" s="21"/>
      <c r="J2489" s="21"/>
      <c r="K2489" s="21"/>
    </row>
    <row r="2490" spans="1:11" ht="15.5" x14ac:dyDescent="0.35">
      <c r="A2490" s="472" t="s">
        <v>977</v>
      </c>
      <c r="B2490" s="473">
        <v>2047</v>
      </c>
      <c r="C2490" s="473" t="str">
        <f t="shared" si="65"/>
        <v>Tehama_2047</v>
      </c>
      <c r="D2490" s="474">
        <v>292.70097327570085</v>
      </c>
      <c r="E2490" s="2"/>
      <c r="F2490" s="2"/>
      <c r="G2490" s="2"/>
      <c r="H2490" s="2"/>
      <c r="I2490" s="21"/>
      <c r="J2490" s="21"/>
      <c r="K2490" s="21"/>
    </row>
    <row r="2491" spans="1:11" ht="15.5" x14ac:dyDescent="0.35">
      <c r="A2491" s="472" t="s">
        <v>977</v>
      </c>
      <c r="B2491" s="473">
        <v>2048</v>
      </c>
      <c r="C2491" s="473" t="str">
        <f t="shared" si="65"/>
        <v>Tehama_2048</v>
      </c>
      <c r="D2491" s="474">
        <v>292.27763458119978</v>
      </c>
      <c r="E2491" s="2"/>
      <c r="F2491" s="2"/>
      <c r="G2491" s="2"/>
      <c r="H2491" s="2"/>
      <c r="I2491" s="21"/>
      <c r="J2491" s="21"/>
      <c r="K2491" s="21"/>
    </row>
    <row r="2492" spans="1:11" ht="15.5" x14ac:dyDescent="0.35">
      <c r="A2492" s="472" t="s">
        <v>977</v>
      </c>
      <c r="B2492" s="473">
        <v>2049</v>
      </c>
      <c r="C2492" s="473" t="str">
        <f t="shared" si="65"/>
        <v>Tehama_2049</v>
      </c>
      <c r="D2492" s="474">
        <v>291.92288141815499</v>
      </c>
      <c r="E2492" s="2"/>
      <c r="F2492" s="2"/>
      <c r="G2492" s="2"/>
      <c r="H2492" s="2"/>
      <c r="I2492" s="21"/>
      <c r="J2492" s="21"/>
      <c r="K2492" s="21"/>
    </row>
    <row r="2493" spans="1:11" ht="15.5" x14ac:dyDescent="0.35">
      <c r="A2493" s="472" t="s">
        <v>977</v>
      </c>
      <c r="B2493" s="473">
        <v>2050</v>
      </c>
      <c r="C2493" s="473" t="str">
        <f t="shared" si="65"/>
        <v>Tehama_2050</v>
      </c>
      <c r="D2493" s="474">
        <v>291.63503102441467</v>
      </c>
      <c r="E2493" s="2"/>
      <c r="F2493" s="2"/>
      <c r="G2493" s="2"/>
      <c r="H2493" s="2"/>
      <c r="I2493" s="21"/>
      <c r="J2493" s="21"/>
      <c r="K2493" s="21"/>
    </row>
    <row r="2494" spans="1:11" ht="15.5" x14ac:dyDescent="0.35">
      <c r="A2494" s="468" t="s">
        <v>980</v>
      </c>
      <c r="B2494" s="469">
        <v>2015</v>
      </c>
      <c r="C2494" s="470" t="s">
        <v>981</v>
      </c>
      <c r="D2494" s="471">
        <v>590.88826338203444</v>
      </c>
      <c r="E2494" s="2"/>
      <c r="F2494" s="2"/>
      <c r="G2494" s="2"/>
      <c r="H2494" s="2"/>
      <c r="I2494" s="21"/>
      <c r="J2494" s="21"/>
      <c r="K2494" s="21"/>
    </row>
    <row r="2495" spans="1:11" ht="15.5" x14ac:dyDescent="0.35">
      <c r="A2495" s="468" t="s">
        <v>980</v>
      </c>
      <c r="B2495" s="469">
        <v>2016</v>
      </c>
      <c r="C2495" s="470" t="s">
        <v>982</v>
      </c>
      <c r="D2495" s="471">
        <v>579.97610791025761</v>
      </c>
      <c r="E2495" s="2"/>
      <c r="F2495" s="2"/>
      <c r="G2495" s="2"/>
      <c r="H2495" s="2"/>
      <c r="I2495" s="21"/>
      <c r="J2495" s="21"/>
      <c r="K2495" s="21"/>
    </row>
    <row r="2496" spans="1:11" ht="15.5" x14ac:dyDescent="0.35">
      <c r="A2496" s="472" t="s">
        <v>980</v>
      </c>
      <c r="B2496" s="473">
        <v>2017</v>
      </c>
      <c r="C2496" s="473" t="str">
        <f t="shared" ref="C2496:C2529" si="66">CONCATENATE(A2496,"_",B2496)</f>
        <v>Trinity_2017</v>
      </c>
      <c r="D2496" s="474">
        <v>565.75263622182047</v>
      </c>
      <c r="E2496" s="2"/>
      <c r="F2496" s="2"/>
      <c r="G2496" s="2"/>
      <c r="H2496" s="2"/>
      <c r="I2496" s="21"/>
      <c r="J2496" s="21"/>
      <c r="K2496" s="21"/>
    </row>
    <row r="2497" spans="1:11" ht="15.5" x14ac:dyDescent="0.35">
      <c r="A2497" s="472" t="s">
        <v>980</v>
      </c>
      <c r="B2497" s="473">
        <v>2018</v>
      </c>
      <c r="C2497" s="473" t="str">
        <f t="shared" si="66"/>
        <v>Trinity_2018</v>
      </c>
      <c r="D2497" s="474">
        <v>551.25797580938536</v>
      </c>
      <c r="E2497" s="2"/>
      <c r="F2497" s="2"/>
      <c r="G2497" s="2"/>
      <c r="H2497" s="2"/>
      <c r="I2497" s="21"/>
      <c r="J2497" s="21"/>
      <c r="K2497" s="21"/>
    </row>
    <row r="2498" spans="1:11" ht="15.5" x14ac:dyDescent="0.35">
      <c r="A2498" s="472" t="s">
        <v>980</v>
      </c>
      <c r="B2498" s="473">
        <v>2019</v>
      </c>
      <c r="C2498" s="473" t="str">
        <f t="shared" si="66"/>
        <v>Trinity_2019</v>
      </c>
      <c r="D2498" s="474">
        <v>536.20486433466669</v>
      </c>
      <c r="E2498" s="2"/>
      <c r="F2498" s="2"/>
      <c r="G2498" s="2"/>
      <c r="H2498" s="2"/>
      <c r="I2498" s="21"/>
      <c r="J2498" s="21"/>
      <c r="K2498" s="21"/>
    </row>
    <row r="2499" spans="1:11" ht="15.5" x14ac:dyDescent="0.35">
      <c r="A2499" s="472" t="s">
        <v>980</v>
      </c>
      <c r="B2499" s="473">
        <v>2020</v>
      </c>
      <c r="C2499" s="473" t="str">
        <f t="shared" si="66"/>
        <v>Trinity_2020</v>
      </c>
      <c r="D2499" s="474">
        <v>520.90892119748935</v>
      </c>
      <c r="E2499" s="2"/>
      <c r="F2499" s="2"/>
      <c r="G2499" s="2"/>
      <c r="H2499" s="2"/>
      <c r="I2499" s="21"/>
      <c r="J2499" s="21"/>
      <c r="K2499" s="21"/>
    </row>
    <row r="2500" spans="1:11" ht="15.5" x14ac:dyDescent="0.35">
      <c r="A2500" s="472" t="s">
        <v>980</v>
      </c>
      <c r="B2500" s="473">
        <v>2021</v>
      </c>
      <c r="C2500" s="473" t="str">
        <f t="shared" si="66"/>
        <v>Trinity_2021</v>
      </c>
      <c r="D2500" s="474">
        <v>505.35323753720229</v>
      </c>
      <c r="E2500" s="2"/>
      <c r="F2500" s="2"/>
      <c r="G2500" s="2"/>
      <c r="H2500" s="2"/>
      <c r="I2500" s="21"/>
      <c r="J2500" s="21"/>
      <c r="K2500" s="21"/>
    </row>
    <row r="2501" spans="1:11" ht="15.5" x14ac:dyDescent="0.35">
      <c r="A2501" s="472" t="s">
        <v>980</v>
      </c>
      <c r="B2501" s="473">
        <v>2022</v>
      </c>
      <c r="C2501" s="473" t="str">
        <f t="shared" si="66"/>
        <v>Trinity_2022</v>
      </c>
      <c r="D2501" s="474">
        <v>490.05539528114645</v>
      </c>
      <c r="E2501" s="2"/>
      <c r="F2501" s="2"/>
      <c r="G2501" s="2"/>
      <c r="H2501" s="2"/>
      <c r="I2501" s="21"/>
      <c r="J2501" s="21"/>
      <c r="K2501" s="21"/>
    </row>
    <row r="2502" spans="1:11" ht="15.5" x14ac:dyDescent="0.35">
      <c r="A2502" s="472" t="s">
        <v>980</v>
      </c>
      <c r="B2502" s="473">
        <v>2023</v>
      </c>
      <c r="C2502" s="473" t="str">
        <f t="shared" si="66"/>
        <v>Trinity_2023</v>
      </c>
      <c r="D2502" s="474">
        <v>474.8429617697202</v>
      </c>
      <c r="E2502" s="2"/>
      <c r="F2502" s="2"/>
      <c r="G2502" s="2"/>
      <c r="H2502" s="2"/>
      <c r="I2502" s="21"/>
      <c r="J2502" s="21"/>
      <c r="K2502" s="21"/>
    </row>
    <row r="2503" spans="1:11" ht="15.5" x14ac:dyDescent="0.35">
      <c r="A2503" s="472" t="s">
        <v>980</v>
      </c>
      <c r="B2503" s="473">
        <v>2024</v>
      </c>
      <c r="C2503" s="473" t="str">
        <f t="shared" si="66"/>
        <v>Trinity_2024</v>
      </c>
      <c r="D2503" s="474">
        <v>459.84077882143731</v>
      </c>
      <c r="E2503" s="2"/>
      <c r="F2503" s="2"/>
      <c r="G2503" s="2"/>
      <c r="H2503" s="2"/>
      <c r="I2503" s="21"/>
      <c r="J2503" s="21"/>
      <c r="K2503" s="21"/>
    </row>
    <row r="2504" spans="1:11" ht="15.5" x14ac:dyDescent="0.35">
      <c r="A2504" s="472" t="s">
        <v>980</v>
      </c>
      <c r="B2504" s="473">
        <v>2025</v>
      </c>
      <c r="C2504" s="473" t="str">
        <f t="shared" si="66"/>
        <v>Trinity_2025</v>
      </c>
      <c r="D2504" s="474">
        <v>445.05867904912481</v>
      </c>
      <c r="E2504" s="2"/>
      <c r="F2504" s="2"/>
      <c r="G2504" s="2"/>
      <c r="H2504" s="2"/>
      <c r="I2504" s="21"/>
      <c r="J2504" s="21"/>
      <c r="K2504" s="21"/>
    </row>
    <row r="2505" spans="1:11" ht="15.5" x14ac:dyDescent="0.35">
      <c r="A2505" s="472" t="s">
        <v>980</v>
      </c>
      <c r="B2505" s="473">
        <v>2026</v>
      </c>
      <c r="C2505" s="473" t="str">
        <f t="shared" si="66"/>
        <v>Trinity_2026</v>
      </c>
      <c r="D2505" s="474">
        <v>431.63224961547365</v>
      </c>
      <c r="E2505" s="2"/>
      <c r="F2505" s="2"/>
      <c r="G2505" s="2"/>
      <c r="H2505" s="2"/>
      <c r="I2505" s="21"/>
      <c r="J2505" s="21"/>
      <c r="K2505" s="21"/>
    </row>
    <row r="2506" spans="1:11" ht="15.5" x14ac:dyDescent="0.35">
      <c r="A2506" s="472" t="s">
        <v>980</v>
      </c>
      <c r="B2506" s="473">
        <v>2027</v>
      </c>
      <c r="C2506" s="473" t="str">
        <f t="shared" si="66"/>
        <v>Trinity_2027</v>
      </c>
      <c r="D2506" s="474">
        <v>419.36646675180657</v>
      </c>
      <c r="E2506" s="2"/>
      <c r="F2506" s="2"/>
      <c r="G2506" s="2"/>
      <c r="H2506" s="2"/>
      <c r="I2506" s="21"/>
      <c r="J2506" s="21"/>
      <c r="K2506" s="21"/>
    </row>
    <row r="2507" spans="1:11" ht="15.5" x14ac:dyDescent="0.35">
      <c r="A2507" s="472" t="s">
        <v>980</v>
      </c>
      <c r="B2507" s="473">
        <v>2028</v>
      </c>
      <c r="C2507" s="473" t="str">
        <f t="shared" si="66"/>
        <v>Trinity_2028</v>
      </c>
      <c r="D2507" s="474">
        <v>408.25815978361726</v>
      </c>
      <c r="E2507" s="2"/>
      <c r="F2507" s="2"/>
      <c r="G2507" s="2"/>
      <c r="H2507" s="2"/>
      <c r="I2507" s="21"/>
      <c r="J2507" s="21"/>
      <c r="K2507" s="21"/>
    </row>
    <row r="2508" spans="1:11" ht="15.5" x14ac:dyDescent="0.35">
      <c r="A2508" s="472" t="s">
        <v>980</v>
      </c>
      <c r="B2508" s="473">
        <v>2029</v>
      </c>
      <c r="C2508" s="473" t="str">
        <f t="shared" si="66"/>
        <v>Trinity_2029</v>
      </c>
      <c r="D2508" s="474">
        <v>398.25509724841083</v>
      </c>
      <c r="E2508" s="2"/>
      <c r="F2508" s="2"/>
      <c r="G2508" s="2"/>
      <c r="H2508" s="2"/>
      <c r="I2508" s="21"/>
      <c r="J2508" s="21"/>
      <c r="K2508" s="21"/>
    </row>
    <row r="2509" spans="1:11" ht="15.5" x14ac:dyDescent="0.35">
      <c r="A2509" s="472" t="s">
        <v>980</v>
      </c>
      <c r="B2509" s="473">
        <v>2030</v>
      </c>
      <c r="C2509" s="473" t="str">
        <f t="shared" si="66"/>
        <v>Trinity_2030</v>
      </c>
      <c r="D2509" s="474">
        <v>389.270517510388</v>
      </c>
      <c r="E2509" s="2"/>
      <c r="F2509" s="2"/>
      <c r="G2509" s="2"/>
      <c r="H2509" s="2"/>
      <c r="I2509" s="21"/>
      <c r="J2509" s="21"/>
      <c r="K2509" s="21"/>
    </row>
    <row r="2510" spans="1:11" ht="15.5" x14ac:dyDescent="0.35">
      <c r="A2510" s="472" t="s">
        <v>980</v>
      </c>
      <c r="B2510" s="473">
        <v>2031</v>
      </c>
      <c r="C2510" s="473" t="str">
        <f t="shared" si="66"/>
        <v>Trinity_2031</v>
      </c>
      <c r="D2510" s="474">
        <v>381.20328890183794</v>
      </c>
      <c r="E2510" s="2"/>
      <c r="F2510" s="2"/>
      <c r="G2510" s="2"/>
      <c r="H2510" s="2"/>
      <c r="I2510" s="21"/>
      <c r="J2510" s="21"/>
      <c r="K2510" s="21"/>
    </row>
    <row r="2511" spans="1:11" ht="15.5" x14ac:dyDescent="0.35">
      <c r="A2511" s="472" t="s">
        <v>980</v>
      </c>
      <c r="B2511" s="473">
        <v>2032</v>
      </c>
      <c r="C2511" s="473" t="str">
        <f t="shared" si="66"/>
        <v>Trinity_2032</v>
      </c>
      <c r="D2511" s="474">
        <v>374.03838737271667</v>
      </c>
      <c r="E2511" s="2"/>
      <c r="F2511" s="2"/>
      <c r="G2511" s="2"/>
      <c r="H2511" s="2"/>
      <c r="I2511" s="21"/>
      <c r="J2511" s="21"/>
      <c r="K2511" s="21"/>
    </row>
    <row r="2512" spans="1:11" ht="15.5" x14ac:dyDescent="0.35">
      <c r="A2512" s="472" t="s">
        <v>980</v>
      </c>
      <c r="B2512" s="473">
        <v>2033</v>
      </c>
      <c r="C2512" s="473" t="str">
        <f t="shared" si="66"/>
        <v>Trinity_2033</v>
      </c>
      <c r="D2512" s="474">
        <v>367.6698297424017</v>
      </c>
      <c r="E2512" s="2"/>
      <c r="F2512" s="2"/>
      <c r="G2512" s="2"/>
      <c r="H2512" s="2"/>
      <c r="I2512" s="21"/>
      <c r="J2512" s="21"/>
      <c r="K2512" s="21"/>
    </row>
    <row r="2513" spans="1:11" ht="15.5" x14ac:dyDescent="0.35">
      <c r="A2513" s="472" t="s">
        <v>980</v>
      </c>
      <c r="B2513" s="473">
        <v>2034</v>
      </c>
      <c r="C2513" s="473" t="str">
        <f t="shared" si="66"/>
        <v>Trinity_2034</v>
      </c>
      <c r="D2513" s="474">
        <v>362.04805756154639</v>
      </c>
      <c r="E2513" s="2"/>
      <c r="F2513" s="2"/>
      <c r="G2513" s="2"/>
      <c r="H2513" s="2"/>
      <c r="I2513" s="21"/>
      <c r="J2513" s="21"/>
      <c r="K2513" s="21"/>
    </row>
    <row r="2514" spans="1:11" ht="15.5" x14ac:dyDescent="0.35">
      <c r="A2514" s="472" t="s">
        <v>980</v>
      </c>
      <c r="B2514" s="473">
        <v>2035</v>
      </c>
      <c r="C2514" s="473" t="str">
        <f t="shared" si="66"/>
        <v>Trinity_2035</v>
      </c>
      <c r="D2514" s="474">
        <v>357.13596178951269</v>
      </c>
      <c r="E2514" s="2"/>
      <c r="F2514" s="2"/>
      <c r="G2514" s="2"/>
      <c r="H2514" s="2"/>
      <c r="I2514" s="21"/>
      <c r="J2514" s="21"/>
      <c r="K2514" s="21"/>
    </row>
    <row r="2515" spans="1:11" ht="15.5" x14ac:dyDescent="0.35">
      <c r="A2515" s="472" t="s">
        <v>980</v>
      </c>
      <c r="B2515" s="473">
        <v>2036</v>
      </c>
      <c r="C2515" s="473" t="str">
        <f t="shared" si="66"/>
        <v>Trinity_2036</v>
      </c>
      <c r="D2515" s="474">
        <v>352.82342856943183</v>
      </c>
      <c r="E2515" s="2"/>
      <c r="F2515" s="2"/>
      <c r="G2515" s="2"/>
      <c r="H2515" s="2"/>
      <c r="I2515" s="21"/>
      <c r="J2515" s="21"/>
      <c r="K2515" s="21"/>
    </row>
    <row r="2516" spans="1:11" ht="15.5" x14ac:dyDescent="0.35">
      <c r="A2516" s="472" t="s">
        <v>980</v>
      </c>
      <c r="B2516" s="473">
        <v>2037</v>
      </c>
      <c r="C2516" s="473" t="str">
        <f t="shared" si="66"/>
        <v>Trinity_2037</v>
      </c>
      <c r="D2516" s="474">
        <v>349.10963238969089</v>
      </c>
      <c r="E2516" s="2"/>
      <c r="F2516" s="2"/>
      <c r="G2516" s="2"/>
      <c r="H2516" s="2"/>
      <c r="I2516" s="21"/>
      <c r="J2516" s="21"/>
      <c r="K2516" s="21"/>
    </row>
    <row r="2517" spans="1:11" ht="15.5" x14ac:dyDescent="0.35">
      <c r="A2517" s="472" t="s">
        <v>980</v>
      </c>
      <c r="B2517" s="473">
        <v>2038</v>
      </c>
      <c r="C2517" s="473" t="str">
        <f t="shared" si="66"/>
        <v>Trinity_2038</v>
      </c>
      <c r="D2517" s="474">
        <v>345.92705125689571</v>
      </c>
      <c r="E2517" s="2"/>
      <c r="F2517" s="2"/>
      <c r="G2517" s="2"/>
      <c r="H2517" s="2"/>
      <c r="I2517" s="21"/>
      <c r="J2517" s="21"/>
      <c r="K2517" s="21"/>
    </row>
    <row r="2518" spans="1:11" ht="15.5" x14ac:dyDescent="0.35">
      <c r="A2518" s="472" t="s">
        <v>980</v>
      </c>
      <c r="B2518" s="473">
        <v>2039</v>
      </c>
      <c r="C2518" s="473" t="str">
        <f t="shared" si="66"/>
        <v>Trinity_2039</v>
      </c>
      <c r="D2518" s="474">
        <v>343.18359920615757</v>
      </c>
      <c r="E2518" s="2"/>
      <c r="F2518" s="2"/>
      <c r="G2518" s="2"/>
      <c r="H2518" s="2"/>
      <c r="I2518" s="21"/>
      <c r="J2518" s="21"/>
      <c r="K2518" s="21"/>
    </row>
    <row r="2519" spans="1:11" ht="15.5" x14ac:dyDescent="0.35">
      <c r="A2519" s="472" t="s">
        <v>980</v>
      </c>
      <c r="B2519" s="473">
        <v>2040</v>
      </c>
      <c r="C2519" s="473" t="str">
        <f t="shared" si="66"/>
        <v>Trinity_2040</v>
      </c>
      <c r="D2519" s="474">
        <v>340.82496088648577</v>
      </c>
      <c r="E2519" s="2"/>
      <c r="F2519" s="2"/>
      <c r="G2519" s="2"/>
      <c r="H2519" s="2"/>
      <c r="I2519" s="21"/>
      <c r="J2519" s="21"/>
      <c r="K2519" s="21"/>
    </row>
    <row r="2520" spans="1:11" ht="15.5" x14ac:dyDescent="0.35">
      <c r="A2520" s="472" t="s">
        <v>980</v>
      </c>
      <c r="B2520" s="473">
        <v>2041</v>
      </c>
      <c r="C2520" s="473" t="str">
        <f t="shared" si="66"/>
        <v>Trinity_2041</v>
      </c>
      <c r="D2520" s="474">
        <v>338.87757514474697</v>
      </c>
      <c r="E2520" s="2"/>
      <c r="F2520" s="2"/>
      <c r="G2520" s="2"/>
      <c r="H2520" s="2"/>
      <c r="I2520" s="21"/>
      <c r="J2520" s="21"/>
      <c r="K2520" s="21"/>
    </row>
    <row r="2521" spans="1:11" ht="15.5" x14ac:dyDescent="0.35">
      <c r="A2521" s="472" t="s">
        <v>980</v>
      </c>
      <c r="B2521" s="473">
        <v>2042</v>
      </c>
      <c r="C2521" s="473" t="str">
        <f t="shared" si="66"/>
        <v>Trinity_2042</v>
      </c>
      <c r="D2521" s="474">
        <v>337.19858156471707</v>
      </c>
      <c r="E2521" s="2"/>
      <c r="F2521" s="2"/>
      <c r="G2521" s="2"/>
      <c r="H2521" s="2"/>
      <c r="I2521" s="21"/>
      <c r="J2521" s="21"/>
      <c r="K2521" s="21"/>
    </row>
    <row r="2522" spans="1:11" ht="15.5" x14ac:dyDescent="0.35">
      <c r="A2522" s="472" t="s">
        <v>980</v>
      </c>
      <c r="B2522" s="473">
        <v>2043</v>
      </c>
      <c r="C2522" s="473" t="str">
        <f t="shared" si="66"/>
        <v>Trinity_2043</v>
      </c>
      <c r="D2522" s="474">
        <v>335.7956058770979</v>
      </c>
      <c r="E2522" s="2"/>
      <c r="F2522" s="2"/>
      <c r="G2522" s="2"/>
      <c r="H2522" s="2"/>
      <c r="I2522" s="21"/>
      <c r="J2522" s="21"/>
      <c r="K2522" s="21"/>
    </row>
    <row r="2523" spans="1:11" ht="15.5" x14ac:dyDescent="0.35">
      <c r="A2523" s="472" t="s">
        <v>980</v>
      </c>
      <c r="B2523" s="473">
        <v>2044</v>
      </c>
      <c r="C2523" s="473" t="str">
        <f t="shared" si="66"/>
        <v>Trinity_2044</v>
      </c>
      <c r="D2523" s="474">
        <v>334.60820603126012</v>
      </c>
      <c r="E2523" s="2"/>
      <c r="F2523" s="2"/>
      <c r="G2523" s="2"/>
      <c r="H2523" s="2"/>
      <c r="I2523" s="21"/>
      <c r="J2523" s="21"/>
      <c r="K2523" s="21"/>
    </row>
    <row r="2524" spans="1:11" ht="15.5" x14ac:dyDescent="0.35">
      <c r="A2524" s="472" t="s">
        <v>980</v>
      </c>
      <c r="B2524" s="473">
        <v>2045</v>
      </c>
      <c r="C2524" s="473" t="str">
        <f t="shared" si="66"/>
        <v>Trinity_2045</v>
      </c>
      <c r="D2524" s="474">
        <v>333.57179026109895</v>
      </c>
      <c r="E2524" s="2"/>
      <c r="F2524" s="2"/>
      <c r="G2524" s="2"/>
      <c r="H2524" s="2"/>
      <c r="I2524" s="21"/>
      <c r="J2524" s="21"/>
      <c r="K2524" s="21"/>
    </row>
    <row r="2525" spans="1:11" ht="15.5" x14ac:dyDescent="0.35">
      <c r="A2525" s="472" t="s">
        <v>980</v>
      </c>
      <c r="B2525" s="473">
        <v>2046</v>
      </c>
      <c r="C2525" s="473" t="str">
        <f t="shared" si="66"/>
        <v>Trinity_2046</v>
      </c>
      <c r="D2525" s="474">
        <v>332.68887593923</v>
      </c>
      <c r="E2525" s="2"/>
      <c r="F2525" s="2"/>
      <c r="G2525" s="2"/>
      <c r="H2525" s="2"/>
      <c r="I2525" s="21"/>
      <c r="J2525" s="21"/>
      <c r="K2525" s="21"/>
    </row>
    <row r="2526" spans="1:11" ht="15.5" x14ac:dyDescent="0.35">
      <c r="A2526" s="472" t="s">
        <v>980</v>
      </c>
      <c r="B2526" s="473">
        <v>2047</v>
      </c>
      <c r="C2526" s="473" t="str">
        <f t="shared" si="66"/>
        <v>Trinity_2047</v>
      </c>
      <c r="D2526" s="474">
        <v>331.93580048891562</v>
      </c>
      <c r="E2526" s="2"/>
      <c r="F2526" s="2"/>
      <c r="G2526" s="2"/>
      <c r="H2526" s="2"/>
      <c r="I2526" s="21"/>
      <c r="J2526" s="21"/>
      <c r="K2526" s="21"/>
    </row>
    <row r="2527" spans="1:11" ht="15.5" x14ac:dyDescent="0.35">
      <c r="A2527" s="472" t="s">
        <v>980</v>
      </c>
      <c r="B2527" s="473">
        <v>2048</v>
      </c>
      <c r="C2527" s="473" t="str">
        <f t="shared" si="66"/>
        <v>Trinity_2048</v>
      </c>
      <c r="D2527" s="474">
        <v>331.29882746110803</v>
      </c>
      <c r="E2527" s="2"/>
      <c r="F2527" s="2"/>
      <c r="G2527" s="2"/>
      <c r="H2527" s="2"/>
      <c r="I2527" s="21"/>
      <c r="J2527" s="21"/>
      <c r="K2527" s="21"/>
    </row>
    <row r="2528" spans="1:11" ht="15.5" x14ac:dyDescent="0.35">
      <c r="A2528" s="472" t="s">
        <v>980</v>
      </c>
      <c r="B2528" s="473">
        <v>2049</v>
      </c>
      <c r="C2528" s="473" t="str">
        <f t="shared" si="66"/>
        <v>Trinity_2049</v>
      </c>
      <c r="D2528" s="474">
        <v>330.75700804853409</v>
      </c>
      <c r="E2528" s="2"/>
      <c r="F2528" s="2"/>
      <c r="G2528" s="2"/>
      <c r="H2528" s="2"/>
      <c r="I2528" s="21"/>
      <c r="J2528" s="21"/>
      <c r="K2528" s="21"/>
    </row>
    <row r="2529" spans="1:11" ht="15.5" x14ac:dyDescent="0.35">
      <c r="A2529" s="472" t="s">
        <v>980</v>
      </c>
      <c r="B2529" s="473">
        <v>2050</v>
      </c>
      <c r="C2529" s="473" t="str">
        <f t="shared" si="66"/>
        <v>Trinity_2050</v>
      </c>
      <c r="D2529" s="474">
        <v>330.30314820966373</v>
      </c>
      <c r="E2529" s="2"/>
      <c r="F2529" s="2"/>
      <c r="G2529" s="2"/>
      <c r="H2529" s="2"/>
      <c r="I2529" s="21"/>
      <c r="J2529" s="21"/>
      <c r="K2529" s="21"/>
    </row>
    <row r="2530" spans="1:11" ht="15.5" x14ac:dyDescent="0.35">
      <c r="A2530" s="468" t="s">
        <v>983</v>
      </c>
      <c r="B2530" s="469">
        <v>2015</v>
      </c>
      <c r="C2530" s="470" t="s">
        <v>984</v>
      </c>
      <c r="D2530" s="471">
        <v>523.5008600448391</v>
      </c>
      <c r="E2530" s="2"/>
      <c r="F2530" s="2"/>
      <c r="G2530" s="2"/>
      <c r="H2530" s="2"/>
      <c r="I2530" s="21"/>
      <c r="J2530" s="21"/>
      <c r="K2530" s="21"/>
    </row>
    <row r="2531" spans="1:11" ht="15.5" x14ac:dyDescent="0.35">
      <c r="A2531" s="468" t="s">
        <v>983</v>
      </c>
      <c r="B2531" s="469">
        <v>2016</v>
      </c>
      <c r="C2531" s="470" t="s">
        <v>985</v>
      </c>
      <c r="D2531" s="471">
        <v>513.08351768491116</v>
      </c>
      <c r="E2531" s="2"/>
      <c r="F2531" s="2"/>
      <c r="G2531" s="2"/>
      <c r="H2531" s="2"/>
      <c r="I2531" s="21"/>
      <c r="J2531" s="21"/>
      <c r="K2531" s="21"/>
    </row>
    <row r="2532" spans="1:11" ht="15.5" x14ac:dyDescent="0.35">
      <c r="A2532" s="472" t="s">
        <v>983</v>
      </c>
      <c r="B2532" s="473">
        <v>2017</v>
      </c>
      <c r="C2532" s="473" t="str">
        <f t="shared" ref="C2532:C2565" si="67">CONCATENATE(A2532,"_",B2532)</f>
        <v>Tulare_2017</v>
      </c>
      <c r="D2532" s="474">
        <v>500.58334946663507</v>
      </c>
      <c r="E2532" s="2"/>
      <c r="F2532" s="2"/>
      <c r="G2532" s="2"/>
      <c r="H2532" s="2"/>
      <c r="I2532" s="21"/>
      <c r="J2532" s="21"/>
      <c r="K2532" s="21"/>
    </row>
    <row r="2533" spans="1:11" ht="15.5" x14ac:dyDescent="0.35">
      <c r="A2533" s="472" t="s">
        <v>983</v>
      </c>
      <c r="B2533" s="473">
        <v>2018</v>
      </c>
      <c r="C2533" s="473" t="str">
        <f t="shared" si="67"/>
        <v>Tulare_2018</v>
      </c>
      <c r="D2533" s="474">
        <v>486.2130887275365</v>
      </c>
      <c r="E2533" s="2"/>
      <c r="F2533" s="2"/>
      <c r="G2533" s="2"/>
      <c r="H2533" s="2"/>
      <c r="I2533" s="21"/>
      <c r="J2533" s="21"/>
      <c r="K2533" s="21"/>
    </row>
    <row r="2534" spans="1:11" ht="15.5" x14ac:dyDescent="0.35">
      <c r="A2534" s="472" t="s">
        <v>983</v>
      </c>
      <c r="B2534" s="473">
        <v>2019</v>
      </c>
      <c r="C2534" s="473" t="str">
        <f t="shared" si="67"/>
        <v>Tulare_2019</v>
      </c>
      <c r="D2534" s="474">
        <v>472.3536646444885</v>
      </c>
      <c r="E2534" s="2"/>
      <c r="F2534" s="2"/>
      <c r="G2534" s="2"/>
      <c r="H2534" s="2"/>
      <c r="I2534" s="21"/>
      <c r="J2534" s="21"/>
      <c r="K2534" s="21"/>
    </row>
    <row r="2535" spans="1:11" ht="15.5" x14ac:dyDescent="0.35">
      <c r="A2535" s="472" t="s">
        <v>983</v>
      </c>
      <c r="B2535" s="473">
        <v>2020</v>
      </c>
      <c r="C2535" s="473" t="str">
        <f t="shared" si="67"/>
        <v>Tulare_2020</v>
      </c>
      <c r="D2535" s="474">
        <v>458.25184172722106</v>
      </c>
      <c r="E2535" s="2"/>
      <c r="F2535" s="2"/>
      <c r="G2535" s="2"/>
      <c r="H2535" s="2"/>
      <c r="I2535" s="21"/>
      <c r="J2535" s="21"/>
      <c r="K2535" s="21"/>
    </row>
    <row r="2536" spans="1:11" ht="15.5" x14ac:dyDescent="0.35">
      <c r="A2536" s="472" t="s">
        <v>983</v>
      </c>
      <c r="B2536" s="473">
        <v>2021</v>
      </c>
      <c r="C2536" s="473" t="str">
        <f t="shared" si="67"/>
        <v>Tulare_2021</v>
      </c>
      <c r="D2536" s="474">
        <v>444.31251432270193</v>
      </c>
      <c r="E2536" s="2"/>
      <c r="F2536" s="2"/>
      <c r="G2536" s="2"/>
      <c r="H2536" s="2"/>
      <c r="I2536" s="21"/>
      <c r="J2536" s="21"/>
      <c r="K2536" s="21"/>
    </row>
    <row r="2537" spans="1:11" ht="15.5" x14ac:dyDescent="0.35">
      <c r="A2537" s="472" t="s">
        <v>983</v>
      </c>
      <c r="B2537" s="473">
        <v>2022</v>
      </c>
      <c r="C2537" s="473" t="str">
        <f t="shared" si="67"/>
        <v>Tulare_2022</v>
      </c>
      <c r="D2537" s="474">
        <v>430.24661131549612</v>
      </c>
      <c r="E2537" s="2"/>
      <c r="F2537" s="2"/>
      <c r="G2537" s="2"/>
      <c r="H2537" s="2"/>
      <c r="I2537" s="21"/>
      <c r="J2537" s="21"/>
      <c r="K2537" s="21"/>
    </row>
    <row r="2538" spans="1:11" ht="15.5" x14ac:dyDescent="0.35">
      <c r="A2538" s="472" t="s">
        <v>983</v>
      </c>
      <c r="B2538" s="473">
        <v>2023</v>
      </c>
      <c r="C2538" s="473" t="str">
        <f t="shared" si="67"/>
        <v>Tulare_2023</v>
      </c>
      <c r="D2538" s="474">
        <v>416.34002432224622</v>
      </c>
      <c r="E2538" s="2"/>
      <c r="F2538" s="2"/>
      <c r="G2538" s="2"/>
      <c r="H2538" s="2"/>
      <c r="I2538" s="21"/>
      <c r="J2538" s="21"/>
      <c r="K2538" s="21"/>
    </row>
    <row r="2539" spans="1:11" ht="15.5" x14ac:dyDescent="0.35">
      <c r="A2539" s="472" t="s">
        <v>983</v>
      </c>
      <c r="B2539" s="473">
        <v>2024</v>
      </c>
      <c r="C2539" s="473" t="str">
        <f t="shared" si="67"/>
        <v>Tulare_2024</v>
      </c>
      <c r="D2539" s="474">
        <v>402.20543574624958</v>
      </c>
      <c r="E2539" s="2"/>
      <c r="F2539" s="2"/>
      <c r="G2539" s="2"/>
      <c r="H2539" s="2"/>
      <c r="I2539" s="21"/>
      <c r="J2539" s="21"/>
      <c r="K2539" s="21"/>
    </row>
    <row r="2540" spans="1:11" ht="15.5" x14ac:dyDescent="0.35">
      <c r="A2540" s="472" t="s">
        <v>983</v>
      </c>
      <c r="B2540" s="473">
        <v>2025</v>
      </c>
      <c r="C2540" s="473" t="str">
        <f t="shared" si="67"/>
        <v>Tulare_2025</v>
      </c>
      <c r="D2540" s="474">
        <v>388.80086336793732</v>
      </c>
      <c r="E2540" s="2"/>
      <c r="F2540" s="2"/>
      <c r="G2540" s="2"/>
      <c r="H2540" s="2"/>
      <c r="I2540" s="21"/>
      <c r="J2540" s="21"/>
      <c r="K2540" s="21"/>
    </row>
    <row r="2541" spans="1:11" ht="15.5" x14ac:dyDescent="0.35">
      <c r="A2541" s="472" t="s">
        <v>983</v>
      </c>
      <c r="B2541" s="473">
        <v>2026</v>
      </c>
      <c r="C2541" s="473" t="str">
        <f t="shared" si="67"/>
        <v>Tulare_2026</v>
      </c>
      <c r="D2541" s="474">
        <v>375.82009571268674</v>
      </c>
      <c r="E2541" s="2"/>
      <c r="F2541" s="2"/>
      <c r="G2541" s="2"/>
      <c r="H2541" s="2"/>
      <c r="I2541" s="21"/>
      <c r="J2541" s="21"/>
      <c r="K2541" s="21"/>
    </row>
    <row r="2542" spans="1:11" ht="15.5" x14ac:dyDescent="0.35">
      <c r="A2542" s="472" t="s">
        <v>983</v>
      </c>
      <c r="B2542" s="473">
        <v>2027</v>
      </c>
      <c r="C2542" s="473" t="str">
        <f t="shared" si="67"/>
        <v>Tulare_2027</v>
      </c>
      <c r="D2542" s="474">
        <v>364.5020880943573</v>
      </c>
      <c r="E2542" s="2"/>
      <c r="F2542" s="2"/>
      <c r="G2542" s="2"/>
      <c r="H2542" s="2"/>
      <c r="I2542" s="21"/>
      <c r="J2542" s="21"/>
      <c r="K2542" s="21"/>
    </row>
    <row r="2543" spans="1:11" ht="15.5" x14ac:dyDescent="0.35">
      <c r="A2543" s="472" t="s">
        <v>983</v>
      </c>
      <c r="B2543" s="473">
        <v>2028</v>
      </c>
      <c r="C2543" s="473" t="str">
        <f t="shared" si="67"/>
        <v>Tulare_2028</v>
      </c>
      <c r="D2543" s="474">
        <v>354.26058215808274</v>
      </c>
      <c r="E2543" s="2"/>
      <c r="F2543" s="2"/>
      <c r="G2543" s="2"/>
      <c r="H2543" s="2"/>
      <c r="I2543" s="21"/>
      <c r="J2543" s="21"/>
      <c r="K2543" s="21"/>
    </row>
    <row r="2544" spans="1:11" ht="15.5" x14ac:dyDescent="0.35">
      <c r="A2544" s="472" t="s">
        <v>983</v>
      </c>
      <c r="B2544" s="473">
        <v>2029</v>
      </c>
      <c r="C2544" s="473" t="str">
        <f t="shared" si="67"/>
        <v>Tulare_2029</v>
      </c>
      <c r="D2544" s="474">
        <v>345.00840855557504</v>
      </c>
      <c r="E2544" s="2"/>
      <c r="F2544" s="2"/>
      <c r="G2544" s="2"/>
      <c r="H2544" s="2"/>
      <c r="I2544" s="21"/>
      <c r="J2544" s="21"/>
      <c r="K2544" s="21"/>
    </row>
    <row r="2545" spans="1:11" ht="15.5" x14ac:dyDescent="0.35">
      <c r="A2545" s="472" t="s">
        <v>983</v>
      </c>
      <c r="B2545" s="473">
        <v>2030</v>
      </c>
      <c r="C2545" s="473" t="str">
        <f t="shared" si="67"/>
        <v>Tulare_2030</v>
      </c>
      <c r="D2545" s="474">
        <v>336.70098030238023</v>
      </c>
      <c r="E2545" s="2"/>
      <c r="F2545" s="2"/>
      <c r="G2545" s="2"/>
      <c r="H2545" s="2"/>
      <c r="I2545" s="21"/>
      <c r="J2545" s="21"/>
      <c r="K2545" s="21"/>
    </row>
    <row r="2546" spans="1:11" ht="15.5" x14ac:dyDescent="0.35">
      <c r="A2546" s="472" t="s">
        <v>983</v>
      </c>
      <c r="B2546" s="473">
        <v>2031</v>
      </c>
      <c r="C2546" s="473" t="str">
        <f t="shared" si="67"/>
        <v>Tulare_2031</v>
      </c>
      <c r="D2546" s="474">
        <v>329.28514928889996</v>
      </c>
      <c r="E2546" s="2"/>
      <c r="F2546" s="2"/>
      <c r="G2546" s="2"/>
      <c r="H2546" s="2"/>
      <c r="I2546" s="21"/>
      <c r="J2546" s="21"/>
      <c r="K2546" s="21"/>
    </row>
    <row r="2547" spans="1:11" ht="15.5" x14ac:dyDescent="0.35">
      <c r="A2547" s="472" t="s">
        <v>983</v>
      </c>
      <c r="B2547" s="473">
        <v>2032</v>
      </c>
      <c r="C2547" s="473" t="str">
        <f t="shared" si="67"/>
        <v>Tulare_2032</v>
      </c>
      <c r="D2547" s="474">
        <v>322.68738568910447</v>
      </c>
      <c r="E2547" s="2"/>
      <c r="F2547" s="2"/>
      <c r="G2547" s="2"/>
      <c r="H2547" s="2"/>
      <c r="I2547" s="21"/>
      <c r="J2547" s="21"/>
      <c r="K2547" s="21"/>
    </row>
    <row r="2548" spans="1:11" ht="15.5" x14ac:dyDescent="0.35">
      <c r="A2548" s="472" t="s">
        <v>983</v>
      </c>
      <c r="B2548" s="473">
        <v>2033</v>
      </c>
      <c r="C2548" s="473" t="str">
        <f t="shared" si="67"/>
        <v>Tulare_2033</v>
      </c>
      <c r="D2548" s="474">
        <v>316.84213932373825</v>
      </c>
      <c r="E2548" s="2"/>
      <c r="F2548" s="2"/>
      <c r="G2548" s="2"/>
      <c r="H2548" s="2"/>
      <c r="I2548" s="21"/>
      <c r="J2548" s="21"/>
      <c r="K2548" s="21"/>
    </row>
    <row r="2549" spans="1:11" ht="15.5" x14ac:dyDescent="0.35">
      <c r="A2549" s="472" t="s">
        <v>983</v>
      </c>
      <c r="B2549" s="473">
        <v>2034</v>
      </c>
      <c r="C2549" s="473" t="str">
        <f t="shared" si="67"/>
        <v>Tulare_2034</v>
      </c>
      <c r="D2549" s="474">
        <v>311.70044115915346</v>
      </c>
      <c r="E2549" s="2"/>
      <c r="F2549" s="2"/>
      <c r="G2549" s="2"/>
      <c r="H2549" s="2"/>
      <c r="I2549" s="21"/>
      <c r="J2549" s="21"/>
      <c r="K2549" s="21"/>
    </row>
    <row r="2550" spans="1:11" ht="15.5" x14ac:dyDescent="0.35">
      <c r="A2550" s="472" t="s">
        <v>983</v>
      </c>
      <c r="B2550" s="473">
        <v>2035</v>
      </c>
      <c r="C2550" s="473" t="str">
        <f t="shared" si="67"/>
        <v>Tulare_2035</v>
      </c>
      <c r="D2550" s="474">
        <v>307.21748635856261</v>
      </c>
      <c r="E2550" s="2"/>
      <c r="F2550" s="2"/>
      <c r="G2550" s="2"/>
      <c r="H2550" s="2"/>
      <c r="I2550" s="21"/>
      <c r="J2550" s="21"/>
      <c r="K2550" s="21"/>
    </row>
    <row r="2551" spans="1:11" ht="15.5" x14ac:dyDescent="0.35">
      <c r="A2551" s="472" t="s">
        <v>983</v>
      </c>
      <c r="B2551" s="473">
        <v>2036</v>
      </c>
      <c r="C2551" s="473" t="str">
        <f t="shared" si="67"/>
        <v>Tulare_2036</v>
      </c>
      <c r="D2551" s="474">
        <v>303.32054421214059</v>
      </c>
      <c r="E2551" s="2"/>
      <c r="F2551" s="2"/>
      <c r="G2551" s="2"/>
      <c r="H2551" s="2"/>
      <c r="I2551" s="21"/>
      <c r="J2551" s="21"/>
      <c r="K2551" s="21"/>
    </row>
    <row r="2552" spans="1:11" ht="15.5" x14ac:dyDescent="0.35">
      <c r="A2552" s="472" t="s">
        <v>983</v>
      </c>
      <c r="B2552" s="473">
        <v>2037</v>
      </c>
      <c r="C2552" s="473" t="str">
        <f t="shared" si="67"/>
        <v>Tulare_2037</v>
      </c>
      <c r="D2552" s="474">
        <v>299.96926454711399</v>
      </c>
      <c r="E2552" s="2"/>
      <c r="F2552" s="2"/>
      <c r="G2552" s="2"/>
      <c r="H2552" s="2"/>
      <c r="I2552" s="21"/>
      <c r="J2552" s="21"/>
      <c r="K2552" s="21"/>
    </row>
    <row r="2553" spans="1:11" ht="15.5" x14ac:dyDescent="0.35">
      <c r="A2553" s="472" t="s">
        <v>983</v>
      </c>
      <c r="B2553" s="473">
        <v>2038</v>
      </c>
      <c r="C2553" s="473" t="str">
        <f t="shared" si="67"/>
        <v>Tulare_2038</v>
      </c>
      <c r="D2553" s="474">
        <v>297.12104122751163</v>
      </c>
      <c r="E2553" s="2"/>
      <c r="F2553" s="2"/>
      <c r="G2553" s="2"/>
      <c r="H2553" s="2"/>
      <c r="I2553" s="21"/>
      <c r="J2553" s="21"/>
      <c r="K2553" s="21"/>
    </row>
    <row r="2554" spans="1:11" ht="15.5" x14ac:dyDescent="0.35">
      <c r="A2554" s="472" t="s">
        <v>983</v>
      </c>
      <c r="B2554" s="473">
        <v>2039</v>
      </c>
      <c r="C2554" s="473" t="str">
        <f t="shared" si="67"/>
        <v>Tulare_2039</v>
      </c>
      <c r="D2554" s="474">
        <v>294.70590572549168</v>
      </c>
      <c r="E2554" s="2"/>
      <c r="F2554" s="2"/>
      <c r="G2554" s="2"/>
      <c r="H2554" s="2"/>
      <c r="I2554" s="21"/>
      <c r="J2554" s="21"/>
      <c r="K2554" s="21"/>
    </row>
    <row r="2555" spans="1:11" ht="15.5" x14ac:dyDescent="0.35">
      <c r="A2555" s="472" t="s">
        <v>983</v>
      </c>
      <c r="B2555" s="473">
        <v>2040</v>
      </c>
      <c r="C2555" s="473" t="str">
        <f t="shared" si="67"/>
        <v>Tulare_2040</v>
      </c>
      <c r="D2555" s="474">
        <v>292.68025362003016</v>
      </c>
      <c r="E2555" s="2"/>
      <c r="F2555" s="2"/>
      <c r="G2555" s="2"/>
      <c r="H2555" s="2"/>
      <c r="I2555" s="21"/>
      <c r="J2555" s="21"/>
      <c r="K2555" s="21"/>
    </row>
    <row r="2556" spans="1:11" ht="15.5" x14ac:dyDescent="0.35">
      <c r="A2556" s="472" t="s">
        <v>983</v>
      </c>
      <c r="B2556" s="473">
        <v>2041</v>
      </c>
      <c r="C2556" s="473" t="str">
        <f t="shared" si="67"/>
        <v>Tulare_2041</v>
      </c>
      <c r="D2556" s="474">
        <v>291.01308727824124</v>
      </c>
      <c r="E2556" s="2"/>
      <c r="F2556" s="2"/>
      <c r="G2556" s="2"/>
      <c r="H2556" s="2"/>
      <c r="I2556" s="21"/>
      <c r="J2556" s="21"/>
      <c r="K2556" s="21"/>
    </row>
    <row r="2557" spans="1:11" ht="15.5" x14ac:dyDescent="0.35">
      <c r="A2557" s="472" t="s">
        <v>983</v>
      </c>
      <c r="B2557" s="473">
        <v>2042</v>
      </c>
      <c r="C2557" s="473" t="str">
        <f t="shared" si="67"/>
        <v>Tulare_2042</v>
      </c>
      <c r="D2557" s="474">
        <v>289.62388137121962</v>
      </c>
      <c r="E2557" s="2"/>
      <c r="F2557" s="2"/>
      <c r="G2557" s="2"/>
      <c r="H2557" s="2"/>
      <c r="I2557" s="21"/>
      <c r="J2557" s="21"/>
      <c r="K2557" s="21"/>
    </row>
    <row r="2558" spans="1:11" ht="15.5" x14ac:dyDescent="0.35">
      <c r="A2558" s="472" t="s">
        <v>983</v>
      </c>
      <c r="B2558" s="473">
        <v>2043</v>
      </c>
      <c r="C2558" s="473" t="str">
        <f t="shared" si="67"/>
        <v>Tulare_2043</v>
      </c>
      <c r="D2558" s="474">
        <v>288.48721282396895</v>
      </c>
      <c r="E2558" s="2"/>
      <c r="F2558" s="2"/>
      <c r="G2558" s="2"/>
      <c r="H2558" s="2"/>
      <c r="I2558" s="21"/>
      <c r="J2558" s="21"/>
      <c r="K2558" s="21"/>
    </row>
    <row r="2559" spans="1:11" ht="15.5" x14ac:dyDescent="0.35">
      <c r="A2559" s="472" t="s">
        <v>983</v>
      </c>
      <c r="B2559" s="473">
        <v>2044</v>
      </c>
      <c r="C2559" s="473" t="str">
        <f t="shared" si="67"/>
        <v>Tulare_2044</v>
      </c>
      <c r="D2559" s="474">
        <v>287.54403542523409</v>
      </c>
      <c r="E2559" s="2"/>
      <c r="F2559" s="2"/>
      <c r="G2559" s="2"/>
      <c r="H2559" s="2"/>
      <c r="I2559" s="21"/>
      <c r="J2559" s="21"/>
      <c r="K2559" s="21"/>
    </row>
    <row r="2560" spans="1:11" ht="15.5" x14ac:dyDescent="0.35">
      <c r="A2560" s="472" t="s">
        <v>983</v>
      </c>
      <c r="B2560" s="473">
        <v>2045</v>
      </c>
      <c r="C2560" s="473" t="str">
        <f t="shared" si="67"/>
        <v>Tulare_2045</v>
      </c>
      <c r="D2560" s="474">
        <v>286.74675840568909</v>
      </c>
      <c r="E2560" s="2"/>
      <c r="F2560" s="2"/>
      <c r="G2560" s="2"/>
      <c r="H2560" s="2"/>
      <c r="I2560" s="21"/>
      <c r="J2560" s="21"/>
      <c r="K2560" s="21"/>
    </row>
    <row r="2561" spans="1:11" ht="15.5" x14ac:dyDescent="0.35">
      <c r="A2561" s="472" t="s">
        <v>983</v>
      </c>
      <c r="B2561" s="473">
        <v>2046</v>
      </c>
      <c r="C2561" s="473" t="str">
        <f t="shared" si="67"/>
        <v>Tulare_2046</v>
      </c>
      <c r="D2561" s="474">
        <v>286.0749320380192</v>
      </c>
      <c r="E2561" s="2"/>
      <c r="F2561" s="2"/>
      <c r="G2561" s="2"/>
      <c r="H2561" s="2"/>
      <c r="I2561" s="21"/>
      <c r="J2561" s="21"/>
      <c r="K2561" s="21"/>
    </row>
    <row r="2562" spans="1:11" ht="15.5" x14ac:dyDescent="0.35">
      <c r="A2562" s="472" t="s">
        <v>983</v>
      </c>
      <c r="B2562" s="473">
        <v>2047</v>
      </c>
      <c r="C2562" s="473" t="str">
        <f t="shared" si="67"/>
        <v>Tulare_2047</v>
      </c>
      <c r="D2562" s="474">
        <v>285.52335653125124</v>
      </c>
      <c r="E2562" s="2"/>
      <c r="F2562" s="2"/>
      <c r="G2562" s="2"/>
      <c r="H2562" s="2"/>
      <c r="I2562" s="21"/>
      <c r="J2562" s="21"/>
      <c r="K2562" s="21"/>
    </row>
    <row r="2563" spans="1:11" ht="15.5" x14ac:dyDescent="0.35">
      <c r="A2563" s="472" t="s">
        <v>983</v>
      </c>
      <c r="B2563" s="473">
        <v>2048</v>
      </c>
      <c r="C2563" s="473" t="str">
        <f t="shared" si="67"/>
        <v>Tulare_2048</v>
      </c>
      <c r="D2563" s="474">
        <v>285.06689361995149</v>
      </c>
      <c r="E2563" s="2"/>
      <c r="F2563" s="2"/>
      <c r="G2563" s="2"/>
      <c r="H2563" s="2"/>
      <c r="I2563" s="21"/>
      <c r="J2563" s="21"/>
      <c r="K2563" s="21"/>
    </row>
    <row r="2564" spans="1:11" ht="15.5" x14ac:dyDescent="0.35">
      <c r="A2564" s="472" t="s">
        <v>983</v>
      </c>
      <c r="B2564" s="473">
        <v>2049</v>
      </c>
      <c r="C2564" s="473" t="str">
        <f t="shared" si="67"/>
        <v>Tulare_2049</v>
      </c>
      <c r="D2564" s="474">
        <v>284.68636778452623</v>
      </c>
      <c r="E2564" s="21"/>
      <c r="F2564" s="21"/>
      <c r="G2564" s="21"/>
      <c r="H2564" s="21"/>
      <c r="I2564" s="21"/>
      <c r="J2564" s="21"/>
      <c r="K2564" s="21"/>
    </row>
    <row r="2565" spans="1:11" ht="15.5" x14ac:dyDescent="0.35">
      <c r="A2565" s="472" t="s">
        <v>983</v>
      </c>
      <c r="B2565" s="473">
        <v>2050</v>
      </c>
      <c r="C2565" s="473" t="str">
        <f t="shared" si="67"/>
        <v>Tulare_2050</v>
      </c>
      <c r="D2565" s="474">
        <v>284.38096492358807</v>
      </c>
      <c r="E2565" s="21"/>
      <c r="F2565" s="21"/>
      <c r="G2565" s="21"/>
      <c r="H2565" s="21"/>
      <c r="I2565" s="21"/>
      <c r="J2565" s="21"/>
      <c r="K2565" s="21"/>
    </row>
    <row r="2566" spans="1:11" ht="15.5" x14ac:dyDescent="0.35">
      <c r="A2566" s="468" t="s">
        <v>986</v>
      </c>
      <c r="B2566" s="469">
        <v>2015</v>
      </c>
      <c r="C2566" s="470" t="s">
        <v>987</v>
      </c>
      <c r="D2566" s="471">
        <v>554.93070707290383</v>
      </c>
      <c r="E2566" s="21"/>
      <c r="F2566" s="21"/>
      <c r="G2566" s="21"/>
      <c r="H2566" s="21"/>
      <c r="I2566" s="21"/>
      <c r="J2566" s="21"/>
      <c r="K2566" s="21"/>
    </row>
    <row r="2567" spans="1:11" ht="15.5" x14ac:dyDescent="0.35">
      <c r="A2567" s="468" t="s">
        <v>986</v>
      </c>
      <c r="B2567" s="469">
        <v>2016</v>
      </c>
      <c r="C2567" s="470" t="s">
        <v>988</v>
      </c>
      <c r="D2567" s="471">
        <v>547.29946283014135</v>
      </c>
      <c r="E2567" s="21"/>
      <c r="F2567" s="21"/>
      <c r="G2567" s="21"/>
      <c r="H2567" s="21"/>
      <c r="I2567" s="21"/>
      <c r="J2567" s="21"/>
      <c r="K2567" s="21"/>
    </row>
    <row r="2568" spans="1:11" ht="15.5" x14ac:dyDescent="0.35">
      <c r="A2568" s="472" t="s">
        <v>986</v>
      </c>
      <c r="B2568" s="473">
        <v>2017</v>
      </c>
      <c r="C2568" s="473" t="str">
        <f t="shared" ref="C2568:C2601" si="68">CONCATENATE(A2568,"_",B2568)</f>
        <v>Tuolumne_2017</v>
      </c>
      <c r="D2568" s="474">
        <v>535.56398218946083</v>
      </c>
      <c r="E2568" s="21"/>
      <c r="F2568" s="21"/>
      <c r="G2568" s="21"/>
      <c r="H2568" s="21"/>
      <c r="I2568" s="21"/>
      <c r="J2568" s="21"/>
      <c r="K2568" s="21"/>
    </row>
    <row r="2569" spans="1:11" ht="15.5" x14ac:dyDescent="0.35">
      <c r="A2569" s="472" t="s">
        <v>986</v>
      </c>
      <c r="B2569" s="473">
        <v>2018</v>
      </c>
      <c r="C2569" s="473" t="str">
        <f t="shared" si="68"/>
        <v>Tuolumne_2018</v>
      </c>
      <c r="D2569" s="474">
        <v>523.23890564113435</v>
      </c>
      <c r="E2569" s="21"/>
      <c r="F2569" s="21"/>
      <c r="G2569" s="21"/>
      <c r="H2569" s="21"/>
      <c r="I2569" s="21"/>
      <c r="J2569" s="21"/>
      <c r="K2569" s="21"/>
    </row>
    <row r="2570" spans="1:11" ht="15.5" x14ac:dyDescent="0.35">
      <c r="A2570" s="472" t="s">
        <v>986</v>
      </c>
      <c r="B2570" s="473">
        <v>2019</v>
      </c>
      <c r="C2570" s="473" t="str">
        <f t="shared" si="68"/>
        <v>Tuolumne_2019</v>
      </c>
      <c r="D2570" s="474">
        <v>509.95917691089835</v>
      </c>
      <c r="E2570" s="21"/>
      <c r="F2570" s="21"/>
      <c r="G2570" s="21"/>
      <c r="H2570" s="21"/>
      <c r="I2570" s="21"/>
      <c r="J2570" s="21"/>
      <c r="K2570" s="21"/>
    </row>
    <row r="2571" spans="1:11" ht="15.5" x14ac:dyDescent="0.35">
      <c r="A2571" s="472" t="s">
        <v>986</v>
      </c>
      <c r="B2571" s="473">
        <v>2020</v>
      </c>
      <c r="C2571" s="473" t="str">
        <f t="shared" si="68"/>
        <v>Tuolumne_2020</v>
      </c>
      <c r="D2571" s="474">
        <v>495.97511406648135</v>
      </c>
      <c r="E2571" s="21"/>
      <c r="F2571" s="21"/>
      <c r="G2571" s="21"/>
      <c r="H2571" s="21"/>
      <c r="I2571" s="21"/>
      <c r="J2571" s="21"/>
      <c r="K2571" s="21"/>
    </row>
    <row r="2572" spans="1:11" ht="15.5" x14ac:dyDescent="0.35">
      <c r="A2572" s="472" t="s">
        <v>986</v>
      </c>
      <c r="B2572" s="473">
        <v>2021</v>
      </c>
      <c r="C2572" s="473" t="str">
        <f t="shared" si="68"/>
        <v>Tuolumne_2021</v>
      </c>
      <c r="D2572" s="474">
        <v>481.35652409437313</v>
      </c>
      <c r="E2572" s="21"/>
      <c r="F2572" s="21"/>
      <c r="G2572" s="21"/>
      <c r="H2572" s="21"/>
      <c r="I2572" s="21"/>
      <c r="J2572" s="21"/>
      <c r="K2572" s="21"/>
    </row>
    <row r="2573" spans="1:11" ht="15.5" x14ac:dyDescent="0.35">
      <c r="A2573" s="472" t="s">
        <v>986</v>
      </c>
      <c r="B2573" s="473">
        <v>2022</v>
      </c>
      <c r="C2573" s="473" t="str">
        <f t="shared" si="68"/>
        <v>Tuolumne_2022</v>
      </c>
      <c r="D2573" s="474">
        <v>466.49450271291965</v>
      </c>
      <c r="E2573" s="21"/>
      <c r="F2573" s="21"/>
      <c r="G2573" s="21"/>
      <c r="H2573" s="21"/>
      <c r="I2573" s="21"/>
      <c r="J2573" s="21"/>
      <c r="K2573" s="21"/>
    </row>
    <row r="2574" spans="1:11" ht="15.5" x14ac:dyDescent="0.35">
      <c r="A2574" s="472" t="s">
        <v>986</v>
      </c>
      <c r="B2574" s="473">
        <v>2023</v>
      </c>
      <c r="C2574" s="473" t="str">
        <f t="shared" si="68"/>
        <v>Tuolumne_2023</v>
      </c>
      <c r="D2574" s="474">
        <v>451.61518515970187</v>
      </c>
      <c r="E2574" s="21"/>
      <c r="F2574" s="21"/>
      <c r="G2574" s="21"/>
      <c r="H2574" s="21"/>
      <c r="I2574" s="21"/>
      <c r="J2574" s="21"/>
      <c r="K2574" s="21"/>
    </row>
    <row r="2575" spans="1:11" ht="15.5" x14ac:dyDescent="0.35">
      <c r="A2575" s="472" t="s">
        <v>986</v>
      </c>
      <c r="B2575" s="473">
        <v>2024</v>
      </c>
      <c r="C2575" s="473" t="str">
        <f t="shared" si="68"/>
        <v>Tuolumne_2024</v>
      </c>
      <c r="D2575" s="474">
        <v>436.73155004742023</v>
      </c>
      <c r="E2575" s="21"/>
      <c r="F2575" s="21"/>
      <c r="G2575" s="21"/>
      <c r="H2575" s="21"/>
      <c r="I2575" s="21"/>
      <c r="J2575" s="21"/>
      <c r="K2575" s="21"/>
    </row>
    <row r="2576" spans="1:11" ht="15.5" x14ac:dyDescent="0.35">
      <c r="A2576" s="472" t="s">
        <v>986</v>
      </c>
      <c r="B2576" s="473">
        <v>2025</v>
      </c>
      <c r="C2576" s="473" t="str">
        <f t="shared" si="68"/>
        <v>Tuolumne_2025</v>
      </c>
      <c r="D2576" s="474">
        <v>422.22247233907939</v>
      </c>
      <c r="E2576" s="21"/>
      <c r="F2576" s="21"/>
      <c r="G2576" s="21"/>
      <c r="H2576" s="21"/>
      <c r="I2576" s="21"/>
      <c r="J2576" s="21"/>
      <c r="K2576" s="21"/>
    </row>
    <row r="2577" spans="1:11" ht="15.5" x14ac:dyDescent="0.35">
      <c r="A2577" s="472" t="s">
        <v>986</v>
      </c>
      <c r="B2577" s="473">
        <v>2026</v>
      </c>
      <c r="C2577" s="473" t="str">
        <f t="shared" si="68"/>
        <v>Tuolumne_2026</v>
      </c>
      <c r="D2577" s="474">
        <v>408.67454679193901</v>
      </c>
      <c r="E2577" s="21"/>
      <c r="F2577" s="21"/>
      <c r="G2577" s="21"/>
      <c r="H2577" s="21"/>
      <c r="I2577" s="21"/>
      <c r="J2577" s="21"/>
      <c r="K2577" s="21"/>
    </row>
    <row r="2578" spans="1:11" ht="15.5" x14ac:dyDescent="0.35">
      <c r="A2578" s="472" t="s">
        <v>986</v>
      </c>
      <c r="B2578" s="473">
        <v>2027</v>
      </c>
      <c r="C2578" s="473" t="str">
        <f t="shared" si="68"/>
        <v>Tuolumne_2027</v>
      </c>
      <c r="D2578" s="474">
        <v>395.95895519764963</v>
      </c>
      <c r="E2578" s="21"/>
      <c r="F2578" s="21"/>
      <c r="G2578" s="21"/>
      <c r="H2578" s="21"/>
      <c r="I2578" s="21"/>
      <c r="J2578" s="21"/>
      <c r="K2578" s="21"/>
    </row>
    <row r="2579" spans="1:11" ht="15.5" x14ac:dyDescent="0.35">
      <c r="A2579" s="472" t="s">
        <v>986</v>
      </c>
      <c r="B2579" s="473">
        <v>2028</v>
      </c>
      <c r="C2579" s="473" t="str">
        <f t="shared" si="68"/>
        <v>Tuolumne_2028</v>
      </c>
      <c r="D2579" s="474">
        <v>384.194128183624</v>
      </c>
      <c r="E2579" s="21"/>
      <c r="F2579" s="21"/>
      <c r="G2579" s="21"/>
      <c r="H2579" s="21"/>
      <c r="I2579" s="21"/>
      <c r="J2579" s="21"/>
      <c r="K2579" s="21"/>
    </row>
    <row r="2580" spans="1:11" ht="15.5" x14ac:dyDescent="0.35">
      <c r="A2580" s="472" t="s">
        <v>986</v>
      </c>
      <c r="B2580" s="473">
        <v>2029</v>
      </c>
      <c r="C2580" s="473" t="str">
        <f t="shared" si="68"/>
        <v>Tuolumne_2029</v>
      </c>
      <c r="D2580" s="474">
        <v>373.34494191527483</v>
      </c>
      <c r="E2580" s="21"/>
      <c r="F2580" s="21"/>
      <c r="G2580" s="21"/>
      <c r="H2580" s="21"/>
      <c r="I2580" s="21"/>
      <c r="J2580" s="21"/>
      <c r="K2580" s="21"/>
    </row>
    <row r="2581" spans="1:11" ht="15.5" x14ac:dyDescent="0.35">
      <c r="A2581" s="472" t="s">
        <v>986</v>
      </c>
      <c r="B2581" s="473">
        <v>2030</v>
      </c>
      <c r="C2581" s="473" t="str">
        <f t="shared" si="68"/>
        <v>Tuolumne_2030</v>
      </c>
      <c r="D2581" s="474">
        <v>363.50009525081805</v>
      </c>
      <c r="E2581" s="21"/>
      <c r="F2581" s="21"/>
      <c r="G2581" s="21"/>
      <c r="H2581" s="21"/>
      <c r="I2581" s="21"/>
      <c r="J2581" s="21"/>
      <c r="K2581" s="21"/>
    </row>
    <row r="2582" spans="1:11" ht="15.5" x14ac:dyDescent="0.35">
      <c r="A2582" s="472" t="s">
        <v>986</v>
      </c>
      <c r="B2582" s="473">
        <v>2031</v>
      </c>
      <c r="C2582" s="473" t="str">
        <f t="shared" si="68"/>
        <v>Tuolumne_2031</v>
      </c>
      <c r="D2582" s="474">
        <v>354.56592307957175</v>
      </c>
      <c r="E2582" s="21"/>
      <c r="F2582" s="21"/>
      <c r="G2582" s="21"/>
      <c r="H2582" s="21"/>
      <c r="I2582" s="21"/>
      <c r="J2582" s="21"/>
      <c r="K2582" s="21"/>
    </row>
    <row r="2583" spans="1:11" ht="15.5" x14ac:dyDescent="0.35">
      <c r="A2583" s="472" t="s">
        <v>986</v>
      </c>
      <c r="B2583" s="473">
        <v>2032</v>
      </c>
      <c r="C2583" s="473" t="str">
        <f t="shared" si="68"/>
        <v>Tuolumne_2032</v>
      </c>
      <c r="D2583" s="474">
        <v>346.56441744875235</v>
      </c>
      <c r="E2583" s="21"/>
      <c r="F2583" s="21"/>
      <c r="G2583" s="21"/>
      <c r="H2583" s="21"/>
      <c r="I2583" s="21"/>
      <c r="J2583" s="21"/>
      <c r="K2583" s="21"/>
    </row>
    <row r="2584" spans="1:11" ht="15.5" x14ac:dyDescent="0.35">
      <c r="A2584" s="472" t="s">
        <v>986</v>
      </c>
      <c r="B2584" s="473">
        <v>2033</v>
      </c>
      <c r="C2584" s="473" t="str">
        <f t="shared" si="68"/>
        <v>Tuolumne_2033</v>
      </c>
      <c r="D2584" s="474">
        <v>339.4339504524724</v>
      </c>
      <c r="E2584" s="21"/>
      <c r="F2584" s="21"/>
      <c r="G2584" s="21"/>
      <c r="H2584" s="21"/>
      <c r="I2584" s="21"/>
      <c r="J2584" s="21"/>
      <c r="K2584" s="21"/>
    </row>
    <row r="2585" spans="1:11" ht="15.5" x14ac:dyDescent="0.35">
      <c r="A2585" s="472" t="s">
        <v>986</v>
      </c>
      <c r="B2585" s="473">
        <v>2034</v>
      </c>
      <c r="C2585" s="473" t="str">
        <f t="shared" si="68"/>
        <v>Tuolumne_2034</v>
      </c>
      <c r="D2585" s="474">
        <v>333.04143437948437</v>
      </c>
      <c r="E2585" s="21"/>
      <c r="F2585" s="21"/>
      <c r="G2585" s="21"/>
      <c r="H2585" s="21"/>
      <c r="I2585" s="21"/>
      <c r="J2585" s="21"/>
      <c r="K2585" s="21"/>
    </row>
    <row r="2586" spans="1:11" ht="15.5" x14ac:dyDescent="0.35">
      <c r="A2586" s="472" t="s">
        <v>986</v>
      </c>
      <c r="B2586" s="473">
        <v>2035</v>
      </c>
      <c r="C2586" s="473" t="str">
        <f t="shared" si="68"/>
        <v>Tuolumne_2035</v>
      </c>
      <c r="D2586" s="474">
        <v>327.40139242251934</v>
      </c>
      <c r="E2586" s="21"/>
      <c r="F2586" s="21"/>
      <c r="G2586" s="21"/>
      <c r="H2586" s="21"/>
      <c r="I2586" s="21"/>
      <c r="J2586" s="21"/>
      <c r="K2586" s="21"/>
    </row>
    <row r="2587" spans="1:11" ht="15.5" x14ac:dyDescent="0.35">
      <c r="A2587" s="472" t="s">
        <v>986</v>
      </c>
      <c r="B2587" s="473">
        <v>2036</v>
      </c>
      <c r="C2587" s="473" t="str">
        <f t="shared" si="68"/>
        <v>Tuolumne_2036</v>
      </c>
      <c r="D2587" s="474">
        <v>322.47420145090132</v>
      </c>
      <c r="E2587" s="21"/>
      <c r="F2587" s="21"/>
      <c r="G2587" s="21"/>
      <c r="H2587" s="21"/>
      <c r="I2587" s="21"/>
      <c r="J2587" s="21"/>
      <c r="K2587" s="21"/>
    </row>
    <row r="2588" spans="1:11" ht="15.5" x14ac:dyDescent="0.35">
      <c r="A2588" s="472" t="s">
        <v>986</v>
      </c>
      <c r="B2588" s="473">
        <v>2037</v>
      </c>
      <c r="C2588" s="473" t="str">
        <f t="shared" si="68"/>
        <v>Tuolumne_2037</v>
      </c>
      <c r="D2588" s="474">
        <v>318.12206759130896</v>
      </c>
      <c r="E2588" s="21"/>
      <c r="F2588" s="21"/>
      <c r="G2588" s="21"/>
      <c r="H2588" s="21"/>
      <c r="I2588" s="21"/>
      <c r="J2588" s="21"/>
      <c r="K2588" s="21"/>
    </row>
    <row r="2589" spans="1:11" ht="15.5" x14ac:dyDescent="0.35">
      <c r="A2589" s="472" t="s">
        <v>986</v>
      </c>
      <c r="B2589" s="473">
        <v>2038</v>
      </c>
      <c r="C2589" s="473" t="str">
        <f t="shared" si="68"/>
        <v>Tuolumne_2038</v>
      </c>
      <c r="D2589" s="474">
        <v>314.37660076051071</v>
      </c>
      <c r="E2589" s="21"/>
      <c r="F2589" s="21"/>
      <c r="G2589" s="21"/>
      <c r="H2589" s="21"/>
      <c r="I2589" s="21"/>
      <c r="J2589" s="21"/>
      <c r="K2589" s="21"/>
    </row>
    <row r="2590" spans="1:11" ht="15.5" x14ac:dyDescent="0.35">
      <c r="A2590" s="472" t="s">
        <v>986</v>
      </c>
      <c r="B2590" s="473">
        <v>2039</v>
      </c>
      <c r="C2590" s="473" t="str">
        <f t="shared" si="68"/>
        <v>Tuolumne_2039</v>
      </c>
      <c r="D2590" s="474">
        <v>311.10954510446635</v>
      </c>
      <c r="E2590" s="21"/>
      <c r="F2590" s="21"/>
      <c r="G2590" s="21"/>
      <c r="H2590" s="21"/>
      <c r="I2590" s="21"/>
      <c r="J2590" s="21"/>
      <c r="K2590" s="21"/>
    </row>
    <row r="2591" spans="1:11" ht="15.5" x14ac:dyDescent="0.35">
      <c r="A2591" s="472" t="s">
        <v>986</v>
      </c>
      <c r="B2591" s="473">
        <v>2040</v>
      </c>
      <c r="C2591" s="473" t="str">
        <f t="shared" si="68"/>
        <v>Tuolumne_2040</v>
      </c>
      <c r="D2591" s="474">
        <v>308.2637374525894</v>
      </c>
      <c r="E2591" s="21"/>
      <c r="F2591" s="21"/>
      <c r="G2591" s="21"/>
      <c r="H2591" s="21"/>
      <c r="I2591" s="21"/>
      <c r="J2591" s="21"/>
      <c r="K2591" s="21"/>
    </row>
    <row r="2592" spans="1:11" ht="15.5" x14ac:dyDescent="0.35">
      <c r="A2592" s="472" t="s">
        <v>986</v>
      </c>
      <c r="B2592" s="473">
        <v>2041</v>
      </c>
      <c r="C2592" s="473" t="str">
        <f t="shared" si="68"/>
        <v>Tuolumne_2041</v>
      </c>
      <c r="D2592" s="474">
        <v>305.86335249485239</v>
      </c>
      <c r="E2592" s="21"/>
      <c r="F2592" s="21"/>
      <c r="G2592" s="21"/>
      <c r="H2592" s="21"/>
      <c r="I2592" s="21"/>
      <c r="J2592" s="21"/>
      <c r="K2592" s="21"/>
    </row>
    <row r="2593" spans="1:11" ht="15.5" x14ac:dyDescent="0.35">
      <c r="A2593" s="472" t="s">
        <v>986</v>
      </c>
      <c r="B2593" s="473">
        <v>2042</v>
      </c>
      <c r="C2593" s="473" t="str">
        <f t="shared" si="68"/>
        <v>Tuolumne_2042</v>
      </c>
      <c r="D2593" s="474">
        <v>303.76350085291193</v>
      </c>
      <c r="E2593" s="21"/>
      <c r="F2593" s="21"/>
      <c r="G2593" s="21"/>
      <c r="H2593" s="21"/>
      <c r="I2593" s="21"/>
      <c r="J2593" s="21"/>
      <c r="K2593" s="21"/>
    </row>
    <row r="2594" spans="1:11" ht="15.5" x14ac:dyDescent="0.35">
      <c r="A2594" s="472" t="s">
        <v>986</v>
      </c>
      <c r="B2594" s="473">
        <v>2043</v>
      </c>
      <c r="C2594" s="473" t="str">
        <f t="shared" si="68"/>
        <v>Tuolumne_2043</v>
      </c>
      <c r="D2594" s="474">
        <v>301.95268082995608</v>
      </c>
      <c r="E2594" s="21"/>
      <c r="F2594" s="21"/>
      <c r="G2594" s="21"/>
      <c r="H2594" s="21"/>
      <c r="I2594" s="21"/>
      <c r="J2594" s="21"/>
      <c r="K2594" s="21"/>
    </row>
    <row r="2595" spans="1:11" ht="15.5" x14ac:dyDescent="0.35">
      <c r="A2595" s="472" t="s">
        <v>986</v>
      </c>
      <c r="B2595" s="473">
        <v>2044</v>
      </c>
      <c r="C2595" s="473" t="str">
        <f t="shared" si="68"/>
        <v>Tuolumne_2044</v>
      </c>
      <c r="D2595" s="474">
        <v>300.32832868470342</v>
      </c>
      <c r="E2595" s="21"/>
      <c r="F2595" s="21"/>
      <c r="G2595" s="21"/>
      <c r="H2595" s="21"/>
      <c r="I2595" s="21"/>
      <c r="J2595" s="21"/>
      <c r="K2595" s="21"/>
    </row>
    <row r="2596" spans="1:11" ht="15.5" x14ac:dyDescent="0.35">
      <c r="A2596" s="472" t="s">
        <v>986</v>
      </c>
      <c r="B2596" s="473">
        <v>2045</v>
      </c>
      <c r="C2596" s="473" t="str">
        <f t="shared" si="68"/>
        <v>Tuolumne_2045</v>
      </c>
      <c r="D2596" s="474">
        <v>298.88585394758633</v>
      </c>
      <c r="E2596" s="21"/>
      <c r="F2596" s="21"/>
      <c r="G2596" s="21"/>
      <c r="H2596" s="21"/>
      <c r="I2596" s="21"/>
      <c r="J2596" s="21"/>
      <c r="K2596" s="21"/>
    </row>
    <row r="2597" spans="1:11" ht="15.5" x14ac:dyDescent="0.35">
      <c r="A2597" s="472" t="s">
        <v>986</v>
      </c>
      <c r="B2597" s="473">
        <v>2046</v>
      </c>
      <c r="C2597" s="473" t="str">
        <f t="shared" si="68"/>
        <v>Tuolumne_2046</v>
      </c>
      <c r="D2597" s="474">
        <v>297.61609805260542</v>
      </c>
      <c r="E2597" s="21"/>
      <c r="F2597" s="21"/>
      <c r="G2597" s="21"/>
      <c r="H2597" s="21"/>
      <c r="I2597" s="21"/>
      <c r="J2597" s="21"/>
      <c r="K2597" s="21"/>
    </row>
    <row r="2598" spans="1:11" ht="15.5" x14ac:dyDescent="0.35">
      <c r="A2598" s="472" t="s">
        <v>986</v>
      </c>
      <c r="B2598" s="473">
        <v>2047</v>
      </c>
      <c r="C2598" s="473" t="str">
        <f t="shared" si="68"/>
        <v>Tuolumne_2047</v>
      </c>
      <c r="D2598" s="474">
        <v>296.499554061688</v>
      </c>
      <c r="E2598" s="21"/>
      <c r="F2598" s="21"/>
      <c r="G2598" s="21"/>
      <c r="H2598" s="21"/>
      <c r="I2598" s="21"/>
      <c r="J2598" s="21"/>
      <c r="K2598" s="21"/>
    </row>
    <row r="2599" spans="1:11" ht="15.5" x14ac:dyDescent="0.35">
      <c r="A2599" s="472" t="s">
        <v>986</v>
      </c>
      <c r="B2599" s="473">
        <v>2048</v>
      </c>
      <c r="C2599" s="473" t="str">
        <f t="shared" si="68"/>
        <v>Tuolumne_2048</v>
      </c>
      <c r="D2599" s="474">
        <v>295.52836612559554</v>
      </c>
      <c r="E2599" s="21"/>
      <c r="F2599" s="21"/>
      <c r="G2599" s="21"/>
      <c r="H2599" s="21"/>
      <c r="I2599" s="21"/>
      <c r="J2599" s="21"/>
      <c r="K2599" s="21"/>
    </row>
    <row r="2600" spans="1:11" ht="15.5" x14ac:dyDescent="0.35">
      <c r="A2600" s="472" t="s">
        <v>986</v>
      </c>
      <c r="B2600" s="473">
        <v>2049</v>
      </c>
      <c r="C2600" s="473" t="str">
        <f t="shared" si="68"/>
        <v>Tuolumne_2049</v>
      </c>
      <c r="D2600" s="474">
        <v>294.71181709505805</v>
      </c>
      <c r="E2600" s="21"/>
      <c r="F2600" s="21"/>
      <c r="G2600" s="21"/>
      <c r="H2600" s="21"/>
      <c r="I2600" s="21"/>
      <c r="J2600" s="21"/>
      <c r="K2600" s="21"/>
    </row>
    <row r="2601" spans="1:11" ht="15.5" x14ac:dyDescent="0.35">
      <c r="A2601" s="472" t="s">
        <v>986</v>
      </c>
      <c r="B2601" s="473">
        <v>2050</v>
      </c>
      <c r="C2601" s="473" t="str">
        <f t="shared" si="68"/>
        <v>Tuolumne_2050</v>
      </c>
      <c r="D2601" s="474">
        <v>293.9746566632241</v>
      </c>
      <c r="E2601" s="21"/>
      <c r="F2601" s="21"/>
      <c r="G2601" s="21"/>
      <c r="H2601" s="21"/>
      <c r="I2601" s="21"/>
      <c r="J2601" s="21"/>
      <c r="K2601" s="21"/>
    </row>
    <row r="2602" spans="1:11" ht="15.5" x14ac:dyDescent="0.35">
      <c r="A2602" s="468" t="s">
        <v>989</v>
      </c>
      <c r="B2602" s="469">
        <v>2015</v>
      </c>
      <c r="C2602" s="470" t="s">
        <v>990</v>
      </c>
      <c r="D2602" s="471">
        <v>494.66385824748221</v>
      </c>
      <c r="E2602" s="21"/>
      <c r="F2602" s="21"/>
      <c r="G2602" s="21"/>
      <c r="H2602" s="21"/>
      <c r="I2602" s="21"/>
      <c r="J2602" s="21"/>
      <c r="K2602" s="21"/>
    </row>
    <row r="2603" spans="1:11" ht="15.5" x14ac:dyDescent="0.35">
      <c r="A2603" s="468" t="s">
        <v>989</v>
      </c>
      <c r="B2603" s="469">
        <v>2016</v>
      </c>
      <c r="C2603" s="470" t="s">
        <v>991</v>
      </c>
      <c r="D2603" s="471">
        <v>484.76988470152889</v>
      </c>
      <c r="E2603" s="21"/>
      <c r="F2603" s="21"/>
      <c r="G2603" s="21"/>
      <c r="H2603" s="21"/>
      <c r="I2603" s="21"/>
      <c r="J2603" s="21"/>
      <c r="K2603" s="21"/>
    </row>
    <row r="2604" spans="1:11" ht="15.5" x14ac:dyDescent="0.35">
      <c r="A2604" s="472" t="s">
        <v>989</v>
      </c>
      <c r="B2604" s="473">
        <v>2017</v>
      </c>
      <c r="C2604" s="473" t="str">
        <f t="shared" ref="C2604:C2637" si="69">CONCATENATE(A2604,"_",B2604)</f>
        <v>Ventura_2017</v>
      </c>
      <c r="D2604" s="474">
        <v>472.77689960777849</v>
      </c>
      <c r="E2604" s="21"/>
      <c r="F2604" s="21"/>
      <c r="G2604" s="21"/>
      <c r="H2604" s="21"/>
      <c r="I2604" s="21"/>
      <c r="J2604" s="21"/>
      <c r="K2604" s="21"/>
    </row>
    <row r="2605" spans="1:11" ht="15.5" x14ac:dyDescent="0.35">
      <c r="A2605" s="472" t="s">
        <v>989</v>
      </c>
      <c r="B2605" s="473">
        <v>2018</v>
      </c>
      <c r="C2605" s="473" t="str">
        <f t="shared" si="69"/>
        <v>Ventura_2018</v>
      </c>
      <c r="D2605" s="474">
        <v>460.42761340154948</v>
      </c>
      <c r="E2605" s="21"/>
      <c r="F2605" s="21"/>
      <c r="G2605" s="21"/>
      <c r="H2605" s="21"/>
      <c r="I2605" s="21"/>
      <c r="J2605" s="21"/>
      <c r="K2605" s="21"/>
    </row>
    <row r="2606" spans="1:11" ht="15.5" x14ac:dyDescent="0.35">
      <c r="A2606" s="472" t="s">
        <v>989</v>
      </c>
      <c r="B2606" s="473">
        <v>2019</v>
      </c>
      <c r="C2606" s="473" t="str">
        <f t="shared" si="69"/>
        <v>Ventura_2019</v>
      </c>
      <c r="D2606" s="474">
        <v>448.48573657258942</v>
      </c>
      <c r="E2606" s="21"/>
      <c r="F2606" s="21"/>
      <c r="G2606" s="21"/>
      <c r="H2606" s="21"/>
      <c r="I2606" s="21"/>
      <c r="J2606" s="21"/>
      <c r="K2606" s="21"/>
    </row>
    <row r="2607" spans="1:11" ht="15.5" x14ac:dyDescent="0.35">
      <c r="A2607" s="472" t="s">
        <v>989</v>
      </c>
      <c r="B2607" s="473">
        <v>2020</v>
      </c>
      <c r="C2607" s="473" t="str">
        <f t="shared" si="69"/>
        <v>Ventura_2020</v>
      </c>
      <c r="D2607" s="474">
        <v>435.48853898957435</v>
      </c>
      <c r="E2607" s="21"/>
      <c r="F2607" s="21"/>
      <c r="G2607" s="21"/>
      <c r="H2607" s="21"/>
      <c r="I2607" s="21"/>
      <c r="J2607" s="21"/>
      <c r="K2607" s="21"/>
    </row>
    <row r="2608" spans="1:11" ht="15.5" x14ac:dyDescent="0.35">
      <c r="A2608" s="472" t="s">
        <v>989</v>
      </c>
      <c r="B2608" s="473">
        <v>2021</v>
      </c>
      <c r="C2608" s="473" t="str">
        <f t="shared" si="69"/>
        <v>Ventura_2021</v>
      </c>
      <c r="D2608" s="474">
        <v>423.9413715754896</v>
      </c>
      <c r="E2608" s="21"/>
      <c r="F2608" s="21"/>
      <c r="G2608" s="21"/>
      <c r="H2608" s="21"/>
      <c r="I2608" s="21"/>
      <c r="J2608" s="21"/>
      <c r="K2608" s="21"/>
    </row>
    <row r="2609" spans="1:11" ht="15.5" x14ac:dyDescent="0.35">
      <c r="A2609" s="472" t="s">
        <v>989</v>
      </c>
      <c r="B2609" s="473">
        <v>2022</v>
      </c>
      <c r="C2609" s="473" t="str">
        <f t="shared" si="69"/>
        <v>Ventura_2022</v>
      </c>
      <c r="D2609" s="474">
        <v>410.92779263316174</v>
      </c>
      <c r="E2609" s="21"/>
      <c r="F2609" s="21"/>
      <c r="G2609" s="21"/>
      <c r="H2609" s="21"/>
      <c r="I2609" s="21"/>
      <c r="J2609" s="21"/>
      <c r="K2609" s="21"/>
    </row>
    <row r="2610" spans="1:11" ht="15.5" x14ac:dyDescent="0.35">
      <c r="A2610" s="472" t="s">
        <v>989</v>
      </c>
      <c r="B2610" s="473">
        <v>2023</v>
      </c>
      <c r="C2610" s="473" t="str">
        <f t="shared" si="69"/>
        <v>Ventura_2023</v>
      </c>
      <c r="D2610" s="474">
        <v>398.01247837781972</v>
      </c>
      <c r="E2610" s="21"/>
      <c r="F2610" s="21"/>
      <c r="G2610" s="21"/>
      <c r="H2610" s="21"/>
      <c r="I2610" s="21"/>
      <c r="J2610" s="21"/>
      <c r="K2610" s="21"/>
    </row>
    <row r="2611" spans="1:11" ht="15.5" x14ac:dyDescent="0.35">
      <c r="A2611" s="472" t="s">
        <v>989</v>
      </c>
      <c r="B2611" s="473">
        <v>2024</v>
      </c>
      <c r="C2611" s="473" t="str">
        <f t="shared" si="69"/>
        <v>Ventura_2024</v>
      </c>
      <c r="D2611" s="474">
        <v>386.21620066618596</v>
      </c>
      <c r="E2611" s="21"/>
      <c r="F2611" s="21"/>
      <c r="G2611" s="21"/>
      <c r="H2611" s="21"/>
      <c r="I2611" s="21"/>
      <c r="J2611" s="21"/>
      <c r="K2611" s="21"/>
    </row>
    <row r="2612" spans="1:11" ht="15.5" x14ac:dyDescent="0.35">
      <c r="A2612" s="472" t="s">
        <v>989</v>
      </c>
      <c r="B2612" s="473">
        <v>2025</v>
      </c>
      <c r="C2612" s="473" t="str">
        <f t="shared" si="69"/>
        <v>Ventura_2025</v>
      </c>
      <c r="D2612" s="474">
        <v>373.5720069051502</v>
      </c>
      <c r="E2612" s="21"/>
      <c r="F2612" s="21"/>
      <c r="G2612" s="21"/>
      <c r="H2612" s="21"/>
      <c r="I2612" s="21"/>
      <c r="J2612" s="21"/>
      <c r="K2612" s="21"/>
    </row>
    <row r="2613" spans="1:11" ht="15.5" x14ac:dyDescent="0.35">
      <c r="A2613" s="472" t="s">
        <v>989</v>
      </c>
      <c r="B2613" s="473">
        <v>2026</v>
      </c>
      <c r="C2613" s="473" t="str">
        <f t="shared" si="69"/>
        <v>Ventura_2026</v>
      </c>
      <c r="D2613" s="474">
        <v>362.17237178508549</v>
      </c>
      <c r="E2613" s="21"/>
      <c r="F2613" s="21"/>
      <c r="G2613" s="21"/>
      <c r="H2613" s="21"/>
      <c r="I2613" s="21"/>
      <c r="J2613" s="21"/>
      <c r="K2613" s="21"/>
    </row>
    <row r="2614" spans="1:11" ht="15.5" x14ac:dyDescent="0.35">
      <c r="A2614" s="472" t="s">
        <v>989</v>
      </c>
      <c r="B2614" s="473">
        <v>2027</v>
      </c>
      <c r="C2614" s="473" t="str">
        <f t="shared" si="69"/>
        <v>Ventura_2027</v>
      </c>
      <c r="D2614" s="474">
        <v>351.85546405692349</v>
      </c>
      <c r="E2614" s="21"/>
      <c r="F2614" s="21"/>
      <c r="G2614" s="21"/>
      <c r="H2614" s="21"/>
      <c r="I2614" s="21"/>
      <c r="J2614" s="21"/>
      <c r="K2614" s="21"/>
    </row>
    <row r="2615" spans="1:11" ht="15.5" x14ac:dyDescent="0.35">
      <c r="A2615" s="472" t="s">
        <v>989</v>
      </c>
      <c r="B2615" s="473">
        <v>2028</v>
      </c>
      <c r="C2615" s="473" t="str">
        <f t="shared" si="69"/>
        <v>Ventura_2028</v>
      </c>
      <c r="D2615" s="474">
        <v>342.64075900109287</v>
      </c>
      <c r="E2615" s="21"/>
      <c r="F2615" s="21"/>
      <c r="G2615" s="21"/>
      <c r="H2615" s="21"/>
      <c r="I2615" s="21"/>
      <c r="J2615" s="21"/>
      <c r="K2615" s="21"/>
    </row>
    <row r="2616" spans="1:11" ht="15.5" x14ac:dyDescent="0.35">
      <c r="A2616" s="472" t="s">
        <v>989</v>
      </c>
      <c r="B2616" s="473">
        <v>2029</v>
      </c>
      <c r="C2616" s="473" t="str">
        <f t="shared" si="69"/>
        <v>Ventura_2029</v>
      </c>
      <c r="D2616" s="474">
        <v>334.41220162798061</v>
      </c>
      <c r="E2616" s="21"/>
      <c r="F2616" s="21"/>
      <c r="G2616" s="21"/>
      <c r="H2616" s="21"/>
      <c r="I2616" s="21"/>
      <c r="J2616" s="21"/>
      <c r="K2616" s="21"/>
    </row>
    <row r="2617" spans="1:11" ht="15.5" x14ac:dyDescent="0.35">
      <c r="A2617" s="472" t="s">
        <v>989</v>
      </c>
      <c r="B2617" s="473">
        <v>2030</v>
      </c>
      <c r="C2617" s="473" t="str">
        <f t="shared" si="69"/>
        <v>Ventura_2030</v>
      </c>
      <c r="D2617" s="474">
        <v>327.10954915768286</v>
      </c>
      <c r="E2617" s="21"/>
      <c r="F2617" s="21"/>
      <c r="G2617" s="21"/>
      <c r="H2617" s="21"/>
      <c r="I2617" s="21"/>
      <c r="J2617" s="21"/>
      <c r="K2617" s="21"/>
    </row>
    <row r="2618" spans="1:11" ht="15.5" x14ac:dyDescent="0.35">
      <c r="A2618" s="472" t="s">
        <v>989</v>
      </c>
      <c r="B2618" s="473">
        <v>2031</v>
      </c>
      <c r="C2618" s="473" t="str">
        <f t="shared" si="69"/>
        <v>Ventura_2031</v>
      </c>
      <c r="D2618" s="474">
        <v>321.5563570817738</v>
      </c>
      <c r="E2618" s="21"/>
      <c r="F2618" s="21"/>
      <c r="G2618" s="21"/>
      <c r="H2618" s="21"/>
      <c r="I2618" s="21"/>
      <c r="J2618" s="21"/>
      <c r="K2618" s="21"/>
    </row>
    <row r="2619" spans="1:11" ht="15.5" x14ac:dyDescent="0.35">
      <c r="A2619" s="472" t="s">
        <v>989</v>
      </c>
      <c r="B2619" s="473">
        <v>2032</v>
      </c>
      <c r="C2619" s="473" t="str">
        <f t="shared" si="69"/>
        <v>Ventura_2032</v>
      </c>
      <c r="D2619" s="474">
        <v>315.86371839775774</v>
      </c>
      <c r="E2619" s="21"/>
      <c r="F2619" s="21"/>
      <c r="G2619" s="21"/>
      <c r="H2619" s="21"/>
      <c r="I2619" s="21"/>
      <c r="J2619" s="21"/>
      <c r="K2619" s="21"/>
    </row>
    <row r="2620" spans="1:11" ht="15.5" x14ac:dyDescent="0.35">
      <c r="A2620" s="472" t="s">
        <v>989</v>
      </c>
      <c r="B2620" s="473">
        <v>2033</v>
      </c>
      <c r="C2620" s="473" t="str">
        <f t="shared" si="69"/>
        <v>Ventura_2033</v>
      </c>
      <c r="D2620" s="474">
        <v>310.88646238085738</v>
      </c>
      <c r="E2620" s="21"/>
      <c r="F2620" s="21"/>
      <c r="G2620" s="21"/>
      <c r="H2620" s="21"/>
      <c r="I2620" s="21"/>
      <c r="J2620" s="21"/>
      <c r="K2620" s="21"/>
    </row>
    <row r="2621" spans="1:11" ht="15.5" x14ac:dyDescent="0.35">
      <c r="A2621" s="472" t="s">
        <v>989</v>
      </c>
      <c r="B2621" s="473">
        <v>2034</v>
      </c>
      <c r="C2621" s="473" t="str">
        <f t="shared" si="69"/>
        <v>Ventura_2034</v>
      </c>
      <c r="D2621" s="474">
        <v>306.55579439460138</v>
      </c>
      <c r="E2621" s="21"/>
      <c r="F2621" s="21"/>
      <c r="G2621" s="21"/>
      <c r="H2621" s="21"/>
      <c r="I2621" s="21"/>
      <c r="J2621" s="21"/>
      <c r="K2621" s="21"/>
    </row>
    <row r="2622" spans="1:11" ht="15.5" x14ac:dyDescent="0.35">
      <c r="A2622" s="472" t="s">
        <v>989</v>
      </c>
      <c r="B2622" s="473">
        <v>2035</v>
      </c>
      <c r="C2622" s="473" t="str">
        <f t="shared" si="69"/>
        <v>Ventura_2035</v>
      </c>
      <c r="D2622" s="474">
        <v>302.82225917260052</v>
      </c>
      <c r="E2622" s="21"/>
      <c r="F2622" s="21"/>
      <c r="G2622" s="21"/>
      <c r="H2622" s="21"/>
      <c r="I2622" s="21"/>
      <c r="J2622" s="21"/>
      <c r="K2622" s="21"/>
    </row>
    <row r="2623" spans="1:11" ht="15.5" x14ac:dyDescent="0.35">
      <c r="A2623" s="472" t="s">
        <v>989</v>
      </c>
      <c r="B2623" s="473">
        <v>2036</v>
      </c>
      <c r="C2623" s="473" t="str">
        <f t="shared" si="69"/>
        <v>Ventura_2036</v>
      </c>
      <c r="D2623" s="474">
        <v>299.62284627082386</v>
      </c>
      <c r="E2623" s="21"/>
      <c r="F2623" s="21"/>
      <c r="G2623" s="21"/>
      <c r="H2623" s="21"/>
      <c r="I2623" s="21"/>
      <c r="J2623" s="21"/>
      <c r="K2623" s="21"/>
    </row>
    <row r="2624" spans="1:11" ht="15.5" x14ac:dyDescent="0.35">
      <c r="A2624" s="472" t="s">
        <v>989</v>
      </c>
      <c r="B2624" s="473">
        <v>2037</v>
      </c>
      <c r="C2624" s="473" t="str">
        <f t="shared" si="69"/>
        <v>Ventura_2037</v>
      </c>
      <c r="D2624" s="474">
        <v>296.91062294745848</v>
      </c>
      <c r="E2624" s="21"/>
      <c r="F2624" s="21"/>
      <c r="G2624" s="21"/>
      <c r="H2624" s="21"/>
      <c r="I2624" s="21"/>
      <c r="J2624" s="21"/>
      <c r="K2624" s="21"/>
    </row>
    <row r="2625" spans="1:11" ht="15.5" x14ac:dyDescent="0.35">
      <c r="A2625" s="472" t="s">
        <v>989</v>
      </c>
      <c r="B2625" s="473">
        <v>2038</v>
      </c>
      <c r="C2625" s="473" t="str">
        <f t="shared" si="69"/>
        <v>Ventura_2038</v>
      </c>
      <c r="D2625" s="474">
        <v>294.62787771177261</v>
      </c>
      <c r="E2625" s="21"/>
      <c r="F2625" s="21"/>
      <c r="G2625" s="21"/>
      <c r="H2625" s="21"/>
      <c r="I2625" s="21"/>
      <c r="J2625" s="21"/>
      <c r="K2625" s="21"/>
    </row>
    <row r="2626" spans="1:11" ht="15.5" x14ac:dyDescent="0.35">
      <c r="A2626" s="472" t="s">
        <v>989</v>
      </c>
      <c r="B2626" s="473">
        <v>2039</v>
      </c>
      <c r="C2626" s="473" t="str">
        <f t="shared" si="69"/>
        <v>Ventura_2039</v>
      </c>
      <c r="D2626" s="474">
        <v>292.71087996127164</v>
      </c>
      <c r="E2626" s="21"/>
      <c r="F2626" s="21"/>
      <c r="G2626" s="21"/>
      <c r="H2626" s="21"/>
      <c r="I2626" s="21"/>
      <c r="J2626" s="21"/>
      <c r="K2626" s="21"/>
    </row>
    <row r="2627" spans="1:11" ht="15.5" x14ac:dyDescent="0.35">
      <c r="A2627" s="472" t="s">
        <v>989</v>
      </c>
      <c r="B2627" s="473">
        <v>2040</v>
      </c>
      <c r="C2627" s="473" t="str">
        <f t="shared" si="69"/>
        <v>Ventura_2040</v>
      </c>
      <c r="D2627" s="474">
        <v>291.11723142547476</v>
      </c>
      <c r="E2627" s="21"/>
      <c r="F2627" s="21"/>
      <c r="G2627" s="21"/>
      <c r="H2627" s="21"/>
      <c r="I2627" s="21"/>
      <c r="J2627" s="21"/>
      <c r="K2627" s="21"/>
    </row>
    <row r="2628" spans="1:11" ht="15.5" x14ac:dyDescent="0.35">
      <c r="A2628" s="472" t="s">
        <v>989</v>
      </c>
      <c r="B2628" s="473">
        <v>2041</v>
      </c>
      <c r="C2628" s="473" t="str">
        <f t="shared" si="69"/>
        <v>Ventura_2041</v>
      </c>
      <c r="D2628" s="474">
        <v>289.81165664732788</v>
      </c>
      <c r="E2628" s="21"/>
      <c r="F2628" s="21"/>
      <c r="G2628" s="21"/>
      <c r="H2628" s="21"/>
      <c r="I2628" s="21"/>
      <c r="J2628" s="21"/>
      <c r="K2628" s="21"/>
    </row>
    <row r="2629" spans="1:11" ht="15.5" x14ac:dyDescent="0.35">
      <c r="A2629" s="472" t="s">
        <v>989</v>
      </c>
      <c r="B2629" s="473">
        <v>2042</v>
      </c>
      <c r="C2629" s="473" t="str">
        <f t="shared" si="69"/>
        <v>Ventura_2042</v>
      </c>
      <c r="D2629" s="474">
        <v>288.73082150112145</v>
      </c>
      <c r="E2629" s="21"/>
      <c r="F2629" s="21"/>
      <c r="G2629" s="21"/>
      <c r="H2629" s="21"/>
      <c r="I2629" s="21"/>
      <c r="J2629" s="21"/>
      <c r="K2629" s="21"/>
    </row>
    <row r="2630" spans="1:11" ht="15.5" x14ac:dyDescent="0.35">
      <c r="A2630" s="472" t="s">
        <v>989</v>
      </c>
      <c r="B2630" s="473">
        <v>2043</v>
      </c>
      <c r="C2630" s="473" t="str">
        <f t="shared" si="69"/>
        <v>Ventura_2043</v>
      </c>
      <c r="D2630" s="474">
        <v>287.84632033999856</v>
      </c>
      <c r="E2630" s="21"/>
      <c r="F2630" s="21"/>
      <c r="G2630" s="21"/>
      <c r="H2630" s="21"/>
      <c r="I2630" s="21"/>
      <c r="J2630" s="21"/>
      <c r="K2630" s="21"/>
    </row>
    <row r="2631" spans="1:11" ht="15.5" x14ac:dyDescent="0.35">
      <c r="A2631" s="472" t="s">
        <v>989</v>
      </c>
      <c r="B2631" s="473">
        <v>2044</v>
      </c>
      <c r="C2631" s="473" t="str">
        <f t="shared" si="69"/>
        <v>Ventura_2044</v>
      </c>
      <c r="D2631" s="474">
        <v>287.11525422263344</v>
      </c>
      <c r="E2631" s="21"/>
      <c r="F2631" s="21"/>
      <c r="G2631" s="21"/>
      <c r="H2631" s="21"/>
      <c r="I2631" s="21"/>
      <c r="J2631" s="21"/>
      <c r="K2631" s="21"/>
    </row>
    <row r="2632" spans="1:11" ht="15.5" x14ac:dyDescent="0.35">
      <c r="A2632" s="472" t="s">
        <v>989</v>
      </c>
      <c r="B2632" s="473">
        <v>2045</v>
      </c>
      <c r="C2632" s="473" t="str">
        <f t="shared" si="69"/>
        <v>Ventura_2045</v>
      </c>
      <c r="D2632" s="474">
        <v>286.49976668719796</v>
      </c>
      <c r="E2632" s="21"/>
      <c r="F2632" s="21"/>
      <c r="G2632" s="21"/>
      <c r="H2632" s="21"/>
      <c r="I2632" s="21"/>
      <c r="J2632" s="21"/>
      <c r="K2632" s="21"/>
    </row>
    <row r="2633" spans="1:11" ht="15.5" x14ac:dyDescent="0.35">
      <c r="A2633" s="472" t="s">
        <v>989</v>
      </c>
      <c r="B2633" s="473">
        <v>2046</v>
      </c>
      <c r="C2633" s="473" t="str">
        <f t="shared" si="69"/>
        <v>Ventura_2046</v>
      </c>
      <c r="D2633" s="474">
        <v>285.98978114037044</v>
      </c>
      <c r="E2633" s="21"/>
      <c r="F2633" s="21"/>
      <c r="G2633" s="21"/>
      <c r="H2633" s="21"/>
      <c r="I2633" s="21"/>
      <c r="J2633" s="21"/>
      <c r="K2633" s="21"/>
    </row>
    <row r="2634" spans="1:11" ht="15.5" x14ac:dyDescent="0.35">
      <c r="A2634" s="472" t="s">
        <v>989</v>
      </c>
      <c r="B2634" s="473">
        <v>2047</v>
      </c>
      <c r="C2634" s="473" t="str">
        <f t="shared" si="69"/>
        <v>Ventura_2047</v>
      </c>
      <c r="D2634" s="474">
        <v>285.56048577822969</v>
      </c>
      <c r="E2634" s="21"/>
      <c r="F2634" s="21"/>
      <c r="G2634" s="21"/>
      <c r="H2634" s="21"/>
      <c r="I2634" s="21"/>
      <c r="J2634" s="21"/>
      <c r="K2634" s="21"/>
    </row>
    <row r="2635" spans="1:11" ht="15.5" x14ac:dyDescent="0.35">
      <c r="A2635" s="472" t="s">
        <v>989</v>
      </c>
      <c r="B2635" s="473">
        <v>2048</v>
      </c>
      <c r="C2635" s="473" t="str">
        <f t="shared" si="69"/>
        <v>Ventura_2048</v>
      </c>
      <c r="D2635" s="474">
        <v>285.19537556109077</v>
      </c>
      <c r="E2635" s="21"/>
      <c r="F2635" s="21"/>
      <c r="G2635" s="21"/>
      <c r="H2635" s="21"/>
      <c r="I2635" s="21"/>
      <c r="J2635" s="21"/>
      <c r="K2635" s="21"/>
    </row>
    <row r="2636" spans="1:11" ht="15.5" x14ac:dyDescent="0.35">
      <c r="A2636" s="472" t="s">
        <v>989</v>
      </c>
      <c r="B2636" s="473">
        <v>2049</v>
      </c>
      <c r="C2636" s="473" t="str">
        <f t="shared" si="69"/>
        <v>Ventura_2049</v>
      </c>
      <c r="D2636" s="474">
        <v>284.89088085689036</v>
      </c>
      <c r="E2636" s="21"/>
      <c r="F2636" s="21"/>
      <c r="G2636" s="21"/>
      <c r="H2636" s="21"/>
      <c r="I2636" s="21"/>
      <c r="J2636" s="21"/>
      <c r="K2636" s="21"/>
    </row>
    <row r="2637" spans="1:11" ht="15.5" x14ac:dyDescent="0.35">
      <c r="A2637" s="472" t="s">
        <v>989</v>
      </c>
      <c r="B2637" s="473">
        <v>2050</v>
      </c>
      <c r="C2637" s="473" t="str">
        <f t="shared" si="69"/>
        <v>Ventura_2050</v>
      </c>
      <c r="D2637" s="474">
        <v>284.65560022129824</v>
      </c>
      <c r="E2637" s="21"/>
      <c r="F2637" s="21"/>
      <c r="G2637" s="21"/>
      <c r="H2637" s="21"/>
      <c r="I2637" s="21"/>
      <c r="J2637" s="21"/>
      <c r="K2637" s="21"/>
    </row>
    <row r="2638" spans="1:11" ht="15.5" x14ac:dyDescent="0.35">
      <c r="A2638" s="468" t="s">
        <v>992</v>
      </c>
      <c r="B2638" s="469">
        <v>2015</v>
      </c>
      <c r="C2638" s="470" t="s">
        <v>993</v>
      </c>
      <c r="D2638" s="471">
        <v>502.70163111287326</v>
      </c>
      <c r="E2638" s="21"/>
      <c r="F2638" s="21"/>
      <c r="G2638" s="21"/>
      <c r="H2638" s="21"/>
      <c r="I2638" s="21"/>
      <c r="J2638" s="21"/>
      <c r="K2638" s="21"/>
    </row>
    <row r="2639" spans="1:11" ht="15.5" x14ac:dyDescent="0.35">
      <c r="A2639" s="468" t="s">
        <v>992</v>
      </c>
      <c r="B2639" s="469">
        <v>2016</v>
      </c>
      <c r="C2639" s="470" t="s">
        <v>994</v>
      </c>
      <c r="D2639" s="471">
        <v>492.95731996944318</v>
      </c>
      <c r="E2639" s="21"/>
      <c r="F2639" s="21"/>
      <c r="G2639" s="21"/>
      <c r="H2639" s="21"/>
      <c r="I2639" s="21"/>
      <c r="J2639" s="21"/>
      <c r="K2639" s="21"/>
    </row>
    <row r="2640" spans="1:11" ht="15.5" x14ac:dyDescent="0.35">
      <c r="A2640" s="472" t="s">
        <v>992</v>
      </c>
      <c r="B2640" s="473">
        <v>2017</v>
      </c>
      <c r="C2640" s="473" t="str">
        <f t="shared" ref="C2640:C2673" si="70">CONCATENATE(A2640,"_",B2640)</f>
        <v>Yolo_2017</v>
      </c>
      <c r="D2640" s="474">
        <v>481.58305901331346</v>
      </c>
      <c r="E2640" s="21"/>
      <c r="F2640" s="21"/>
      <c r="G2640" s="21"/>
      <c r="H2640" s="21"/>
      <c r="I2640" s="21"/>
      <c r="J2640" s="21"/>
      <c r="K2640" s="21"/>
    </row>
    <row r="2641" spans="1:11" ht="15.5" x14ac:dyDescent="0.35">
      <c r="A2641" s="472" t="s">
        <v>992</v>
      </c>
      <c r="B2641" s="473">
        <v>2018</v>
      </c>
      <c r="C2641" s="473" t="str">
        <f t="shared" si="70"/>
        <v>Yolo_2018</v>
      </c>
      <c r="D2641" s="474">
        <v>468.92746938161389</v>
      </c>
      <c r="E2641" s="21"/>
      <c r="F2641" s="21"/>
      <c r="G2641" s="21"/>
      <c r="H2641" s="21"/>
      <c r="I2641" s="21"/>
      <c r="J2641" s="21"/>
      <c r="K2641" s="21"/>
    </row>
    <row r="2642" spans="1:11" ht="15.5" x14ac:dyDescent="0.35">
      <c r="A2642" s="472" t="s">
        <v>992</v>
      </c>
      <c r="B2642" s="473">
        <v>2019</v>
      </c>
      <c r="C2642" s="473" t="str">
        <f t="shared" si="70"/>
        <v>Yolo_2019</v>
      </c>
      <c r="D2642" s="474">
        <v>454.54585348262805</v>
      </c>
      <c r="E2642" s="21"/>
      <c r="F2642" s="21"/>
      <c r="G2642" s="21"/>
      <c r="H2642" s="21"/>
      <c r="I2642" s="21"/>
      <c r="J2642" s="21"/>
      <c r="K2642" s="21"/>
    </row>
    <row r="2643" spans="1:11" ht="15.5" x14ac:dyDescent="0.35">
      <c r="A2643" s="472" t="s">
        <v>992</v>
      </c>
      <c r="B2643" s="473">
        <v>2020</v>
      </c>
      <c r="C2643" s="473" t="str">
        <f t="shared" si="70"/>
        <v>Yolo_2020</v>
      </c>
      <c r="D2643" s="474">
        <v>441.22913820981785</v>
      </c>
      <c r="E2643" s="21"/>
      <c r="F2643" s="21"/>
      <c r="G2643" s="21"/>
      <c r="H2643" s="21"/>
      <c r="I2643" s="21"/>
      <c r="J2643" s="21"/>
      <c r="K2643" s="21"/>
    </row>
    <row r="2644" spans="1:11" ht="15.5" x14ac:dyDescent="0.35">
      <c r="A2644" s="472" t="s">
        <v>992</v>
      </c>
      <c r="B2644" s="473">
        <v>2021</v>
      </c>
      <c r="C2644" s="473" t="str">
        <f t="shared" si="70"/>
        <v>Yolo_2021</v>
      </c>
      <c r="D2644" s="474">
        <v>427.78712299714084</v>
      </c>
      <c r="E2644" s="21"/>
      <c r="F2644" s="21"/>
      <c r="G2644" s="21"/>
      <c r="H2644" s="21"/>
      <c r="I2644" s="21"/>
      <c r="J2644" s="21"/>
      <c r="K2644" s="21"/>
    </row>
    <row r="2645" spans="1:11" ht="15.5" x14ac:dyDescent="0.35">
      <c r="A2645" s="472" t="s">
        <v>992</v>
      </c>
      <c r="B2645" s="473">
        <v>2022</v>
      </c>
      <c r="C2645" s="473" t="str">
        <f t="shared" si="70"/>
        <v>Yolo_2022</v>
      </c>
      <c r="D2645" s="474">
        <v>414.58371477906746</v>
      </c>
      <c r="E2645" s="21"/>
      <c r="F2645" s="21"/>
      <c r="G2645" s="21"/>
      <c r="H2645" s="21"/>
      <c r="I2645" s="21"/>
      <c r="J2645" s="21"/>
      <c r="K2645" s="21"/>
    </row>
    <row r="2646" spans="1:11" ht="15.5" x14ac:dyDescent="0.35">
      <c r="A2646" s="472" t="s">
        <v>992</v>
      </c>
      <c r="B2646" s="473">
        <v>2023</v>
      </c>
      <c r="C2646" s="473" t="str">
        <f t="shared" si="70"/>
        <v>Yolo_2023</v>
      </c>
      <c r="D2646" s="474">
        <v>401.52243236095774</v>
      </c>
      <c r="E2646" s="21"/>
      <c r="F2646" s="21"/>
      <c r="G2646" s="21"/>
      <c r="H2646" s="21"/>
      <c r="I2646" s="21"/>
      <c r="J2646" s="21"/>
      <c r="K2646" s="21"/>
    </row>
    <row r="2647" spans="1:11" ht="15.5" x14ac:dyDescent="0.35">
      <c r="A2647" s="472" t="s">
        <v>992</v>
      </c>
      <c r="B2647" s="473">
        <v>2024</v>
      </c>
      <c r="C2647" s="473" t="str">
        <f t="shared" si="70"/>
        <v>Yolo_2024</v>
      </c>
      <c r="D2647" s="474">
        <v>388.66316103357264</v>
      </c>
      <c r="E2647" s="21"/>
      <c r="F2647" s="21"/>
      <c r="G2647" s="21"/>
      <c r="H2647" s="21"/>
      <c r="I2647" s="21"/>
      <c r="J2647" s="21"/>
      <c r="K2647" s="21"/>
    </row>
    <row r="2648" spans="1:11" ht="15.5" x14ac:dyDescent="0.35">
      <c r="A2648" s="472" t="s">
        <v>992</v>
      </c>
      <c r="B2648" s="473">
        <v>2025</v>
      </c>
      <c r="C2648" s="473" t="str">
        <f t="shared" si="70"/>
        <v>Yolo_2025</v>
      </c>
      <c r="D2648" s="474">
        <v>375.9577186644737</v>
      </c>
      <c r="E2648" s="21"/>
      <c r="F2648" s="21"/>
      <c r="G2648" s="21"/>
      <c r="H2648" s="21"/>
      <c r="I2648" s="21"/>
      <c r="J2648" s="21"/>
      <c r="K2648" s="21"/>
    </row>
    <row r="2649" spans="1:11" ht="15.5" x14ac:dyDescent="0.35">
      <c r="A2649" s="472" t="s">
        <v>992</v>
      </c>
      <c r="B2649" s="473">
        <v>2026</v>
      </c>
      <c r="C2649" s="473" t="str">
        <f t="shared" si="70"/>
        <v>Yolo_2026</v>
      </c>
      <c r="D2649" s="474">
        <v>364.39623008872991</v>
      </c>
      <c r="E2649" s="21"/>
      <c r="F2649" s="21"/>
      <c r="G2649" s="21"/>
      <c r="H2649" s="21"/>
      <c r="I2649" s="21"/>
      <c r="J2649" s="21"/>
      <c r="K2649" s="21"/>
    </row>
    <row r="2650" spans="1:11" ht="15.5" x14ac:dyDescent="0.35">
      <c r="A2650" s="472" t="s">
        <v>992</v>
      </c>
      <c r="B2650" s="473">
        <v>2027</v>
      </c>
      <c r="C2650" s="473" t="str">
        <f t="shared" si="70"/>
        <v>Yolo_2027</v>
      </c>
      <c r="D2650" s="474">
        <v>353.89844035369686</v>
      </c>
      <c r="E2650" s="21"/>
      <c r="F2650" s="21"/>
      <c r="G2650" s="21"/>
      <c r="H2650" s="21"/>
      <c r="I2650" s="21"/>
      <c r="J2650" s="21"/>
      <c r="K2650" s="21"/>
    </row>
    <row r="2651" spans="1:11" ht="15.5" x14ac:dyDescent="0.35">
      <c r="A2651" s="472" t="s">
        <v>992</v>
      </c>
      <c r="B2651" s="473">
        <v>2028</v>
      </c>
      <c r="C2651" s="473" t="str">
        <f t="shared" si="70"/>
        <v>Yolo_2028</v>
      </c>
      <c r="D2651" s="474">
        <v>344.51768254769792</v>
      </c>
      <c r="E2651" s="21"/>
      <c r="F2651" s="21"/>
      <c r="G2651" s="21"/>
      <c r="H2651" s="21"/>
      <c r="I2651" s="21"/>
      <c r="J2651" s="21"/>
      <c r="K2651" s="21"/>
    </row>
    <row r="2652" spans="1:11" ht="15.5" x14ac:dyDescent="0.35">
      <c r="A2652" s="472" t="s">
        <v>992</v>
      </c>
      <c r="B2652" s="473">
        <v>2029</v>
      </c>
      <c r="C2652" s="473" t="str">
        <f t="shared" si="70"/>
        <v>Yolo_2029</v>
      </c>
      <c r="D2652" s="474">
        <v>336.17723455858766</v>
      </c>
      <c r="E2652" s="21"/>
      <c r="F2652" s="21"/>
      <c r="G2652" s="21"/>
      <c r="H2652" s="21"/>
      <c r="I2652" s="21"/>
      <c r="J2652" s="21"/>
      <c r="K2652" s="21"/>
    </row>
    <row r="2653" spans="1:11" ht="15.5" x14ac:dyDescent="0.35">
      <c r="A2653" s="472" t="s">
        <v>992</v>
      </c>
      <c r="B2653" s="473">
        <v>2030</v>
      </c>
      <c r="C2653" s="473" t="str">
        <f t="shared" si="70"/>
        <v>Yolo_2030</v>
      </c>
      <c r="D2653" s="474">
        <v>328.81623883879496</v>
      </c>
      <c r="E2653" s="21"/>
      <c r="F2653" s="21"/>
      <c r="G2653" s="21"/>
      <c r="H2653" s="21"/>
      <c r="I2653" s="21"/>
      <c r="J2653" s="21"/>
      <c r="K2653" s="21"/>
    </row>
    <row r="2654" spans="1:11" ht="15.5" x14ac:dyDescent="0.35">
      <c r="A2654" s="472" t="s">
        <v>992</v>
      </c>
      <c r="B2654" s="473">
        <v>2031</v>
      </c>
      <c r="C2654" s="473" t="str">
        <f t="shared" si="70"/>
        <v>Yolo_2031</v>
      </c>
      <c r="D2654" s="474">
        <v>322.33703642667024</v>
      </c>
      <c r="E2654" s="21"/>
      <c r="F2654" s="21"/>
      <c r="G2654" s="21"/>
      <c r="H2654" s="21"/>
      <c r="I2654" s="21"/>
      <c r="J2654" s="21"/>
      <c r="K2654" s="21"/>
    </row>
    <row r="2655" spans="1:11" ht="15.5" x14ac:dyDescent="0.35">
      <c r="A2655" s="472" t="s">
        <v>992</v>
      </c>
      <c r="B2655" s="473">
        <v>2032</v>
      </c>
      <c r="C2655" s="473" t="str">
        <f t="shared" si="70"/>
        <v>Yolo_2032</v>
      </c>
      <c r="D2655" s="474">
        <v>316.65893780704249</v>
      </c>
      <c r="E2655" s="21"/>
      <c r="F2655" s="21"/>
      <c r="G2655" s="21"/>
      <c r="H2655" s="21"/>
      <c r="I2655" s="21"/>
      <c r="J2655" s="21"/>
      <c r="K2655" s="21"/>
    </row>
    <row r="2656" spans="1:11" ht="15.5" x14ac:dyDescent="0.35">
      <c r="A2656" s="472" t="s">
        <v>992</v>
      </c>
      <c r="B2656" s="473">
        <v>2033</v>
      </c>
      <c r="C2656" s="473" t="str">
        <f t="shared" si="70"/>
        <v>Yolo_2033</v>
      </c>
      <c r="D2656" s="474">
        <v>311.70679779649765</v>
      </c>
      <c r="E2656" s="21"/>
      <c r="F2656" s="21"/>
      <c r="G2656" s="21"/>
      <c r="H2656" s="21"/>
      <c r="I2656" s="21"/>
      <c r="J2656" s="21"/>
      <c r="K2656" s="21"/>
    </row>
    <row r="2657" spans="1:11" ht="15.5" x14ac:dyDescent="0.35">
      <c r="A2657" s="472" t="s">
        <v>992</v>
      </c>
      <c r="B2657" s="473">
        <v>2034</v>
      </c>
      <c r="C2657" s="473" t="str">
        <f t="shared" si="70"/>
        <v>Yolo_2034</v>
      </c>
      <c r="D2657" s="474">
        <v>307.41377140897146</v>
      </c>
      <c r="E2657" s="21"/>
      <c r="F2657" s="21"/>
      <c r="G2657" s="21"/>
      <c r="H2657" s="21"/>
      <c r="I2657" s="21"/>
      <c r="J2657" s="21"/>
      <c r="K2657" s="21"/>
    </row>
    <row r="2658" spans="1:11" ht="15.5" x14ac:dyDescent="0.35">
      <c r="A2658" s="472" t="s">
        <v>992</v>
      </c>
      <c r="B2658" s="473">
        <v>2035</v>
      </c>
      <c r="C2658" s="473" t="str">
        <f t="shared" si="70"/>
        <v>Yolo_2035</v>
      </c>
      <c r="D2658" s="474">
        <v>303.71854889375254</v>
      </c>
      <c r="E2658" s="21"/>
      <c r="F2658" s="21"/>
      <c r="G2658" s="21"/>
      <c r="H2658" s="21"/>
      <c r="I2658" s="21"/>
      <c r="J2658" s="21"/>
      <c r="K2658" s="21"/>
    </row>
    <row r="2659" spans="1:11" ht="15.5" x14ac:dyDescent="0.35">
      <c r="A2659" s="472" t="s">
        <v>992</v>
      </c>
      <c r="B2659" s="473">
        <v>2036</v>
      </c>
      <c r="C2659" s="473" t="str">
        <f t="shared" si="70"/>
        <v>Yolo_2036</v>
      </c>
      <c r="D2659" s="474">
        <v>300.55864495692134</v>
      </c>
      <c r="E2659" s="21"/>
      <c r="F2659" s="21"/>
      <c r="G2659" s="21"/>
      <c r="H2659" s="21"/>
      <c r="I2659" s="21"/>
      <c r="J2659" s="21"/>
      <c r="K2659" s="21"/>
    </row>
    <row r="2660" spans="1:11" ht="15.5" x14ac:dyDescent="0.35">
      <c r="A2660" s="472" t="s">
        <v>992</v>
      </c>
      <c r="B2660" s="473">
        <v>2037</v>
      </c>
      <c r="C2660" s="473" t="str">
        <f t="shared" si="70"/>
        <v>Yolo_2037</v>
      </c>
      <c r="D2660" s="474">
        <v>297.88280212496227</v>
      </c>
      <c r="E2660" s="21"/>
      <c r="F2660" s="21"/>
      <c r="G2660" s="21"/>
      <c r="H2660" s="21"/>
      <c r="I2660" s="21"/>
      <c r="J2660" s="21"/>
      <c r="K2660" s="21"/>
    </row>
    <row r="2661" spans="1:11" ht="15.5" x14ac:dyDescent="0.35">
      <c r="A2661" s="472" t="s">
        <v>992</v>
      </c>
      <c r="B2661" s="473">
        <v>2038</v>
      </c>
      <c r="C2661" s="473" t="str">
        <f t="shared" si="70"/>
        <v>Yolo_2038</v>
      </c>
      <c r="D2661" s="474">
        <v>295.63078115212664</v>
      </c>
      <c r="E2661" s="21"/>
      <c r="F2661" s="21"/>
      <c r="G2661" s="21"/>
      <c r="H2661" s="21"/>
      <c r="I2661" s="21"/>
      <c r="J2661" s="21"/>
      <c r="K2661" s="21"/>
    </row>
    <row r="2662" spans="1:11" ht="15.5" x14ac:dyDescent="0.35">
      <c r="A2662" s="472" t="s">
        <v>992</v>
      </c>
      <c r="B2662" s="473">
        <v>2039</v>
      </c>
      <c r="C2662" s="473" t="str">
        <f t="shared" si="70"/>
        <v>Yolo_2039</v>
      </c>
      <c r="D2662" s="474">
        <v>293.75187442167817</v>
      </c>
      <c r="E2662" s="21"/>
      <c r="F2662" s="21"/>
      <c r="G2662" s="21"/>
      <c r="H2662" s="21"/>
      <c r="I2662" s="21"/>
      <c r="J2662" s="21"/>
      <c r="K2662" s="21"/>
    </row>
    <row r="2663" spans="1:11" ht="15.5" x14ac:dyDescent="0.35">
      <c r="A2663" s="472" t="s">
        <v>992</v>
      </c>
      <c r="B2663" s="473">
        <v>2040</v>
      </c>
      <c r="C2663" s="473" t="str">
        <f t="shared" si="70"/>
        <v>Yolo_2040</v>
      </c>
      <c r="D2663" s="474">
        <v>292.19027249999715</v>
      </c>
      <c r="E2663" s="21"/>
      <c r="F2663" s="21"/>
      <c r="G2663" s="21"/>
      <c r="H2663" s="21"/>
      <c r="I2663" s="21"/>
      <c r="J2663" s="21"/>
      <c r="K2663" s="21"/>
    </row>
    <row r="2664" spans="1:11" ht="15.5" x14ac:dyDescent="0.35">
      <c r="A2664" s="472" t="s">
        <v>992</v>
      </c>
      <c r="B2664" s="473">
        <v>2041</v>
      </c>
      <c r="C2664" s="473" t="str">
        <f t="shared" si="70"/>
        <v>Yolo_2041</v>
      </c>
      <c r="D2664" s="474">
        <v>290.91095934245322</v>
      </c>
      <c r="E2664" s="21"/>
      <c r="F2664" s="21"/>
      <c r="G2664" s="21"/>
      <c r="H2664" s="21"/>
      <c r="I2664" s="21"/>
      <c r="J2664" s="21"/>
      <c r="K2664" s="21"/>
    </row>
    <row r="2665" spans="1:11" ht="15.5" x14ac:dyDescent="0.35">
      <c r="A2665" s="472" t="s">
        <v>992</v>
      </c>
      <c r="B2665" s="473">
        <v>2042</v>
      </c>
      <c r="C2665" s="473" t="str">
        <f t="shared" si="70"/>
        <v>Yolo_2042</v>
      </c>
      <c r="D2665" s="474">
        <v>289.85764429337735</v>
      </c>
      <c r="E2665" s="21"/>
      <c r="F2665" s="21"/>
      <c r="G2665" s="21"/>
      <c r="H2665" s="21"/>
      <c r="I2665" s="21"/>
      <c r="J2665" s="21"/>
      <c r="K2665" s="21"/>
    </row>
    <row r="2666" spans="1:11" ht="15.5" x14ac:dyDescent="0.35">
      <c r="A2666" s="472" t="s">
        <v>992</v>
      </c>
      <c r="B2666" s="473">
        <v>2043</v>
      </c>
      <c r="C2666" s="473" t="str">
        <f t="shared" si="70"/>
        <v>Yolo_2043</v>
      </c>
      <c r="D2666" s="474">
        <v>289.00324807220414</v>
      </c>
      <c r="E2666" s="21"/>
      <c r="F2666" s="21"/>
      <c r="G2666" s="21"/>
      <c r="H2666" s="21"/>
      <c r="I2666" s="21"/>
      <c r="J2666" s="21"/>
      <c r="K2666" s="21"/>
    </row>
    <row r="2667" spans="1:11" ht="15.5" x14ac:dyDescent="0.35">
      <c r="A2667" s="472" t="s">
        <v>992</v>
      </c>
      <c r="B2667" s="473">
        <v>2044</v>
      </c>
      <c r="C2667" s="473" t="str">
        <f t="shared" si="70"/>
        <v>Yolo_2044</v>
      </c>
      <c r="D2667" s="474">
        <v>288.303640376712</v>
      </c>
      <c r="E2667" s="21"/>
      <c r="F2667" s="21"/>
      <c r="G2667" s="21"/>
      <c r="H2667" s="21"/>
      <c r="I2667" s="21"/>
      <c r="J2667" s="21"/>
      <c r="K2667" s="21"/>
    </row>
    <row r="2668" spans="1:11" ht="15.5" x14ac:dyDescent="0.35">
      <c r="A2668" s="472" t="s">
        <v>992</v>
      </c>
      <c r="B2668" s="473">
        <v>2045</v>
      </c>
      <c r="C2668" s="473" t="str">
        <f t="shared" si="70"/>
        <v>Yolo_2045</v>
      </c>
      <c r="D2668" s="474">
        <v>287.72513105035199</v>
      </c>
      <c r="E2668" s="21"/>
      <c r="F2668" s="21"/>
      <c r="G2668" s="21"/>
      <c r="H2668" s="21"/>
      <c r="I2668" s="21"/>
      <c r="J2668" s="21"/>
      <c r="K2668" s="21"/>
    </row>
    <row r="2669" spans="1:11" ht="15.5" x14ac:dyDescent="0.35">
      <c r="A2669" s="472" t="s">
        <v>992</v>
      </c>
      <c r="B2669" s="473">
        <v>2046</v>
      </c>
      <c r="C2669" s="473" t="str">
        <f t="shared" si="70"/>
        <v>Yolo_2046</v>
      </c>
      <c r="D2669" s="474">
        <v>287.24853668647995</v>
      </c>
      <c r="E2669" s="21"/>
      <c r="F2669" s="21"/>
      <c r="G2669" s="21"/>
      <c r="H2669" s="21"/>
      <c r="I2669" s="21"/>
      <c r="J2669" s="21"/>
      <c r="K2669" s="21"/>
    </row>
    <row r="2670" spans="1:11" ht="15.5" x14ac:dyDescent="0.35">
      <c r="A2670" s="472" t="s">
        <v>992</v>
      </c>
      <c r="B2670" s="473">
        <v>2047</v>
      </c>
      <c r="C2670" s="473" t="str">
        <f t="shared" si="70"/>
        <v>Yolo_2047</v>
      </c>
      <c r="D2670" s="474">
        <v>286.8611484442726</v>
      </c>
      <c r="E2670" s="21"/>
      <c r="F2670" s="21"/>
      <c r="G2670" s="21"/>
      <c r="H2670" s="21"/>
      <c r="I2670" s="21"/>
      <c r="J2670" s="21"/>
      <c r="K2670" s="21"/>
    </row>
    <row r="2671" spans="1:11" ht="15.5" x14ac:dyDescent="0.35">
      <c r="A2671" s="472" t="s">
        <v>992</v>
      </c>
      <c r="B2671" s="473">
        <v>2048</v>
      </c>
      <c r="C2671" s="473" t="str">
        <f t="shared" si="70"/>
        <v>Yolo_2048</v>
      </c>
      <c r="D2671" s="474">
        <v>286.53884044459102</v>
      </c>
      <c r="E2671" s="21"/>
      <c r="F2671" s="21"/>
      <c r="G2671" s="21"/>
      <c r="H2671" s="21"/>
      <c r="I2671" s="21"/>
      <c r="J2671" s="21"/>
      <c r="K2671" s="21"/>
    </row>
    <row r="2672" spans="1:11" ht="15.5" x14ac:dyDescent="0.35">
      <c r="A2672" s="472" t="s">
        <v>992</v>
      </c>
      <c r="B2672" s="473">
        <v>2049</v>
      </c>
      <c r="C2672" s="473" t="str">
        <f t="shared" si="70"/>
        <v>Yolo_2049</v>
      </c>
      <c r="D2672" s="474">
        <v>286.27304813031554</v>
      </c>
      <c r="E2672" s="21"/>
      <c r="F2672" s="21"/>
      <c r="G2672" s="21"/>
      <c r="H2672" s="21"/>
      <c r="I2672" s="21"/>
      <c r="J2672" s="21"/>
      <c r="K2672" s="21"/>
    </row>
    <row r="2673" spans="1:11" ht="15.5" x14ac:dyDescent="0.35">
      <c r="A2673" s="472" t="s">
        <v>992</v>
      </c>
      <c r="B2673" s="473">
        <v>2050</v>
      </c>
      <c r="C2673" s="473" t="str">
        <f t="shared" si="70"/>
        <v>Yolo_2050</v>
      </c>
      <c r="D2673" s="474">
        <v>286.05926029772559</v>
      </c>
      <c r="E2673" s="21"/>
      <c r="F2673" s="21"/>
      <c r="G2673" s="21"/>
      <c r="H2673" s="21"/>
      <c r="I2673" s="21"/>
      <c r="J2673" s="21"/>
      <c r="K2673" s="21"/>
    </row>
    <row r="2674" spans="1:11" ht="15.5" x14ac:dyDescent="0.35">
      <c r="A2674" s="468" t="s">
        <v>995</v>
      </c>
      <c r="B2674" s="469">
        <v>2015</v>
      </c>
      <c r="C2674" s="470" t="s">
        <v>996</v>
      </c>
      <c r="D2674" s="471">
        <v>521.28695026353</v>
      </c>
      <c r="E2674" s="21"/>
      <c r="F2674" s="21"/>
      <c r="G2674" s="21"/>
      <c r="H2674" s="21"/>
      <c r="I2674" s="21"/>
      <c r="J2674" s="21"/>
      <c r="K2674" s="21"/>
    </row>
    <row r="2675" spans="1:11" ht="15.5" x14ac:dyDescent="0.35">
      <c r="A2675" s="468" t="s">
        <v>995</v>
      </c>
      <c r="B2675" s="469">
        <v>2016</v>
      </c>
      <c r="C2675" s="470" t="s">
        <v>997</v>
      </c>
      <c r="D2675" s="471">
        <v>511.85332011459639</v>
      </c>
      <c r="E2675" s="21"/>
      <c r="F2675" s="21"/>
      <c r="G2675" s="21"/>
      <c r="H2675" s="21"/>
      <c r="I2675" s="21"/>
      <c r="J2675" s="21"/>
      <c r="K2675" s="21"/>
    </row>
    <row r="2676" spans="1:11" ht="15.5" x14ac:dyDescent="0.35">
      <c r="A2676" s="472" t="s">
        <v>995</v>
      </c>
      <c r="B2676" s="473">
        <v>2017</v>
      </c>
      <c r="C2676" s="473" t="str">
        <f t="shared" ref="C2676:C2709" si="71">CONCATENATE(A2676,"_",B2676)</f>
        <v>Yuba_2017</v>
      </c>
      <c r="D2676" s="474">
        <v>499.0952687014468</v>
      </c>
      <c r="E2676" s="21"/>
      <c r="F2676" s="21"/>
      <c r="G2676" s="21"/>
      <c r="H2676" s="21"/>
      <c r="I2676" s="21"/>
      <c r="J2676" s="21"/>
      <c r="K2676" s="21"/>
    </row>
    <row r="2677" spans="1:11" ht="15.5" x14ac:dyDescent="0.35">
      <c r="A2677" s="472" t="s">
        <v>995</v>
      </c>
      <c r="B2677" s="473">
        <v>2018</v>
      </c>
      <c r="C2677" s="473" t="str">
        <f t="shared" si="71"/>
        <v>Yuba_2018</v>
      </c>
      <c r="D2677" s="474">
        <v>485.33626853645023</v>
      </c>
      <c r="E2677" s="21"/>
      <c r="F2677" s="21"/>
      <c r="G2677" s="21"/>
      <c r="H2677" s="21"/>
      <c r="I2677" s="21"/>
      <c r="J2677" s="21"/>
      <c r="K2677" s="21"/>
    </row>
    <row r="2678" spans="1:11" ht="15.5" x14ac:dyDescent="0.35">
      <c r="A2678" s="472" t="s">
        <v>995</v>
      </c>
      <c r="B2678" s="473">
        <v>2019</v>
      </c>
      <c r="C2678" s="473" t="str">
        <f t="shared" si="71"/>
        <v>Yuba_2019</v>
      </c>
      <c r="D2678" s="474">
        <v>468.07155621904809</v>
      </c>
      <c r="E2678" s="21"/>
      <c r="F2678" s="21"/>
      <c r="G2678" s="21"/>
      <c r="H2678" s="21"/>
      <c r="I2678" s="21"/>
      <c r="J2678" s="21"/>
      <c r="K2678" s="21"/>
    </row>
    <row r="2679" spans="1:11" ht="15.5" x14ac:dyDescent="0.35">
      <c r="A2679" s="472" t="s">
        <v>995</v>
      </c>
      <c r="B2679" s="473">
        <v>2020</v>
      </c>
      <c r="C2679" s="473" t="str">
        <f t="shared" si="71"/>
        <v>Yuba_2020</v>
      </c>
      <c r="D2679" s="474">
        <v>453.61358484326394</v>
      </c>
      <c r="E2679" s="21"/>
      <c r="F2679" s="21"/>
      <c r="G2679" s="21"/>
      <c r="H2679" s="21"/>
      <c r="I2679" s="21"/>
      <c r="J2679" s="21"/>
      <c r="K2679" s="21"/>
    </row>
    <row r="2680" spans="1:11" ht="15.5" x14ac:dyDescent="0.35">
      <c r="A2680" s="472" t="s">
        <v>995</v>
      </c>
      <c r="B2680" s="473">
        <v>2021</v>
      </c>
      <c r="C2680" s="473" t="str">
        <f t="shared" si="71"/>
        <v>Yuba_2021</v>
      </c>
      <c r="D2680" s="474">
        <v>439.06354574586163</v>
      </c>
      <c r="E2680" s="21"/>
      <c r="F2680" s="21"/>
      <c r="G2680" s="21"/>
      <c r="H2680" s="21"/>
      <c r="I2680" s="21"/>
      <c r="J2680" s="21"/>
      <c r="K2680" s="21"/>
    </row>
    <row r="2681" spans="1:11" ht="15.5" x14ac:dyDescent="0.35">
      <c r="A2681" s="472" t="s">
        <v>995</v>
      </c>
      <c r="B2681" s="473">
        <v>2022</v>
      </c>
      <c r="C2681" s="473" t="str">
        <f t="shared" si="71"/>
        <v>Yuba_2022</v>
      </c>
      <c r="D2681" s="474">
        <v>424.73111344854482</v>
      </c>
      <c r="E2681" s="21"/>
      <c r="F2681" s="21"/>
      <c r="G2681" s="21"/>
      <c r="H2681" s="21"/>
      <c r="I2681" s="21"/>
      <c r="J2681" s="21"/>
      <c r="K2681" s="21"/>
    </row>
    <row r="2682" spans="1:11" ht="15.5" x14ac:dyDescent="0.35">
      <c r="A2682" s="472" t="s">
        <v>995</v>
      </c>
      <c r="B2682" s="473">
        <v>2023</v>
      </c>
      <c r="C2682" s="473" t="str">
        <f t="shared" si="71"/>
        <v>Yuba_2023</v>
      </c>
      <c r="D2682" s="474">
        <v>410.6151082135807</v>
      </c>
      <c r="E2682" s="21"/>
      <c r="F2682" s="21"/>
      <c r="G2682" s="21"/>
      <c r="H2682" s="21"/>
      <c r="I2682" s="21"/>
      <c r="J2682" s="21"/>
      <c r="K2682" s="21"/>
    </row>
    <row r="2683" spans="1:11" ht="15.5" x14ac:dyDescent="0.35">
      <c r="A2683" s="472" t="s">
        <v>995</v>
      </c>
      <c r="B2683" s="473">
        <v>2024</v>
      </c>
      <c r="C2683" s="473" t="str">
        <f t="shared" si="71"/>
        <v>Yuba_2024</v>
      </c>
      <c r="D2683" s="474">
        <v>396.83563846998123</v>
      </c>
      <c r="E2683" s="21"/>
      <c r="F2683" s="21"/>
      <c r="G2683" s="21"/>
      <c r="H2683" s="21"/>
      <c r="I2683" s="21"/>
      <c r="J2683" s="21"/>
      <c r="K2683" s="21"/>
    </row>
    <row r="2684" spans="1:11" ht="15.5" x14ac:dyDescent="0.35">
      <c r="A2684" s="472" t="s">
        <v>995</v>
      </c>
      <c r="B2684" s="473">
        <v>2025</v>
      </c>
      <c r="C2684" s="473" t="str">
        <f t="shared" si="71"/>
        <v>Yuba_2025</v>
      </c>
      <c r="D2684" s="474">
        <v>383.37050889624504</v>
      </c>
      <c r="E2684" s="21"/>
      <c r="F2684" s="21"/>
      <c r="G2684" s="21"/>
      <c r="H2684" s="21"/>
      <c r="I2684" s="21"/>
      <c r="J2684" s="21"/>
      <c r="K2684" s="21"/>
    </row>
    <row r="2685" spans="1:11" ht="15.5" x14ac:dyDescent="0.35">
      <c r="A2685" s="472" t="s">
        <v>995</v>
      </c>
      <c r="B2685" s="473">
        <v>2026</v>
      </c>
      <c r="C2685" s="473" t="str">
        <f t="shared" si="71"/>
        <v>Yuba_2026</v>
      </c>
      <c r="D2685" s="474">
        <v>370.97388626496206</v>
      </c>
      <c r="E2685" s="21"/>
      <c r="F2685" s="21"/>
      <c r="G2685" s="21"/>
      <c r="H2685" s="21"/>
      <c r="I2685" s="21"/>
      <c r="J2685" s="21"/>
      <c r="K2685" s="21"/>
    </row>
    <row r="2686" spans="1:11" ht="15.5" x14ac:dyDescent="0.35">
      <c r="A2686" s="472" t="s">
        <v>995</v>
      </c>
      <c r="B2686" s="473">
        <v>2027</v>
      </c>
      <c r="C2686" s="473" t="str">
        <f t="shared" si="71"/>
        <v>Yuba_2027</v>
      </c>
      <c r="D2686" s="474">
        <v>359.56125918409185</v>
      </c>
      <c r="E2686" s="21"/>
      <c r="F2686" s="21"/>
      <c r="G2686" s="21"/>
      <c r="H2686" s="21"/>
      <c r="I2686" s="21"/>
      <c r="J2686" s="21"/>
      <c r="K2686" s="21"/>
    </row>
    <row r="2687" spans="1:11" ht="15.5" x14ac:dyDescent="0.35">
      <c r="A2687" s="472" t="s">
        <v>995</v>
      </c>
      <c r="B2687" s="473">
        <v>2028</v>
      </c>
      <c r="C2687" s="473" t="str">
        <f t="shared" si="71"/>
        <v>Yuba_2028</v>
      </c>
      <c r="D2687" s="474">
        <v>349.25191931563444</v>
      </c>
      <c r="E2687" s="21"/>
      <c r="F2687" s="21"/>
      <c r="G2687" s="21"/>
      <c r="H2687" s="21"/>
      <c r="I2687" s="21"/>
      <c r="J2687" s="21"/>
      <c r="K2687" s="21"/>
    </row>
    <row r="2688" spans="1:11" ht="15.5" x14ac:dyDescent="0.35">
      <c r="A2688" s="472" t="s">
        <v>995</v>
      </c>
      <c r="B2688" s="473">
        <v>2029</v>
      </c>
      <c r="C2688" s="473" t="str">
        <f t="shared" si="71"/>
        <v>Yuba_2029</v>
      </c>
      <c r="D2688" s="474">
        <v>340.00713809071686</v>
      </c>
      <c r="E2688" s="21"/>
      <c r="F2688" s="21"/>
      <c r="G2688" s="21"/>
      <c r="H2688" s="21"/>
      <c r="I2688" s="21"/>
      <c r="J2688" s="21"/>
      <c r="K2688" s="21"/>
    </row>
    <row r="2689" spans="1:11" ht="15.5" x14ac:dyDescent="0.35">
      <c r="A2689" s="472" t="s">
        <v>995</v>
      </c>
      <c r="B2689" s="473">
        <v>2030</v>
      </c>
      <c r="C2689" s="473" t="str">
        <f t="shared" si="71"/>
        <v>Yuba_2030</v>
      </c>
      <c r="D2689" s="474">
        <v>331.74118078031995</v>
      </c>
      <c r="E2689" s="21"/>
      <c r="F2689" s="21"/>
      <c r="G2689" s="21"/>
      <c r="H2689" s="21"/>
      <c r="I2689" s="21"/>
      <c r="J2689" s="21"/>
      <c r="K2689" s="21"/>
    </row>
    <row r="2690" spans="1:11" ht="15.5" x14ac:dyDescent="0.35">
      <c r="A2690" s="472" t="s">
        <v>995</v>
      </c>
      <c r="B2690" s="473">
        <v>2031</v>
      </c>
      <c r="C2690" s="473" t="str">
        <f t="shared" si="71"/>
        <v>Yuba_2031</v>
      </c>
      <c r="D2690" s="474">
        <v>324.37552893993978</v>
      </c>
      <c r="E2690" s="21"/>
      <c r="F2690" s="21"/>
      <c r="G2690" s="21"/>
      <c r="H2690" s="21"/>
      <c r="I2690" s="21"/>
      <c r="J2690" s="21"/>
      <c r="K2690" s="21"/>
    </row>
    <row r="2691" spans="1:11" ht="15.5" x14ac:dyDescent="0.35">
      <c r="A2691" s="472" t="s">
        <v>995</v>
      </c>
      <c r="B2691" s="473">
        <v>2032</v>
      </c>
      <c r="C2691" s="473" t="str">
        <f t="shared" si="71"/>
        <v>Yuba_2032</v>
      </c>
      <c r="D2691" s="474">
        <v>317.85256605586744</v>
      </c>
      <c r="E2691" s="21"/>
      <c r="F2691" s="21"/>
      <c r="G2691" s="21"/>
      <c r="H2691" s="21"/>
      <c r="I2691" s="21"/>
      <c r="J2691" s="21"/>
      <c r="K2691" s="21"/>
    </row>
    <row r="2692" spans="1:11" ht="15.5" x14ac:dyDescent="0.35">
      <c r="A2692" s="472" t="s">
        <v>995</v>
      </c>
      <c r="B2692" s="473">
        <v>2033</v>
      </c>
      <c r="C2692" s="473" t="str">
        <f t="shared" si="71"/>
        <v>Yuba_2033</v>
      </c>
      <c r="D2692" s="474">
        <v>312.10040745461629</v>
      </c>
      <c r="E2692" s="21"/>
      <c r="F2692" s="21"/>
      <c r="G2692" s="21"/>
      <c r="H2692" s="21"/>
      <c r="I2692" s="21"/>
      <c r="J2692" s="21"/>
      <c r="K2692" s="21"/>
    </row>
    <row r="2693" spans="1:11" ht="15.5" x14ac:dyDescent="0.35">
      <c r="A2693" s="472" t="s">
        <v>995</v>
      </c>
      <c r="B2693" s="473">
        <v>2034</v>
      </c>
      <c r="C2693" s="473" t="str">
        <f t="shared" si="71"/>
        <v>Yuba_2034</v>
      </c>
      <c r="D2693" s="474">
        <v>307.03987089428591</v>
      </c>
      <c r="E2693" s="21"/>
      <c r="F2693" s="21"/>
      <c r="G2693" s="21"/>
      <c r="H2693" s="21"/>
      <c r="I2693" s="21"/>
      <c r="J2693" s="21"/>
      <c r="K2693" s="21"/>
    </row>
    <row r="2694" spans="1:11" ht="15.5" x14ac:dyDescent="0.35">
      <c r="A2694" s="472" t="s">
        <v>995</v>
      </c>
      <c r="B2694" s="473">
        <v>2035</v>
      </c>
      <c r="C2694" s="473" t="str">
        <f t="shared" si="71"/>
        <v>Yuba_2035</v>
      </c>
      <c r="D2694" s="474">
        <v>302.63048767599713</v>
      </c>
      <c r="E2694" s="21"/>
      <c r="F2694" s="21"/>
      <c r="G2694" s="21"/>
      <c r="H2694" s="21"/>
      <c r="I2694" s="21"/>
      <c r="J2694" s="21"/>
      <c r="K2694" s="21"/>
    </row>
    <row r="2695" spans="1:11" ht="15.5" x14ac:dyDescent="0.35">
      <c r="A2695" s="472" t="s">
        <v>995</v>
      </c>
      <c r="B2695" s="473">
        <v>2036</v>
      </c>
      <c r="C2695" s="473" t="str">
        <f t="shared" si="71"/>
        <v>Yuba_2036</v>
      </c>
      <c r="D2695" s="474">
        <v>304.10778287233495</v>
      </c>
      <c r="E2695" s="21"/>
      <c r="F2695" s="21"/>
      <c r="G2695" s="21"/>
      <c r="H2695" s="21"/>
      <c r="I2695" s="21"/>
      <c r="J2695" s="21"/>
      <c r="K2695" s="21"/>
    </row>
    <row r="2696" spans="1:11" ht="15.5" x14ac:dyDescent="0.35">
      <c r="A2696" s="472" t="s">
        <v>995</v>
      </c>
      <c r="B2696" s="473">
        <v>2037</v>
      </c>
      <c r="C2696" s="473" t="str">
        <f t="shared" si="71"/>
        <v>Yuba_2037</v>
      </c>
      <c r="D2696" s="474">
        <v>300.73814253627694</v>
      </c>
      <c r="E2696" s="21"/>
      <c r="F2696" s="21"/>
      <c r="G2696" s="21"/>
      <c r="H2696" s="21"/>
      <c r="I2696" s="21"/>
      <c r="J2696" s="21"/>
      <c r="K2696" s="21"/>
    </row>
    <row r="2697" spans="1:11" ht="15.5" x14ac:dyDescent="0.35">
      <c r="A2697" s="472" t="s">
        <v>995</v>
      </c>
      <c r="B2697" s="473">
        <v>2038</v>
      </c>
      <c r="C2697" s="473" t="str">
        <f t="shared" si="71"/>
        <v>Yuba_2038</v>
      </c>
      <c r="D2697" s="474">
        <v>297.87317029138978</v>
      </c>
      <c r="E2697" s="21"/>
      <c r="F2697" s="21"/>
      <c r="G2697" s="21"/>
      <c r="H2697" s="21"/>
      <c r="I2697" s="21"/>
      <c r="J2697" s="21"/>
      <c r="K2697" s="21"/>
    </row>
    <row r="2698" spans="1:11" ht="15.5" x14ac:dyDescent="0.35">
      <c r="A2698" s="472" t="s">
        <v>995</v>
      </c>
      <c r="B2698" s="473">
        <v>2039</v>
      </c>
      <c r="C2698" s="473" t="str">
        <f t="shared" si="71"/>
        <v>Yuba_2039</v>
      </c>
      <c r="D2698" s="474">
        <v>295.42478591733561</v>
      </c>
      <c r="E2698" s="21"/>
      <c r="F2698" s="21"/>
      <c r="G2698" s="21"/>
      <c r="H2698" s="21"/>
      <c r="I2698" s="21"/>
      <c r="J2698" s="21"/>
      <c r="K2698" s="21"/>
    </row>
    <row r="2699" spans="1:11" ht="15.5" x14ac:dyDescent="0.35">
      <c r="A2699" s="472" t="s">
        <v>995</v>
      </c>
      <c r="B2699" s="473">
        <v>2040</v>
      </c>
      <c r="C2699" s="473" t="str">
        <f t="shared" si="71"/>
        <v>Yuba_2040</v>
      </c>
      <c r="D2699" s="474">
        <v>293.36814784379067</v>
      </c>
      <c r="E2699" s="21"/>
      <c r="F2699" s="21"/>
      <c r="G2699" s="21"/>
      <c r="H2699" s="21"/>
      <c r="I2699" s="21"/>
      <c r="J2699" s="21"/>
      <c r="K2699" s="21"/>
    </row>
    <row r="2700" spans="1:11" ht="15.5" x14ac:dyDescent="0.35">
      <c r="A2700" s="472" t="s">
        <v>995</v>
      </c>
      <c r="B2700" s="473">
        <v>2041</v>
      </c>
      <c r="C2700" s="473" t="str">
        <f t="shared" si="71"/>
        <v>Yuba_2041</v>
      </c>
      <c r="D2700" s="474">
        <v>291.66461429862051</v>
      </c>
      <c r="E2700" s="21"/>
      <c r="F2700" s="21"/>
      <c r="G2700" s="21"/>
      <c r="H2700" s="21"/>
      <c r="I2700" s="21"/>
      <c r="J2700" s="21"/>
      <c r="K2700" s="21"/>
    </row>
    <row r="2701" spans="1:11" ht="15.5" x14ac:dyDescent="0.35">
      <c r="A2701" s="472" t="s">
        <v>995</v>
      </c>
      <c r="B2701" s="473">
        <v>2042</v>
      </c>
      <c r="C2701" s="473" t="str">
        <f t="shared" si="71"/>
        <v>Yuba_2042</v>
      </c>
      <c r="D2701" s="474">
        <v>290.24544301055772</v>
      </c>
      <c r="E2701" s="21"/>
      <c r="F2701" s="21"/>
      <c r="G2701" s="21"/>
      <c r="H2701" s="21"/>
      <c r="I2701" s="21"/>
      <c r="J2701" s="21"/>
      <c r="K2701" s="21"/>
    </row>
    <row r="2702" spans="1:11" ht="15.5" x14ac:dyDescent="0.35">
      <c r="A2702" s="472" t="s">
        <v>995</v>
      </c>
      <c r="B2702" s="473">
        <v>2043</v>
      </c>
      <c r="C2702" s="473" t="str">
        <f t="shared" si="71"/>
        <v>Yuba_2043</v>
      </c>
      <c r="D2702" s="474">
        <v>289.08131682129658</v>
      </c>
      <c r="E2702" s="21"/>
      <c r="F2702" s="21"/>
      <c r="G2702" s="21"/>
      <c r="H2702" s="21"/>
      <c r="I2702" s="21"/>
      <c r="J2702" s="21"/>
      <c r="K2702" s="21"/>
    </row>
    <row r="2703" spans="1:11" ht="15.5" x14ac:dyDescent="0.35">
      <c r="A2703" s="472" t="s">
        <v>995</v>
      </c>
      <c r="B2703" s="473">
        <v>2044</v>
      </c>
      <c r="C2703" s="473" t="str">
        <f t="shared" si="71"/>
        <v>Yuba_2044</v>
      </c>
      <c r="D2703" s="474">
        <v>288.10701208716324</v>
      </c>
      <c r="E2703" s="21"/>
      <c r="F2703" s="21"/>
      <c r="G2703" s="21"/>
      <c r="H2703" s="21"/>
      <c r="I2703" s="21"/>
      <c r="J2703" s="21"/>
      <c r="K2703" s="21"/>
    </row>
    <row r="2704" spans="1:11" ht="15.5" x14ac:dyDescent="0.35">
      <c r="A2704" s="472" t="s">
        <v>995</v>
      </c>
      <c r="B2704" s="473">
        <v>2045</v>
      </c>
      <c r="C2704" s="473" t="str">
        <f t="shared" si="71"/>
        <v>Yuba_2045</v>
      </c>
      <c r="D2704" s="474">
        <v>287.28518778549386</v>
      </c>
      <c r="E2704" s="21"/>
      <c r="F2704" s="21"/>
      <c r="G2704" s="21"/>
      <c r="H2704" s="21"/>
      <c r="I2704" s="21"/>
      <c r="J2704" s="21"/>
      <c r="K2704" s="21"/>
    </row>
    <row r="2705" spans="1:11" ht="15.5" x14ac:dyDescent="0.35">
      <c r="A2705" s="472" t="s">
        <v>995</v>
      </c>
      <c r="B2705" s="473">
        <v>2046</v>
      </c>
      <c r="C2705" s="473" t="str">
        <f t="shared" si="71"/>
        <v>Yuba_2046</v>
      </c>
      <c r="D2705" s="474">
        <v>286.60283206962328</v>
      </c>
      <c r="E2705" s="21"/>
      <c r="F2705" s="21"/>
      <c r="G2705" s="21"/>
      <c r="H2705" s="21"/>
      <c r="I2705" s="21"/>
      <c r="J2705" s="21"/>
      <c r="K2705" s="21"/>
    </row>
    <row r="2706" spans="1:11" ht="15.5" x14ac:dyDescent="0.35">
      <c r="A2706" s="472" t="s">
        <v>995</v>
      </c>
      <c r="B2706" s="473">
        <v>2047</v>
      </c>
      <c r="C2706" s="473" t="str">
        <f t="shared" si="71"/>
        <v>Yuba_2047</v>
      </c>
      <c r="D2706" s="474">
        <v>286.04338078888719</v>
      </c>
      <c r="E2706" s="21"/>
      <c r="F2706" s="21"/>
      <c r="G2706" s="21"/>
      <c r="H2706" s="21"/>
      <c r="I2706" s="21"/>
      <c r="J2706" s="21"/>
      <c r="K2706" s="21"/>
    </row>
    <row r="2707" spans="1:11" ht="15.5" x14ac:dyDescent="0.35">
      <c r="A2707" s="472" t="s">
        <v>995</v>
      </c>
      <c r="B2707" s="473">
        <v>2048</v>
      </c>
      <c r="C2707" s="473" t="str">
        <f t="shared" si="71"/>
        <v>Yuba_2048</v>
      </c>
      <c r="D2707" s="474">
        <v>285.58617668548118</v>
      </c>
      <c r="E2707" s="21"/>
      <c r="F2707" s="21"/>
      <c r="G2707" s="21"/>
      <c r="H2707" s="21"/>
      <c r="I2707" s="21"/>
      <c r="J2707" s="21"/>
      <c r="K2707" s="21"/>
    </row>
    <row r="2708" spans="1:11" ht="15.5" x14ac:dyDescent="0.35">
      <c r="A2708" s="472" t="s">
        <v>995</v>
      </c>
      <c r="B2708" s="473">
        <v>2049</v>
      </c>
      <c r="C2708" s="473" t="str">
        <f t="shared" si="71"/>
        <v>Yuba_2049</v>
      </c>
      <c r="D2708" s="474">
        <v>285.21806165904724</v>
      </c>
      <c r="E2708" s="21"/>
      <c r="F2708" s="21"/>
      <c r="G2708" s="21"/>
      <c r="H2708" s="21"/>
      <c r="I2708" s="21"/>
      <c r="J2708" s="21"/>
      <c r="K2708" s="21"/>
    </row>
    <row r="2709" spans="1:11" ht="16" thickBot="1" x14ac:dyDescent="0.4">
      <c r="A2709" s="480" t="s">
        <v>995</v>
      </c>
      <c r="B2709" s="481">
        <v>2050</v>
      </c>
      <c r="C2709" s="481" t="str">
        <f t="shared" si="71"/>
        <v>Yuba_2050</v>
      </c>
      <c r="D2709" s="482">
        <v>284.91450196102994</v>
      </c>
      <c r="E2709" s="21"/>
      <c r="F2709" s="21"/>
      <c r="G2709" s="21"/>
      <c r="H2709" s="21"/>
      <c r="I2709" s="21"/>
      <c r="J2709" s="21"/>
      <c r="K2709" s="21"/>
    </row>
    <row r="2710" spans="1:11" x14ac:dyDescent="0.35">
      <c r="A2710" s="21"/>
      <c r="B2710" s="78"/>
      <c r="C2710" s="21"/>
      <c r="D2710" s="21"/>
      <c r="E2710" s="21"/>
      <c r="F2710" s="21"/>
      <c r="G2710" s="21"/>
      <c r="H2710" s="21"/>
      <c r="I2710" s="21"/>
      <c r="J2710" s="21"/>
      <c r="K2710" s="21"/>
    </row>
    <row r="2711" spans="1:11" x14ac:dyDescent="0.35">
      <c r="A2711" s="21"/>
      <c r="B2711" s="78"/>
      <c r="C2711" s="21"/>
      <c r="D2711" s="21"/>
      <c r="E2711" s="21"/>
      <c r="F2711" s="21"/>
      <c r="G2711" s="21"/>
      <c r="H2711" s="21"/>
      <c r="I2711" s="21"/>
      <c r="J2711" s="21"/>
      <c r="K2711" s="21"/>
    </row>
    <row r="2712" spans="1:11" x14ac:dyDescent="0.35">
      <c r="A2712" s="21"/>
      <c r="B2712" s="78"/>
      <c r="C2712" s="21"/>
      <c r="D2712" s="21"/>
      <c r="E2712" s="21"/>
      <c r="F2712" s="21"/>
      <c r="G2712" s="21"/>
      <c r="H2712" s="21"/>
      <c r="I2712" s="21"/>
      <c r="J2712" s="21"/>
      <c r="K2712" s="21"/>
    </row>
  </sheetData>
  <sheetProtection algorithmName="SHA-512" hashValue="HtOBICianAkD+glNVAFfNtmFUxykzcEKnevHZnQVml/8apusK8OMpNOgGA/D+eP0mJQsEEu0KtuoHlO8N4N8AA==" saltValue="bri5IpcR23e6o43ynVAGLA==" spinCount="100000" sheet="1"/>
  <conditionalFormatting sqref="C2084:C2709">
    <cfRule type="duplicateValues" dxfId="0" priority="1"/>
  </conditionalFormatting>
  <hyperlinks>
    <hyperlink ref="A35" r:id="rId1" tooltip="EMFAC2017 Database" xr:uid="{5A6585FE-A753-49EE-BA91-F06CB9D60806}"/>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8759-9371-410F-A105-449B44B582E1}">
  <sheetPr codeName="Sheet22">
    <tabColor theme="1"/>
  </sheetPr>
  <dimension ref="A1:L2708"/>
  <sheetViews>
    <sheetView topLeftCell="A37" workbookViewId="0">
      <selection activeCell="P67" sqref="P67"/>
    </sheetView>
  </sheetViews>
  <sheetFormatPr defaultRowHeight="14.5" x14ac:dyDescent="0.35"/>
  <cols>
    <col min="1" max="1" width="23.1796875" customWidth="1"/>
    <col min="2" max="2" width="12.7265625" customWidth="1"/>
    <col min="3" max="3" width="28.81640625" customWidth="1"/>
    <col min="4" max="4" width="17.1796875" customWidth="1"/>
    <col min="5" max="5" width="19.26953125" customWidth="1"/>
    <col min="6" max="6" width="15.81640625" customWidth="1"/>
    <col min="7" max="7" width="16.81640625" customWidth="1"/>
    <col min="8" max="8" width="19.1796875" customWidth="1"/>
    <col min="9" max="9" width="17.7265625" customWidth="1"/>
    <col min="10" max="10" width="18" customWidth="1"/>
    <col min="11" max="11" width="16.81640625" customWidth="1"/>
    <col min="12" max="12" width="21.54296875" customWidth="1"/>
  </cols>
  <sheetData>
    <row r="1" spans="1:12" x14ac:dyDescent="0.35">
      <c r="A1" s="21"/>
      <c r="B1" s="21"/>
      <c r="C1" s="21"/>
      <c r="D1" s="21"/>
      <c r="E1" s="21"/>
      <c r="F1" s="21"/>
      <c r="G1" s="21"/>
      <c r="H1" s="21"/>
      <c r="I1" s="21"/>
      <c r="J1" s="21"/>
      <c r="K1" s="21"/>
      <c r="L1" s="21"/>
    </row>
    <row r="2" spans="1:12" ht="18" x14ac:dyDescent="0.4">
      <c r="A2" s="21"/>
      <c r="B2" s="21"/>
      <c r="C2" s="21"/>
      <c r="D2" s="21"/>
      <c r="E2" s="21"/>
      <c r="F2" s="23" t="s">
        <v>0</v>
      </c>
      <c r="G2" s="23"/>
      <c r="H2" s="23"/>
      <c r="I2" s="23"/>
      <c r="J2" s="21"/>
      <c r="K2" s="21"/>
      <c r="L2" s="21"/>
    </row>
    <row r="3" spans="1:12" ht="18" x14ac:dyDescent="0.4">
      <c r="A3" s="21"/>
      <c r="B3" s="21"/>
      <c r="C3" s="21"/>
      <c r="D3" s="21"/>
      <c r="E3" s="21"/>
      <c r="F3" s="24" t="s">
        <v>1</v>
      </c>
      <c r="G3" s="24"/>
      <c r="H3" s="24"/>
      <c r="I3" s="24"/>
      <c r="J3" s="21"/>
      <c r="K3" s="21"/>
      <c r="L3" s="21"/>
    </row>
    <row r="4" spans="1:12" ht="18" x14ac:dyDescent="0.4">
      <c r="A4" s="21"/>
      <c r="B4" s="21"/>
      <c r="C4" s="21"/>
      <c r="D4" s="21"/>
      <c r="E4" s="21"/>
      <c r="F4" s="25" t="s">
        <v>70</v>
      </c>
      <c r="G4" s="25"/>
      <c r="H4" s="25"/>
      <c r="I4" s="25"/>
      <c r="J4" s="21"/>
      <c r="K4" s="21"/>
      <c r="L4" s="21"/>
    </row>
    <row r="5" spans="1:12" x14ac:dyDescent="0.35">
      <c r="A5" s="21"/>
      <c r="B5" s="21"/>
      <c r="C5" s="21"/>
      <c r="D5" s="21"/>
      <c r="E5" s="21"/>
      <c r="F5" s="21"/>
      <c r="G5" s="21"/>
      <c r="H5" s="21"/>
      <c r="I5" s="21"/>
      <c r="J5" s="21"/>
      <c r="K5" s="21"/>
      <c r="L5" s="21"/>
    </row>
    <row r="6" spans="1:12" x14ac:dyDescent="0.35">
      <c r="A6" s="21"/>
      <c r="B6" s="21"/>
      <c r="C6" s="21"/>
      <c r="D6" s="21"/>
      <c r="E6" s="21"/>
      <c r="F6" s="21"/>
      <c r="G6" s="21"/>
      <c r="H6" s="21"/>
      <c r="I6" s="21"/>
      <c r="J6" s="21"/>
      <c r="K6" s="21"/>
      <c r="L6" s="21"/>
    </row>
    <row r="7" spans="1:12" x14ac:dyDescent="0.35">
      <c r="A7" s="21"/>
      <c r="B7" s="21"/>
      <c r="C7" s="21"/>
      <c r="D7" s="21"/>
      <c r="E7" s="21"/>
      <c r="F7" s="21"/>
      <c r="G7" s="21"/>
      <c r="H7" s="21"/>
      <c r="I7" s="21"/>
      <c r="J7" s="21"/>
      <c r="K7" s="21"/>
      <c r="L7" s="21"/>
    </row>
    <row r="8" spans="1:12" ht="16" thickBot="1" x14ac:dyDescent="0.4">
      <c r="A8" s="1" t="s">
        <v>998</v>
      </c>
      <c r="B8" s="21"/>
      <c r="C8" s="21"/>
      <c r="D8" s="21"/>
      <c r="E8" s="21"/>
      <c r="F8" s="21"/>
      <c r="G8" s="21"/>
      <c r="H8" s="21"/>
      <c r="I8" s="21"/>
      <c r="J8" s="21"/>
      <c r="K8" s="21"/>
      <c r="L8" s="21"/>
    </row>
    <row r="9" spans="1:12" ht="15.5" x14ac:dyDescent="0.35">
      <c r="A9" s="443" t="s">
        <v>774</v>
      </c>
      <c r="B9" s="444"/>
      <c r="C9" s="494"/>
      <c r="D9" s="444" t="s">
        <v>775</v>
      </c>
      <c r="E9" s="444"/>
      <c r="F9" s="444"/>
      <c r="G9" s="444"/>
      <c r="H9" s="446"/>
      <c r="I9" s="495"/>
      <c r="J9" s="21"/>
      <c r="K9" s="21"/>
      <c r="L9" s="21"/>
    </row>
    <row r="10" spans="1:12" ht="15.5" x14ac:dyDescent="0.35">
      <c r="A10" s="447" t="s">
        <v>0</v>
      </c>
      <c r="B10" s="448"/>
      <c r="C10" s="496"/>
      <c r="D10" s="448" t="s">
        <v>776</v>
      </c>
      <c r="E10" s="448"/>
      <c r="F10" s="448"/>
      <c r="G10" s="448"/>
      <c r="H10" s="450"/>
      <c r="I10" s="495"/>
      <c r="J10" s="21"/>
      <c r="K10" s="21"/>
      <c r="L10" s="21"/>
    </row>
    <row r="11" spans="1:12" ht="15.5" x14ac:dyDescent="0.35">
      <c r="A11" s="447" t="s">
        <v>0</v>
      </c>
      <c r="B11" s="448"/>
      <c r="C11" s="496"/>
      <c r="D11" s="448" t="s">
        <v>777</v>
      </c>
      <c r="E11" s="448"/>
      <c r="F11" s="448"/>
      <c r="G11" s="448"/>
      <c r="H11" s="450"/>
      <c r="I11" s="495"/>
      <c r="J11" s="21"/>
      <c r="K11" s="21"/>
      <c r="L11" s="21"/>
    </row>
    <row r="12" spans="1:12" ht="15.5" x14ac:dyDescent="0.35">
      <c r="A12" s="447" t="s">
        <v>0</v>
      </c>
      <c r="B12" s="448"/>
      <c r="C12" s="496"/>
      <c r="D12" s="448" t="s">
        <v>778</v>
      </c>
      <c r="E12" s="448"/>
      <c r="F12" s="448"/>
      <c r="G12" s="448"/>
      <c r="H12" s="450"/>
      <c r="I12" s="495"/>
      <c r="J12" s="21"/>
      <c r="K12" s="21"/>
      <c r="L12" s="21"/>
    </row>
    <row r="13" spans="1:12" ht="15.5" x14ac:dyDescent="0.35">
      <c r="A13" s="447" t="s">
        <v>779</v>
      </c>
      <c r="B13" s="448"/>
      <c r="C13" s="496"/>
      <c r="D13" s="448" t="s">
        <v>780</v>
      </c>
      <c r="E13" s="448"/>
      <c r="F13" s="448"/>
      <c r="G13" s="448"/>
      <c r="H13" s="450"/>
      <c r="I13" s="495"/>
      <c r="J13" s="21"/>
      <c r="K13" s="21"/>
      <c r="L13" s="21"/>
    </row>
    <row r="14" spans="1:12" ht="15.5" x14ac:dyDescent="0.35">
      <c r="A14" s="447" t="s">
        <v>781</v>
      </c>
      <c r="B14" s="448"/>
      <c r="C14" s="496"/>
      <c r="D14" s="448" t="s">
        <v>782</v>
      </c>
      <c r="E14" s="448"/>
      <c r="F14" s="448"/>
      <c r="G14" s="448"/>
      <c r="H14" s="450"/>
      <c r="I14" s="495"/>
      <c r="J14" s="21"/>
      <c r="K14" s="21"/>
      <c r="L14" s="21"/>
    </row>
    <row r="15" spans="1:12" ht="15.5" x14ac:dyDescent="0.35">
      <c r="A15" s="447" t="s">
        <v>783</v>
      </c>
      <c r="B15" s="448"/>
      <c r="C15" s="496"/>
      <c r="D15" s="448" t="s">
        <v>784</v>
      </c>
      <c r="E15" s="448"/>
      <c r="F15" s="448"/>
      <c r="G15" s="448"/>
      <c r="H15" s="450"/>
      <c r="I15" s="495"/>
      <c r="J15" s="21"/>
      <c r="K15" s="21"/>
      <c r="L15" s="21"/>
    </row>
    <row r="16" spans="1:12" ht="15.5" x14ac:dyDescent="0.35">
      <c r="A16" s="447" t="s">
        <v>785</v>
      </c>
      <c r="B16" s="448"/>
      <c r="C16" s="496"/>
      <c r="D16" s="448" t="s">
        <v>786</v>
      </c>
      <c r="E16" s="448"/>
      <c r="F16" s="448"/>
      <c r="G16" s="448"/>
      <c r="H16" s="450"/>
      <c r="I16" s="495"/>
      <c r="J16" s="21"/>
      <c r="K16" s="21"/>
      <c r="L16" s="21"/>
    </row>
    <row r="17" spans="1:12" ht="15.5" x14ac:dyDescent="0.35">
      <c r="A17" s="447" t="s">
        <v>785</v>
      </c>
      <c r="B17" s="448"/>
      <c r="C17" s="496"/>
      <c r="D17" s="448" t="s">
        <v>787</v>
      </c>
      <c r="E17" s="448"/>
      <c r="F17" s="448"/>
      <c r="G17" s="448"/>
      <c r="H17" s="450"/>
      <c r="I17" s="495"/>
      <c r="J17" s="21"/>
      <c r="K17" s="21"/>
      <c r="L17" s="21"/>
    </row>
    <row r="18" spans="1:12" ht="15.5" x14ac:dyDescent="0.35">
      <c r="A18" s="447" t="s">
        <v>785</v>
      </c>
      <c r="B18" s="448"/>
      <c r="C18" s="496"/>
      <c r="D18" s="448" t="s">
        <v>788</v>
      </c>
      <c r="E18" s="448"/>
      <c r="F18" s="448"/>
      <c r="G18" s="448"/>
      <c r="H18" s="450"/>
      <c r="I18" s="495"/>
      <c r="J18" s="21"/>
      <c r="K18" s="21"/>
      <c r="L18" s="21"/>
    </row>
    <row r="19" spans="1:12" ht="16" thickBot="1" x14ac:dyDescent="0.4">
      <c r="A19" s="452" t="s">
        <v>789</v>
      </c>
      <c r="B19" s="453"/>
      <c r="C19" s="497"/>
      <c r="D19" s="453" t="s">
        <v>790</v>
      </c>
      <c r="E19" s="453"/>
      <c r="F19" s="453"/>
      <c r="G19" s="453"/>
      <c r="H19" s="455"/>
      <c r="I19" s="498"/>
      <c r="J19" s="323"/>
      <c r="K19" s="323"/>
      <c r="L19" s="21"/>
    </row>
    <row r="20" spans="1:12" ht="15" thickBot="1" x14ac:dyDescent="0.4">
      <c r="A20" s="21"/>
      <c r="B20" s="21"/>
      <c r="C20" s="21"/>
      <c r="D20" s="21"/>
      <c r="E20" s="21"/>
      <c r="F20" s="21"/>
      <c r="G20" s="21"/>
      <c r="H20" s="21"/>
      <c r="I20" s="21"/>
      <c r="J20" s="21"/>
      <c r="K20" s="21"/>
      <c r="L20" s="21"/>
    </row>
    <row r="21" spans="1:12" ht="15.5" x14ac:dyDescent="0.35">
      <c r="A21" s="499" t="s">
        <v>999</v>
      </c>
      <c r="B21" s="500"/>
      <c r="C21" s="500"/>
      <c r="D21" s="500"/>
      <c r="E21" s="500"/>
      <c r="F21" s="500"/>
      <c r="G21" s="500"/>
      <c r="H21" s="500"/>
      <c r="I21" s="500"/>
      <c r="J21" s="500"/>
      <c r="K21" s="500"/>
      <c r="L21" s="501"/>
    </row>
    <row r="22" spans="1:12" ht="15.5" x14ac:dyDescent="0.35">
      <c r="A22" s="502" t="s">
        <v>92</v>
      </c>
      <c r="B22" s="503"/>
      <c r="C22" s="503"/>
      <c r="D22" s="503"/>
      <c r="E22" s="503"/>
      <c r="F22" s="503"/>
      <c r="G22" s="503"/>
      <c r="H22" s="503"/>
      <c r="I22" s="503"/>
      <c r="J22" s="503"/>
      <c r="K22" s="503"/>
      <c r="L22" s="504"/>
    </row>
    <row r="23" spans="1:12" ht="15.5" x14ac:dyDescent="0.35">
      <c r="A23" s="26" t="s">
        <v>98</v>
      </c>
      <c r="B23" s="2"/>
      <c r="C23" s="2"/>
      <c r="D23" s="2"/>
      <c r="E23" s="2"/>
      <c r="F23" s="2"/>
      <c r="G23" s="2"/>
      <c r="H23" s="2"/>
      <c r="I23" s="2"/>
      <c r="J23" s="2"/>
      <c r="K23" s="2"/>
      <c r="L23" s="16"/>
    </row>
    <row r="24" spans="1:12" ht="15.5" x14ac:dyDescent="0.35">
      <c r="A24" s="26" t="s">
        <v>793</v>
      </c>
      <c r="B24" s="2"/>
      <c r="C24" s="2"/>
      <c r="D24" s="2"/>
      <c r="E24" s="2"/>
      <c r="F24" s="2"/>
      <c r="G24" s="2"/>
      <c r="H24" s="2"/>
      <c r="I24" s="2"/>
      <c r="J24" s="2"/>
      <c r="K24" s="2"/>
      <c r="L24" s="16"/>
    </row>
    <row r="25" spans="1:12" ht="15.5" x14ac:dyDescent="0.35">
      <c r="A25" s="26" t="s">
        <v>99</v>
      </c>
      <c r="B25" s="2"/>
      <c r="C25" s="2"/>
      <c r="D25" s="2"/>
      <c r="E25" s="2"/>
      <c r="F25" s="2"/>
      <c r="G25" s="2"/>
      <c r="H25" s="2"/>
      <c r="I25" s="2"/>
      <c r="J25" s="2"/>
      <c r="K25" s="2"/>
      <c r="L25" s="16"/>
    </row>
    <row r="26" spans="1:12" ht="15.5" x14ac:dyDescent="0.35">
      <c r="A26" s="50" t="s">
        <v>1000</v>
      </c>
      <c r="B26" s="22"/>
      <c r="C26" s="22"/>
      <c r="D26" s="22"/>
      <c r="E26" s="22"/>
      <c r="F26" s="22"/>
      <c r="G26" s="22"/>
      <c r="H26" s="22"/>
      <c r="I26" s="22"/>
      <c r="J26" s="22"/>
      <c r="K26" s="22"/>
      <c r="L26" s="273"/>
    </row>
    <row r="27" spans="1:12" ht="15.5" x14ac:dyDescent="0.35">
      <c r="A27" s="50" t="s">
        <v>1001</v>
      </c>
      <c r="B27" s="22"/>
      <c r="C27" s="22"/>
      <c r="D27" s="22"/>
      <c r="E27" s="22"/>
      <c r="F27" s="22"/>
      <c r="G27" s="22"/>
      <c r="H27" s="22"/>
      <c r="I27" s="22"/>
      <c r="J27" s="22"/>
      <c r="K27" s="22"/>
      <c r="L27" s="273"/>
    </row>
    <row r="28" spans="1:12" ht="15.5" x14ac:dyDescent="0.35">
      <c r="A28" s="26" t="s">
        <v>100</v>
      </c>
      <c r="B28" s="2"/>
      <c r="C28" s="2"/>
      <c r="D28" s="2"/>
      <c r="E28" s="2"/>
      <c r="F28" s="2"/>
      <c r="G28" s="2"/>
      <c r="H28" s="2"/>
      <c r="I28" s="2"/>
      <c r="J28" s="2"/>
      <c r="K28" s="2"/>
      <c r="L28" s="16"/>
    </row>
    <row r="29" spans="1:12" ht="15.5" x14ac:dyDescent="0.35">
      <c r="A29" s="26" t="s">
        <v>126</v>
      </c>
      <c r="B29" s="2"/>
      <c r="C29" s="2"/>
      <c r="D29" s="2"/>
      <c r="E29" s="2"/>
      <c r="F29" s="2"/>
      <c r="G29" s="2"/>
      <c r="H29" s="2"/>
      <c r="I29" s="2"/>
      <c r="J29" s="2"/>
      <c r="K29" s="2"/>
      <c r="L29" s="16"/>
    </row>
    <row r="30" spans="1:12" ht="15.5" x14ac:dyDescent="0.35">
      <c r="A30" s="26" t="s">
        <v>1002</v>
      </c>
      <c r="B30" s="2"/>
      <c r="C30" s="2"/>
      <c r="D30" s="2"/>
      <c r="E30" s="2"/>
      <c r="F30" s="2"/>
      <c r="G30" s="2"/>
      <c r="H30" s="2"/>
      <c r="I30" s="2"/>
      <c r="J30" s="2"/>
      <c r="K30" s="2"/>
      <c r="L30" s="16"/>
    </row>
    <row r="31" spans="1:12" ht="15.5" x14ac:dyDescent="0.35">
      <c r="A31" s="26" t="s">
        <v>101</v>
      </c>
      <c r="B31" s="2"/>
      <c r="C31" s="2"/>
      <c r="D31" s="2"/>
      <c r="E31" s="2"/>
      <c r="F31" s="2"/>
      <c r="G31" s="2"/>
      <c r="H31" s="2"/>
      <c r="I31" s="2"/>
      <c r="J31" s="2"/>
      <c r="K31" s="2"/>
      <c r="L31" s="16"/>
    </row>
    <row r="32" spans="1:12" ht="15.5" x14ac:dyDescent="0.35">
      <c r="A32" s="26" t="s">
        <v>797</v>
      </c>
      <c r="B32" s="2"/>
      <c r="C32" s="2"/>
      <c r="D32" s="2"/>
      <c r="E32" s="2"/>
      <c r="F32" s="2"/>
      <c r="G32" s="2"/>
      <c r="H32" s="2"/>
      <c r="I32" s="2"/>
      <c r="J32" s="2"/>
      <c r="K32" s="2"/>
      <c r="L32" s="16"/>
    </row>
    <row r="33" spans="1:12" ht="15.5" x14ac:dyDescent="0.35">
      <c r="A33" s="26" t="s">
        <v>1003</v>
      </c>
      <c r="B33" s="2"/>
      <c r="C33" s="2"/>
      <c r="D33" s="2"/>
      <c r="E33" s="2"/>
      <c r="F33" s="2"/>
      <c r="G33" s="2"/>
      <c r="H33" s="2"/>
      <c r="I33" s="2"/>
      <c r="J33" s="2"/>
      <c r="K33" s="2"/>
      <c r="L33" s="16"/>
    </row>
    <row r="34" spans="1:12" ht="15.5" x14ac:dyDescent="0.35">
      <c r="A34" s="50" t="s">
        <v>102</v>
      </c>
      <c r="B34" s="2"/>
      <c r="C34" s="2"/>
      <c r="D34" s="2"/>
      <c r="E34" s="2"/>
      <c r="F34" s="2"/>
      <c r="G34" s="2"/>
      <c r="H34" s="2"/>
      <c r="I34" s="2"/>
      <c r="J34" s="2"/>
      <c r="K34" s="2"/>
      <c r="L34" s="16"/>
    </row>
    <row r="35" spans="1:12" ht="16" thickBot="1" x14ac:dyDescent="0.4">
      <c r="A35" s="63" t="s">
        <v>103</v>
      </c>
      <c r="B35" s="17"/>
      <c r="C35" s="17"/>
      <c r="D35" s="17"/>
      <c r="E35" s="17"/>
      <c r="F35" s="17"/>
      <c r="G35" s="17"/>
      <c r="H35" s="17"/>
      <c r="I35" s="17"/>
      <c r="J35" s="17"/>
      <c r="K35" s="17"/>
      <c r="L35" s="18"/>
    </row>
    <row r="36" spans="1:12" ht="15.5" x14ac:dyDescent="0.35">
      <c r="A36" s="462"/>
      <c r="B36" s="107"/>
      <c r="C36" s="2"/>
      <c r="D36" s="2"/>
      <c r="E36" s="21"/>
      <c r="F36" s="21"/>
      <c r="G36" s="21"/>
      <c r="H36" s="21"/>
      <c r="I36" s="21"/>
      <c r="J36" s="21"/>
      <c r="K36" s="21"/>
      <c r="L36" s="21"/>
    </row>
    <row r="37" spans="1:12" ht="15.5" x14ac:dyDescent="0.35">
      <c r="A37" s="505" t="s">
        <v>1004</v>
      </c>
      <c r="B37" s="506"/>
      <c r="C37" s="506"/>
      <c r="D37" s="506"/>
      <c r="E37" s="506"/>
      <c r="F37" s="506"/>
      <c r="G37" s="506"/>
      <c r="H37" s="506"/>
      <c r="I37" s="506"/>
      <c r="J37" s="506"/>
      <c r="K37" s="506"/>
      <c r="L37" s="506"/>
    </row>
    <row r="38" spans="1:12" ht="17.5" x14ac:dyDescent="0.35">
      <c r="A38" s="506" t="s">
        <v>1005</v>
      </c>
      <c r="B38" s="506"/>
      <c r="C38" s="506"/>
      <c r="D38" s="506"/>
      <c r="E38" s="506"/>
      <c r="F38" s="506"/>
      <c r="G38" s="506"/>
      <c r="H38" s="506"/>
      <c r="I38" s="506"/>
      <c r="J38" s="506"/>
      <c r="K38" s="506"/>
      <c r="L38" s="506"/>
    </row>
    <row r="39" spans="1:12" ht="15.5" x14ac:dyDescent="0.35">
      <c r="A39" s="506" t="s">
        <v>1006</v>
      </c>
      <c r="B39" s="506"/>
      <c r="C39" s="506"/>
      <c r="D39" s="506"/>
      <c r="E39" s="506"/>
      <c r="F39" s="506"/>
      <c r="G39" s="506"/>
      <c r="H39" s="506"/>
      <c r="I39" s="506"/>
      <c r="J39" s="506"/>
      <c r="K39" s="506"/>
      <c r="L39" s="506"/>
    </row>
    <row r="40" spans="1:12" ht="15.5" x14ac:dyDescent="0.35">
      <c r="A40" s="506" t="s">
        <v>1007</v>
      </c>
      <c r="B40" s="506"/>
      <c r="C40" s="506"/>
      <c r="D40" s="506"/>
      <c r="E40" s="506"/>
      <c r="F40" s="506"/>
      <c r="G40" s="506"/>
      <c r="H40" s="506"/>
      <c r="I40" s="506"/>
      <c r="J40" s="506"/>
      <c r="K40" s="506"/>
      <c r="L40" s="506"/>
    </row>
    <row r="41" spans="1:12" ht="15.5" x14ac:dyDescent="0.35">
      <c r="A41" s="506"/>
      <c r="B41" s="506"/>
      <c r="C41" s="506"/>
      <c r="D41" s="506"/>
      <c r="E41" s="506"/>
      <c r="F41" s="506"/>
      <c r="G41" s="506"/>
      <c r="H41" s="506"/>
      <c r="I41" s="506"/>
      <c r="J41" s="506"/>
      <c r="K41" s="506"/>
      <c r="L41" s="506"/>
    </row>
    <row r="42" spans="1:12" ht="15" thickBot="1" x14ac:dyDescent="0.4">
      <c r="A42" s="21"/>
      <c r="B42" s="21"/>
      <c r="C42" s="21"/>
      <c r="D42" s="21"/>
      <c r="E42" s="21"/>
      <c r="F42" s="21"/>
      <c r="G42" s="21"/>
      <c r="H42" s="21"/>
      <c r="I42" s="21"/>
      <c r="J42" s="21"/>
      <c r="K42" s="21"/>
      <c r="L42" s="21"/>
    </row>
    <row r="43" spans="1:12" ht="16" thickBot="1" x14ac:dyDescent="0.4">
      <c r="A43" s="2"/>
      <c r="B43" s="2"/>
      <c r="C43" s="2"/>
      <c r="D43" s="2"/>
      <c r="E43" s="507" t="s">
        <v>1008</v>
      </c>
      <c r="F43" s="508"/>
      <c r="G43" s="508"/>
      <c r="H43" s="508"/>
      <c r="I43" s="508"/>
      <c r="J43" s="508"/>
      <c r="K43" s="509" t="s">
        <v>1009</v>
      </c>
      <c r="L43" s="510"/>
    </row>
    <row r="44" spans="1:12" ht="49" thickBot="1" x14ac:dyDescent="0.4">
      <c r="A44" s="536" t="s">
        <v>805</v>
      </c>
      <c r="B44" s="538" t="s">
        <v>806</v>
      </c>
      <c r="C44" s="529" t="s">
        <v>807</v>
      </c>
      <c r="D44" s="530" t="s">
        <v>1010</v>
      </c>
      <c r="E44" s="531" t="s">
        <v>1011</v>
      </c>
      <c r="F44" s="532" t="s">
        <v>1012</v>
      </c>
      <c r="G44" s="532" t="s">
        <v>1013</v>
      </c>
      <c r="H44" s="532" t="s">
        <v>1014</v>
      </c>
      <c r="I44" s="532" t="s">
        <v>1015</v>
      </c>
      <c r="J44" s="533" t="s">
        <v>1016</v>
      </c>
      <c r="K44" s="534" t="s">
        <v>1017</v>
      </c>
      <c r="L44" s="535" t="s">
        <v>1018</v>
      </c>
    </row>
    <row r="45" spans="1:12" ht="15.5" x14ac:dyDescent="0.35">
      <c r="A45" s="166" t="s">
        <v>3533</v>
      </c>
      <c r="B45" s="511">
        <v>2015</v>
      </c>
      <c r="C45" s="512" t="str">
        <f>CONCATENATE(A45,"_",B45)</f>
        <v>Statewide_Average_2015</v>
      </c>
      <c r="D45" s="513">
        <f>AVERAGE(D81,D117,D153,D189,D225,D261,D297,D333,D369,D405,D441,D477,D513,D549,D585,D621,D657,D693,D729,D765,D801,D837,D873,D909,D945,D981,D1017,D1053,D1089,D1125,D1161,D1197,D1233,D1269,D1305,D1341,D1377,D1413,D1449,D1485,D1521,D1557,D1593,D1629,D1665,D1701,D1737,D1773,D1809,D1845,D1881,D1917,D1953,D1989,D2025,D2061,D2097,D2133,D2169,D2205,D2241,D2277,D2313,D2349,D2385,D2421,D2457,D2493,D2529,D2565,D2601,D2637,D2673)</f>
        <v>4.5185465841338715E-2</v>
      </c>
      <c r="E45" s="553">
        <f t="shared" ref="E45:L45" si="0">AVERAGE(E81,E117,E153,E189,E225,E261,E297,E333,E369,E405,E441,E477,E513,E549,E585,E621,E657,E693,E729,E765,E801,E837,E873,E909,E945,E981,E1017,E1053,E1089,E1125,E1161,E1197,E1233,E1269,E1305,E1341,E1377,E1413,E1449,E1485,E1521,E1557,E1593,E1629,E1665,E1701,E1737,E1773,E1809,E1845,E1881,E1917,E1953,E1989,E2025,E2061,E2097,E2133,E2169,E2205,E2241,E2277,E2313,E2349,E2385,E2421,E2457,E2493,E2529,E2565,E2601,E2637,E2673)</f>
        <v>6.7485604586743408E-2</v>
      </c>
      <c r="F45" s="548">
        <f t="shared" si="0"/>
        <v>0.24870019730335149</v>
      </c>
      <c r="G45" s="548">
        <f t="shared" si="0"/>
        <v>2.3034730516349323E-3</v>
      </c>
      <c r="H45" s="548">
        <f t="shared" si="0"/>
        <v>2.0000008772224583E-3</v>
      </c>
      <c r="I45" s="548">
        <f t="shared" si="0"/>
        <v>1.5750004860181663E-2</v>
      </c>
      <c r="J45" s="556">
        <f t="shared" si="0"/>
        <v>2.49048285441521E-3</v>
      </c>
      <c r="K45" s="559">
        <f t="shared" si="0"/>
        <v>2.2530016576992473E-4</v>
      </c>
      <c r="L45" s="549">
        <f t="shared" si="0"/>
        <v>2.3548723990782802E-4</v>
      </c>
    </row>
    <row r="46" spans="1:12" ht="15.5" x14ac:dyDescent="0.35">
      <c r="A46" s="143" t="s">
        <v>3533</v>
      </c>
      <c r="B46" s="229">
        <v>2016</v>
      </c>
      <c r="C46" s="514" t="str">
        <f t="shared" ref="C46:C80" si="1">CONCATENATE(A46,"_",B46)</f>
        <v>Statewide_Average_2016</v>
      </c>
      <c r="D46" s="515">
        <f t="shared" ref="D46:L46" si="2">AVERAGE(D82,D118,D154,D190,D226,D262,D298,D334,D370,D406,D442,D478,D514,D550,D586,D622,D658,D694,D730,D766,D802,D838,D874,D910,D946,D982,D1018,D1054,D1090,D1126,D1162,D1198,D1234,D1270,D1306,D1342,D1378,D1414,D1450,D1486,D1522,D1558,D1594,D1630,D1666,D1702,D1738,D1774,D1810,D1846,D1882,D1918,D1954,D1990,D2026,D2062,D2098,D2134,D2170,D2206,D2242,D2278,D2314,D2350,D2386,D2422,D2458,D2494,D2530,D2566,D2602,D2638,D2674)</f>
        <v>4.4325350841428635E-2</v>
      </c>
      <c r="E46" s="554">
        <f t="shared" si="2"/>
        <v>5.6253019271651682E-2</v>
      </c>
      <c r="F46" s="547">
        <f t="shared" si="2"/>
        <v>0.21398700099243873</v>
      </c>
      <c r="G46" s="547">
        <f t="shared" si="2"/>
        <v>2.1391426899632208E-3</v>
      </c>
      <c r="H46" s="547">
        <f t="shared" si="2"/>
        <v>2.0000008772224583E-3</v>
      </c>
      <c r="I46" s="547">
        <f t="shared" si="2"/>
        <v>1.5750004860181657E-2</v>
      </c>
      <c r="J46" s="557">
        <f t="shared" si="2"/>
        <v>2.3146180797047671E-3</v>
      </c>
      <c r="K46" s="560">
        <f t="shared" si="2"/>
        <v>1.9453799299820314E-4</v>
      </c>
      <c r="L46" s="550">
        <f t="shared" si="2"/>
        <v>2.0333413774786165E-4</v>
      </c>
    </row>
    <row r="47" spans="1:12" ht="15.5" x14ac:dyDescent="0.35">
      <c r="A47" s="143" t="s">
        <v>3533</v>
      </c>
      <c r="B47" s="229">
        <v>2017</v>
      </c>
      <c r="C47" s="514" t="str">
        <f t="shared" si="1"/>
        <v>Statewide_Average_2017</v>
      </c>
      <c r="D47" s="515">
        <f t="shared" ref="D47:L47" si="3">AVERAGE(D83,D119,D155,D191,D227,D263,D299,D335,D371,D407,D443,D479,D515,D551,D587,D623,D659,D695,D731,D767,D803,D839,D875,D911,D947,D983,D1019,D1055,D1091,D1127,D1163,D1199,D1235,D1271,D1307,D1343,D1379,D1415,D1451,D1487,D1523,D1559,D1595,D1631,D1667,D1703,D1739,D1775,D1811,D1847,D1883,D1919,D1955,D1991,D2027,D2063,D2099,D2135,D2171,D2207,D2243,D2279,D2315,D2351,D2387,D2423,D2459,D2495,D2531,D2567,D2603,D2639,D2675)</f>
        <v>4.32801060287029E-2</v>
      </c>
      <c r="E47" s="554">
        <f t="shared" si="3"/>
        <v>4.7027992283712468E-2</v>
      </c>
      <c r="F47" s="547">
        <f t="shared" si="3"/>
        <v>0.18413821550979104</v>
      </c>
      <c r="G47" s="547">
        <f t="shared" si="3"/>
        <v>2.041193698706738E-3</v>
      </c>
      <c r="H47" s="547">
        <f t="shared" si="3"/>
        <v>2.0000008772224583E-3</v>
      </c>
      <c r="I47" s="547">
        <f t="shared" si="3"/>
        <v>1.5750004860181663E-2</v>
      </c>
      <c r="J47" s="557">
        <f t="shared" si="3"/>
        <v>2.2100135649938892E-3</v>
      </c>
      <c r="K47" s="560">
        <f t="shared" si="3"/>
        <v>1.766152223464875E-4</v>
      </c>
      <c r="L47" s="550">
        <f t="shared" si="3"/>
        <v>1.8460097847976961E-4</v>
      </c>
    </row>
    <row r="48" spans="1:12" ht="15.5" x14ac:dyDescent="0.35">
      <c r="A48" s="143" t="s">
        <v>3533</v>
      </c>
      <c r="B48" s="229">
        <v>2018</v>
      </c>
      <c r="C48" s="514" t="str">
        <f t="shared" si="1"/>
        <v>Statewide_Average_2018</v>
      </c>
      <c r="D48" s="515">
        <f t="shared" ref="D48:L48" si="4">AVERAGE(D84,D120,D156,D192,D228,D264,D300,D336,D372,D408,D444,D480,D516,D552,D588,D624,D660,D696,D732,D768,D804,D840,D876,D912,D948,D984,D1020,D1056,D1092,D1128,D1164,D1200,D1236,D1272,D1308,D1344,D1380,D1416,D1452,D1488,D1524,D1560,D1596,D1632,D1668,D1704,D1740,D1776,D1812,D1848,D1884,D1920,D1956,D1992,D2028,D2064,D2100,D2136,D2172,D2208,D2244,D2280,D2316,D2352,D2388,D2424,D2460,D2496,D2532,D2568,D2604,D2640,D2676)</f>
        <v>4.2186392152296893E-2</v>
      </c>
      <c r="E48" s="554">
        <f t="shared" si="4"/>
        <v>3.9058619102981362E-2</v>
      </c>
      <c r="F48" s="547">
        <f t="shared" si="4"/>
        <v>0.15792609752534661</v>
      </c>
      <c r="G48" s="547">
        <f t="shared" si="4"/>
        <v>1.9810479300721028E-3</v>
      </c>
      <c r="H48" s="547">
        <f t="shared" si="4"/>
        <v>2.0000008772224583E-3</v>
      </c>
      <c r="I48" s="547">
        <f t="shared" si="4"/>
        <v>1.5750004860181663E-2</v>
      </c>
      <c r="J48" s="557">
        <f t="shared" si="4"/>
        <v>2.1461899308742316E-3</v>
      </c>
      <c r="K48" s="560">
        <f t="shared" si="4"/>
        <v>1.6140206129954991E-4</v>
      </c>
      <c r="L48" s="550">
        <f t="shared" si="4"/>
        <v>1.6869994549787291E-4</v>
      </c>
    </row>
    <row r="49" spans="1:12" ht="15.5" x14ac:dyDescent="0.35">
      <c r="A49" s="143" t="s">
        <v>3533</v>
      </c>
      <c r="B49" s="229">
        <v>2019</v>
      </c>
      <c r="C49" s="514" t="str">
        <f t="shared" si="1"/>
        <v>Statewide_Average_2019</v>
      </c>
      <c r="D49" s="515">
        <f t="shared" ref="D49:L49" si="5">AVERAGE(D85,D121,D157,D193,D229,D265,D301,D337,D373,D409,D445,D481,D517,D553,D589,D625,D661,D697,D733,D769,D805,D841,D877,D913,D949,D985,D1021,D1057,D1093,D1129,D1165,D1201,D1237,D1273,D1309,D1345,D1381,D1417,D1453,D1489,D1525,D1561,D1597,D1633,D1669,D1705,D1741,D1777,D1813,D1849,D1885,D1921,D1957,D1993,D2029,D2065,D2101,D2137,D2173,D2209,D2245,D2281,D2317,D2353,D2389,D2425,D2461,D2497,D2533,D2569,D2605,D2641,D2677)</f>
        <v>4.1022145366107675E-2</v>
      </c>
      <c r="E49" s="554">
        <f t="shared" si="5"/>
        <v>3.239243967374901E-2</v>
      </c>
      <c r="F49" s="547">
        <f t="shared" si="5"/>
        <v>0.13550010525452724</v>
      </c>
      <c r="G49" s="547">
        <f t="shared" si="5"/>
        <v>1.9330514181229805E-3</v>
      </c>
      <c r="H49" s="547">
        <f t="shared" si="5"/>
        <v>2.0000008772224583E-3</v>
      </c>
      <c r="I49" s="547">
        <f t="shared" si="5"/>
        <v>1.575000486018167E-2</v>
      </c>
      <c r="J49" s="557">
        <f t="shared" si="5"/>
        <v>2.0952689869859443E-3</v>
      </c>
      <c r="K49" s="560">
        <f t="shared" si="5"/>
        <v>1.4736901905935105E-4</v>
      </c>
      <c r="L49" s="550">
        <f t="shared" si="5"/>
        <v>1.5403239194977165E-4</v>
      </c>
    </row>
    <row r="50" spans="1:12" ht="15.5" x14ac:dyDescent="0.35">
      <c r="A50" s="143" t="s">
        <v>3533</v>
      </c>
      <c r="B50" s="229">
        <v>2020</v>
      </c>
      <c r="C50" s="514" t="str">
        <f t="shared" si="1"/>
        <v>Statewide_Average_2020</v>
      </c>
      <c r="D50" s="515">
        <f t="shared" ref="D50:L50" si="6">AVERAGE(D86,D122,D158,D194,D230,D266,D302,D338,D374,D410,D446,D482,D518,D554,D590,D626,D662,D698,D734,D770,D806,D842,D878,D914,D950,D986,D1022,D1058,D1094,D1130,D1166,D1202,D1238,D1274,D1310,D1346,D1382,D1418,D1454,D1490,D1526,D1562,D1598,D1634,D1670,D1706,D1742,D1778,D1814,D1850,D1886,D1922,D1958,D1994,D2030,D2066,D2102,D2138,D2174,D2210,D2246,D2282,D2318,D2354,D2390,D2426,D2462,D2498,D2534,D2570,D2606,D2642,D2678)</f>
        <v>3.9849823158819575E-2</v>
      </c>
      <c r="E50" s="554">
        <f t="shared" si="6"/>
        <v>2.7373697429893137E-2</v>
      </c>
      <c r="F50" s="547">
        <f t="shared" si="6"/>
        <v>0.11669721605989422</v>
      </c>
      <c r="G50" s="547">
        <f t="shared" si="6"/>
        <v>1.8629815495529007E-3</v>
      </c>
      <c r="H50" s="547">
        <f t="shared" si="6"/>
        <v>2.0000008772224583E-3</v>
      </c>
      <c r="I50" s="547">
        <f t="shared" si="6"/>
        <v>1.5750004860181674E-2</v>
      </c>
      <c r="J50" s="557">
        <f t="shared" si="6"/>
        <v>2.0198543854774939E-3</v>
      </c>
      <c r="K50" s="560">
        <f t="shared" si="6"/>
        <v>1.3514274949615594E-4</v>
      </c>
      <c r="L50" s="550">
        <f t="shared" si="6"/>
        <v>1.4125330461981335E-4</v>
      </c>
    </row>
    <row r="51" spans="1:12" ht="15.5" x14ac:dyDescent="0.35">
      <c r="A51" s="143" t="s">
        <v>3533</v>
      </c>
      <c r="B51" s="229">
        <v>2021</v>
      </c>
      <c r="C51" s="514" t="str">
        <f t="shared" si="1"/>
        <v>Statewide_Average_2021</v>
      </c>
      <c r="D51" s="515">
        <f t="shared" ref="D51:L51" si="7">AVERAGE(D87,D123,D159,D195,D231,D267,D303,D339,D375,D411,D447,D483,D519,D555,D591,D627,D663,D699,D735,D771,D807,D843,D879,D915,D951,D987,D1023,D1059,D1095,D1131,D1167,D1203,D1239,D1275,D1311,D1347,D1383,D1419,D1455,D1491,D1527,D1563,D1599,D1635,D1671,D1707,D1743,D1779,D1815,D1851,D1887,D1923,D1959,D1995,D2031,D2067,D2103,D2139,D2175,D2211,D2247,D2283,D2319,D2355,D2391,D2427,D2463,D2499,D2535,D2571,D2607,D2643,D2679)</f>
        <v>3.8669101586572913E-2</v>
      </c>
      <c r="E51" s="554">
        <f t="shared" si="7"/>
        <v>2.3324259253888459E-2</v>
      </c>
      <c r="F51" s="547">
        <f t="shared" si="7"/>
        <v>0.10056633937079079</v>
      </c>
      <c r="G51" s="547">
        <f t="shared" si="7"/>
        <v>1.7615203025127949E-3</v>
      </c>
      <c r="H51" s="547">
        <f t="shared" si="7"/>
        <v>2.0000008772224583E-3</v>
      </c>
      <c r="I51" s="547">
        <f t="shared" si="7"/>
        <v>1.575000486018167E-2</v>
      </c>
      <c r="J51" s="557">
        <f t="shared" si="7"/>
        <v>1.9102164900911059E-3</v>
      </c>
      <c r="K51" s="560">
        <f t="shared" si="7"/>
        <v>1.2268031943142048E-4</v>
      </c>
      <c r="L51" s="550">
        <f t="shared" si="7"/>
        <v>1.2822737906479015E-4</v>
      </c>
    </row>
    <row r="52" spans="1:12" ht="15.5" x14ac:dyDescent="0.35">
      <c r="A52" s="143" t="s">
        <v>3533</v>
      </c>
      <c r="B52" s="229">
        <v>2022</v>
      </c>
      <c r="C52" s="514" t="str">
        <f t="shared" si="1"/>
        <v>Statewide_Average_2022</v>
      </c>
      <c r="D52" s="515">
        <f t="shared" ref="D52:L52" si="8">AVERAGE(D88,D124,D160,D196,D232,D268,D304,D340,D376,D412,D448,D484,D520,D556,D592,D628,D664,D700,D736,D772,D808,D844,D880,D916,D952,D988,D1024,D1060,D1096,D1132,D1168,D1204,D1240,D1276,D1312,D1348,D1384,D1420,D1456,D1492,D1528,D1564,D1600,D1636,D1672,D1708,D1744,D1780,D1816,D1852,D1888,D1924,D1960,D1996,D2032,D2068,D2104,D2140,D2176,D2212,D2248,D2284,D2320,D2356,D2392,D2428,D2464,D2500,D2536,D2572,D2608,D2644,D2680)</f>
        <v>3.74912485651753E-2</v>
      </c>
      <c r="E52" s="554">
        <f t="shared" si="8"/>
        <v>1.9362380630973949E-2</v>
      </c>
      <c r="F52" s="547">
        <f t="shared" si="8"/>
        <v>8.6434765086995269E-2</v>
      </c>
      <c r="G52" s="547">
        <f t="shared" si="8"/>
        <v>1.6614590387282881E-3</v>
      </c>
      <c r="H52" s="547">
        <f t="shared" si="8"/>
        <v>2.0000008772224583E-3</v>
      </c>
      <c r="I52" s="547">
        <f t="shared" si="8"/>
        <v>1.5750004860181663E-2</v>
      </c>
      <c r="J52" s="557">
        <f t="shared" si="8"/>
        <v>1.8021510668024402E-3</v>
      </c>
      <c r="K52" s="560">
        <f t="shared" si="8"/>
        <v>1.1145948320843865E-4</v>
      </c>
      <c r="L52" s="550">
        <f t="shared" si="8"/>
        <v>1.1649918676141479E-4</v>
      </c>
    </row>
    <row r="53" spans="1:12" ht="15.5" x14ac:dyDescent="0.35">
      <c r="A53" s="143" t="s">
        <v>3533</v>
      </c>
      <c r="B53" s="229">
        <v>2023</v>
      </c>
      <c r="C53" s="514" t="str">
        <f t="shared" si="1"/>
        <v>Statewide_Average_2023</v>
      </c>
      <c r="D53" s="515">
        <f t="shared" ref="D53:L53" si="9">AVERAGE(D89,D125,D161,D197,D233,D269,D305,D341,D377,D413,D449,D485,D521,D557,D593,D629,D665,D701,D737,D773,D809,D845,D881,D917,D953,D989,D1025,D1061,D1097,D1133,D1169,D1205,D1241,D1277,D1313,D1349,D1385,D1421,D1457,D1493,D1529,D1565,D1601,D1637,D1673,D1709,D1745,D1781,D1817,D1853,D1889,D1925,D1961,D1997,D2033,D2069,D2105,D2141,D2177,D2213,D2249,D2285,D2321,D2357,D2393,D2429,D2465,D2501,D2537,D2573,D2609,D2645,D2681)</f>
        <v>3.632370022503232E-2</v>
      </c>
      <c r="E53" s="554">
        <f t="shared" si="9"/>
        <v>1.6682476253641804E-2</v>
      </c>
      <c r="F53" s="547">
        <f t="shared" si="9"/>
        <v>7.51570885400661E-2</v>
      </c>
      <c r="G53" s="547">
        <f t="shared" si="9"/>
        <v>1.5719624818332652E-3</v>
      </c>
      <c r="H53" s="547">
        <f t="shared" si="9"/>
        <v>2.0000008772224583E-3</v>
      </c>
      <c r="I53" s="547">
        <f t="shared" si="9"/>
        <v>1.575000486018166E-2</v>
      </c>
      <c r="J53" s="557">
        <f t="shared" si="9"/>
        <v>1.7053323797779703E-3</v>
      </c>
      <c r="K53" s="560">
        <f t="shared" si="9"/>
        <v>1.0044006300692712E-4</v>
      </c>
      <c r="L53" s="550">
        <f t="shared" si="9"/>
        <v>1.0498151669746291E-4</v>
      </c>
    </row>
    <row r="54" spans="1:12" ht="15.5" x14ac:dyDescent="0.35">
      <c r="A54" s="143" t="s">
        <v>3533</v>
      </c>
      <c r="B54" s="229">
        <v>2024</v>
      </c>
      <c r="C54" s="514" t="str">
        <f t="shared" si="1"/>
        <v>Statewide_Average_2024</v>
      </c>
      <c r="D54" s="515">
        <f t="shared" ref="D54:L54" si="10">AVERAGE(D90,D126,D162,D198,D234,D270,D306,D342,D378,D414,D450,D486,D522,D558,D594,D630,D666,D702,D738,D774,D810,D846,D882,D918,D954,D990,D1026,D1062,D1098,D1134,D1170,D1206,D1242,D1278,D1314,D1350,D1386,D1422,D1458,D1494,D1530,D1566,D1602,D1638,D1674,D1710,D1746,D1782,D1818,D1854,D1890,D1926,D1962,D1998,D2034,D2070,D2106,D2142,D2178,D2214,D2250,D2286,D2322,D2358,D2394,D2430,D2466,D2502,D2538,D2574,D2610,D2646,D2682)</f>
        <v>3.5189542673265545E-2</v>
      </c>
      <c r="E54" s="554">
        <f t="shared" si="10"/>
        <v>1.4425738479533139E-2</v>
      </c>
      <c r="F54" s="547">
        <f t="shared" si="10"/>
        <v>6.5685376205061E-2</v>
      </c>
      <c r="G54" s="547">
        <f t="shared" si="10"/>
        <v>1.4935550932883444E-3</v>
      </c>
      <c r="H54" s="547">
        <f t="shared" si="10"/>
        <v>2.0000008772224583E-3</v>
      </c>
      <c r="I54" s="547">
        <f t="shared" si="10"/>
        <v>1.5750004860181657E-2</v>
      </c>
      <c r="J54" s="557">
        <f t="shared" si="10"/>
        <v>1.6206078445366381E-3</v>
      </c>
      <c r="K54" s="560">
        <f t="shared" si="10"/>
        <v>8.8563772928206951E-5</v>
      </c>
      <c r="L54" s="550">
        <f t="shared" si="10"/>
        <v>9.2568233584192311E-5</v>
      </c>
    </row>
    <row r="55" spans="1:12" ht="15.5" x14ac:dyDescent="0.35">
      <c r="A55" s="143" t="s">
        <v>3533</v>
      </c>
      <c r="B55" s="229">
        <v>2025</v>
      </c>
      <c r="C55" s="514" t="str">
        <f t="shared" si="1"/>
        <v>Statewide_Average_2025</v>
      </c>
      <c r="D55" s="515">
        <f t="shared" ref="D55:L55" si="11">AVERAGE(D91,D127,D163,D199,D235,D271,D307,D343,D379,D415,D451,D487,D523,D559,D595,D631,D667,D703,D739,D775,D811,D847,D883,D919,D955,D991,D1027,D1063,D1099,D1135,D1171,D1207,D1243,D1279,D1315,D1351,D1387,D1423,D1459,D1495,D1531,D1567,D1603,D1639,D1675,D1711,D1747,D1783,D1819,D1855,D1891,D1927,D1963,D1999,D2035,D2071,D2107,D2143,D2179,D2215,D2251,D2287,D2323,D2359,D2395,D2431,D2467,D2503,D2539,D2575,D2611,D2647,D2683)</f>
        <v>3.405561608729623E-2</v>
      </c>
      <c r="E55" s="554">
        <f t="shared" si="11"/>
        <v>1.2609321239510548E-2</v>
      </c>
      <c r="F55" s="547">
        <f t="shared" si="11"/>
        <v>5.8105463205325031E-2</v>
      </c>
      <c r="G55" s="547">
        <f t="shared" si="11"/>
        <v>1.427413198028216E-3</v>
      </c>
      <c r="H55" s="547">
        <f t="shared" si="11"/>
        <v>2.0000008772224583E-3</v>
      </c>
      <c r="I55" s="547">
        <f t="shared" si="11"/>
        <v>1.5750004860181663E-2</v>
      </c>
      <c r="J55" s="557">
        <f t="shared" si="11"/>
        <v>1.5490627832475479E-3</v>
      </c>
      <c r="K55" s="560">
        <f t="shared" si="11"/>
        <v>7.9699206656998613E-5</v>
      </c>
      <c r="L55" s="550">
        <f t="shared" si="11"/>
        <v>8.3302850900876353E-5</v>
      </c>
    </row>
    <row r="56" spans="1:12" ht="15.5" x14ac:dyDescent="0.35">
      <c r="A56" s="143" t="s">
        <v>3533</v>
      </c>
      <c r="B56" s="229">
        <v>2026</v>
      </c>
      <c r="C56" s="514" t="str">
        <f t="shared" si="1"/>
        <v>Statewide_Average_2026</v>
      </c>
      <c r="D56" s="515">
        <f t="shared" ref="D56:L56" si="12">AVERAGE(D92,D128,D164,D200,D236,D272,D308,D344,D380,D416,D452,D488,D524,D560,D596,D632,D668,D704,D740,D776,D812,D848,D884,D920,D956,D992,D1028,D1064,D1100,D1136,D1172,D1208,D1244,D1280,D1316,D1352,D1388,D1424,D1460,D1496,D1532,D1568,D1604,D1640,D1676,D1712,D1748,D1784,D1820,D1856,D1892,D1928,D1964,D2000,D2036,D2072,D2108,D2144,D2180,D2216,D2252,D2288,D2324,D2360,D2396,D2432,D2468,D2504,D2540,D2576,D2612,D2648,D2684)</f>
        <v>3.3027345169757666E-2</v>
      </c>
      <c r="E56" s="554">
        <f t="shared" si="12"/>
        <v>1.1121064121322822E-2</v>
      </c>
      <c r="F56" s="547">
        <f t="shared" si="12"/>
        <v>5.1954149611515489E-2</v>
      </c>
      <c r="G56" s="547">
        <f t="shared" si="12"/>
        <v>1.3620651071139243E-3</v>
      </c>
      <c r="H56" s="547">
        <f t="shared" si="12"/>
        <v>2.0000008772224583E-3</v>
      </c>
      <c r="I56" s="547">
        <f t="shared" si="12"/>
        <v>1.575000486018167E-2</v>
      </c>
      <c r="J56" s="557">
        <f t="shared" si="12"/>
        <v>1.4783766990666299E-3</v>
      </c>
      <c r="K56" s="560">
        <f t="shared" si="12"/>
        <v>7.0622689408286768E-5</v>
      </c>
      <c r="L56" s="550">
        <f t="shared" si="12"/>
        <v>7.3815933911708801E-5</v>
      </c>
    </row>
    <row r="57" spans="1:12" ht="15.5" x14ac:dyDescent="0.35">
      <c r="A57" s="143" t="s">
        <v>3533</v>
      </c>
      <c r="B57" s="229">
        <v>2027</v>
      </c>
      <c r="C57" s="514" t="str">
        <f t="shared" si="1"/>
        <v>Statewide_Average_2027</v>
      </c>
      <c r="D57" s="515">
        <f t="shared" ref="D57:L57" si="13">AVERAGE(D93,D129,D165,D201,D237,D273,D309,D345,D381,D417,D453,D489,D525,D561,D597,D633,D669,D705,D741,D777,D813,D849,D885,D921,D957,D993,D1029,D1065,D1101,D1137,D1173,D1209,D1245,D1281,D1317,D1353,D1389,D1425,D1461,D1497,D1533,D1569,D1605,D1641,D1677,D1713,D1749,D1785,D1821,D1857,D1893,D1929,D1965,D2001,D2037,D2073,D2109,D2145,D2181,D2217,D2253,D2289,D2325,D2361,D2397,D2433,D2469,D2505,D2541,D2577,D2613,D2649,D2685)</f>
        <v>3.207788576561435E-2</v>
      </c>
      <c r="E57" s="554">
        <f t="shared" si="13"/>
        <v>9.8464407800614804E-3</v>
      </c>
      <c r="F57" s="547">
        <f t="shared" si="13"/>
        <v>4.674764709507126E-2</v>
      </c>
      <c r="G57" s="547">
        <f t="shared" si="13"/>
        <v>1.2861872013525905E-3</v>
      </c>
      <c r="H57" s="547">
        <f t="shared" si="13"/>
        <v>2.0000008772224583E-3</v>
      </c>
      <c r="I57" s="547">
        <f t="shared" si="13"/>
        <v>1.5750004860181657E-2</v>
      </c>
      <c r="J57" s="557">
        <f t="shared" si="13"/>
        <v>1.3963369115578756E-3</v>
      </c>
      <c r="K57" s="560">
        <f t="shared" si="13"/>
        <v>5.9208991442776997E-5</v>
      </c>
      <c r="L57" s="550">
        <f t="shared" si="13"/>
        <v>6.1886160145343896E-5</v>
      </c>
    </row>
    <row r="58" spans="1:12" ht="15.5" x14ac:dyDescent="0.35">
      <c r="A58" s="143" t="s">
        <v>3533</v>
      </c>
      <c r="B58" s="229">
        <v>2028</v>
      </c>
      <c r="C58" s="514" t="str">
        <f t="shared" si="1"/>
        <v>Statewide_Average_2028</v>
      </c>
      <c r="D58" s="515">
        <f t="shared" ref="D58:L58" si="14">AVERAGE(D94,D130,D166,D202,D238,D274,D310,D346,D382,D418,D454,D490,D526,D562,D598,D634,D670,D706,D742,D778,D814,D850,D886,D922,D958,D994,D1030,D1066,D1102,D1138,D1174,D1210,D1246,D1282,D1318,D1354,D1390,D1426,D1462,D1498,D1534,D1570,D1606,D1642,D1678,D1714,D1750,D1786,D1822,D1858,D1894,D1930,D1966,D2002,D2038,D2074,D2110,D2146,D2182,D2218,D2254,D2290,D2326,D2362,D2398,D2434,D2470,D2506,D2542,D2578,D2614,D2650,D2686)</f>
        <v>3.1219579487292742E-2</v>
      </c>
      <c r="E58" s="554">
        <f t="shared" si="14"/>
        <v>8.7766202014245651E-3</v>
      </c>
      <c r="F58" s="547">
        <f t="shared" si="14"/>
        <v>4.240179644505556E-2</v>
      </c>
      <c r="G58" s="547">
        <f t="shared" si="14"/>
        <v>1.2061860059447618E-3</v>
      </c>
      <c r="H58" s="547">
        <f t="shared" si="14"/>
        <v>2.0000008772224583E-3</v>
      </c>
      <c r="I58" s="547">
        <f t="shared" si="14"/>
        <v>1.5750004860181657E-2</v>
      </c>
      <c r="J58" s="557">
        <f t="shared" si="14"/>
        <v>1.3096991724654153E-3</v>
      </c>
      <c r="K58" s="560">
        <f t="shared" si="14"/>
        <v>5.045754911657996E-5</v>
      </c>
      <c r="L58" s="550">
        <f t="shared" si="14"/>
        <v>5.2739015389181775E-5</v>
      </c>
    </row>
    <row r="59" spans="1:12" ht="15.5" x14ac:dyDescent="0.35">
      <c r="A59" s="143" t="s">
        <v>3533</v>
      </c>
      <c r="B59" s="229">
        <v>2029</v>
      </c>
      <c r="C59" s="514" t="str">
        <f t="shared" si="1"/>
        <v>Statewide_Average_2029</v>
      </c>
      <c r="D59" s="515">
        <f t="shared" ref="D59:L59" si="15">AVERAGE(D95,D131,D167,D203,D239,D275,D311,D347,D383,D419,D455,D491,D527,D563,D599,D635,D671,D707,D743,D779,D815,D851,D887,D923,D959,D995,D1031,D1067,D1103,D1139,D1175,D1211,D1247,D1283,D1319,D1355,D1391,D1427,D1463,D1499,D1535,D1571,D1607,D1643,D1679,D1715,D1751,D1787,D1823,D1859,D1895,D1931,D1967,D2003,D2039,D2075,D2111,D2147,D2183,D2219,D2255,D2291,D2327,D2363,D2399,D2435,D2471,D2507,D2543,D2579,D2615,D2651,D2687)</f>
        <v>3.044555765332798E-2</v>
      </c>
      <c r="E59" s="554">
        <f t="shared" si="15"/>
        <v>7.8278430182483309E-3</v>
      </c>
      <c r="F59" s="547">
        <f t="shared" si="15"/>
        <v>3.8640768107161161E-2</v>
      </c>
      <c r="G59" s="547">
        <f t="shared" si="15"/>
        <v>1.1303305815755867E-3</v>
      </c>
      <c r="H59" s="547">
        <f t="shared" si="15"/>
        <v>2.0000008772224583E-3</v>
      </c>
      <c r="I59" s="547">
        <f t="shared" si="15"/>
        <v>1.5750004860181657E-2</v>
      </c>
      <c r="J59" s="557">
        <f t="shared" si="15"/>
        <v>1.2274652056434539E-3</v>
      </c>
      <c r="K59" s="560">
        <f t="shared" si="15"/>
        <v>4.4187263402666305E-5</v>
      </c>
      <c r="L59" s="550">
        <f t="shared" si="15"/>
        <v>4.618521548528848E-5</v>
      </c>
    </row>
    <row r="60" spans="1:12" ht="15.5" x14ac:dyDescent="0.35">
      <c r="A60" s="143" t="s">
        <v>3533</v>
      </c>
      <c r="B60" s="229">
        <v>2030</v>
      </c>
      <c r="C60" s="514" t="str">
        <f t="shared" si="1"/>
        <v>Statewide_Average_2030</v>
      </c>
      <c r="D60" s="515">
        <f t="shared" ref="D60:L60" si="16">AVERAGE(D96,D132,D168,D204,D240,D276,D312,D348,D384,D420,D456,D492,D528,D564,D600,D636,D672,D708,D744,D780,D816,D852,D888,D924,D960,D996,D1032,D1068,D1104,D1140,D1176,D1212,D1248,D1284,D1320,D1356,D1392,D1428,D1464,D1500,D1536,D1572,D1608,D1644,D1680,D1716,D1752,D1788,D1824,D1860,D1896,D1932,D1968,D2004,D2040,D2076,D2112,D2148,D2184,D2220,D2256,D2292,D2328,D2364,D2400,D2436,D2472,D2508,D2544,D2580,D2616,D2652,D2688)</f>
        <v>2.9751880065483214E-2</v>
      </c>
      <c r="E60" s="554">
        <f t="shared" si="16"/>
        <v>7.0365852595361458E-3</v>
      </c>
      <c r="F60" s="547">
        <f t="shared" si="16"/>
        <v>3.5498010865532115E-2</v>
      </c>
      <c r="G60" s="547">
        <f t="shared" si="16"/>
        <v>1.058866566153131E-3</v>
      </c>
      <c r="H60" s="547">
        <f t="shared" si="16"/>
        <v>2.0000008772224583E-3</v>
      </c>
      <c r="I60" s="547">
        <f t="shared" si="16"/>
        <v>1.5750004860181663E-2</v>
      </c>
      <c r="J60" s="557">
        <f t="shared" si="16"/>
        <v>1.1499685560901643E-3</v>
      </c>
      <c r="K60" s="560">
        <f t="shared" si="16"/>
        <v>3.8829963716543217E-5</v>
      </c>
      <c r="L60" s="550">
        <f t="shared" si="16"/>
        <v>4.058568218424285E-5</v>
      </c>
    </row>
    <row r="61" spans="1:12" ht="15.5" x14ac:dyDescent="0.35">
      <c r="A61" s="143" t="s">
        <v>3533</v>
      </c>
      <c r="B61" s="229">
        <v>2031</v>
      </c>
      <c r="C61" s="514" t="str">
        <f t="shared" si="1"/>
        <v>Statewide_Average_2031</v>
      </c>
      <c r="D61" s="515">
        <f t="shared" ref="D61:L61" si="17">AVERAGE(D97,D133,D169,D205,D241,D277,D313,D349,D385,D421,D457,D493,D529,D565,D601,D637,D673,D709,D745,D781,D817,D853,D889,D925,D961,D997,D1033,D1069,D1105,D1141,D1177,D1213,D1249,D1285,D1321,D1357,D1393,D1429,D1465,D1501,D1537,D1573,D1609,D1645,D1681,D1717,D1753,D1789,D1825,D1861,D1897,D1933,D1969,D2005,D2041,D2077,D2113,D2149,D2185,D2221,D2257,D2293,D2329,D2365,D2401,D2437,D2473,D2509,D2545,D2581,D2617,D2653,D2689)</f>
        <v>2.9138622234625485E-2</v>
      </c>
      <c r="E61" s="554">
        <f t="shared" si="17"/>
        <v>6.3410274255014621E-3</v>
      </c>
      <c r="F61" s="547">
        <f t="shared" si="17"/>
        <v>3.2756305668964147E-2</v>
      </c>
      <c r="G61" s="547">
        <f t="shared" si="17"/>
        <v>9.9387227433919722E-4</v>
      </c>
      <c r="H61" s="547">
        <f t="shared" si="17"/>
        <v>2.0000008772224583E-3</v>
      </c>
      <c r="I61" s="547">
        <f t="shared" si="17"/>
        <v>1.5750004860181657E-2</v>
      </c>
      <c r="J61" s="557">
        <f t="shared" si="17"/>
        <v>1.0794158692331818E-3</v>
      </c>
      <c r="K61" s="560">
        <f t="shared" si="17"/>
        <v>3.5654615592848751E-5</v>
      </c>
      <c r="L61" s="550">
        <f t="shared" si="17"/>
        <v>3.7266759424769027E-5</v>
      </c>
    </row>
    <row r="62" spans="1:12" ht="15.5" x14ac:dyDescent="0.35">
      <c r="A62" s="143" t="s">
        <v>3533</v>
      </c>
      <c r="B62" s="229">
        <v>2032</v>
      </c>
      <c r="C62" s="514" t="str">
        <f t="shared" si="1"/>
        <v>Statewide_Average_2032</v>
      </c>
      <c r="D62" s="515">
        <f t="shared" ref="D62:L62" si="18">AVERAGE(D98,D134,D170,D206,D242,D278,D314,D350,D386,D422,D458,D494,D530,D566,D602,D638,D674,D710,D746,D782,D818,D854,D890,D926,D962,D998,D1034,D1070,D1106,D1142,D1178,D1214,D1250,D1286,D1322,D1358,D1394,D1430,D1466,D1502,D1538,D1574,D1610,D1646,D1682,D1718,D1754,D1790,D1826,D1862,D1898,D1934,D1970,D2006,D2042,D2078,D2114,D2150,D2186,D2222,D2258,D2294,D2330,D2366,D2402,D2438,D2474,D2510,D2546,D2582,D2618,D2654,D2690)</f>
        <v>2.8589242490960391E-2</v>
      </c>
      <c r="E62" s="554">
        <f t="shared" si="18"/>
        <v>5.737734590193307E-3</v>
      </c>
      <c r="F62" s="547">
        <f t="shared" si="18"/>
        <v>3.0484618303496771E-2</v>
      </c>
      <c r="G62" s="547">
        <f t="shared" si="18"/>
        <v>9.3247550853515289E-4</v>
      </c>
      <c r="H62" s="547">
        <f t="shared" si="18"/>
        <v>2.0000008772224583E-3</v>
      </c>
      <c r="I62" s="547">
        <f t="shared" si="18"/>
        <v>1.5750004860181653E-2</v>
      </c>
      <c r="J62" s="557">
        <f t="shared" si="18"/>
        <v>1.0127692245978643E-3</v>
      </c>
      <c r="K62" s="560">
        <f t="shared" si="18"/>
        <v>3.2635426543256623E-5</v>
      </c>
      <c r="L62" s="550">
        <f t="shared" si="18"/>
        <v>3.4111055525621121E-5</v>
      </c>
    </row>
    <row r="63" spans="1:12" ht="15.5" x14ac:dyDescent="0.35">
      <c r="A63" s="143" t="s">
        <v>3533</v>
      </c>
      <c r="B63" s="229">
        <v>2033</v>
      </c>
      <c r="C63" s="514" t="str">
        <f t="shared" si="1"/>
        <v>Statewide_Average_2033</v>
      </c>
      <c r="D63" s="515">
        <f t="shared" ref="D63:L63" si="19">AVERAGE(D99,D135,D171,D207,D243,D279,D315,D351,D387,D423,D459,D495,D531,D567,D603,D639,D675,D711,D747,D783,D819,D855,D891,D927,D963,D999,D1035,D1071,D1107,D1143,D1179,D1215,D1251,D1287,D1323,D1359,D1395,D1431,D1467,D1503,D1539,D1575,D1611,D1647,D1683,D1719,D1755,D1791,D1827,D1863,D1899,D1935,D1971,D2007,D2043,D2079,D2115,D2151,D2187,D2223,D2259,D2295,D2331,D2367,D2403,D2439,D2475,D2511,D2547,D2583,D2619,D2655,D2691)</f>
        <v>2.8103755680824349E-2</v>
      </c>
      <c r="E63" s="554">
        <f t="shared" si="19"/>
        <v>5.2103514789608868E-3</v>
      </c>
      <c r="F63" s="547">
        <f t="shared" si="19"/>
        <v>2.8565822645346035E-2</v>
      </c>
      <c r="G63" s="547">
        <f t="shared" si="19"/>
        <v>8.7605106305543878E-4</v>
      </c>
      <c r="H63" s="547">
        <f t="shared" si="19"/>
        <v>2.0000008772224583E-3</v>
      </c>
      <c r="I63" s="547">
        <f t="shared" si="19"/>
        <v>1.5750004860181667E-2</v>
      </c>
      <c r="J63" s="557">
        <f t="shared" si="19"/>
        <v>9.5149230119119098E-4</v>
      </c>
      <c r="K63" s="560">
        <f t="shared" si="19"/>
        <v>3.0517703737335678E-5</v>
      </c>
      <c r="L63" s="550">
        <f t="shared" si="19"/>
        <v>3.1897579029536114E-5</v>
      </c>
    </row>
    <row r="64" spans="1:12" ht="15.5" x14ac:dyDescent="0.35">
      <c r="A64" s="143" t="s">
        <v>3533</v>
      </c>
      <c r="B64" s="229">
        <v>2034</v>
      </c>
      <c r="C64" s="514" t="str">
        <f t="shared" si="1"/>
        <v>Statewide_Average_2034</v>
      </c>
      <c r="D64" s="515">
        <f t="shared" ref="D64:L64" si="20">AVERAGE(D100,D136,D172,D208,D244,D280,D316,D352,D388,D424,D460,D496,D532,D568,D604,D640,D676,D712,D748,D784,D820,D856,D892,D928,D964,D1000,D1036,D1072,D1108,D1144,D1180,D1216,D1252,D1288,D1324,D1360,D1396,D1432,D1468,D1504,D1540,D1576,D1612,D1648,D1684,D1720,D1756,D1792,D1828,D1864,D1900,D1936,D1972,D2008,D2044,D2080,D2116,D2152,D2188,D2224,D2260,D2296,D2332,D2368,D2404,D2440,D2476,D2512,D2548,D2584,D2620,D2656,D2692)</f>
        <v>2.7676059195467357E-2</v>
      </c>
      <c r="E64" s="554">
        <f t="shared" si="20"/>
        <v>4.7352322654400829E-3</v>
      </c>
      <c r="F64" s="547">
        <f t="shared" si="20"/>
        <v>2.6906610669613307E-2</v>
      </c>
      <c r="G64" s="547">
        <f t="shared" si="20"/>
        <v>8.2353099468208382E-4</v>
      </c>
      <c r="H64" s="547">
        <f t="shared" si="20"/>
        <v>2.0000008772224583E-3</v>
      </c>
      <c r="I64" s="547">
        <f t="shared" si="20"/>
        <v>1.5750004860181663E-2</v>
      </c>
      <c r="J64" s="557">
        <f t="shared" si="20"/>
        <v>8.944544520745998E-4</v>
      </c>
      <c r="K64" s="560">
        <f t="shared" si="20"/>
        <v>2.8567880963388772E-5</v>
      </c>
      <c r="L64" s="550">
        <f t="shared" si="20"/>
        <v>2.9859593478990639E-5</v>
      </c>
    </row>
    <row r="65" spans="1:12" ht="15.5" x14ac:dyDescent="0.35">
      <c r="A65" s="143" t="s">
        <v>3533</v>
      </c>
      <c r="B65" s="229">
        <v>2035</v>
      </c>
      <c r="C65" s="514" t="str">
        <f t="shared" si="1"/>
        <v>Statewide_Average_2035</v>
      </c>
      <c r="D65" s="515">
        <f t="shared" ref="D65:L65" si="21">AVERAGE(D101,D137,D173,D209,D245,D281,D317,D353,D389,D425,D461,D497,D533,D569,D605,D641,D677,D713,D749,D785,D821,D857,D893,D929,D965,D1001,D1037,D1073,D1109,D1145,D1181,D1217,D1253,D1289,D1325,D1361,D1397,D1433,D1469,D1505,D1541,D1577,D1613,D1649,D1685,D1721,D1757,D1793,D1829,D1865,D1901,D1937,D1973,D2009,D2045,D2081,D2117,D2153,D2189,D2225,D2261,D2297,D2333,D2369,D2405,D2441,D2477,D2513,D2549,D2585,D2621,D2657,D2693)</f>
        <v>2.7302232666551365E-2</v>
      </c>
      <c r="E65" s="554">
        <f t="shared" si="21"/>
        <v>4.3143090441437968E-3</v>
      </c>
      <c r="F65" s="547">
        <f t="shared" si="21"/>
        <v>2.5506831684636213E-2</v>
      </c>
      <c r="G65" s="547">
        <f t="shared" si="21"/>
        <v>7.751712377511011E-4</v>
      </c>
      <c r="H65" s="547">
        <f t="shared" si="21"/>
        <v>2.0000008772224583E-3</v>
      </c>
      <c r="I65" s="547">
        <f t="shared" si="21"/>
        <v>1.5750004860181657E-2</v>
      </c>
      <c r="J65" s="557">
        <f t="shared" si="21"/>
        <v>8.4193382606650752E-4</v>
      </c>
      <c r="K65" s="560">
        <f t="shared" si="21"/>
        <v>2.6799434908827764E-5</v>
      </c>
      <c r="L65" s="550">
        <f t="shared" si="21"/>
        <v>2.8011185851981384E-5</v>
      </c>
    </row>
    <row r="66" spans="1:12" ht="15.5" x14ac:dyDescent="0.35">
      <c r="A66" s="143" t="s">
        <v>3533</v>
      </c>
      <c r="B66" s="229">
        <v>2036</v>
      </c>
      <c r="C66" s="514" t="str">
        <f t="shared" si="1"/>
        <v>Statewide_Average_2036</v>
      </c>
      <c r="D66" s="515">
        <f t="shared" ref="D66:L66" si="22">AVERAGE(D102,D138,D174,D210,D246,D282,D318,D354,D390,D426,D462,D498,D534,D570,D606,D642,D678,D714,D750,D786,D822,D858,D894,D930,D966,D1002,D1038,D1074,D1110,D1146,D1182,D1218,D1254,D1290,D1326,D1362,D1398,D1434,D1470,D1506,D1542,D1578,D1614,D1650,D1686,D1722,D1758,D1794,D1830,D1866,D1902,D1938,D1974,D2010,D2046,D2082,D2118,D2154,D2190,D2226,D2262,D2298,D2334,D2370,D2406,D2442,D2478,D2514,D2550,D2586,D2622,D2658,D2694)</f>
        <v>2.6984081812605688E-2</v>
      </c>
      <c r="E66" s="554">
        <f t="shared" si="22"/>
        <v>3.9530613127305774E-3</v>
      </c>
      <c r="F66" s="547">
        <f t="shared" si="22"/>
        <v>2.4331745396444417E-2</v>
      </c>
      <c r="G66" s="547">
        <f t="shared" si="22"/>
        <v>7.3449382730287314E-4</v>
      </c>
      <c r="H66" s="547">
        <f t="shared" si="22"/>
        <v>2.0000008772224583E-3</v>
      </c>
      <c r="I66" s="547">
        <f t="shared" si="22"/>
        <v>1.5750004860181657E-2</v>
      </c>
      <c r="J66" s="557">
        <f t="shared" si="22"/>
        <v>7.977610799926744E-4</v>
      </c>
      <c r="K66" s="560">
        <f t="shared" si="22"/>
        <v>2.520288533960025E-5</v>
      </c>
      <c r="L66" s="550">
        <f t="shared" si="22"/>
        <v>2.6342448252100764E-5</v>
      </c>
    </row>
    <row r="67" spans="1:12" ht="15.5" x14ac:dyDescent="0.35">
      <c r="A67" s="143" t="s">
        <v>3533</v>
      </c>
      <c r="B67" s="229">
        <v>2037</v>
      </c>
      <c r="C67" s="514" t="str">
        <f t="shared" si="1"/>
        <v>Statewide_Average_2037</v>
      </c>
      <c r="D67" s="515">
        <f t="shared" ref="D67:L67" si="23">AVERAGE(D103,D139,D175,D211,D247,D283,D319,D355,D391,D427,D463,D499,D535,D571,D607,D643,D679,D715,D751,D787,D823,D859,D895,D931,D967,D1003,D1039,D1075,D1111,D1147,D1183,D1219,D1255,D1291,D1327,D1363,D1399,D1435,D1471,D1507,D1543,D1579,D1615,D1651,D1687,D1723,D1759,D1795,D1831,D1867,D1903,D1939,D1975,D2011,D2047,D2083,D2119,D2155,D2191,D2227,D2263,D2299,D2335,D2371,D2407,D2443,D2479,D2515,D2551,D2587,D2623,D2659,D2695)</f>
        <v>2.6704546515643718E-2</v>
      </c>
      <c r="E67" s="554">
        <f t="shared" si="23"/>
        <v>3.6354599359226386E-3</v>
      </c>
      <c r="F67" s="547">
        <f t="shared" si="23"/>
        <v>2.3341895296219984E-2</v>
      </c>
      <c r="G67" s="547">
        <f t="shared" si="23"/>
        <v>6.9713448046284971E-4</v>
      </c>
      <c r="H67" s="547">
        <f t="shared" si="23"/>
        <v>2.0000008772224583E-3</v>
      </c>
      <c r="I67" s="547">
        <f t="shared" si="23"/>
        <v>1.5750004860181663E-2</v>
      </c>
      <c r="J67" s="557">
        <f t="shared" si="23"/>
        <v>7.5718873466042646E-4</v>
      </c>
      <c r="K67" s="560">
        <f t="shared" si="23"/>
        <v>2.3800609651243672E-5</v>
      </c>
      <c r="L67" s="550">
        <f t="shared" si="23"/>
        <v>2.4876767801037691E-5</v>
      </c>
    </row>
    <row r="68" spans="1:12" ht="15.5" x14ac:dyDescent="0.35">
      <c r="A68" s="143" t="s">
        <v>3533</v>
      </c>
      <c r="B68" s="229">
        <v>2038</v>
      </c>
      <c r="C68" s="514" t="str">
        <f t="shared" si="1"/>
        <v>Statewide_Average_2038</v>
      </c>
      <c r="D68" s="515">
        <f t="shared" ref="D68:L68" si="24">AVERAGE(D104,D140,D176,D212,D248,D284,D320,D356,D392,D428,D464,D500,D536,D572,D608,D644,D680,D716,D752,D788,D824,D860,D896,D932,D968,D1004,D1040,D1076,D1112,D1148,D1184,D1220,D1256,D1292,D1328,D1364,D1400,D1436,D1472,D1508,D1544,D1580,D1616,D1652,D1688,D1724,D1760,D1796,D1832,D1868,D1904,D1940,D1976,D2012,D2048,D2084,D2120,D2156,D2192,D2228,D2264,D2300,D2336,D2372,D2408,D2444,D2480,D2516,D2552,D2588,D2624,D2660,D2696)</f>
        <v>2.646589690124266E-2</v>
      </c>
      <c r="E68" s="554">
        <f t="shared" si="24"/>
        <v>3.3461623797080967E-3</v>
      </c>
      <c r="F68" s="547">
        <f t="shared" si="24"/>
        <v>2.2439116814331236E-2</v>
      </c>
      <c r="G68" s="547">
        <f t="shared" si="24"/>
        <v>6.6381643315836455E-4</v>
      </c>
      <c r="H68" s="547">
        <f t="shared" si="24"/>
        <v>2.0000008772224583E-3</v>
      </c>
      <c r="I68" s="547">
        <f t="shared" si="24"/>
        <v>1.5750004860181663E-2</v>
      </c>
      <c r="J68" s="557">
        <f t="shared" si="24"/>
        <v>7.2099881006522566E-4</v>
      </c>
      <c r="K68" s="560">
        <f t="shared" si="24"/>
        <v>2.2705027539210604E-5</v>
      </c>
      <c r="L68" s="550">
        <f t="shared" si="24"/>
        <v>2.3731647552677496E-5</v>
      </c>
    </row>
    <row r="69" spans="1:12" ht="15.5" x14ac:dyDescent="0.35">
      <c r="A69" s="143" t="s">
        <v>3533</v>
      </c>
      <c r="B69" s="229">
        <v>2039</v>
      </c>
      <c r="C69" s="514" t="str">
        <f t="shared" si="1"/>
        <v>Statewide_Average_2039</v>
      </c>
      <c r="D69" s="515">
        <f t="shared" ref="D69:L69" si="25">AVERAGE(D105,D141,D177,D213,D249,D285,D321,D357,D393,D429,D465,D501,D537,D573,D609,D645,D681,D717,D753,D789,D825,D861,D897,D933,D969,D1005,D1041,D1077,D1113,D1149,D1185,D1221,D1257,D1293,D1329,D1365,D1401,D1437,D1473,D1509,D1545,D1581,D1617,D1653,D1689,D1725,D1761,D1797,D1833,D1869,D1905,D1941,D1977,D2013,D2049,D2085,D2121,D2157,D2193,D2229,D2265,D2301,D2337,D2373,D2409,D2445,D2481,D2517,D2553,D2589,D2625,D2661,D2697)</f>
        <v>2.6262173502621163E-2</v>
      </c>
      <c r="E69" s="554">
        <f t="shared" si="25"/>
        <v>3.0742342036687363E-3</v>
      </c>
      <c r="F69" s="547">
        <f t="shared" si="25"/>
        <v>2.1596174432811165E-2</v>
      </c>
      <c r="G69" s="547">
        <f t="shared" si="25"/>
        <v>6.3413481963987004E-4</v>
      </c>
      <c r="H69" s="547">
        <f t="shared" si="25"/>
        <v>2.0000008772224583E-3</v>
      </c>
      <c r="I69" s="547">
        <f t="shared" si="25"/>
        <v>1.5750004860181663E-2</v>
      </c>
      <c r="J69" s="557">
        <f t="shared" si="25"/>
        <v>6.8875665831874349E-4</v>
      </c>
      <c r="K69" s="560">
        <f t="shared" si="25"/>
        <v>2.1776880133974774E-5</v>
      </c>
      <c r="L69" s="550">
        <f t="shared" si="25"/>
        <v>2.276153401910564E-5</v>
      </c>
    </row>
    <row r="70" spans="1:12" ht="15.5" x14ac:dyDescent="0.35">
      <c r="A70" s="143" t="s">
        <v>3533</v>
      </c>
      <c r="B70" s="229">
        <v>2040</v>
      </c>
      <c r="C70" s="514" t="str">
        <f t="shared" si="1"/>
        <v>Statewide_Average_2040</v>
      </c>
      <c r="D70" s="515">
        <f t="shared" ref="D70:L70" si="26">AVERAGE(D106,D142,D178,D214,D250,D286,D322,D358,D394,D430,D466,D502,D538,D574,D610,D646,D682,D718,D754,D790,D826,D862,D898,D934,D970,D1006,D1042,D1078,D1114,D1150,D1186,D1222,D1258,D1294,D1330,D1366,D1402,D1438,D1474,D1510,D1546,D1582,D1618,D1654,D1690,D1726,D1762,D1798,D1834,D1870,D1906,D1942,D1978,D2014,D2050,D2086,D2122,D2158,D2194,D2230,D2266,D2302,D2338,D2374,D2410,D2446,D2482,D2518,D2554,D2590,D2626,D2662,D2698)</f>
        <v>2.6089436788199555E-2</v>
      </c>
      <c r="E70" s="554">
        <f t="shared" si="26"/>
        <v>2.8332875889614645E-3</v>
      </c>
      <c r="F70" s="547">
        <f t="shared" si="26"/>
        <v>2.0898213200063007E-2</v>
      </c>
      <c r="G70" s="547">
        <f t="shared" si="26"/>
        <v>6.0800106229572061E-4</v>
      </c>
      <c r="H70" s="547">
        <f t="shared" si="26"/>
        <v>2.0000008772224583E-3</v>
      </c>
      <c r="I70" s="547">
        <f t="shared" si="26"/>
        <v>1.5750004860181674E-2</v>
      </c>
      <c r="J70" s="557">
        <f t="shared" si="26"/>
        <v>6.603678891400124E-4</v>
      </c>
      <c r="K70" s="560">
        <f t="shared" si="26"/>
        <v>2.0972496020164817E-5</v>
      </c>
      <c r="L70" s="550">
        <f t="shared" si="26"/>
        <v>2.1920778893455074E-5</v>
      </c>
    </row>
    <row r="71" spans="1:12" ht="15.5" x14ac:dyDescent="0.35">
      <c r="A71" s="143" t="s">
        <v>3533</v>
      </c>
      <c r="B71" s="229">
        <v>2041</v>
      </c>
      <c r="C71" s="514" t="str">
        <f t="shared" si="1"/>
        <v>Statewide_Average_2041</v>
      </c>
      <c r="D71" s="515">
        <f t="shared" ref="D71:L71" si="27">AVERAGE(D107,D143,D179,D215,D251,D287,D323,D359,D395,D431,D467,D503,D539,D575,D611,D647,D683,D719,D755,D791,D827,D863,D899,D935,D971,D1007,D1043,D1079,D1115,D1151,D1187,D1223,D1259,D1295,D1331,D1367,D1403,D1439,D1475,D1511,D1547,D1583,D1619,D1655,D1691,D1727,D1763,D1799,D1835,D1871,D1907,D1943,D1979,D2015,D2051,D2087,D2123,D2159,D2195,D2231,D2267,D2303,D2339,D2375,D2411,D2447,D2483,D2519,D2555,D2591,D2627,D2663,D2699)</f>
        <v>2.5945466083341768E-2</v>
      </c>
      <c r="E71" s="554">
        <f t="shared" si="27"/>
        <v>2.6488749674264361E-3</v>
      </c>
      <c r="F71" s="547">
        <f t="shared" si="27"/>
        <v>2.0348791083308379E-2</v>
      </c>
      <c r="G71" s="547">
        <f t="shared" si="27"/>
        <v>5.8783964866170274E-4</v>
      </c>
      <c r="H71" s="547">
        <f t="shared" si="27"/>
        <v>2.0000008772224583E-3</v>
      </c>
      <c r="I71" s="547">
        <f t="shared" si="27"/>
        <v>1.5750004860181663E-2</v>
      </c>
      <c r="J71" s="557">
        <f t="shared" si="27"/>
        <v>6.3846897635907996E-4</v>
      </c>
      <c r="K71" s="560">
        <f t="shared" si="27"/>
        <v>2.0301216513345092E-5</v>
      </c>
      <c r="L71" s="550">
        <f t="shared" si="27"/>
        <v>2.1219147090568347E-5</v>
      </c>
    </row>
    <row r="72" spans="1:12" ht="15.5" x14ac:dyDescent="0.35">
      <c r="A72" s="143" t="s">
        <v>3533</v>
      </c>
      <c r="B72" s="229">
        <v>2042</v>
      </c>
      <c r="C72" s="514" t="str">
        <f t="shared" si="1"/>
        <v>Statewide_Average_2042</v>
      </c>
      <c r="D72" s="515">
        <f t="shared" ref="D72:L72" si="28">AVERAGE(D108,D144,D180,D216,D252,D288,D324,D360,D396,D432,D468,D504,D540,D576,D612,D648,D684,D720,D756,D792,D828,D864,D900,D936,D972,D1008,D1044,D1080,D1116,D1152,D1188,D1224,D1260,D1296,D1332,D1368,D1404,D1440,D1476,D1512,D1548,D1584,D1620,D1656,D1692,D1728,D1764,D1800,D1836,D1872,D1908,D1944,D1980,D2016,D2052,D2088,D2124,D2160,D2196,D2232,D2268,D2304,D2340,D2376,D2412,D2448,D2484,D2520,D2556,D2592,D2628,D2664,D2700)</f>
        <v>2.5823500383116649E-2</v>
      </c>
      <c r="E72" s="554">
        <f t="shared" si="28"/>
        <v>2.4905223445051746E-3</v>
      </c>
      <c r="F72" s="547">
        <f t="shared" si="28"/>
        <v>1.9848746869173251E-2</v>
      </c>
      <c r="G72" s="547">
        <f t="shared" si="28"/>
        <v>5.7052384589368981E-4</v>
      </c>
      <c r="H72" s="547">
        <f t="shared" si="28"/>
        <v>2.0000008772224583E-3</v>
      </c>
      <c r="I72" s="547">
        <f t="shared" si="28"/>
        <v>1.5750004860181657E-2</v>
      </c>
      <c r="J72" s="557">
        <f t="shared" si="28"/>
        <v>6.1966015086234016E-4</v>
      </c>
      <c r="K72" s="560">
        <f t="shared" si="28"/>
        <v>1.9742364814244282E-5</v>
      </c>
      <c r="L72" s="550">
        <f t="shared" si="28"/>
        <v>2.0635026623943076E-5</v>
      </c>
    </row>
    <row r="73" spans="1:12" ht="15.5" x14ac:dyDescent="0.35">
      <c r="A73" s="143" t="s">
        <v>3533</v>
      </c>
      <c r="B73" s="229">
        <v>2043</v>
      </c>
      <c r="C73" s="514" t="str">
        <f t="shared" si="1"/>
        <v>Statewide_Average_2043</v>
      </c>
      <c r="D73" s="515">
        <f t="shared" ref="D73:L73" si="29">AVERAGE(D109,D145,D181,D217,D253,D289,D325,D361,D397,D433,D469,D505,D541,D577,D613,D649,D685,D721,D757,D793,D829,D865,D901,D937,D973,D1009,D1045,D1081,D1117,D1153,D1189,D1225,D1261,D1297,D1333,D1369,D1405,D1441,D1477,D1513,D1549,D1585,D1621,D1657,D1693,D1729,D1765,D1801,D1837,D1873,D1909,D1945,D1981,D2017,D2053,D2089,D2125,D2161,D2197,D2233,D2269,D2305,D2341,D2377,D2413,D2449,D2485,D2521,D2557,D2593,D2629,D2665,D2701)</f>
        <v>2.5721785990973575E-2</v>
      </c>
      <c r="E73" s="554">
        <f t="shared" si="29"/>
        <v>2.3705239275187378E-3</v>
      </c>
      <c r="F73" s="547">
        <f t="shared" si="29"/>
        <v>1.9470133492055591E-2</v>
      </c>
      <c r="G73" s="547">
        <f t="shared" si="29"/>
        <v>5.5580160199981705E-4</v>
      </c>
      <c r="H73" s="547">
        <f t="shared" si="29"/>
        <v>2.0000008772224583E-3</v>
      </c>
      <c r="I73" s="547">
        <f t="shared" si="29"/>
        <v>1.5750004860181663E-2</v>
      </c>
      <c r="J73" s="557">
        <f t="shared" si="29"/>
        <v>6.0366818964567473E-4</v>
      </c>
      <c r="K73" s="560">
        <f t="shared" si="29"/>
        <v>1.9273574763176381E-5</v>
      </c>
      <c r="L73" s="550">
        <f t="shared" si="29"/>
        <v>2.0145039402050424E-5</v>
      </c>
    </row>
    <row r="74" spans="1:12" ht="15.5" x14ac:dyDescent="0.35">
      <c r="A74" s="143" t="s">
        <v>3533</v>
      </c>
      <c r="B74" s="229">
        <v>2044</v>
      </c>
      <c r="C74" s="514" t="str">
        <f t="shared" si="1"/>
        <v>Statewide_Average_2044</v>
      </c>
      <c r="D74" s="515">
        <f t="shared" ref="D74:L74" si="30">AVERAGE(D110,D146,D182,D218,D254,D290,D326,D362,D398,D434,D470,D506,D542,D578,D614,D650,D686,D722,D758,D794,D830,D866,D902,D938,D974,D1010,D1046,D1082,D1118,D1154,D1190,D1226,D1262,D1298,D1334,D1370,D1406,D1442,D1478,D1514,D1550,D1586,D1622,D1658,D1694,D1730,D1766,D1802,D1838,D1874,D1910,D1946,D1982,D2018,D2054,D2090,D2126,D2162,D2198,D2234,D2270,D2306,D2342,D2378,D2414,D2450,D2486,D2522,D2558,D2594,D2630,D2666,D2702)</f>
        <v>2.56359744665518E-2</v>
      </c>
      <c r="E74" s="554">
        <f t="shared" si="30"/>
        <v>2.2821415328276662E-3</v>
      </c>
      <c r="F74" s="547">
        <f t="shared" si="30"/>
        <v>1.9175352068765212E-2</v>
      </c>
      <c r="G74" s="547">
        <f t="shared" si="30"/>
        <v>5.4332033971553893E-4</v>
      </c>
      <c r="H74" s="547">
        <f t="shared" si="30"/>
        <v>2.0000008772224583E-3</v>
      </c>
      <c r="I74" s="547">
        <f t="shared" si="30"/>
        <v>1.575000486018167E-2</v>
      </c>
      <c r="J74" s="557">
        <f t="shared" si="30"/>
        <v>5.9010993632380192E-4</v>
      </c>
      <c r="K74" s="560">
        <f t="shared" si="30"/>
        <v>1.8890259137263792E-5</v>
      </c>
      <c r="L74" s="550">
        <f t="shared" si="30"/>
        <v>1.974439299746575E-5</v>
      </c>
    </row>
    <row r="75" spans="1:12" ht="15.5" x14ac:dyDescent="0.35">
      <c r="A75" s="143" t="s">
        <v>3533</v>
      </c>
      <c r="B75" s="229">
        <v>2045</v>
      </c>
      <c r="C75" s="514" t="str">
        <f t="shared" si="1"/>
        <v>Statewide_Average_2045</v>
      </c>
      <c r="D75" s="515">
        <f t="shared" ref="D75:L75" si="31">AVERAGE(D111,D147,D183,D219,D255,D291,D327,D363,D399,D435,D471,D507,D543,D579,D615,D651,D687,D723,D759,D795,D831,D867,D903,D939,D975,D1011,D1047,D1083,D1119,D1155,D1191,D1227,D1263,D1299,D1335,D1371,D1407,D1443,D1479,D1515,D1551,D1587,D1623,D1659,D1695,D1731,D1767,D1803,D1839,D1875,D1911,D1947,D1983,D2019,D2055,D2091,D2127,D2163,D2199,D2235,D2271,D2307,D2343,D2379,D2415,D2451,D2487,D2523,D2559,D2595,D2631,D2667,D2703)</f>
        <v>2.5562204660879946E-2</v>
      </c>
      <c r="E75" s="554">
        <f t="shared" si="31"/>
        <v>2.2234664232173846E-3</v>
      </c>
      <c r="F75" s="547">
        <f t="shared" si="31"/>
        <v>1.897883332390695E-2</v>
      </c>
      <c r="G75" s="547">
        <f t="shared" si="31"/>
        <v>5.3278813835782256E-4</v>
      </c>
      <c r="H75" s="547">
        <f t="shared" si="31"/>
        <v>2.0000008772224583E-3</v>
      </c>
      <c r="I75" s="547">
        <f t="shared" si="31"/>
        <v>1.5750004860181657E-2</v>
      </c>
      <c r="J75" s="557">
        <f t="shared" si="31"/>
        <v>5.786675562513057E-4</v>
      </c>
      <c r="K75" s="560">
        <f t="shared" si="31"/>
        <v>1.8599460626199492E-5</v>
      </c>
      <c r="L75" s="550">
        <f t="shared" si="31"/>
        <v>1.944044521670286E-5</v>
      </c>
    </row>
    <row r="76" spans="1:12" ht="15.5" x14ac:dyDescent="0.35">
      <c r="A76" s="143" t="s">
        <v>3533</v>
      </c>
      <c r="B76" s="229">
        <v>2046</v>
      </c>
      <c r="C76" s="514" t="str">
        <f t="shared" si="1"/>
        <v>Statewide_Average_2046</v>
      </c>
      <c r="D76" s="515">
        <f t="shared" ref="D76:L76" si="32">AVERAGE(D112,D148,D184,D220,D256,D292,D328,D364,D400,D436,D472,D508,D544,D580,D616,D652,D688,D724,D760,D796,D832,D868,D904,D940,D976,D1012,D1048,D1084,D1120,D1156,D1192,D1228,D1264,D1300,D1336,D1372,D1408,D1444,D1480,D1516,D1552,D1588,D1624,D1660,D1696,D1732,D1768,D1804,D1840,D1876,D1912,D1948,D1984,D2020,D2056,D2092,D2128,D2164,D2200,D2236,D2272,D2308,D2344,D2380,D2416,D2452,D2488,D2524,D2560,D2596,D2632,D2668,D2704)</f>
        <v>2.5499959013359285E-2</v>
      </c>
      <c r="E76" s="554">
        <f t="shared" si="32"/>
        <v>2.1730090208499377E-3</v>
      </c>
      <c r="F76" s="547">
        <f t="shared" si="32"/>
        <v>1.8818886724330873E-2</v>
      </c>
      <c r="G76" s="547">
        <f t="shared" si="32"/>
        <v>5.2396350497775309E-4</v>
      </c>
      <c r="H76" s="547">
        <f t="shared" si="32"/>
        <v>2.0000008772224583E-3</v>
      </c>
      <c r="I76" s="547">
        <f t="shared" si="32"/>
        <v>1.575000486018166E-2</v>
      </c>
      <c r="J76" s="557">
        <f t="shared" si="32"/>
        <v>5.6908110017709159E-4</v>
      </c>
      <c r="K76" s="560">
        <f t="shared" si="32"/>
        <v>1.8336759236722773E-5</v>
      </c>
      <c r="L76" s="550">
        <f t="shared" si="32"/>
        <v>1.9165865982567472E-5</v>
      </c>
    </row>
    <row r="77" spans="1:12" ht="15.5" x14ac:dyDescent="0.35">
      <c r="A77" s="143" t="s">
        <v>3533</v>
      </c>
      <c r="B77" s="229">
        <v>2047</v>
      </c>
      <c r="C77" s="514" t="str">
        <f t="shared" si="1"/>
        <v>Statewide_Average_2047</v>
      </c>
      <c r="D77" s="515">
        <f t="shared" ref="D77:L77" si="33">AVERAGE(D113,D149,D185,D221,D257,D293,D329,D365,D401,D437,D473,D509,D545,D581,D617,D653,D689,D725,D761,D797,D833,D869,D905,D941,D977,D1013,D1049,D1085,D1121,D1157,D1193,D1229,D1265,D1301,D1337,D1373,D1409,D1445,D1481,D1517,D1553,D1589,D1625,D1661,D1697,D1733,D1769,D1805,D1841,D1877,D1913,D1949,D1985,D2021,D2057,D2093,D2129,D2165,D2201,D2237,D2273,D2309,D2345,D2381,D2417,D2453,D2489,D2525,D2561,D2597,D2633,D2669,D2705)</f>
        <v>2.5447707448265151E-2</v>
      </c>
      <c r="E77" s="554">
        <f t="shared" si="33"/>
        <v>2.1286765588699381E-3</v>
      </c>
      <c r="F77" s="547">
        <f t="shared" si="33"/>
        <v>1.8673459568419735E-2</v>
      </c>
      <c r="G77" s="547">
        <f t="shared" si="33"/>
        <v>5.1664646452273381E-4</v>
      </c>
      <c r="H77" s="547">
        <f t="shared" si="33"/>
        <v>2.0000008772224583E-3</v>
      </c>
      <c r="I77" s="547">
        <f t="shared" si="33"/>
        <v>1.575000486018167E-2</v>
      </c>
      <c r="J77" s="557">
        <f t="shared" si="33"/>
        <v>5.6113209382385623E-4</v>
      </c>
      <c r="K77" s="560">
        <f t="shared" si="33"/>
        <v>1.8125967500752074E-5</v>
      </c>
      <c r="L77" s="550">
        <f t="shared" si="33"/>
        <v>1.8945543581334722E-5</v>
      </c>
    </row>
    <row r="78" spans="1:12" ht="15.5" x14ac:dyDescent="0.35">
      <c r="A78" s="143" t="s">
        <v>3533</v>
      </c>
      <c r="B78" s="229">
        <v>2048</v>
      </c>
      <c r="C78" s="514" t="str">
        <f t="shared" si="1"/>
        <v>Statewide_Average_2048</v>
      </c>
      <c r="D78" s="515">
        <f t="shared" ref="D78:L78" si="34">AVERAGE(D114,D150,D186,D222,D258,D294,D330,D366,D402,D438,D474,D510,D546,D582,D618,D654,D690,D726,D762,D798,D834,D870,D906,D942,D978,D1014,D1050,D1086,D1122,D1158,D1194,D1230,D1266,D1302,D1338,D1374,D1410,D1446,D1482,D1518,D1554,D1590,D1626,D1662,D1698,D1734,D1770,D1806,D1842,D1878,D1914,D1950,D1986,D2022,D2058,D2094,D2130,D2166,D2202,D2238,D2274,D2310,D2346,D2382,D2418,D2454,D2490,D2526,D2562,D2598,D2634,D2670,D2706)</f>
        <v>2.5403791445157881E-2</v>
      </c>
      <c r="E78" s="554">
        <f t="shared" si="34"/>
        <v>2.0929532879263666E-3</v>
      </c>
      <c r="F78" s="547">
        <f t="shared" si="34"/>
        <v>1.8553239779656602E-2</v>
      </c>
      <c r="G78" s="547">
        <f t="shared" si="34"/>
        <v>5.1056155531782111E-4</v>
      </c>
      <c r="H78" s="547">
        <f t="shared" si="34"/>
        <v>2.0000008772224583E-3</v>
      </c>
      <c r="I78" s="547">
        <f t="shared" si="34"/>
        <v>1.5750004860181657E-2</v>
      </c>
      <c r="J78" s="557">
        <f t="shared" si="34"/>
        <v>5.5452299084035074E-4</v>
      </c>
      <c r="K78" s="560">
        <f t="shared" si="34"/>
        <v>1.7917646265349251E-5</v>
      </c>
      <c r="L78" s="550">
        <f t="shared" si="34"/>
        <v>1.8727802528061213E-5</v>
      </c>
    </row>
    <row r="79" spans="1:12" ht="15.5" x14ac:dyDescent="0.35">
      <c r="A79" s="143" t="s">
        <v>3533</v>
      </c>
      <c r="B79" s="229">
        <v>2049</v>
      </c>
      <c r="C79" s="514" t="str">
        <f t="shared" si="1"/>
        <v>Statewide_Average_2049</v>
      </c>
      <c r="D79" s="515">
        <f t="shared" ref="D79:L79" si="35">AVERAGE(D115,D151,D187,D223,D259,D295,D331,D367,D403,D439,D475,D511,D547,D583,D619,D655,D691,D727,D763,D799,D835,D871,D907,D943,D979,D1015,D1051,D1087,D1123,D1159,D1195,D1231,D1267,D1303,D1339,D1375,D1411,D1447,D1483,D1519,D1555,D1591,D1627,D1663,D1699,D1735,D1771,D1807,D1843,D1879,D1915,D1951,D1987,D2023,D2059,D2095,D2131,D2167,D2203,D2239,D2275,D2311,D2347,D2383,D2419,D2455,D2491,D2527,D2563,D2599,D2635,D2671,D2707)</f>
        <v>2.5366486908317377E-2</v>
      </c>
      <c r="E79" s="554">
        <f t="shared" si="35"/>
        <v>2.0796249614248876E-3</v>
      </c>
      <c r="F79" s="547">
        <f t="shared" si="35"/>
        <v>1.8556286763295446E-2</v>
      </c>
      <c r="G79" s="547">
        <f t="shared" si="35"/>
        <v>5.0670901351504362E-4</v>
      </c>
      <c r="H79" s="547">
        <f t="shared" si="35"/>
        <v>2.0000008772224583E-3</v>
      </c>
      <c r="I79" s="547">
        <f t="shared" si="35"/>
        <v>1.5750004860181663E-2</v>
      </c>
      <c r="J79" s="557">
        <f t="shared" si="35"/>
        <v>5.5033897231145318E-4</v>
      </c>
      <c r="K79" s="560">
        <f t="shared" si="35"/>
        <v>1.7777048811401335E-5</v>
      </c>
      <c r="L79" s="550">
        <f t="shared" si="35"/>
        <v>1.8580848213099735E-5</v>
      </c>
    </row>
    <row r="80" spans="1:12" ht="16" thickBot="1" x14ac:dyDescent="0.4">
      <c r="A80" s="149" t="s">
        <v>3533</v>
      </c>
      <c r="B80" s="520">
        <v>2050</v>
      </c>
      <c r="C80" s="521" t="str">
        <f t="shared" si="1"/>
        <v>Statewide_Average_2050</v>
      </c>
      <c r="D80" s="522">
        <f t="shared" ref="D80:L80" si="36">AVERAGE(D116,D152,D188,D224,D260,D296,D332,D368,D404,D440,D476,D512,D548,D584,D620,D656,D692,D728,D764,D800,D836,D872,D908,D944,D980,D1016,D1052,D1088,D1124,D1160,D1196,D1232,D1268,D1304,D1340,D1376,D1412,D1448,D1484,D1520,D1556,D1592,D1628,D1664,D1700,D1736,D1772,D1808,D1844,D1880,D1916,D1952,D1988,D2024,D2060,D2096,D2132,D2168,D2204,D2240,D2276,D2312,D2348,D2384,D2420,D2456,D2492,D2528,D2564,D2600,D2636,D2672,D2708)</f>
        <v>2.5335819092407463E-2</v>
      </c>
      <c r="E80" s="555">
        <f t="shared" si="36"/>
        <v>2.0688707009855179E-3</v>
      </c>
      <c r="F80" s="551">
        <f t="shared" si="36"/>
        <v>1.8560784610205758E-2</v>
      </c>
      <c r="G80" s="551">
        <f t="shared" si="36"/>
        <v>5.0358045077668063E-4</v>
      </c>
      <c r="H80" s="551">
        <f t="shared" si="36"/>
        <v>2.0000008772224583E-3</v>
      </c>
      <c r="I80" s="551">
        <f t="shared" si="36"/>
        <v>1.5750004860181663E-2</v>
      </c>
      <c r="J80" s="558">
        <f t="shared" si="36"/>
        <v>5.4694269590362663E-4</v>
      </c>
      <c r="K80" s="561">
        <f t="shared" si="36"/>
        <v>1.7627546128824048E-5</v>
      </c>
      <c r="L80" s="552">
        <f t="shared" si="36"/>
        <v>1.8424585679365671E-5</v>
      </c>
    </row>
    <row r="81" spans="1:12" ht="15.5" x14ac:dyDescent="0.35">
      <c r="A81" s="160" t="s">
        <v>809</v>
      </c>
      <c r="B81" s="539">
        <v>2015</v>
      </c>
      <c r="C81" s="537" t="s">
        <v>810</v>
      </c>
      <c r="D81" s="540">
        <v>4.2318133827712767E-2</v>
      </c>
      <c r="E81" s="541">
        <v>4.6321506837899394E-2</v>
      </c>
      <c r="F81" s="542">
        <v>0.17906415435642617</v>
      </c>
      <c r="G81" s="542">
        <v>1.845886335174505E-3</v>
      </c>
      <c r="H81" s="543">
        <v>2.0000009999999999E-3</v>
      </c>
      <c r="I81" s="543">
        <v>1.5750005000000001E-2</v>
      </c>
      <c r="J81" s="544">
        <v>1.9967393644572608E-3</v>
      </c>
      <c r="K81" s="545">
        <v>1.8522150350307076E-4</v>
      </c>
      <c r="L81" s="546">
        <v>1.9359639981854357E-4</v>
      </c>
    </row>
    <row r="82" spans="1:12" ht="15.5" x14ac:dyDescent="0.35">
      <c r="A82" s="143" t="s">
        <v>809</v>
      </c>
      <c r="B82" s="229">
        <v>2016</v>
      </c>
      <c r="C82" s="514" t="s">
        <v>811</v>
      </c>
      <c r="D82" s="515">
        <v>4.1437438391664805E-2</v>
      </c>
      <c r="E82" s="516">
        <v>3.7528423620930805E-2</v>
      </c>
      <c r="F82" s="145">
        <v>0.14995854826351473</v>
      </c>
      <c r="G82" s="145">
        <v>1.7336011552978481E-3</v>
      </c>
      <c r="H82" s="517">
        <v>2.0000009999999999E-3</v>
      </c>
      <c r="I82" s="517">
        <v>1.5750005000000001E-2</v>
      </c>
      <c r="J82" s="148">
        <v>1.8770103882661362E-3</v>
      </c>
      <c r="K82" s="518">
        <v>1.5419382438808989E-4</v>
      </c>
      <c r="L82" s="519">
        <v>1.6116578153859418E-4</v>
      </c>
    </row>
    <row r="83" spans="1:12" ht="15.5" x14ac:dyDescent="0.35">
      <c r="A83" s="143" t="s">
        <v>809</v>
      </c>
      <c r="B83" s="229">
        <v>2017</v>
      </c>
      <c r="C83" s="514" t="s">
        <v>1019</v>
      </c>
      <c r="D83" s="515">
        <v>4.0503137185616676E-2</v>
      </c>
      <c r="E83" s="516">
        <v>3.0903615331154346E-2</v>
      </c>
      <c r="F83" s="145">
        <v>0.12693677484814589</v>
      </c>
      <c r="G83" s="145">
        <v>1.6853567113776903E-3</v>
      </c>
      <c r="H83" s="517">
        <v>2.0000009999999995E-3</v>
      </c>
      <c r="I83" s="517">
        <v>1.5750005000000001E-2</v>
      </c>
      <c r="J83" s="148">
        <v>1.8259165111956873E-3</v>
      </c>
      <c r="K83" s="518">
        <v>1.3842473933365642E-4</v>
      </c>
      <c r="L83" s="519">
        <v>1.4468369220569348E-4</v>
      </c>
    </row>
    <row r="84" spans="1:12" ht="15.5" x14ac:dyDescent="0.35">
      <c r="A84" s="143" t="s">
        <v>809</v>
      </c>
      <c r="B84" s="229">
        <v>2018</v>
      </c>
      <c r="C84" s="514" t="s">
        <v>1020</v>
      </c>
      <c r="D84" s="515">
        <v>3.9510692828002673E-2</v>
      </c>
      <c r="E84" s="516">
        <v>2.5346446835130751E-2</v>
      </c>
      <c r="F84" s="145">
        <v>0.10733297046057931</v>
      </c>
      <c r="G84" s="145">
        <v>1.6690262560310472E-3</v>
      </c>
      <c r="H84" s="517">
        <v>2.0000009999999999E-3</v>
      </c>
      <c r="I84" s="517">
        <v>1.5750004999999997E-2</v>
      </c>
      <c r="J84" s="148">
        <v>1.8092447296245164E-3</v>
      </c>
      <c r="K84" s="518">
        <v>1.2553414464406518E-4</v>
      </c>
      <c r="L84" s="519">
        <v>1.3121024248390531E-4</v>
      </c>
    </row>
    <row r="85" spans="1:12" ht="15.5" x14ac:dyDescent="0.35">
      <c r="A85" s="143" t="s">
        <v>809</v>
      </c>
      <c r="B85" s="229">
        <v>2019</v>
      </c>
      <c r="C85" s="514" t="s">
        <v>1021</v>
      </c>
      <c r="D85" s="515">
        <v>3.8485617469655682E-2</v>
      </c>
      <c r="E85" s="516">
        <v>2.0871322822979446E-2</v>
      </c>
      <c r="F85" s="145">
        <v>9.1087437699289134E-2</v>
      </c>
      <c r="G85" s="145">
        <v>1.6610811247354503E-3</v>
      </c>
      <c r="H85" s="517">
        <v>2.0000009999999999E-3</v>
      </c>
      <c r="I85" s="517">
        <v>1.5750005000000001E-2</v>
      </c>
      <c r="J85" s="148">
        <v>1.8014459955281374E-3</v>
      </c>
      <c r="K85" s="518">
        <v>1.141870863496247E-4</v>
      </c>
      <c r="L85" s="519">
        <v>1.1935011605151706E-4</v>
      </c>
    </row>
    <row r="86" spans="1:12" ht="15.5" x14ac:dyDescent="0.35">
      <c r="A86" s="143" t="s">
        <v>809</v>
      </c>
      <c r="B86" s="229">
        <v>2020</v>
      </c>
      <c r="C86" s="514" t="s">
        <v>1022</v>
      </c>
      <c r="D86" s="515">
        <v>3.7436225696497259E-2</v>
      </c>
      <c r="E86" s="516">
        <v>1.7548097294952332E-2</v>
      </c>
      <c r="F86" s="145">
        <v>7.7764765884386022E-2</v>
      </c>
      <c r="G86" s="145">
        <v>1.6196505521143716E-3</v>
      </c>
      <c r="H86" s="517">
        <v>2.0000009999999999E-3</v>
      </c>
      <c r="I86" s="517">
        <v>1.5750005000000001E-2</v>
      </c>
      <c r="J86" s="148">
        <v>1.7568890438275865E-3</v>
      </c>
      <c r="K86" s="518">
        <v>1.0501686322417573E-4</v>
      </c>
      <c r="L86" s="519">
        <v>1.0976525196587491E-4</v>
      </c>
    </row>
    <row r="87" spans="1:12" ht="15.5" x14ac:dyDescent="0.35">
      <c r="A87" s="143" t="s">
        <v>809</v>
      </c>
      <c r="B87" s="229">
        <v>2021</v>
      </c>
      <c r="C87" s="514" t="s">
        <v>1023</v>
      </c>
      <c r="D87" s="515">
        <v>3.6369770011950693E-2</v>
      </c>
      <c r="E87" s="516">
        <v>1.4956581020117736E-2</v>
      </c>
      <c r="F87" s="145">
        <v>6.6856947058371377E-2</v>
      </c>
      <c r="G87" s="145">
        <v>1.5381047111725362E-3</v>
      </c>
      <c r="H87" s="517">
        <v>2.0000009999999999E-3</v>
      </c>
      <c r="I87" s="517">
        <v>1.5750005000000001E-2</v>
      </c>
      <c r="J87" s="148">
        <v>1.6686836540355703E-3</v>
      </c>
      <c r="K87" s="518">
        <v>9.4896269705568731E-5</v>
      </c>
      <c r="L87" s="519">
        <v>9.918705672708902E-5</v>
      </c>
    </row>
    <row r="88" spans="1:12" ht="15.5" x14ac:dyDescent="0.35">
      <c r="A88" s="143" t="s">
        <v>809</v>
      </c>
      <c r="B88" s="229">
        <v>2022</v>
      </c>
      <c r="C88" s="514" t="s">
        <v>1024</v>
      </c>
      <c r="D88" s="515">
        <v>3.5315677831917892E-2</v>
      </c>
      <c r="E88" s="516">
        <v>1.2678959574810553E-2</v>
      </c>
      <c r="F88" s="145">
        <v>5.776827391228205E-2</v>
      </c>
      <c r="G88" s="145">
        <v>1.4625655321586952E-3</v>
      </c>
      <c r="H88" s="517">
        <v>2.0000009999999999E-3</v>
      </c>
      <c r="I88" s="517">
        <v>1.5750004999999997E-2</v>
      </c>
      <c r="J88" s="148">
        <v>1.5869922655433566E-3</v>
      </c>
      <c r="K88" s="518">
        <v>8.5930814990325849E-5</v>
      </c>
      <c r="L88" s="519">
        <v>8.9816230049588613E-5</v>
      </c>
    </row>
    <row r="89" spans="1:12" ht="15.5" x14ac:dyDescent="0.35">
      <c r="A89" s="143" t="s">
        <v>809</v>
      </c>
      <c r="B89" s="229">
        <v>2023</v>
      </c>
      <c r="C89" s="514" t="s">
        <v>1025</v>
      </c>
      <c r="D89" s="515">
        <v>3.4264567666734608E-2</v>
      </c>
      <c r="E89" s="516">
        <v>1.0950460256219732E-2</v>
      </c>
      <c r="F89" s="145">
        <v>5.0427785562345874E-2</v>
      </c>
      <c r="G89" s="145">
        <v>1.3954184224252827E-3</v>
      </c>
      <c r="H89" s="517">
        <v>2.0000010000000004E-3</v>
      </c>
      <c r="I89" s="517">
        <v>1.5750005000000001E-2</v>
      </c>
      <c r="J89" s="148">
        <v>1.5143645203266191E-3</v>
      </c>
      <c r="K89" s="518">
        <v>7.68774743547705E-5</v>
      </c>
      <c r="L89" s="519">
        <v>8.0353530055523245E-5</v>
      </c>
    </row>
    <row r="90" spans="1:12" ht="15.5" x14ac:dyDescent="0.35">
      <c r="A90" s="143" t="s">
        <v>809</v>
      </c>
      <c r="B90" s="229">
        <v>2024</v>
      </c>
      <c r="C90" s="514" t="s">
        <v>1026</v>
      </c>
      <c r="D90" s="515">
        <v>3.3222277549078291E-2</v>
      </c>
      <c r="E90" s="516">
        <v>9.4976988557285581E-3</v>
      </c>
      <c r="F90" s="145">
        <v>4.4378713659671651E-2</v>
      </c>
      <c r="G90" s="145">
        <v>1.3331553275959327E-3</v>
      </c>
      <c r="H90" s="517">
        <v>2.0000009999999999E-3</v>
      </c>
      <c r="I90" s="517">
        <v>1.5750004999999997E-2</v>
      </c>
      <c r="J90" s="148">
        <v>1.4470909211193993E-3</v>
      </c>
      <c r="K90" s="518">
        <v>6.6828788175852022E-5</v>
      </c>
      <c r="L90" s="519">
        <v>6.9850489880014419E-5</v>
      </c>
    </row>
    <row r="91" spans="1:12" ht="15.5" x14ac:dyDescent="0.35">
      <c r="A91" s="143" t="s">
        <v>809</v>
      </c>
      <c r="B91" s="229">
        <v>2025</v>
      </c>
      <c r="C91" s="514" t="s">
        <v>1027</v>
      </c>
      <c r="D91" s="515">
        <v>3.2188587175573366E-2</v>
      </c>
      <c r="E91" s="516">
        <v>8.3259339357102148E-3</v>
      </c>
      <c r="F91" s="145">
        <v>3.9576034414853981E-2</v>
      </c>
      <c r="G91" s="145">
        <v>1.2808907463487704E-3</v>
      </c>
      <c r="H91" s="517">
        <v>2.0000009999999999E-3</v>
      </c>
      <c r="I91" s="517">
        <v>1.5750005000000004E-2</v>
      </c>
      <c r="J91" s="148">
        <v>1.3905628428036957E-3</v>
      </c>
      <c r="K91" s="518">
        <v>5.9516957417453759E-5</v>
      </c>
      <c r="L91" s="519">
        <v>6.220805292591285E-5</v>
      </c>
    </row>
    <row r="92" spans="1:12" ht="15.5" x14ac:dyDescent="0.35">
      <c r="A92" s="143" t="s">
        <v>809</v>
      </c>
      <c r="B92" s="229">
        <v>2026</v>
      </c>
      <c r="C92" s="514" t="s">
        <v>1028</v>
      </c>
      <c r="D92" s="515">
        <v>3.1253790118845652E-2</v>
      </c>
      <c r="E92" s="516">
        <v>7.3678105160681412E-3</v>
      </c>
      <c r="F92" s="145">
        <v>3.5740318041279577E-2</v>
      </c>
      <c r="G92" s="145">
        <v>1.2246088327580091E-3</v>
      </c>
      <c r="H92" s="517">
        <v>2.0000009999999995E-3</v>
      </c>
      <c r="I92" s="517">
        <v>1.5750005000000004E-2</v>
      </c>
      <c r="J92" s="148">
        <v>1.3296359537424466E-3</v>
      </c>
      <c r="K92" s="518">
        <v>5.2803109688169289E-5</v>
      </c>
      <c r="L92" s="519">
        <v>5.5190629600371091E-5</v>
      </c>
    </row>
    <row r="93" spans="1:12" ht="15.5" x14ac:dyDescent="0.35">
      <c r="A93" s="143" t="s">
        <v>809</v>
      </c>
      <c r="B93" s="229">
        <v>2027</v>
      </c>
      <c r="C93" s="514" t="s">
        <v>1029</v>
      </c>
      <c r="D93" s="515">
        <v>3.0404428091334423E-2</v>
      </c>
      <c r="E93" s="516">
        <v>6.5559688266096008E-3</v>
      </c>
      <c r="F93" s="145">
        <v>3.2556038466236906E-2</v>
      </c>
      <c r="G93" s="145">
        <v>1.157659832907039E-3</v>
      </c>
      <c r="H93" s="517">
        <v>2.0000009999999995E-3</v>
      </c>
      <c r="I93" s="517">
        <v>1.5750005000000001E-2</v>
      </c>
      <c r="J93" s="148">
        <v>1.2571731985564763E-3</v>
      </c>
      <c r="K93" s="518">
        <v>4.4532085109311966E-5</v>
      </c>
      <c r="L93" s="519">
        <v>4.6545634458749978E-5</v>
      </c>
    </row>
    <row r="94" spans="1:12" ht="15.5" x14ac:dyDescent="0.35">
      <c r="A94" s="143" t="s">
        <v>809</v>
      </c>
      <c r="B94" s="229">
        <v>2028</v>
      </c>
      <c r="C94" s="514" t="s">
        <v>1030</v>
      </c>
      <c r="D94" s="515">
        <v>2.9641484274572152E-2</v>
      </c>
      <c r="E94" s="516">
        <v>5.8801340630914812E-3</v>
      </c>
      <c r="F94" s="145">
        <v>2.9953087741398935E-2</v>
      </c>
      <c r="G94" s="145">
        <v>1.0848219993963768E-3</v>
      </c>
      <c r="H94" s="517">
        <v>2.0000009999999995E-3</v>
      </c>
      <c r="I94" s="517">
        <v>1.5750005000000001E-2</v>
      </c>
      <c r="J94" s="148">
        <v>1.178231111838862E-3</v>
      </c>
      <c r="K94" s="518">
        <v>3.8047645605023967E-5</v>
      </c>
      <c r="L94" s="519">
        <v>3.9767984100937466E-5</v>
      </c>
    </row>
    <row r="95" spans="1:12" ht="15.5" x14ac:dyDescent="0.35">
      <c r="A95" s="143" t="s">
        <v>809</v>
      </c>
      <c r="B95" s="229">
        <v>2029</v>
      </c>
      <c r="C95" s="514" t="s">
        <v>1031</v>
      </c>
      <c r="D95" s="515">
        <v>2.8958690239296019E-2</v>
      </c>
      <c r="E95" s="516">
        <v>5.2971202226985694E-3</v>
      </c>
      <c r="F95" s="145">
        <v>2.7778012997591538E-2</v>
      </c>
      <c r="G95" s="145">
        <v>1.0167436391056372E-3</v>
      </c>
      <c r="H95" s="517">
        <v>2.0000010000000004E-3</v>
      </c>
      <c r="I95" s="517">
        <v>1.5750005000000004E-2</v>
      </c>
      <c r="J95" s="148">
        <v>1.1043667711198876E-3</v>
      </c>
      <c r="K95" s="518">
        <v>3.3857516240604353E-5</v>
      </c>
      <c r="L95" s="519">
        <v>3.5388409014710258E-5</v>
      </c>
    </row>
    <row r="96" spans="1:12" ht="15.5" x14ac:dyDescent="0.35">
      <c r="A96" s="143" t="s">
        <v>809</v>
      </c>
      <c r="B96" s="229">
        <v>2030</v>
      </c>
      <c r="C96" s="514" t="s">
        <v>1032</v>
      </c>
      <c r="D96" s="515">
        <v>2.8352153496036012E-2</v>
      </c>
      <c r="E96" s="516">
        <v>4.8112783641022791E-3</v>
      </c>
      <c r="F96" s="145">
        <v>2.6014349591747303E-2</v>
      </c>
      <c r="G96" s="145">
        <v>9.5305894971655009E-4</v>
      </c>
      <c r="H96" s="517">
        <v>2.0000009999999999E-3</v>
      </c>
      <c r="I96" s="517">
        <v>1.5750005000000004E-2</v>
      </c>
      <c r="J96" s="148">
        <v>1.0352567713770094E-3</v>
      </c>
      <c r="K96" s="518">
        <v>3.0248615596263403E-5</v>
      </c>
      <c r="L96" s="519">
        <v>3.1616320589095564E-5</v>
      </c>
    </row>
    <row r="97" spans="1:12" ht="15.5" x14ac:dyDescent="0.35">
      <c r="A97" s="143" t="s">
        <v>809</v>
      </c>
      <c r="B97" s="229">
        <v>2031</v>
      </c>
      <c r="C97" s="514" t="s">
        <v>1033</v>
      </c>
      <c r="D97" s="515">
        <v>2.7814614066947983E-2</v>
      </c>
      <c r="E97" s="516">
        <v>4.384598191749081E-3</v>
      </c>
      <c r="F97" s="145">
        <v>2.4505049601076641E-2</v>
      </c>
      <c r="G97" s="145">
        <v>8.9406575161882381E-4</v>
      </c>
      <c r="H97" s="517">
        <v>2.0000009999999999E-3</v>
      </c>
      <c r="I97" s="517">
        <v>1.5750005000000001E-2</v>
      </c>
      <c r="J97" s="148">
        <v>9.7118956336727309E-4</v>
      </c>
      <c r="K97" s="518">
        <v>2.8040759310826972E-5</v>
      </c>
      <c r="L97" s="519">
        <v>2.9308640696059897E-5</v>
      </c>
    </row>
    <row r="98" spans="1:12" ht="15.5" x14ac:dyDescent="0.35">
      <c r="A98" s="143" t="s">
        <v>809</v>
      </c>
      <c r="B98" s="229">
        <v>2032</v>
      </c>
      <c r="C98" s="514" t="s">
        <v>1034</v>
      </c>
      <c r="D98" s="515">
        <v>2.7341207975227884E-2</v>
      </c>
      <c r="E98" s="516">
        <v>4.017247021496609E-3</v>
      </c>
      <c r="F98" s="145">
        <v>2.3268175044566103E-2</v>
      </c>
      <c r="G98" s="145">
        <v>8.3913549916532872E-4</v>
      </c>
      <c r="H98" s="517">
        <v>2.0000009999999995E-3</v>
      </c>
      <c r="I98" s="517">
        <v>1.5750004999999997E-2</v>
      </c>
      <c r="J98" s="148">
        <v>9.115402329558372E-4</v>
      </c>
      <c r="K98" s="518">
        <v>2.5868095103530696E-5</v>
      </c>
      <c r="L98" s="519">
        <v>2.7037740180282421E-5</v>
      </c>
    </row>
    <row r="99" spans="1:12" ht="15.5" x14ac:dyDescent="0.35">
      <c r="A99" s="143" t="s">
        <v>809</v>
      </c>
      <c r="B99" s="229">
        <v>2033</v>
      </c>
      <c r="C99" s="514" t="s">
        <v>1035</v>
      </c>
      <c r="D99" s="515">
        <v>2.6927142182076386E-2</v>
      </c>
      <c r="E99" s="516">
        <v>3.700930545454997E-3</v>
      </c>
      <c r="F99" s="145">
        <v>2.2258747090060062E-2</v>
      </c>
      <c r="G99" s="145">
        <v>7.8904048894661417E-4</v>
      </c>
      <c r="H99" s="517">
        <v>2.0000009999999995E-3</v>
      </c>
      <c r="I99" s="517">
        <v>1.5750004999999997E-2</v>
      </c>
      <c r="J99" s="148">
        <v>8.5712003786575194E-4</v>
      </c>
      <c r="K99" s="518">
        <v>2.439037653091063E-5</v>
      </c>
      <c r="L99" s="519">
        <v>2.5493202257862807E-5</v>
      </c>
    </row>
    <row r="100" spans="1:12" ht="15.5" x14ac:dyDescent="0.35">
      <c r="A100" s="143" t="s">
        <v>809</v>
      </c>
      <c r="B100" s="229">
        <v>2034</v>
      </c>
      <c r="C100" s="514" t="s">
        <v>1036</v>
      </c>
      <c r="D100" s="515">
        <v>2.6566367913521377E-2</v>
      </c>
      <c r="E100" s="516">
        <v>3.4215479628094151E-3</v>
      </c>
      <c r="F100" s="145">
        <v>2.1413102151464494E-2</v>
      </c>
      <c r="G100" s="145">
        <v>7.4302566655126408E-4</v>
      </c>
      <c r="H100" s="517">
        <v>2.0000009999999999E-3</v>
      </c>
      <c r="I100" s="517">
        <v>1.5750005000000001E-2</v>
      </c>
      <c r="J100" s="148">
        <v>8.0713148716722279E-4</v>
      </c>
      <c r="K100" s="518">
        <v>2.3055442932839073E-5</v>
      </c>
      <c r="L100" s="519">
        <v>2.4097910021458037E-5</v>
      </c>
    </row>
    <row r="101" spans="1:12" ht="15.5" x14ac:dyDescent="0.35">
      <c r="A101" s="143" t="s">
        <v>809</v>
      </c>
      <c r="B101" s="229">
        <v>2035</v>
      </c>
      <c r="C101" s="514" t="s">
        <v>1037</v>
      </c>
      <c r="D101" s="515">
        <v>2.6254501976128435E-2</v>
      </c>
      <c r="E101" s="516">
        <v>3.1738408065816529E-3</v>
      </c>
      <c r="F101" s="145">
        <v>2.0703840824835451E-2</v>
      </c>
      <c r="G101" s="145">
        <v>7.0108622452739089E-4</v>
      </c>
      <c r="H101" s="517">
        <v>2.0000009999999995E-3</v>
      </c>
      <c r="I101" s="517">
        <v>1.5750004999999997E-2</v>
      </c>
      <c r="J101" s="148">
        <v>7.6156810529967296E-4</v>
      </c>
      <c r="K101" s="518">
        <v>2.1875807237445335E-5</v>
      </c>
      <c r="L101" s="519">
        <v>2.2864938639216886E-5</v>
      </c>
    </row>
    <row r="102" spans="1:12" ht="15.5" x14ac:dyDescent="0.35">
      <c r="A102" s="143" t="s">
        <v>809</v>
      </c>
      <c r="B102" s="229">
        <v>2036</v>
      </c>
      <c r="C102" s="514" t="s">
        <v>1038</v>
      </c>
      <c r="D102" s="515">
        <v>2.5987053086084018E-2</v>
      </c>
      <c r="E102" s="516">
        <v>2.9583184727899709E-3</v>
      </c>
      <c r="F102" s="145">
        <v>2.011665279591535E-2</v>
      </c>
      <c r="G102" s="145">
        <v>6.6447686732870788E-4</v>
      </c>
      <c r="H102" s="517">
        <v>2.0000009999999995E-3</v>
      </c>
      <c r="I102" s="517">
        <v>1.5750004999999997E-2</v>
      </c>
      <c r="J102" s="148">
        <v>7.217969056820603E-4</v>
      </c>
      <c r="K102" s="518">
        <v>2.0825945722178041E-5</v>
      </c>
      <c r="L102" s="519">
        <v>2.1767598406515126E-5</v>
      </c>
    </row>
    <row r="103" spans="1:12" ht="15.5" x14ac:dyDescent="0.35">
      <c r="A103" s="143" t="s">
        <v>809</v>
      </c>
      <c r="B103" s="229">
        <v>2037</v>
      </c>
      <c r="C103" s="514" t="s">
        <v>1039</v>
      </c>
      <c r="D103" s="515">
        <v>2.5760135013449384E-2</v>
      </c>
      <c r="E103" s="516">
        <v>2.775663565481899E-3</v>
      </c>
      <c r="F103" s="145">
        <v>1.9643141716541489E-2</v>
      </c>
      <c r="G103" s="145">
        <v>6.3220717763360441E-4</v>
      </c>
      <c r="H103" s="517">
        <v>2.0000009999999999E-3</v>
      </c>
      <c r="I103" s="517">
        <v>1.5750005000000004E-2</v>
      </c>
      <c r="J103" s="148">
        <v>6.8673874256127267E-4</v>
      </c>
      <c r="K103" s="518">
        <v>1.9928923360598796E-5</v>
      </c>
      <c r="L103" s="519">
        <v>2.0830029442186572E-5</v>
      </c>
    </row>
    <row r="104" spans="1:12" ht="15.5" x14ac:dyDescent="0.35">
      <c r="A104" s="143" t="s">
        <v>809</v>
      </c>
      <c r="B104" s="229">
        <v>2038</v>
      </c>
      <c r="C104" s="514" t="s">
        <v>1040</v>
      </c>
      <c r="D104" s="515">
        <v>2.5569471674821414E-2</v>
      </c>
      <c r="E104" s="516">
        <v>2.613864190911204E-3</v>
      </c>
      <c r="F104" s="145">
        <v>1.9228440257156327E-2</v>
      </c>
      <c r="G104" s="145">
        <v>6.039416109973921E-4</v>
      </c>
      <c r="H104" s="517">
        <v>2.0000009999999999E-3</v>
      </c>
      <c r="I104" s="517">
        <v>1.5750005000000001E-2</v>
      </c>
      <c r="J104" s="148">
        <v>6.560279231796665E-4</v>
      </c>
      <c r="K104" s="518">
        <v>1.9201479002290362E-5</v>
      </c>
      <c r="L104" s="519">
        <v>2.0069688100349175E-5</v>
      </c>
    </row>
    <row r="105" spans="1:12" ht="15.5" x14ac:dyDescent="0.35">
      <c r="A105" s="143" t="s">
        <v>809</v>
      </c>
      <c r="B105" s="229">
        <v>2039</v>
      </c>
      <c r="C105" s="514" t="s">
        <v>1041</v>
      </c>
      <c r="D105" s="515">
        <v>2.541013517465086E-2</v>
      </c>
      <c r="E105" s="516">
        <v>2.466578643126523E-3</v>
      </c>
      <c r="F105" s="145">
        <v>1.8854340561498061E-2</v>
      </c>
      <c r="G105" s="145">
        <v>5.7930034345168857E-4</v>
      </c>
      <c r="H105" s="517">
        <v>2.0000010000000004E-3</v>
      </c>
      <c r="I105" s="517">
        <v>1.5750005000000001E-2</v>
      </c>
      <c r="J105" s="148">
        <v>6.2925423801571238E-4</v>
      </c>
      <c r="K105" s="518">
        <v>1.8588828661240472E-5</v>
      </c>
      <c r="L105" s="519">
        <v>1.9429337815448222E-5</v>
      </c>
    </row>
    <row r="106" spans="1:12" ht="15.5" x14ac:dyDescent="0.35">
      <c r="A106" s="143" t="s">
        <v>809</v>
      </c>
      <c r="B106" s="229">
        <v>2040</v>
      </c>
      <c r="C106" s="514" t="s">
        <v>1042</v>
      </c>
      <c r="D106" s="515">
        <v>2.5277579747226837E-2</v>
      </c>
      <c r="E106" s="516">
        <v>2.3330430887681325E-3</v>
      </c>
      <c r="F106" s="145">
        <v>1.8532052567215788E-2</v>
      </c>
      <c r="G106" s="145">
        <v>5.58035746536422E-4</v>
      </c>
      <c r="H106" s="517">
        <v>2.0000010000000004E-3</v>
      </c>
      <c r="I106" s="517">
        <v>1.5750005000000004E-2</v>
      </c>
      <c r="J106" s="148">
        <v>6.0614926313751454E-4</v>
      </c>
      <c r="K106" s="518">
        <v>1.8071604391891461E-5</v>
      </c>
      <c r="L106" s="519">
        <v>1.8888720202981809E-5</v>
      </c>
    </row>
    <row r="107" spans="1:12" ht="15.5" x14ac:dyDescent="0.35">
      <c r="A107" s="143" t="s">
        <v>809</v>
      </c>
      <c r="B107" s="229">
        <v>2041</v>
      </c>
      <c r="C107" s="514" t="s">
        <v>1043</v>
      </c>
      <c r="D107" s="515">
        <v>2.516918059002057E-2</v>
      </c>
      <c r="E107" s="516">
        <v>2.2250401132171147E-3</v>
      </c>
      <c r="F107" s="145">
        <v>1.8269997262577147E-2</v>
      </c>
      <c r="G107" s="145">
        <v>5.4117162554935799E-4</v>
      </c>
      <c r="H107" s="517">
        <v>2.0000009999999999E-3</v>
      </c>
      <c r="I107" s="517">
        <v>1.5750005000000001E-2</v>
      </c>
      <c r="J107" s="148">
        <v>5.8782554836508971E-4</v>
      </c>
      <c r="K107" s="518">
        <v>1.7652464947113084E-5</v>
      </c>
      <c r="L107" s="519">
        <v>1.845063114306579E-5</v>
      </c>
    </row>
    <row r="108" spans="1:12" ht="15.5" x14ac:dyDescent="0.35">
      <c r="A108" s="143" t="s">
        <v>809</v>
      </c>
      <c r="B108" s="229">
        <v>2042</v>
      </c>
      <c r="C108" s="514" t="s">
        <v>1044</v>
      </c>
      <c r="D108" s="515">
        <v>2.5079906266032792E-2</v>
      </c>
      <c r="E108" s="516">
        <v>2.1331497081107415E-3</v>
      </c>
      <c r="F108" s="145">
        <v>1.8032354948834491E-2</v>
      </c>
      <c r="G108" s="145">
        <v>5.270130257519339E-4</v>
      </c>
      <c r="H108" s="517">
        <v>2.0000009999999999E-3</v>
      </c>
      <c r="I108" s="517">
        <v>1.5750005000000004E-2</v>
      </c>
      <c r="J108" s="148">
        <v>5.7244103323611235E-4</v>
      </c>
      <c r="K108" s="518">
        <v>1.7315924998196063E-5</v>
      </c>
      <c r="L108" s="519">
        <v>1.8098878216059857E-5</v>
      </c>
    </row>
    <row r="109" spans="1:12" ht="15.5" x14ac:dyDescent="0.35">
      <c r="A109" s="143" t="s">
        <v>809</v>
      </c>
      <c r="B109" s="229">
        <v>2043</v>
      </c>
      <c r="C109" s="514" t="s">
        <v>1045</v>
      </c>
      <c r="D109" s="515">
        <v>2.5007228140197398E-2</v>
      </c>
      <c r="E109" s="516">
        <v>2.0637173464977815E-3</v>
      </c>
      <c r="F109" s="145">
        <v>1.7854750943016168E-2</v>
      </c>
      <c r="G109" s="145">
        <v>5.1524476653226094E-4</v>
      </c>
      <c r="H109" s="517">
        <v>2.0000009999999999E-3</v>
      </c>
      <c r="I109" s="517">
        <v>1.5750004999999997E-2</v>
      </c>
      <c r="J109" s="148">
        <v>5.5965316547494756E-4</v>
      </c>
      <c r="K109" s="518">
        <v>1.7052311261824026E-5</v>
      </c>
      <c r="L109" s="519">
        <v>1.7823338085763207E-5</v>
      </c>
    </row>
    <row r="110" spans="1:12" ht="15.5" x14ac:dyDescent="0.35">
      <c r="A110" s="143" t="s">
        <v>809</v>
      </c>
      <c r="B110" s="229">
        <v>2044</v>
      </c>
      <c r="C110" s="514" t="s">
        <v>1046</v>
      </c>
      <c r="D110" s="515">
        <v>2.4947814569345885E-2</v>
      </c>
      <c r="E110" s="516">
        <v>2.0134410107800942E-3</v>
      </c>
      <c r="F110" s="145">
        <v>1.7722564001676253E-2</v>
      </c>
      <c r="G110" s="145">
        <v>5.0551495842948377E-4</v>
      </c>
      <c r="H110" s="517">
        <v>2.0000009999999999E-3</v>
      </c>
      <c r="I110" s="517">
        <v>1.5750005000000001E-2</v>
      </c>
      <c r="J110" s="148">
        <v>5.4908001440777962E-4</v>
      </c>
      <c r="K110" s="518">
        <v>1.6844890455430776E-5</v>
      </c>
      <c r="L110" s="519">
        <v>1.7606541796361838E-5</v>
      </c>
    </row>
    <row r="111" spans="1:12" ht="15.5" x14ac:dyDescent="0.35">
      <c r="A111" s="143" t="s">
        <v>809</v>
      </c>
      <c r="B111" s="229">
        <v>2045</v>
      </c>
      <c r="C111" s="514" t="s">
        <v>1047</v>
      </c>
      <c r="D111" s="515">
        <v>2.489836611984925E-2</v>
      </c>
      <c r="E111" s="516">
        <v>1.980005955847798E-3</v>
      </c>
      <c r="F111" s="145">
        <v>1.7635250993743183E-2</v>
      </c>
      <c r="G111" s="145">
        <v>4.974695566786762E-4</v>
      </c>
      <c r="H111" s="517">
        <v>2.0000009999999995E-3</v>
      </c>
      <c r="I111" s="517">
        <v>1.5750005000000001E-2</v>
      </c>
      <c r="J111" s="148">
        <v>5.4033692752630509E-4</v>
      </c>
      <c r="K111" s="518">
        <v>1.6685502119793264E-5</v>
      </c>
      <c r="L111" s="519">
        <v>1.7439944971449283E-5</v>
      </c>
    </row>
    <row r="112" spans="1:12" ht="15.5" x14ac:dyDescent="0.35">
      <c r="A112" s="143" t="s">
        <v>809</v>
      </c>
      <c r="B112" s="229">
        <v>2046</v>
      </c>
      <c r="C112" s="514" t="s">
        <v>1048</v>
      </c>
      <c r="D112" s="515">
        <v>2.4858224327319382E-2</v>
      </c>
      <c r="E112" s="516">
        <v>1.9521908340758571E-3</v>
      </c>
      <c r="F112" s="145">
        <v>1.7566655803311498E-2</v>
      </c>
      <c r="G112" s="145">
        <v>4.9092942598038809E-4</v>
      </c>
      <c r="H112" s="517">
        <v>2.0000009999999995E-3</v>
      </c>
      <c r="I112" s="517">
        <v>1.5750004999999997E-2</v>
      </c>
      <c r="J112" s="148">
        <v>5.332283736047981E-4</v>
      </c>
      <c r="K112" s="518">
        <v>1.6563356874237478E-5</v>
      </c>
      <c r="L112" s="519">
        <v>1.731227184313393E-5</v>
      </c>
    </row>
    <row r="113" spans="1:12" ht="15.5" x14ac:dyDescent="0.35">
      <c r="A113" s="143" t="s">
        <v>809</v>
      </c>
      <c r="B113" s="229">
        <v>2047</v>
      </c>
      <c r="C113" s="514" t="s">
        <v>1049</v>
      </c>
      <c r="D113" s="515">
        <v>2.4825635520625899E-2</v>
      </c>
      <c r="E113" s="516">
        <v>1.9284188982245946E-3</v>
      </c>
      <c r="F113" s="145">
        <v>1.7505671734555261E-2</v>
      </c>
      <c r="G113" s="145">
        <v>4.8564850320610036E-4</v>
      </c>
      <c r="H113" s="517">
        <v>2.0000009999999995E-3</v>
      </c>
      <c r="I113" s="517">
        <v>1.5750005000000001E-2</v>
      </c>
      <c r="J113" s="148">
        <v>5.2748989940332646E-4</v>
      </c>
      <c r="K113" s="518">
        <v>1.6461675488161683E-5</v>
      </c>
      <c r="L113" s="519">
        <v>1.7205996317270363E-5</v>
      </c>
    </row>
    <row r="114" spans="1:12" ht="15.5" x14ac:dyDescent="0.35">
      <c r="A114" s="143" t="s">
        <v>809</v>
      </c>
      <c r="B114" s="229">
        <v>2048</v>
      </c>
      <c r="C114" s="514" t="s">
        <v>1050</v>
      </c>
      <c r="D114" s="515">
        <v>2.4799078534169464E-2</v>
      </c>
      <c r="E114" s="516">
        <v>1.9094707950452628E-3</v>
      </c>
      <c r="F114" s="145">
        <v>1.7456125983160698E-2</v>
      </c>
      <c r="G114" s="145">
        <v>4.8137641711672776E-4</v>
      </c>
      <c r="H114" s="517">
        <v>2.0000009999999999E-3</v>
      </c>
      <c r="I114" s="517">
        <v>1.5750005000000001E-2</v>
      </c>
      <c r="J114" s="148">
        <v>5.2284642182573199E-4</v>
      </c>
      <c r="K114" s="518">
        <v>1.6377720637913E-5</v>
      </c>
      <c r="L114" s="519">
        <v>1.7118248552337232E-5</v>
      </c>
    </row>
    <row r="115" spans="1:12" ht="15.5" x14ac:dyDescent="0.35">
      <c r="A115" s="143" t="s">
        <v>809</v>
      </c>
      <c r="B115" s="229">
        <v>2049</v>
      </c>
      <c r="C115" s="514" t="s">
        <v>1051</v>
      </c>
      <c r="D115" s="515">
        <v>2.4777543727897769E-2</v>
      </c>
      <c r="E115" s="516">
        <v>1.9017333430385883E-3</v>
      </c>
      <c r="F115" s="145">
        <v>1.7467302243951273E-2</v>
      </c>
      <c r="G115" s="145">
        <v>4.785004031822193E-4</v>
      </c>
      <c r="H115" s="517">
        <v>2.0000009999999999E-3</v>
      </c>
      <c r="I115" s="517">
        <v>1.5750005000000001E-2</v>
      </c>
      <c r="J115" s="148">
        <v>5.1972149731459815E-4</v>
      </c>
      <c r="K115" s="518">
        <v>1.6315736356282683E-5</v>
      </c>
      <c r="L115" s="519">
        <v>1.705346564130136E-5</v>
      </c>
    </row>
    <row r="116" spans="1:12" ht="15.5" x14ac:dyDescent="0.35">
      <c r="A116" s="143" t="s">
        <v>809</v>
      </c>
      <c r="B116" s="229">
        <v>2050</v>
      </c>
      <c r="C116" s="514" t="s">
        <v>1052</v>
      </c>
      <c r="D116" s="515">
        <v>2.4760405948195872E-2</v>
      </c>
      <c r="E116" s="516">
        <v>1.8956051964599575E-3</v>
      </c>
      <c r="F116" s="145">
        <v>1.7478368599709738E-2</v>
      </c>
      <c r="G116" s="145">
        <v>4.7622294695865938E-4</v>
      </c>
      <c r="H116" s="517">
        <v>2.0000009999999999E-3</v>
      </c>
      <c r="I116" s="517">
        <v>1.5750005000000001E-2</v>
      </c>
      <c r="J116" s="148">
        <v>5.1724701252805019E-4</v>
      </c>
      <c r="K116" s="518">
        <v>1.6256745655125557E-5</v>
      </c>
      <c r="L116" s="519">
        <v>1.6991808067126688E-5</v>
      </c>
    </row>
    <row r="117" spans="1:12" ht="15.5" x14ac:dyDescent="0.35">
      <c r="A117" s="143" t="s">
        <v>812</v>
      </c>
      <c r="B117" s="229">
        <v>2015</v>
      </c>
      <c r="C117" s="514" t="s">
        <v>813</v>
      </c>
      <c r="D117" s="515">
        <v>4.2288798310925052E-2</v>
      </c>
      <c r="E117" s="516">
        <v>5.4970827927198977E-2</v>
      </c>
      <c r="F117" s="145">
        <v>0.23674528931661651</v>
      </c>
      <c r="G117" s="145">
        <v>1.8615468117903044E-3</v>
      </c>
      <c r="H117" s="517">
        <v>2.0000009999999999E-3</v>
      </c>
      <c r="I117" s="517">
        <v>1.5750005000000001E-2</v>
      </c>
      <c r="J117" s="148">
        <v>2.0181148500864913E-3</v>
      </c>
      <c r="K117" s="518">
        <v>6.2326770756643147E-5</v>
      </c>
      <c r="L117" s="519">
        <v>6.5144909432444972E-5</v>
      </c>
    </row>
    <row r="118" spans="1:12" ht="15.5" x14ac:dyDescent="0.35">
      <c r="A118" s="143" t="s">
        <v>812</v>
      </c>
      <c r="B118" s="229">
        <v>2016</v>
      </c>
      <c r="C118" s="514" t="s">
        <v>814</v>
      </c>
      <c r="D118" s="515">
        <v>4.1480089717239384E-2</v>
      </c>
      <c r="E118" s="516">
        <v>4.5784752117942917E-2</v>
      </c>
      <c r="F118" s="145">
        <v>0.20405333683318749</v>
      </c>
      <c r="G118" s="145">
        <v>1.754341069188341E-3</v>
      </c>
      <c r="H118" s="517">
        <v>2.0000009999999995E-3</v>
      </c>
      <c r="I118" s="517">
        <v>1.5750004999999997E-2</v>
      </c>
      <c r="J118" s="148">
        <v>1.9030974144192145E-3</v>
      </c>
      <c r="K118" s="518">
        <v>5.147310699297109E-5</v>
      </c>
      <c r="L118" s="519">
        <v>5.3800494314974939E-5</v>
      </c>
    </row>
    <row r="119" spans="1:12" ht="15.5" x14ac:dyDescent="0.35">
      <c r="A119" s="143" t="s">
        <v>812</v>
      </c>
      <c r="B119" s="229">
        <v>2017</v>
      </c>
      <c r="C119" s="514" t="s">
        <v>1053</v>
      </c>
      <c r="D119" s="515">
        <v>4.0428140011512792E-2</v>
      </c>
      <c r="E119" s="516">
        <v>3.8646451434649086E-2</v>
      </c>
      <c r="F119" s="145">
        <v>0.17533708664993841</v>
      </c>
      <c r="G119" s="145">
        <v>1.708136715000481E-3</v>
      </c>
      <c r="H119" s="517">
        <v>2.0000009999999999E-3</v>
      </c>
      <c r="I119" s="517">
        <v>1.5750004999999997E-2</v>
      </c>
      <c r="J119" s="148">
        <v>1.8535613648769694E-3</v>
      </c>
      <c r="K119" s="518">
        <v>5.0369842356388918E-5</v>
      </c>
      <c r="L119" s="519">
        <v>5.2647343605983631E-5</v>
      </c>
    </row>
    <row r="120" spans="1:12" ht="15.5" x14ac:dyDescent="0.35">
      <c r="A120" s="143" t="s">
        <v>812</v>
      </c>
      <c r="B120" s="229">
        <v>2018</v>
      </c>
      <c r="C120" s="514" t="s">
        <v>1054</v>
      </c>
      <c r="D120" s="515">
        <v>3.9366322001049794E-2</v>
      </c>
      <c r="E120" s="516">
        <v>3.0909429689166882E-2</v>
      </c>
      <c r="F120" s="145">
        <v>0.14887479851847463</v>
      </c>
      <c r="G120" s="145">
        <v>1.6779142245659728E-3</v>
      </c>
      <c r="H120" s="517">
        <v>2.0000010000000004E-3</v>
      </c>
      <c r="I120" s="517">
        <v>1.5750005000000001E-2</v>
      </c>
      <c r="J120" s="148">
        <v>1.8217193744646395E-3</v>
      </c>
      <c r="K120" s="518">
        <v>4.9721679329642351E-5</v>
      </c>
      <c r="L120" s="519">
        <v>5.1969872236352782E-5</v>
      </c>
    </row>
    <row r="121" spans="1:12" ht="15.5" x14ac:dyDescent="0.35">
      <c r="A121" s="143" t="s">
        <v>812</v>
      </c>
      <c r="B121" s="229">
        <v>2019</v>
      </c>
      <c r="C121" s="514" t="s">
        <v>1055</v>
      </c>
      <c r="D121" s="515">
        <v>3.8282605810950665E-2</v>
      </c>
      <c r="E121" s="516">
        <v>2.6527540442831708E-2</v>
      </c>
      <c r="F121" s="145">
        <v>0.12823473948710407</v>
      </c>
      <c r="G121" s="145">
        <v>1.6695080955968374E-3</v>
      </c>
      <c r="H121" s="517">
        <v>2.0000009999999999E-3</v>
      </c>
      <c r="I121" s="517">
        <v>1.5750004999999997E-2</v>
      </c>
      <c r="J121" s="148">
        <v>1.812800476837689E-3</v>
      </c>
      <c r="K121" s="518">
        <v>4.9176847626346558E-5</v>
      </c>
      <c r="L121" s="519">
        <v>5.1400403574525296E-5</v>
      </c>
    </row>
    <row r="122" spans="1:12" ht="15.5" x14ac:dyDescent="0.35">
      <c r="A122" s="143" t="s">
        <v>812</v>
      </c>
      <c r="B122" s="229">
        <v>2020</v>
      </c>
      <c r="C122" s="514" t="s">
        <v>1056</v>
      </c>
      <c r="D122" s="515">
        <v>3.7172884043528066E-2</v>
      </c>
      <c r="E122" s="516">
        <v>2.2389299117352018E-2</v>
      </c>
      <c r="F122" s="145">
        <v>0.10985503853257178</v>
      </c>
      <c r="G122" s="145">
        <v>1.6177843935354021E-3</v>
      </c>
      <c r="H122" s="517">
        <v>2.0000009999999995E-3</v>
      </c>
      <c r="I122" s="517">
        <v>1.5750004999999997E-2</v>
      </c>
      <c r="J122" s="148">
        <v>1.7567810214667596E-3</v>
      </c>
      <c r="K122" s="518">
        <v>4.8766938081077756E-5</v>
      </c>
      <c r="L122" s="519">
        <v>5.0971962797964134E-5</v>
      </c>
    </row>
    <row r="123" spans="1:12" ht="15.5" x14ac:dyDescent="0.35">
      <c r="A123" s="143" t="s">
        <v>812</v>
      </c>
      <c r="B123" s="229">
        <v>2021</v>
      </c>
      <c r="C123" s="514" t="s">
        <v>1057</v>
      </c>
      <c r="D123" s="515">
        <v>3.6051550201079828E-2</v>
      </c>
      <c r="E123" s="516">
        <v>1.8675636669930634E-2</v>
      </c>
      <c r="F123" s="145">
        <v>9.4089154365539732E-2</v>
      </c>
      <c r="G123" s="145">
        <v>1.5277427051727881E-3</v>
      </c>
      <c r="H123" s="517">
        <v>2.0000009999999999E-3</v>
      </c>
      <c r="I123" s="517">
        <v>1.5750005000000001E-2</v>
      </c>
      <c r="J123" s="148">
        <v>1.6591846609723482E-3</v>
      </c>
      <c r="K123" s="518">
        <v>4.6441274154078459E-5</v>
      </c>
      <c r="L123" s="519">
        <v>4.8541143888874734E-5</v>
      </c>
    </row>
    <row r="124" spans="1:12" ht="15.5" x14ac:dyDescent="0.35">
      <c r="A124" s="143" t="s">
        <v>812</v>
      </c>
      <c r="B124" s="229">
        <v>2022</v>
      </c>
      <c r="C124" s="514" t="s">
        <v>1058</v>
      </c>
      <c r="D124" s="515">
        <v>3.4948189708754032E-2</v>
      </c>
      <c r="E124" s="516">
        <v>1.4968456111952445E-2</v>
      </c>
      <c r="F124" s="145">
        <v>8.0186186788728742E-2</v>
      </c>
      <c r="G124" s="145">
        <v>1.4420803705157265E-3</v>
      </c>
      <c r="H124" s="517">
        <v>2.0000009999999999E-3</v>
      </c>
      <c r="I124" s="517">
        <v>1.5750005000000004E-2</v>
      </c>
      <c r="J124" s="148">
        <v>1.5664523509003906E-3</v>
      </c>
      <c r="K124" s="518">
        <v>4.3949559850294517E-5</v>
      </c>
      <c r="L124" s="519">
        <v>4.593676418276467E-5</v>
      </c>
    </row>
    <row r="125" spans="1:12" ht="15.5" x14ac:dyDescent="0.35">
      <c r="A125" s="143" t="s">
        <v>812</v>
      </c>
      <c r="B125" s="229">
        <v>2023</v>
      </c>
      <c r="C125" s="514" t="s">
        <v>1059</v>
      </c>
      <c r="D125" s="515">
        <v>3.3858442857261944E-2</v>
      </c>
      <c r="E125" s="516">
        <v>1.2761862948536118E-2</v>
      </c>
      <c r="F125" s="145">
        <v>6.93856008205741E-2</v>
      </c>
      <c r="G125" s="145">
        <v>1.3664861805289385E-3</v>
      </c>
      <c r="H125" s="517">
        <v>2.0000009999999999E-3</v>
      </c>
      <c r="I125" s="517">
        <v>1.5750005000000001E-2</v>
      </c>
      <c r="J125" s="148">
        <v>1.4843865324229858E-3</v>
      </c>
      <c r="K125" s="518">
        <v>4.161356461219027E-5</v>
      </c>
      <c r="L125" s="519">
        <v>4.3495145964029291E-5</v>
      </c>
    </row>
    <row r="126" spans="1:12" ht="15.5" x14ac:dyDescent="0.35">
      <c r="A126" s="143" t="s">
        <v>812</v>
      </c>
      <c r="B126" s="229">
        <v>2024</v>
      </c>
      <c r="C126" s="514" t="s">
        <v>1060</v>
      </c>
      <c r="D126" s="515">
        <v>3.2794044925033003E-2</v>
      </c>
      <c r="E126" s="516">
        <v>1.1030395874910323E-2</v>
      </c>
      <c r="F126" s="145">
        <v>6.0860709089896221E-2</v>
      </c>
      <c r="G126" s="145">
        <v>1.3036040118428931E-3</v>
      </c>
      <c r="H126" s="517">
        <v>2.0000009999999999E-3</v>
      </c>
      <c r="I126" s="517">
        <v>1.5750005000000001E-2</v>
      </c>
      <c r="J126" s="148">
        <v>1.4161140385979486E-3</v>
      </c>
      <c r="K126" s="518">
        <v>3.9447602717130548E-5</v>
      </c>
      <c r="L126" s="519">
        <v>4.1231247870000823E-5</v>
      </c>
    </row>
    <row r="127" spans="1:12" ht="15.5" x14ac:dyDescent="0.35">
      <c r="A127" s="143" t="s">
        <v>812</v>
      </c>
      <c r="B127" s="229">
        <v>2025</v>
      </c>
      <c r="C127" s="514" t="s">
        <v>1061</v>
      </c>
      <c r="D127" s="515">
        <v>3.1744114764954146E-2</v>
      </c>
      <c r="E127" s="516">
        <v>9.6539511706437518E-3</v>
      </c>
      <c r="F127" s="145">
        <v>5.3989161303997717E-2</v>
      </c>
      <c r="G127" s="145">
        <v>1.2503617573228251E-3</v>
      </c>
      <c r="H127" s="517">
        <v>2.0000009999999999E-3</v>
      </c>
      <c r="I127" s="517">
        <v>1.5750004999999997E-2</v>
      </c>
      <c r="J127" s="148">
        <v>1.3582932741669431E-3</v>
      </c>
      <c r="K127" s="518">
        <v>3.7443659182338522E-5</v>
      </c>
      <c r="L127" s="519">
        <v>3.9136691155912483E-5</v>
      </c>
    </row>
    <row r="128" spans="1:12" ht="15.5" x14ac:dyDescent="0.35">
      <c r="A128" s="143" t="s">
        <v>812</v>
      </c>
      <c r="B128" s="229">
        <v>2026</v>
      </c>
      <c r="C128" s="514" t="s">
        <v>1062</v>
      </c>
      <c r="D128" s="515">
        <v>3.0796629506135854E-2</v>
      </c>
      <c r="E128" s="516">
        <v>8.4920372897376514E-3</v>
      </c>
      <c r="F128" s="145">
        <v>4.8399356243859902E-2</v>
      </c>
      <c r="G128" s="145">
        <v>1.1959937406564823E-3</v>
      </c>
      <c r="H128" s="517">
        <v>2.0000009999999999E-3</v>
      </c>
      <c r="I128" s="517">
        <v>1.5750005000000001E-2</v>
      </c>
      <c r="J128" s="148">
        <v>1.299248040943001E-3</v>
      </c>
      <c r="K128" s="518">
        <v>3.5494984817236904E-5</v>
      </c>
      <c r="L128" s="519">
        <v>3.7099909772050526E-5</v>
      </c>
    </row>
    <row r="129" spans="1:12" ht="15.5" x14ac:dyDescent="0.35">
      <c r="A129" s="143" t="s">
        <v>812</v>
      </c>
      <c r="B129" s="229">
        <v>2027</v>
      </c>
      <c r="C129" s="514" t="s">
        <v>1063</v>
      </c>
      <c r="D129" s="515">
        <v>2.9939407351273338E-2</v>
      </c>
      <c r="E129" s="516">
        <v>7.5335549782165447E-3</v>
      </c>
      <c r="F129" s="145">
        <v>4.375762986370707E-2</v>
      </c>
      <c r="G129" s="145">
        <v>1.1336984083464409E-3</v>
      </c>
      <c r="H129" s="517">
        <v>2.0000009999999999E-3</v>
      </c>
      <c r="I129" s="517">
        <v>1.5750005000000001E-2</v>
      </c>
      <c r="J129" s="148">
        <v>1.2315723576568126E-3</v>
      </c>
      <c r="K129" s="518">
        <v>3.3701598655619423E-5</v>
      </c>
      <c r="L129" s="519">
        <v>3.5225433458409013E-5</v>
      </c>
    </row>
    <row r="130" spans="1:12" ht="15.5" x14ac:dyDescent="0.35">
      <c r="A130" s="143" t="s">
        <v>812</v>
      </c>
      <c r="B130" s="229">
        <v>2028</v>
      </c>
      <c r="C130" s="514" t="s">
        <v>1064</v>
      </c>
      <c r="D130" s="515">
        <v>2.9171957338605742E-2</v>
      </c>
      <c r="E130" s="516">
        <v>6.7405947438845112E-3</v>
      </c>
      <c r="F130" s="145">
        <v>3.9944288025694566E-2</v>
      </c>
      <c r="G130" s="145">
        <v>1.065204769486162E-3</v>
      </c>
      <c r="H130" s="517">
        <v>2.0000010000000004E-3</v>
      </c>
      <c r="I130" s="517">
        <v>1.5750005000000001E-2</v>
      </c>
      <c r="J130" s="148">
        <v>1.1571533316638953E-3</v>
      </c>
      <c r="K130" s="518">
        <v>3.1955189839512689E-5</v>
      </c>
      <c r="L130" s="519">
        <v>3.3400062206647513E-5</v>
      </c>
    </row>
    <row r="131" spans="1:12" ht="15.5" x14ac:dyDescent="0.35">
      <c r="A131" s="143" t="s">
        <v>812</v>
      </c>
      <c r="B131" s="229">
        <v>2029</v>
      </c>
      <c r="C131" s="514" t="s">
        <v>1065</v>
      </c>
      <c r="D131" s="515">
        <v>2.848394857955603E-2</v>
      </c>
      <c r="E131" s="516">
        <v>6.0646357057495409E-3</v>
      </c>
      <c r="F131" s="145">
        <v>3.6726235212028661E-2</v>
      </c>
      <c r="G131" s="145">
        <v>1.0002644840878914E-3</v>
      </c>
      <c r="H131" s="517">
        <v>2.0000009999999995E-3</v>
      </c>
      <c r="I131" s="517">
        <v>1.5750004999999997E-2</v>
      </c>
      <c r="J131" s="148">
        <v>1.0865917767571925E-3</v>
      </c>
      <c r="K131" s="518">
        <v>3.0375627610807112E-5</v>
      </c>
      <c r="L131" s="519">
        <v>3.1749081303634198E-5</v>
      </c>
    </row>
    <row r="132" spans="1:12" ht="15.5" x14ac:dyDescent="0.35">
      <c r="A132" s="143" t="s">
        <v>812</v>
      </c>
      <c r="B132" s="229">
        <v>2030</v>
      </c>
      <c r="C132" s="514" t="s">
        <v>1066</v>
      </c>
      <c r="D132" s="515">
        <v>2.787279099102432E-2</v>
      </c>
      <c r="E132" s="516">
        <v>5.492758398754234E-3</v>
      </c>
      <c r="F132" s="145">
        <v>3.4093856212970203E-2</v>
      </c>
      <c r="G132" s="145">
        <v>9.3942630321606308E-4</v>
      </c>
      <c r="H132" s="517">
        <v>2.0000009999999999E-3</v>
      </c>
      <c r="I132" s="517">
        <v>1.5750005000000001E-2</v>
      </c>
      <c r="J132" s="148">
        <v>1.0204894890427829E-3</v>
      </c>
      <c r="K132" s="518">
        <v>2.8853357618605878E-5</v>
      </c>
      <c r="L132" s="519">
        <v>3.0157977002741587E-5</v>
      </c>
    </row>
    <row r="133" spans="1:12" ht="15.5" x14ac:dyDescent="0.35">
      <c r="A133" s="143" t="s">
        <v>812</v>
      </c>
      <c r="B133" s="229">
        <v>2031</v>
      </c>
      <c r="C133" s="514" t="s">
        <v>1067</v>
      </c>
      <c r="D133" s="515">
        <v>2.7326671407958157E-2</v>
      </c>
      <c r="E133" s="516">
        <v>4.971138211908953E-3</v>
      </c>
      <c r="F133" s="145">
        <v>3.17131093877965E-2</v>
      </c>
      <c r="G133" s="145">
        <v>8.8162659551965815E-4</v>
      </c>
      <c r="H133" s="517">
        <v>2.0000009999999999E-3</v>
      </c>
      <c r="I133" s="517">
        <v>1.5750005000000001E-2</v>
      </c>
      <c r="J133" s="148">
        <v>9.5768715899094187E-4</v>
      </c>
      <c r="K133" s="518">
        <v>2.7419431724341934E-5</v>
      </c>
      <c r="L133" s="519">
        <v>2.8659214253915168E-5</v>
      </c>
    </row>
    <row r="134" spans="1:12" ht="15.5" x14ac:dyDescent="0.35">
      <c r="A134" s="143" t="s">
        <v>812</v>
      </c>
      <c r="B134" s="229">
        <v>2032</v>
      </c>
      <c r="C134" s="514" t="s">
        <v>1068</v>
      </c>
      <c r="D134" s="515">
        <v>2.6846969581842954E-2</v>
      </c>
      <c r="E134" s="516">
        <v>4.5504031275132332E-3</v>
      </c>
      <c r="F134" s="145">
        <v>2.9854577291665255E-2</v>
      </c>
      <c r="G134" s="145">
        <v>8.2966909167148778E-4</v>
      </c>
      <c r="H134" s="517">
        <v>2.0000009999999999E-3</v>
      </c>
      <c r="I134" s="517">
        <v>1.5750004999999997E-2</v>
      </c>
      <c r="J134" s="148">
        <v>9.0123291100171468E-4</v>
      </c>
      <c r="K134" s="518">
        <v>2.6133518488154363E-5</v>
      </c>
      <c r="L134" s="519">
        <v>2.7315157518430044E-5</v>
      </c>
    </row>
    <row r="135" spans="1:12" ht="15.5" x14ac:dyDescent="0.35">
      <c r="A135" s="143" t="s">
        <v>812</v>
      </c>
      <c r="B135" s="229">
        <v>2033</v>
      </c>
      <c r="C135" s="514" t="s">
        <v>1069</v>
      </c>
      <c r="D135" s="515">
        <v>2.6424987445590124E-2</v>
      </c>
      <c r="E135" s="516">
        <v>4.1600477713248244E-3</v>
      </c>
      <c r="F135" s="145">
        <v>2.8208427648312145E-2</v>
      </c>
      <c r="G135" s="145">
        <v>7.8037856287121771E-4</v>
      </c>
      <c r="H135" s="517">
        <v>2.0000009999999995E-3</v>
      </c>
      <c r="I135" s="517">
        <v>1.5750005000000001E-2</v>
      </c>
      <c r="J135" s="148">
        <v>8.476769032947991E-4</v>
      </c>
      <c r="K135" s="518">
        <v>2.4923446999299207E-5</v>
      </c>
      <c r="L135" s="519">
        <v>2.6050378741443118E-5</v>
      </c>
    </row>
    <row r="136" spans="1:12" ht="15.5" x14ac:dyDescent="0.35">
      <c r="A136" s="143" t="s">
        <v>812</v>
      </c>
      <c r="B136" s="229">
        <v>2034</v>
      </c>
      <c r="C136" s="514" t="s">
        <v>1070</v>
      </c>
      <c r="D136" s="515">
        <v>2.6056410148126385E-2</v>
      </c>
      <c r="E136" s="516">
        <v>3.8254132162473722E-3</v>
      </c>
      <c r="F136" s="145">
        <v>2.6864680065536106E-2</v>
      </c>
      <c r="G136" s="145">
        <v>7.3557278542431194E-4</v>
      </c>
      <c r="H136" s="517">
        <v>2.0000009999999999E-3</v>
      </c>
      <c r="I136" s="517">
        <v>1.5750005000000001E-2</v>
      </c>
      <c r="J136" s="148">
        <v>7.9899126379320005E-4</v>
      </c>
      <c r="K136" s="518">
        <v>2.3860368217164962E-5</v>
      </c>
      <c r="L136" s="519">
        <v>2.4939230133736079E-5</v>
      </c>
    </row>
    <row r="137" spans="1:12" ht="15.5" x14ac:dyDescent="0.35">
      <c r="A137" s="143" t="s">
        <v>812</v>
      </c>
      <c r="B137" s="229">
        <v>2035</v>
      </c>
      <c r="C137" s="514" t="s">
        <v>1071</v>
      </c>
      <c r="D137" s="515">
        <v>2.5735129656485958E-2</v>
      </c>
      <c r="E137" s="516">
        <v>3.5113042583018528E-3</v>
      </c>
      <c r="F137" s="145">
        <v>2.56601702775772E-2</v>
      </c>
      <c r="G137" s="145">
        <v>6.9389548188706815E-4</v>
      </c>
      <c r="H137" s="517">
        <v>2.0000009999999999E-3</v>
      </c>
      <c r="I137" s="517">
        <v>1.5750005000000001E-2</v>
      </c>
      <c r="J137" s="148">
        <v>7.5370538570137028E-4</v>
      </c>
      <c r="K137" s="518">
        <v>2.2875269985623976E-5</v>
      </c>
      <c r="L137" s="519">
        <v>2.3909591514972902E-5</v>
      </c>
    </row>
    <row r="138" spans="1:12" ht="15.5" x14ac:dyDescent="0.35">
      <c r="A138" s="143" t="s">
        <v>812</v>
      </c>
      <c r="B138" s="229">
        <v>2036</v>
      </c>
      <c r="C138" s="514" t="s">
        <v>1072</v>
      </c>
      <c r="D138" s="515">
        <v>2.5458661853085939E-2</v>
      </c>
      <c r="E138" s="516">
        <v>3.2344133006109673E-3</v>
      </c>
      <c r="F138" s="145">
        <v>2.4633336489667833E-2</v>
      </c>
      <c r="G138" s="145">
        <v>6.5789382740592177E-4</v>
      </c>
      <c r="H138" s="517">
        <v>2.0000009999999999E-3</v>
      </c>
      <c r="I138" s="517">
        <v>1.5750005000000001E-2</v>
      </c>
      <c r="J138" s="148">
        <v>7.1458771069151013E-4</v>
      </c>
      <c r="K138" s="518">
        <v>2.2004467298860849E-5</v>
      </c>
      <c r="L138" s="519">
        <v>2.2999419444720294E-5</v>
      </c>
    </row>
    <row r="139" spans="1:12" ht="15.5" x14ac:dyDescent="0.35">
      <c r="A139" s="143" t="s">
        <v>812</v>
      </c>
      <c r="B139" s="229">
        <v>2037</v>
      </c>
      <c r="C139" s="514" t="s">
        <v>1073</v>
      </c>
      <c r="D139" s="515">
        <v>2.5219790793369494E-2</v>
      </c>
      <c r="E139" s="516">
        <v>2.998419598652464E-3</v>
      </c>
      <c r="F139" s="145">
        <v>2.3788988014503791E-2</v>
      </c>
      <c r="G139" s="145">
        <v>6.2585406667945375E-4</v>
      </c>
      <c r="H139" s="517">
        <v>2.0000009999999995E-3</v>
      </c>
      <c r="I139" s="517">
        <v>1.5750005000000001E-2</v>
      </c>
      <c r="J139" s="148">
        <v>6.7977396083470612E-4</v>
      </c>
      <c r="K139" s="518">
        <v>2.1233983139990782E-5</v>
      </c>
      <c r="L139" s="519">
        <v>2.219408745308726E-5</v>
      </c>
    </row>
    <row r="140" spans="1:12" ht="15.5" x14ac:dyDescent="0.35">
      <c r="A140" s="143" t="s">
        <v>812</v>
      </c>
      <c r="B140" s="229">
        <v>2038</v>
      </c>
      <c r="C140" s="514" t="s">
        <v>1074</v>
      </c>
      <c r="D140" s="515">
        <v>2.5021006123453312E-2</v>
      </c>
      <c r="E140" s="516">
        <v>2.774049787725602E-3</v>
      </c>
      <c r="F140" s="145">
        <v>2.2978313512870621E-2</v>
      </c>
      <c r="G140" s="145">
        <v>5.9712101423335456E-4</v>
      </c>
      <c r="H140" s="517">
        <v>2.0000009999999999E-3</v>
      </c>
      <c r="I140" s="517">
        <v>1.5750005000000001E-2</v>
      </c>
      <c r="J140" s="148">
        <v>6.4855292782246376E-4</v>
      </c>
      <c r="K140" s="518">
        <v>2.0551478803303036E-5</v>
      </c>
      <c r="L140" s="519">
        <v>2.148072699404382E-5</v>
      </c>
    </row>
    <row r="141" spans="1:12" ht="15.5" x14ac:dyDescent="0.35">
      <c r="A141" s="143" t="s">
        <v>812</v>
      </c>
      <c r="B141" s="229">
        <v>2039</v>
      </c>
      <c r="C141" s="514" t="s">
        <v>1075</v>
      </c>
      <c r="D141" s="515">
        <v>2.485316827938509E-2</v>
      </c>
      <c r="E141" s="516">
        <v>2.5744283527178056E-3</v>
      </c>
      <c r="F141" s="145">
        <v>2.2270317043905859E-2</v>
      </c>
      <c r="G141" s="145">
        <v>5.7194573902103829E-4</v>
      </c>
      <c r="H141" s="517">
        <v>2.0000009999999999E-3</v>
      </c>
      <c r="I141" s="517">
        <v>1.5750005000000001E-2</v>
      </c>
      <c r="J141" s="148">
        <v>6.2119675020060028E-4</v>
      </c>
      <c r="K141" s="518">
        <v>1.9976993652316752E-5</v>
      </c>
      <c r="L141" s="519">
        <v>2.0880264398301132E-5</v>
      </c>
    </row>
    <row r="142" spans="1:12" ht="15.5" x14ac:dyDescent="0.35">
      <c r="A142" s="143" t="s">
        <v>812</v>
      </c>
      <c r="B142" s="229">
        <v>2040</v>
      </c>
      <c r="C142" s="514" t="s">
        <v>1076</v>
      </c>
      <c r="D142" s="515">
        <v>2.4712628865791172E-2</v>
      </c>
      <c r="E142" s="516">
        <v>2.3880531953548588E-3</v>
      </c>
      <c r="F142" s="145">
        <v>2.163204423574289E-2</v>
      </c>
      <c r="G142" s="145">
        <v>5.4979093354782539E-4</v>
      </c>
      <c r="H142" s="517">
        <v>2.0000009999999995E-3</v>
      </c>
      <c r="I142" s="517">
        <v>1.5750004999999997E-2</v>
      </c>
      <c r="J142" s="148">
        <v>5.9712277224780407E-4</v>
      </c>
      <c r="K142" s="518">
        <v>1.9479059270000106E-5</v>
      </c>
      <c r="L142" s="519">
        <v>2.0359813033187327E-5</v>
      </c>
    </row>
    <row r="143" spans="1:12" ht="15.5" x14ac:dyDescent="0.35">
      <c r="A143" s="143" t="s">
        <v>812</v>
      </c>
      <c r="B143" s="229">
        <v>2041</v>
      </c>
      <c r="C143" s="514" t="s">
        <v>1077</v>
      </c>
      <c r="D143" s="515">
        <v>2.4597329439582503E-2</v>
      </c>
      <c r="E143" s="516">
        <v>2.2495248713551045E-3</v>
      </c>
      <c r="F143" s="145">
        <v>2.114851097434027E-2</v>
      </c>
      <c r="G143" s="145">
        <v>5.3270325817096772E-4</v>
      </c>
      <c r="H143" s="517">
        <v>2.0000010000000004E-3</v>
      </c>
      <c r="I143" s="517">
        <v>1.5750005000000004E-2</v>
      </c>
      <c r="J143" s="148">
        <v>5.785558008529519E-4</v>
      </c>
      <c r="K143" s="518">
        <v>1.905522877044122E-5</v>
      </c>
      <c r="L143" s="519">
        <v>1.99168200031042E-5</v>
      </c>
    </row>
    <row r="144" spans="1:12" ht="15.5" x14ac:dyDescent="0.35">
      <c r="A144" s="143" t="s">
        <v>812</v>
      </c>
      <c r="B144" s="229">
        <v>2042</v>
      </c>
      <c r="C144" s="514" t="s">
        <v>1078</v>
      </c>
      <c r="D144" s="515">
        <v>2.4500845475839059E-2</v>
      </c>
      <c r="E144" s="516">
        <v>2.132506730941593E-3</v>
      </c>
      <c r="F144" s="145">
        <v>2.0725035504297537E-2</v>
      </c>
      <c r="G144" s="145">
        <v>5.1815207882000914E-4</v>
      </c>
      <c r="H144" s="517">
        <v>2.0000009999999999E-3</v>
      </c>
      <c r="I144" s="517">
        <v>1.5750005000000001E-2</v>
      </c>
      <c r="J144" s="148">
        <v>5.6274536566938401E-4</v>
      </c>
      <c r="K144" s="518">
        <v>1.8706426738354028E-5</v>
      </c>
      <c r="L144" s="519">
        <v>1.9552243357902632E-5</v>
      </c>
    </row>
    <row r="145" spans="1:12" ht="15.5" x14ac:dyDescent="0.35">
      <c r="A145" s="143" t="s">
        <v>812</v>
      </c>
      <c r="B145" s="229">
        <v>2043</v>
      </c>
      <c r="C145" s="514" t="s">
        <v>1079</v>
      </c>
      <c r="D145" s="515">
        <v>2.4423694609577797E-2</v>
      </c>
      <c r="E145" s="516">
        <v>2.0430221648886642E-3</v>
      </c>
      <c r="F145" s="145">
        <v>2.0399849207255436E-2</v>
      </c>
      <c r="G145" s="145">
        <v>5.0583350190530542E-4</v>
      </c>
      <c r="H145" s="517">
        <v>2.0000009999999999E-3</v>
      </c>
      <c r="I145" s="517">
        <v>1.5750005000000001E-2</v>
      </c>
      <c r="J145" s="148">
        <v>5.4935959964960983E-4</v>
      </c>
      <c r="K145" s="518">
        <v>1.841400632143849E-5</v>
      </c>
      <c r="L145" s="519">
        <v>1.9246597393162633E-5</v>
      </c>
    </row>
    <row r="146" spans="1:12" ht="15.5" x14ac:dyDescent="0.35">
      <c r="A146" s="143" t="s">
        <v>812</v>
      </c>
      <c r="B146" s="229">
        <v>2044</v>
      </c>
      <c r="C146" s="514" t="s">
        <v>1080</v>
      </c>
      <c r="D146" s="515">
        <v>2.4357317506971805E-2</v>
      </c>
      <c r="E146" s="516">
        <v>1.9727299672757602E-3</v>
      </c>
      <c r="F146" s="145">
        <v>2.0114642888347113E-2</v>
      </c>
      <c r="G146" s="145">
        <v>4.9537194109426403E-4</v>
      </c>
      <c r="H146" s="517">
        <v>2.0000009999999999E-3</v>
      </c>
      <c r="I146" s="517">
        <v>1.5750005000000001E-2</v>
      </c>
      <c r="J146" s="148">
        <v>5.3799252985715744E-4</v>
      </c>
      <c r="K146" s="518">
        <v>1.817607884880533E-5</v>
      </c>
      <c r="L146" s="519">
        <v>1.8997925944076202E-5</v>
      </c>
    </row>
    <row r="147" spans="1:12" ht="15.5" x14ac:dyDescent="0.35">
      <c r="A147" s="143" t="s">
        <v>812</v>
      </c>
      <c r="B147" s="229">
        <v>2045</v>
      </c>
      <c r="C147" s="514" t="s">
        <v>1081</v>
      </c>
      <c r="D147" s="515">
        <v>2.4303269904353043E-2</v>
      </c>
      <c r="E147" s="516">
        <v>1.9268143360235018E-3</v>
      </c>
      <c r="F147" s="145">
        <v>1.9931847805416788E-2</v>
      </c>
      <c r="G147" s="145">
        <v>4.8658982792794425E-4</v>
      </c>
      <c r="H147" s="517">
        <v>2.0000009999999999E-3</v>
      </c>
      <c r="I147" s="517">
        <v>1.5750005000000001E-2</v>
      </c>
      <c r="J147" s="148">
        <v>5.2844871372911123E-4</v>
      </c>
      <c r="K147" s="518">
        <v>1.7983794285078631E-5</v>
      </c>
      <c r="L147" s="519">
        <v>1.8796944701042827E-5</v>
      </c>
    </row>
    <row r="148" spans="1:12" ht="15.5" x14ac:dyDescent="0.35">
      <c r="A148" s="143" t="s">
        <v>812</v>
      </c>
      <c r="B148" s="229">
        <v>2046</v>
      </c>
      <c r="C148" s="514" t="s">
        <v>1082</v>
      </c>
      <c r="D148" s="515">
        <v>2.4260815296421778E-2</v>
      </c>
      <c r="E148" s="516">
        <v>1.8877790616386105E-3</v>
      </c>
      <c r="F148" s="145">
        <v>1.9777811682784464E-2</v>
      </c>
      <c r="G148" s="145">
        <v>4.7899779896300166E-4</v>
      </c>
      <c r="H148" s="517">
        <v>2.0000009999999999E-3</v>
      </c>
      <c r="I148" s="517">
        <v>1.5750005000000004E-2</v>
      </c>
      <c r="J148" s="148">
        <v>5.2021097615036205E-4</v>
      </c>
      <c r="K148" s="518">
        <v>1.7530002361034792E-5</v>
      </c>
      <c r="L148" s="519">
        <v>1.8322627571598477E-5</v>
      </c>
    </row>
    <row r="149" spans="1:12" ht="15.5" x14ac:dyDescent="0.35">
      <c r="A149" s="143" t="s">
        <v>812</v>
      </c>
      <c r="B149" s="229">
        <v>2047</v>
      </c>
      <c r="C149" s="514" t="s">
        <v>1083</v>
      </c>
      <c r="D149" s="515">
        <v>2.4226004464342327E-2</v>
      </c>
      <c r="E149" s="516">
        <v>1.8522120545310344E-3</v>
      </c>
      <c r="F149" s="145">
        <v>1.9636748985844402E-2</v>
      </c>
      <c r="G149" s="145">
        <v>4.7296556962491087E-4</v>
      </c>
      <c r="H149" s="517">
        <v>2.0000009999999999E-3</v>
      </c>
      <c r="I149" s="517">
        <v>1.5750004999999997E-2</v>
      </c>
      <c r="J149" s="148">
        <v>5.1365432444898016E-4</v>
      </c>
      <c r="K149" s="518">
        <v>1.7428315606022053E-5</v>
      </c>
      <c r="L149" s="519">
        <v>1.821634320296255E-5</v>
      </c>
    </row>
    <row r="150" spans="1:12" ht="15.5" x14ac:dyDescent="0.35">
      <c r="A150" s="143" t="s">
        <v>812</v>
      </c>
      <c r="B150" s="229">
        <v>2048</v>
      </c>
      <c r="C150" s="514" t="s">
        <v>1084</v>
      </c>
      <c r="D150" s="515">
        <v>2.4200599930398106E-2</v>
      </c>
      <c r="E150" s="516">
        <v>1.8254837924570339E-3</v>
      </c>
      <c r="F150" s="145">
        <v>1.9535351561983324E-2</v>
      </c>
      <c r="G150" s="145">
        <v>4.6805267494234854E-4</v>
      </c>
      <c r="H150" s="517">
        <v>2.0000009999999999E-3</v>
      </c>
      <c r="I150" s="517">
        <v>1.5750005000000004E-2</v>
      </c>
      <c r="J150" s="148">
        <v>5.0831482684295418E-4</v>
      </c>
      <c r="K150" s="518">
        <v>1.7344750587786666E-5</v>
      </c>
      <c r="L150" s="519">
        <v>1.812900313001702E-5</v>
      </c>
    </row>
    <row r="151" spans="1:12" ht="15.5" x14ac:dyDescent="0.35">
      <c r="A151" s="143" t="s">
        <v>812</v>
      </c>
      <c r="B151" s="229">
        <v>2049</v>
      </c>
      <c r="C151" s="514" t="s">
        <v>1085</v>
      </c>
      <c r="D151" s="515">
        <v>2.4176223939062495E-2</v>
      </c>
      <c r="E151" s="516">
        <v>1.8149078817139435E-3</v>
      </c>
      <c r="F151" s="145">
        <v>1.9536436646562072E-2</v>
      </c>
      <c r="G151" s="145">
        <v>4.6473695660031252E-4</v>
      </c>
      <c r="H151" s="517">
        <v>2.0000009999999999E-3</v>
      </c>
      <c r="I151" s="517">
        <v>1.5750005000000001E-2</v>
      </c>
      <c r="J151" s="148">
        <v>5.0471859852395601E-4</v>
      </c>
      <c r="K151" s="518">
        <v>1.7109533098465486E-5</v>
      </c>
      <c r="L151" s="519">
        <v>1.7883153170850713E-5</v>
      </c>
    </row>
    <row r="152" spans="1:12" ht="15.5" x14ac:dyDescent="0.35">
      <c r="A152" s="143" t="s">
        <v>812</v>
      </c>
      <c r="B152" s="229">
        <v>2050</v>
      </c>
      <c r="C152" s="514" t="s">
        <v>1086</v>
      </c>
      <c r="D152" s="515">
        <v>2.4159695069691633E-2</v>
      </c>
      <c r="E152" s="516">
        <v>1.8070547401345418E-3</v>
      </c>
      <c r="F152" s="145">
        <v>1.9548255165732158E-2</v>
      </c>
      <c r="G152" s="145">
        <v>4.6221519814411931E-4</v>
      </c>
      <c r="H152" s="517">
        <v>2.0000009999999999E-3</v>
      </c>
      <c r="I152" s="517">
        <v>1.5750005000000004E-2</v>
      </c>
      <c r="J152" s="148">
        <v>5.0197774439572629E-4</v>
      </c>
      <c r="K152" s="518">
        <v>1.7064658399551534E-5</v>
      </c>
      <c r="L152" s="519">
        <v>1.7836249072044826E-5</v>
      </c>
    </row>
    <row r="153" spans="1:12" ht="15.5" x14ac:dyDescent="0.35">
      <c r="A153" s="143" t="s">
        <v>815</v>
      </c>
      <c r="B153" s="229">
        <v>2015</v>
      </c>
      <c r="C153" s="514" t="s">
        <v>816</v>
      </c>
      <c r="D153" s="515">
        <v>4.3995933182822924E-2</v>
      </c>
      <c r="E153" s="516">
        <v>8.4987137376659458E-2</v>
      </c>
      <c r="F153" s="145">
        <v>0.34290659654772737</v>
      </c>
      <c r="G153" s="145">
        <v>2.4893511273728994E-3</v>
      </c>
      <c r="H153" s="517">
        <v>2.0000009999999999E-3</v>
      </c>
      <c r="I153" s="517">
        <v>1.5750005000000001E-2</v>
      </c>
      <c r="J153" s="148">
        <v>2.6883851152968608E-3</v>
      </c>
      <c r="K153" s="518">
        <v>2.3371628500686403E-4</v>
      </c>
      <c r="L153" s="519">
        <v>2.4428390411543175E-4</v>
      </c>
    </row>
    <row r="154" spans="1:12" ht="15.5" x14ac:dyDescent="0.35">
      <c r="A154" s="143" t="s">
        <v>815</v>
      </c>
      <c r="B154" s="229">
        <v>2016</v>
      </c>
      <c r="C154" s="514" t="s">
        <v>817</v>
      </c>
      <c r="D154" s="515">
        <v>4.3290571831934729E-2</v>
      </c>
      <c r="E154" s="516">
        <v>7.2107761441680657E-2</v>
      </c>
      <c r="F154" s="145">
        <v>0.30452955603640447</v>
      </c>
      <c r="G154" s="145">
        <v>2.2993261925608522E-3</v>
      </c>
      <c r="H154" s="517">
        <v>2.0000009999999999E-3</v>
      </c>
      <c r="I154" s="517">
        <v>1.5750005000000001E-2</v>
      </c>
      <c r="J154" s="148">
        <v>2.4845501424877034E-3</v>
      </c>
      <c r="K154" s="518">
        <v>2.2839046357927799E-4</v>
      </c>
      <c r="L154" s="519">
        <v>2.3871726600624727E-4</v>
      </c>
    </row>
    <row r="155" spans="1:12" ht="15.5" x14ac:dyDescent="0.35">
      <c r="A155" s="143" t="s">
        <v>815</v>
      </c>
      <c r="B155" s="229">
        <v>2017</v>
      </c>
      <c r="C155" s="514" t="s">
        <v>1087</v>
      </c>
      <c r="D155" s="515">
        <v>4.2280761897653028E-2</v>
      </c>
      <c r="E155" s="516">
        <v>6.0119035662900458E-2</v>
      </c>
      <c r="F155" s="145">
        <v>0.2673188564131615</v>
      </c>
      <c r="G155" s="145">
        <v>2.1404438310592667E-3</v>
      </c>
      <c r="H155" s="517">
        <v>2.0000009999999999E-3</v>
      </c>
      <c r="I155" s="517">
        <v>1.5750005000000001E-2</v>
      </c>
      <c r="J155" s="148">
        <v>2.3147902972823634E-3</v>
      </c>
      <c r="K155" s="518">
        <v>2.1122951761731184E-4</v>
      </c>
      <c r="L155" s="519">
        <v>2.2078037639333453E-4</v>
      </c>
    </row>
    <row r="156" spans="1:12" ht="15.5" x14ac:dyDescent="0.35">
      <c r="A156" s="143" t="s">
        <v>815</v>
      </c>
      <c r="B156" s="229">
        <v>2018</v>
      </c>
      <c r="C156" s="514" t="s">
        <v>1088</v>
      </c>
      <c r="D156" s="515">
        <v>4.1211471480696989E-2</v>
      </c>
      <c r="E156" s="516">
        <v>5.0338720233867415E-2</v>
      </c>
      <c r="F156" s="145">
        <v>0.23405652596808676</v>
      </c>
      <c r="G156" s="145">
        <v>2.0198073696760079E-3</v>
      </c>
      <c r="H156" s="517">
        <v>2.0000009999999999E-3</v>
      </c>
      <c r="I156" s="517">
        <v>1.5750005000000001E-2</v>
      </c>
      <c r="J156" s="148">
        <v>2.1859036620845351E-3</v>
      </c>
      <c r="K156" s="518">
        <v>1.9483040755200075E-4</v>
      </c>
      <c r="L156" s="519">
        <v>2.0363977123322987E-4</v>
      </c>
    </row>
    <row r="157" spans="1:12" ht="15.5" x14ac:dyDescent="0.35">
      <c r="A157" s="143" t="s">
        <v>815</v>
      </c>
      <c r="B157" s="229">
        <v>2019</v>
      </c>
      <c r="C157" s="514" t="s">
        <v>1089</v>
      </c>
      <c r="D157" s="515">
        <v>4.0084477812169707E-2</v>
      </c>
      <c r="E157" s="516">
        <v>4.1919990948351873E-2</v>
      </c>
      <c r="F157" s="145">
        <v>0.20445759904980682</v>
      </c>
      <c r="G157" s="145">
        <v>1.9203385764215021E-3</v>
      </c>
      <c r="H157" s="517">
        <v>2.0000009999999999E-3</v>
      </c>
      <c r="I157" s="517">
        <v>1.5750005000000001E-2</v>
      </c>
      <c r="J157" s="148">
        <v>2.0795880655026101E-3</v>
      </c>
      <c r="K157" s="518">
        <v>1.8022129468484038E-4</v>
      </c>
      <c r="L157" s="519">
        <v>1.8837010564626551E-4</v>
      </c>
    </row>
    <row r="158" spans="1:12" ht="15.5" x14ac:dyDescent="0.35">
      <c r="A158" s="143" t="s">
        <v>815</v>
      </c>
      <c r="B158" s="229">
        <v>2020</v>
      </c>
      <c r="C158" s="514" t="s">
        <v>1090</v>
      </c>
      <c r="D158" s="515">
        <v>3.8924704682464804E-2</v>
      </c>
      <c r="E158" s="516">
        <v>3.5815648691317266E-2</v>
      </c>
      <c r="F158" s="145">
        <v>0.17901701598336575</v>
      </c>
      <c r="G158" s="145">
        <v>1.81715794265409E-3</v>
      </c>
      <c r="H158" s="517">
        <v>2.0000009999999999E-3</v>
      </c>
      <c r="I158" s="517">
        <v>1.5750005000000001E-2</v>
      </c>
      <c r="J158" s="148">
        <v>1.9684958088194409E-3</v>
      </c>
      <c r="K158" s="518">
        <v>1.6396399939043772E-4</v>
      </c>
      <c r="L158" s="519">
        <v>1.713777235708275E-4</v>
      </c>
    </row>
    <row r="159" spans="1:12" ht="15.5" x14ac:dyDescent="0.35">
      <c r="A159" s="143" t="s">
        <v>815</v>
      </c>
      <c r="B159" s="229">
        <v>2021</v>
      </c>
      <c r="C159" s="514" t="s">
        <v>1091</v>
      </c>
      <c r="D159" s="515">
        <v>3.773895184964262E-2</v>
      </c>
      <c r="E159" s="516">
        <v>3.1072109049580472E-2</v>
      </c>
      <c r="F159" s="145">
        <v>0.15647195326939456</v>
      </c>
      <c r="G159" s="145">
        <v>1.698333612787023E-3</v>
      </c>
      <c r="H159" s="517">
        <v>2.0000009999999999E-3</v>
      </c>
      <c r="I159" s="517">
        <v>1.5750005000000004E-2</v>
      </c>
      <c r="J159" s="148">
        <v>1.8400258962509193E-3</v>
      </c>
      <c r="K159" s="518">
        <v>1.5129700527211136E-4</v>
      </c>
      <c r="L159" s="519">
        <v>1.5813798651761419E-4</v>
      </c>
    </row>
    <row r="160" spans="1:12" ht="15.5" x14ac:dyDescent="0.35">
      <c r="A160" s="143" t="s">
        <v>815</v>
      </c>
      <c r="B160" s="229">
        <v>2022</v>
      </c>
      <c r="C160" s="514" t="s">
        <v>1092</v>
      </c>
      <c r="D160" s="515">
        <v>3.6553657030012815E-2</v>
      </c>
      <c r="E160" s="516">
        <v>2.6007068700484082E-2</v>
      </c>
      <c r="F160" s="145">
        <v>0.13549794325505593</v>
      </c>
      <c r="G160" s="145">
        <v>1.5802706955311957E-3</v>
      </c>
      <c r="H160" s="517">
        <v>2.0000009999999999E-3</v>
      </c>
      <c r="I160" s="517">
        <v>1.5750005000000001E-2</v>
      </c>
      <c r="J160" s="148">
        <v>1.7125834099628019E-3</v>
      </c>
      <c r="K160" s="518">
        <v>1.3906745231951977E-4</v>
      </c>
      <c r="L160" s="519">
        <v>1.453554627211049E-4</v>
      </c>
    </row>
    <row r="161" spans="1:12" ht="15.5" x14ac:dyDescent="0.35">
      <c r="A161" s="143" t="s">
        <v>815</v>
      </c>
      <c r="B161" s="229">
        <v>2023</v>
      </c>
      <c r="C161" s="514" t="s">
        <v>1093</v>
      </c>
      <c r="D161" s="515">
        <v>3.5382727889690609E-2</v>
      </c>
      <c r="E161" s="516">
        <v>2.2568016047253423E-2</v>
      </c>
      <c r="F161" s="145">
        <v>0.11860191811538763</v>
      </c>
      <c r="G161" s="145">
        <v>1.4707592422162981E-3</v>
      </c>
      <c r="H161" s="517">
        <v>2.0000010000000004E-3</v>
      </c>
      <c r="I161" s="517">
        <v>1.5750005000000001E-2</v>
      </c>
      <c r="J161" s="148">
        <v>1.5941774571456781E-3</v>
      </c>
      <c r="K161" s="518">
        <v>1.2480275450945649E-4</v>
      </c>
      <c r="L161" s="519">
        <v>1.3044578555457406E-4</v>
      </c>
    </row>
    <row r="162" spans="1:12" ht="15.5" x14ac:dyDescent="0.35">
      <c r="A162" s="143" t="s">
        <v>815</v>
      </c>
      <c r="B162" s="229">
        <v>2024</v>
      </c>
      <c r="C162" s="514" t="s">
        <v>1094</v>
      </c>
      <c r="D162" s="515">
        <v>3.4228424481763921E-2</v>
      </c>
      <c r="E162" s="516">
        <v>1.953605863047125E-2</v>
      </c>
      <c r="F162" s="145">
        <v>0.10383249927065757</v>
      </c>
      <c r="G162" s="145">
        <v>1.3642418271090633E-3</v>
      </c>
      <c r="H162" s="517">
        <v>2.0000009999999999E-3</v>
      </c>
      <c r="I162" s="517">
        <v>1.5750005000000001E-2</v>
      </c>
      <c r="J162" s="148">
        <v>1.4791987481382444E-3</v>
      </c>
      <c r="K162" s="518">
        <v>1.0641617995488748E-4</v>
      </c>
      <c r="L162" s="519">
        <v>1.1122784897377238E-4</v>
      </c>
    </row>
    <row r="163" spans="1:12" ht="15.5" x14ac:dyDescent="0.35">
      <c r="A163" s="143" t="s">
        <v>815</v>
      </c>
      <c r="B163" s="229">
        <v>2025</v>
      </c>
      <c r="C163" s="514" t="s">
        <v>1095</v>
      </c>
      <c r="D163" s="515">
        <v>3.3102736153435099E-2</v>
      </c>
      <c r="E163" s="516">
        <v>1.716378268182844E-2</v>
      </c>
      <c r="F163" s="145">
        <v>9.202426185106137E-2</v>
      </c>
      <c r="G163" s="145">
        <v>1.2861068128172941E-3</v>
      </c>
      <c r="H163" s="517">
        <v>2.0000009999999999E-3</v>
      </c>
      <c r="I163" s="517">
        <v>1.5750005000000001E-2</v>
      </c>
      <c r="J163" s="148">
        <v>1.3946005749904105E-3</v>
      </c>
      <c r="K163" s="518">
        <v>9.8034717076127349E-5</v>
      </c>
      <c r="L163" s="519">
        <v>1.0246741077231535E-4</v>
      </c>
    </row>
    <row r="164" spans="1:12" ht="15.5" x14ac:dyDescent="0.35">
      <c r="A164" s="143" t="s">
        <v>815</v>
      </c>
      <c r="B164" s="229">
        <v>2026</v>
      </c>
      <c r="C164" s="514" t="s">
        <v>1096</v>
      </c>
      <c r="D164" s="515">
        <v>3.2058157626956768E-2</v>
      </c>
      <c r="E164" s="516">
        <v>1.5135216184055991E-2</v>
      </c>
      <c r="F164" s="145">
        <v>8.2082281196123458E-2</v>
      </c>
      <c r="G164" s="145">
        <v>1.2153884525242882E-3</v>
      </c>
      <c r="H164" s="517">
        <v>2.0000009999999995E-3</v>
      </c>
      <c r="I164" s="517">
        <v>1.5750004999999997E-2</v>
      </c>
      <c r="J164" s="148">
        <v>1.3180792985437422E-3</v>
      </c>
      <c r="K164" s="518">
        <v>8.8862348863333733E-5</v>
      </c>
      <c r="L164" s="519">
        <v>9.2880311718655261E-5</v>
      </c>
    </row>
    <row r="165" spans="1:12" ht="15.5" x14ac:dyDescent="0.35">
      <c r="A165" s="143" t="s">
        <v>815</v>
      </c>
      <c r="B165" s="229">
        <v>2027</v>
      </c>
      <c r="C165" s="514" t="s">
        <v>1097</v>
      </c>
      <c r="D165" s="515">
        <v>3.1086052288078328E-2</v>
      </c>
      <c r="E165" s="516">
        <v>1.3360415756893609E-2</v>
      </c>
      <c r="F165" s="145">
        <v>7.3377624858455406E-2</v>
      </c>
      <c r="G165" s="145">
        <v>1.1392375837557265E-3</v>
      </c>
      <c r="H165" s="517">
        <v>2.0000009999999999E-3</v>
      </c>
      <c r="I165" s="517">
        <v>1.5750005000000001E-2</v>
      </c>
      <c r="J165" s="148">
        <v>1.2357809955973928E-3</v>
      </c>
      <c r="K165" s="518">
        <v>7.6550677545758367E-5</v>
      </c>
      <c r="L165" s="519">
        <v>8.0011952285385276E-5</v>
      </c>
    </row>
    <row r="166" spans="1:12" ht="15.5" x14ac:dyDescent="0.35">
      <c r="A166" s="143" t="s">
        <v>815</v>
      </c>
      <c r="B166" s="229">
        <v>2028</v>
      </c>
      <c r="C166" s="514" t="s">
        <v>1098</v>
      </c>
      <c r="D166" s="515">
        <v>3.0195421843273479E-2</v>
      </c>
      <c r="E166" s="516">
        <v>1.1831560749219729E-2</v>
      </c>
      <c r="F166" s="145">
        <v>6.5729477820099524E-2</v>
      </c>
      <c r="G166" s="145">
        <v>1.0582275352749063E-3</v>
      </c>
      <c r="H166" s="517">
        <v>2.0000009999999999E-3</v>
      </c>
      <c r="I166" s="517">
        <v>1.5750005000000001E-2</v>
      </c>
      <c r="J166" s="148">
        <v>1.1482452346450269E-3</v>
      </c>
      <c r="K166" s="518">
        <v>6.3100722565710257E-5</v>
      </c>
      <c r="L166" s="519">
        <v>6.5953851452158261E-5</v>
      </c>
    </row>
    <row r="167" spans="1:12" ht="15.5" x14ac:dyDescent="0.35">
      <c r="A167" s="143" t="s">
        <v>815</v>
      </c>
      <c r="B167" s="229">
        <v>2029</v>
      </c>
      <c r="C167" s="514" t="s">
        <v>1099</v>
      </c>
      <c r="D167" s="515">
        <v>2.9383256638276435E-2</v>
      </c>
      <c r="E167" s="516">
        <v>1.0444700432197796E-2</v>
      </c>
      <c r="F167" s="145">
        <v>5.8873093462620429E-2</v>
      </c>
      <c r="G167" s="145">
        <v>9.8372944772736736E-4</v>
      </c>
      <c r="H167" s="517">
        <v>2.0000009999999995E-3</v>
      </c>
      <c r="I167" s="517">
        <v>1.5750005000000001E-2</v>
      </c>
      <c r="J167" s="148">
        <v>1.0675785914133118E-3</v>
      </c>
      <c r="K167" s="518">
        <v>5.4673653459665119E-5</v>
      </c>
      <c r="L167" s="519">
        <v>5.7145759922016924E-5</v>
      </c>
    </row>
    <row r="168" spans="1:12" ht="15.5" x14ac:dyDescent="0.35">
      <c r="A168" s="143" t="s">
        <v>815</v>
      </c>
      <c r="B168" s="229">
        <v>2030</v>
      </c>
      <c r="C168" s="514" t="s">
        <v>1100</v>
      </c>
      <c r="D168" s="515">
        <v>2.8648109829054601E-2</v>
      </c>
      <c r="E168" s="516">
        <v>9.2596527120930271E-3</v>
      </c>
      <c r="F168" s="145">
        <v>5.2906078848632729E-2</v>
      </c>
      <c r="G168" s="145">
        <v>9.1131127825622594E-4</v>
      </c>
      <c r="H168" s="517">
        <v>2.0000009999999999E-3</v>
      </c>
      <c r="I168" s="517">
        <v>1.5750005000000001E-2</v>
      </c>
      <c r="J168" s="148">
        <v>9.8917632243834775E-4</v>
      </c>
      <c r="K168" s="518">
        <v>4.6197459219311434E-5</v>
      </c>
      <c r="L168" s="519">
        <v>4.8286302817191418E-5</v>
      </c>
    </row>
    <row r="169" spans="1:12" ht="15.5" x14ac:dyDescent="0.35">
      <c r="A169" s="143" t="s">
        <v>815</v>
      </c>
      <c r="B169" s="229">
        <v>2031</v>
      </c>
      <c r="C169" s="514" t="s">
        <v>1101</v>
      </c>
      <c r="D169" s="515">
        <v>2.799063794497568E-2</v>
      </c>
      <c r="E169" s="516">
        <v>8.2277069044746545E-3</v>
      </c>
      <c r="F169" s="145">
        <v>4.7690473492768636E-2</v>
      </c>
      <c r="G169" s="145">
        <v>8.4700783925702541E-4</v>
      </c>
      <c r="H169" s="517">
        <v>2.0000009999999999E-3</v>
      </c>
      <c r="I169" s="517">
        <v>1.5750005000000001E-2</v>
      </c>
      <c r="J169" s="148">
        <v>9.1945279677170132E-4</v>
      </c>
      <c r="K169" s="518">
        <v>4.1183213566261743E-5</v>
      </c>
      <c r="L169" s="519">
        <v>4.3045335416892766E-5</v>
      </c>
    </row>
    <row r="170" spans="1:12" ht="15.5" x14ac:dyDescent="0.35">
      <c r="A170" s="143" t="s">
        <v>815</v>
      </c>
      <c r="B170" s="229">
        <v>2032</v>
      </c>
      <c r="C170" s="514" t="s">
        <v>1102</v>
      </c>
      <c r="D170" s="515">
        <v>2.7406248982480286E-2</v>
      </c>
      <c r="E170" s="516">
        <v>7.3492044321051605E-3</v>
      </c>
      <c r="F170" s="145">
        <v>4.3393539755890283E-2</v>
      </c>
      <c r="G170" s="145">
        <v>7.8834917947702258E-4</v>
      </c>
      <c r="H170" s="517">
        <v>2.0000010000000004E-3</v>
      </c>
      <c r="I170" s="517">
        <v>1.5750005000000004E-2</v>
      </c>
      <c r="J170" s="148">
        <v>8.5586215841223156E-4</v>
      </c>
      <c r="K170" s="518">
        <v>3.6329371466163199E-5</v>
      </c>
      <c r="L170" s="519">
        <v>3.7972024791972357E-5</v>
      </c>
    </row>
    <row r="171" spans="1:12" ht="15.5" x14ac:dyDescent="0.35">
      <c r="A171" s="143" t="s">
        <v>815</v>
      </c>
      <c r="B171" s="229">
        <v>2033</v>
      </c>
      <c r="C171" s="514" t="s">
        <v>1103</v>
      </c>
      <c r="D171" s="515">
        <v>2.6885843267295581E-2</v>
      </c>
      <c r="E171" s="516">
        <v>6.5718120771249694E-3</v>
      </c>
      <c r="F171" s="145">
        <v>3.963878095669341E-2</v>
      </c>
      <c r="G171" s="145">
        <v>7.3578882803448432E-4</v>
      </c>
      <c r="H171" s="517">
        <v>2.0000009999999999E-3</v>
      </c>
      <c r="I171" s="517">
        <v>1.5750005000000001E-2</v>
      </c>
      <c r="J171" s="148">
        <v>7.9881347764101354E-4</v>
      </c>
      <c r="K171" s="518">
        <v>3.3616436011489688E-5</v>
      </c>
      <c r="L171" s="519">
        <v>3.5136422184581901E-5</v>
      </c>
    </row>
    <row r="172" spans="1:12" ht="15.5" x14ac:dyDescent="0.35">
      <c r="A172" s="143" t="s">
        <v>815</v>
      </c>
      <c r="B172" s="229">
        <v>2034</v>
      </c>
      <c r="C172" s="514" t="s">
        <v>1104</v>
      </c>
      <c r="D172" s="515">
        <v>2.6422648654055459E-2</v>
      </c>
      <c r="E172" s="516">
        <v>5.849795160232138E-3</v>
      </c>
      <c r="F172" s="145">
        <v>3.6274209417520957E-2</v>
      </c>
      <c r="G172" s="145">
        <v>6.8580814372188801E-4</v>
      </c>
      <c r="H172" s="517">
        <v>2.0000010000000004E-3</v>
      </c>
      <c r="I172" s="517">
        <v>1.5750005000000001E-2</v>
      </c>
      <c r="J172" s="148">
        <v>7.4460381569632845E-4</v>
      </c>
      <c r="K172" s="518">
        <v>3.0091820196155148E-5</v>
      </c>
      <c r="L172" s="519">
        <v>3.1452441031749983E-5</v>
      </c>
    </row>
    <row r="173" spans="1:12" ht="15.5" x14ac:dyDescent="0.35">
      <c r="A173" s="143" t="s">
        <v>815</v>
      </c>
      <c r="B173" s="229">
        <v>2035</v>
      </c>
      <c r="C173" s="514" t="s">
        <v>1105</v>
      </c>
      <c r="D173" s="515">
        <v>2.6013073050226557E-2</v>
      </c>
      <c r="E173" s="516">
        <v>5.197846514780234E-3</v>
      </c>
      <c r="F173" s="145">
        <v>3.3335178909048073E-2</v>
      </c>
      <c r="G173" s="145">
        <v>6.4057396152887125E-4</v>
      </c>
      <c r="H173" s="517">
        <v>2.0000009999999999E-3</v>
      </c>
      <c r="I173" s="517">
        <v>1.5750005000000001E-2</v>
      </c>
      <c r="J173" s="148">
        <v>6.9549305024914636E-4</v>
      </c>
      <c r="K173" s="518">
        <v>2.8068974284050724E-5</v>
      </c>
      <c r="L173" s="519">
        <v>2.9338123673598126E-5</v>
      </c>
    </row>
    <row r="174" spans="1:12" ht="15.5" x14ac:dyDescent="0.35">
      <c r="A174" s="143" t="s">
        <v>815</v>
      </c>
      <c r="B174" s="229">
        <v>2036</v>
      </c>
      <c r="C174" s="514" t="s">
        <v>1106</v>
      </c>
      <c r="D174" s="515">
        <v>2.5653861163397434E-2</v>
      </c>
      <c r="E174" s="516">
        <v>4.6210927001710794E-3</v>
      </c>
      <c r="F174" s="145">
        <v>3.0782311823134956E-2</v>
      </c>
      <c r="G174" s="145">
        <v>6.0382896300878051E-4</v>
      </c>
      <c r="H174" s="517">
        <v>2.0000009999999999E-3</v>
      </c>
      <c r="I174" s="517">
        <v>1.5750005000000004E-2</v>
      </c>
      <c r="J174" s="148">
        <v>6.5560494723329804E-4</v>
      </c>
      <c r="K174" s="518">
        <v>2.6292000672421925E-5</v>
      </c>
      <c r="L174" s="519">
        <v>2.7480808454385256E-5</v>
      </c>
    </row>
    <row r="175" spans="1:12" ht="15.5" x14ac:dyDescent="0.35">
      <c r="A175" s="143" t="s">
        <v>815</v>
      </c>
      <c r="B175" s="229">
        <v>2037</v>
      </c>
      <c r="C175" s="514" t="s">
        <v>1107</v>
      </c>
      <c r="D175" s="515">
        <v>2.5340574354401738E-2</v>
      </c>
      <c r="E175" s="516">
        <v>4.1141682575479141E-3</v>
      </c>
      <c r="F175" s="145">
        <v>2.8580918761278756E-2</v>
      </c>
      <c r="G175" s="145">
        <v>5.7056970148929573E-4</v>
      </c>
      <c r="H175" s="517">
        <v>2.0000009999999995E-3</v>
      </c>
      <c r="I175" s="517">
        <v>1.5750004999999997E-2</v>
      </c>
      <c r="J175" s="148">
        <v>6.1950894796590061E-4</v>
      </c>
      <c r="K175" s="518">
        <v>2.4472121870032253E-5</v>
      </c>
      <c r="L175" s="519">
        <v>2.5578640245165659E-5</v>
      </c>
    </row>
    <row r="176" spans="1:12" ht="15.5" x14ac:dyDescent="0.35">
      <c r="A176" s="143" t="s">
        <v>815</v>
      </c>
      <c r="B176" s="229">
        <v>2038</v>
      </c>
      <c r="C176" s="514" t="s">
        <v>1108</v>
      </c>
      <c r="D176" s="515">
        <v>2.506910697656865E-2</v>
      </c>
      <c r="E176" s="516">
        <v>3.6496548362576109E-3</v>
      </c>
      <c r="F176" s="145">
        <v>2.6530349872866454E-2</v>
      </c>
      <c r="G176" s="145">
        <v>5.4067669531637644E-4</v>
      </c>
      <c r="H176" s="517">
        <v>2.0000009999999999E-3</v>
      </c>
      <c r="I176" s="517">
        <v>1.5750005000000001E-2</v>
      </c>
      <c r="J176" s="148">
        <v>5.8705209458242687E-4</v>
      </c>
      <c r="K176" s="518">
        <v>2.3205539086040153E-5</v>
      </c>
      <c r="L176" s="519">
        <v>2.4254790852494737E-5</v>
      </c>
    </row>
    <row r="177" spans="1:12" ht="15.5" x14ac:dyDescent="0.35">
      <c r="A177" s="143" t="s">
        <v>815</v>
      </c>
      <c r="B177" s="229">
        <v>2039</v>
      </c>
      <c r="C177" s="514" t="s">
        <v>1109</v>
      </c>
      <c r="D177" s="515">
        <v>2.483038587834081E-2</v>
      </c>
      <c r="E177" s="516">
        <v>3.202615039145801E-3</v>
      </c>
      <c r="F177" s="145">
        <v>2.4565713170898475E-2</v>
      </c>
      <c r="G177" s="145">
        <v>5.1351792022649159E-4</v>
      </c>
      <c r="H177" s="517">
        <v>2.0000009999999995E-3</v>
      </c>
      <c r="I177" s="517">
        <v>1.5750005000000001E-2</v>
      </c>
      <c r="J177" s="148">
        <v>5.5755998383023853E-4</v>
      </c>
      <c r="K177" s="518">
        <v>2.2124070206118087E-5</v>
      </c>
      <c r="L177" s="519">
        <v>2.3124423922460003E-5</v>
      </c>
    </row>
    <row r="178" spans="1:12" ht="15.5" x14ac:dyDescent="0.35">
      <c r="A178" s="143" t="s">
        <v>815</v>
      </c>
      <c r="B178" s="229">
        <v>2040</v>
      </c>
      <c r="C178" s="514" t="s">
        <v>1110</v>
      </c>
      <c r="D178" s="515">
        <v>2.4623860741156307E-2</v>
      </c>
      <c r="E178" s="516">
        <v>2.8238989213047851E-3</v>
      </c>
      <c r="F178" s="145">
        <v>2.3067673532428602E-2</v>
      </c>
      <c r="G178" s="145">
        <v>4.8965269457307661E-4</v>
      </c>
      <c r="H178" s="517">
        <v>2.0000009999999999E-3</v>
      </c>
      <c r="I178" s="517">
        <v>1.5750005000000004E-2</v>
      </c>
      <c r="J178" s="148">
        <v>5.3164577926314335E-4</v>
      </c>
      <c r="K178" s="518">
        <v>2.1151293425417696E-5</v>
      </c>
      <c r="L178" s="519">
        <v>2.2107664542647012E-5</v>
      </c>
    </row>
    <row r="179" spans="1:12" ht="15.5" x14ac:dyDescent="0.35">
      <c r="A179" s="143" t="s">
        <v>815</v>
      </c>
      <c r="B179" s="229">
        <v>2041</v>
      </c>
      <c r="C179" s="514" t="s">
        <v>1111</v>
      </c>
      <c r="D179" s="515">
        <v>2.4444926862990966E-2</v>
      </c>
      <c r="E179" s="516">
        <v>2.4949440043010181E-3</v>
      </c>
      <c r="F179" s="145">
        <v>2.1732456858032455E-2</v>
      </c>
      <c r="G179" s="145">
        <v>4.7257847578554836E-4</v>
      </c>
      <c r="H179" s="517">
        <v>2.0000009999999995E-3</v>
      </c>
      <c r="I179" s="517">
        <v>1.5750005000000001E-2</v>
      </c>
      <c r="J179" s="148">
        <v>5.1311217324249655E-4</v>
      </c>
      <c r="K179" s="518">
        <v>2.0287715023420796E-5</v>
      </c>
      <c r="L179" s="519">
        <v>2.1205037498315309E-5</v>
      </c>
    </row>
    <row r="180" spans="1:12" ht="15.5" x14ac:dyDescent="0.35">
      <c r="A180" s="143" t="s">
        <v>815</v>
      </c>
      <c r="B180" s="229">
        <v>2042</v>
      </c>
      <c r="C180" s="514" t="s">
        <v>1112</v>
      </c>
      <c r="D180" s="515">
        <v>2.4286966659143948E-2</v>
      </c>
      <c r="E180" s="516">
        <v>2.2252624230099365E-3</v>
      </c>
      <c r="F180" s="145">
        <v>2.0593747740592298E-2</v>
      </c>
      <c r="G180" s="145">
        <v>4.5737599728317021E-4</v>
      </c>
      <c r="H180" s="517">
        <v>2.0000009999999999E-3</v>
      </c>
      <c r="I180" s="517">
        <v>1.5750005000000001E-2</v>
      </c>
      <c r="J180" s="148">
        <v>4.9661600548932792E-4</v>
      </c>
      <c r="K180" s="518">
        <v>1.9406318952982054E-5</v>
      </c>
      <c r="L180" s="519">
        <v>2.0283790689018324E-5</v>
      </c>
    </row>
    <row r="181" spans="1:12" ht="15.5" x14ac:dyDescent="0.35">
      <c r="A181" s="143" t="s">
        <v>815</v>
      </c>
      <c r="B181" s="229">
        <v>2043</v>
      </c>
      <c r="C181" s="514" t="s">
        <v>1113</v>
      </c>
      <c r="D181" s="515">
        <v>2.4147439373988132E-2</v>
      </c>
      <c r="E181" s="516">
        <v>2.0200271658153369E-3</v>
      </c>
      <c r="F181" s="145">
        <v>1.9698887768513199E-2</v>
      </c>
      <c r="G181" s="145">
        <v>4.4399612846571349E-4</v>
      </c>
      <c r="H181" s="517">
        <v>2.0000009999999999E-3</v>
      </c>
      <c r="I181" s="517">
        <v>1.5750005000000001E-2</v>
      </c>
      <c r="J181" s="148">
        <v>4.820919211014787E-4</v>
      </c>
      <c r="K181" s="518">
        <v>1.8742678687538265E-5</v>
      </c>
      <c r="L181" s="519">
        <v>1.9590137615405966E-5</v>
      </c>
    </row>
    <row r="182" spans="1:12" ht="15.5" x14ac:dyDescent="0.35">
      <c r="A182" s="143" t="s">
        <v>815</v>
      </c>
      <c r="B182" s="229">
        <v>2044</v>
      </c>
      <c r="C182" s="514" t="s">
        <v>1114</v>
      </c>
      <c r="D182" s="515">
        <v>2.4025629875890232E-2</v>
      </c>
      <c r="E182" s="516">
        <v>1.8856416182856692E-3</v>
      </c>
      <c r="F182" s="145">
        <v>1.9073320691284073E-2</v>
      </c>
      <c r="G182" s="145">
        <v>4.3227836858790664E-4</v>
      </c>
      <c r="H182" s="517">
        <v>2.0000010000000004E-3</v>
      </c>
      <c r="I182" s="517">
        <v>1.5750004999999997E-2</v>
      </c>
      <c r="J182" s="148">
        <v>4.6937111148655523E-4</v>
      </c>
      <c r="K182" s="518">
        <v>1.8204436181510087E-5</v>
      </c>
      <c r="L182" s="519">
        <v>1.9027554411809152E-5</v>
      </c>
    </row>
    <row r="183" spans="1:12" ht="15.5" x14ac:dyDescent="0.35">
      <c r="A183" s="143" t="s">
        <v>815</v>
      </c>
      <c r="B183" s="229">
        <v>2045</v>
      </c>
      <c r="C183" s="514" t="s">
        <v>1115</v>
      </c>
      <c r="D183" s="515">
        <v>2.3914456510605812E-2</v>
      </c>
      <c r="E183" s="516">
        <v>1.8062439949612203E-3</v>
      </c>
      <c r="F183" s="145">
        <v>1.8662104085983441E-2</v>
      </c>
      <c r="G183" s="145">
        <v>4.2181199859107237E-4</v>
      </c>
      <c r="H183" s="517">
        <v>2.0000009999999999E-3</v>
      </c>
      <c r="I183" s="517">
        <v>1.5750005000000001E-2</v>
      </c>
      <c r="J183" s="148">
        <v>4.5800721037609433E-4</v>
      </c>
      <c r="K183" s="518">
        <v>1.7734927940724396E-5</v>
      </c>
      <c r="L183" s="519">
        <v>1.8536826003745739E-5</v>
      </c>
    </row>
    <row r="184" spans="1:12" ht="15.5" x14ac:dyDescent="0.35">
      <c r="A184" s="143" t="s">
        <v>815</v>
      </c>
      <c r="B184" s="229">
        <v>2046</v>
      </c>
      <c r="C184" s="514" t="s">
        <v>1116</v>
      </c>
      <c r="D184" s="515">
        <v>2.3819483103950836E-2</v>
      </c>
      <c r="E184" s="516">
        <v>1.7411391518181503E-3</v>
      </c>
      <c r="F184" s="145">
        <v>1.8343573848097931E-2</v>
      </c>
      <c r="G184" s="145">
        <v>4.1286856375821621E-4</v>
      </c>
      <c r="H184" s="517">
        <v>2.0000009999999995E-3</v>
      </c>
      <c r="I184" s="517">
        <v>1.5750004999999997E-2</v>
      </c>
      <c r="J184" s="148">
        <v>4.4829675103413207E-4</v>
      </c>
      <c r="K184" s="518">
        <v>1.7351924332680184E-5</v>
      </c>
      <c r="L184" s="519">
        <v>1.8136503544672014E-5</v>
      </c>
    </row>
    <row r="185" spans="1:12" ht="15.5" x14ac:dyDescent="0.35">
      <c r="A185" s="143" t="s">
        <v>815</v>
      </c>
      <c r="B185" s="229">
        <v>2047</v>
      </c>
      <c r="C185" s="514" t="s">
        <v>1117</v>
      </c>
      <c r="D185" s="515">
        <v>2.3737366375896306E-2</v>
      </c>
      <c r="E185" s="516">
        <v>1.6859636675122722E-3</v>
      </c>
      <c r="F185" s="145">
        <v>1.8072456888263883E-2</v>
      </c>
      <c r="G185" s="145">
        <v>4.0519349164499358E-4</v>
      </c>
      <c r="H185" s="517">
        <v>2.0000010000000004E-3</v>
      </c>
      <c r="I185" s="517">
        <v>1.5750005000000004E-2</v>
      </c>
      <c r="J185" s="148">
        <v>4.3996623123222051E-4</v>
      </c>
      <c r="K185" s="518">
        <v>1.6957244513314649E-5</v>
      </c>
      <c r="L185" s="519">
        <v>1.7723972377107991E-5</v>
      </c>
    </row>
    <row r="186" spans="1:12" ht="15.5" x14ac:dyDescent="0.35">
      <c r="A186" s="143" t="s">
        <v>815</v>
      </c>
      <c r="B186" s="229">
        <v>2048</v>
      </c>
      <c r="C186" s="514" t="s">
        <v>1118</v>
      </c>
      <c r="D186" s="515">
        <v>2.3664859636947824E-2</v>
      </c>
      <c r="E186" s="516">
        <v>1.6393397761060454E-3</v>
      </c>
      <c r="F186" s="145">
        <v>1.7838254656585367E-2</v>
      </c>
      <c r="G186" s="145">
        <v>3.9856399015939268E-4</v>
      </c>
      <c r="H186" s="517">
        <v>2.0000009999999999E-3</v>
      </c>
      <c r="I186" s="517">
        <v>1.5750005000000001E-2</v>
      </c>
      <c r="J186" s="148">
        <v>4.3277093686341705E-4</v>
      </c>
      <c r="K186" s="518">
        <v>1.6613181599299954E-5</v>
      </c>
      <c r="L186" s="519">
        <v>1.7364351163501664E-5</v>
      </c>
    </row>
    <row r="187" spans="1:12" ht="15.5" x14ac:dyDescent="0.35">
      <c r="A187" s="143" t="s">
        <v>815</v>
      </c>
      <c r="B187" s="229">
        <v>2049</v>
      </c>
      <c r="C187" s="514" t="s">
        <v>1119</v>
      </c>
      <c r="D187" s="515">
        <v>2.360310627381304E-2</v>
      </c>
      <c r="E187" s="516">
        <v>1.6235321496202253E-3</v>
      </c>
      <c r="F187" s="145">
        <v>1.783914905110582E-2</v>
      </c>
      <c r="G187" s="145">
        <v>3.947951624661044E-4</v>
      </c>
      <c r="H187" s="517">
        <v>2.0000010000000004E-3</v>
      </c>
      <c r="I187" s="517">
        <v>1.5750005000000001E-2</v>
      </c>
      <c r="J187" s="148">
        <v>4.2868041465524668E-4</v>
      </c>
      <c r="K187" s="518">
        <v>1.6410934658495718E-5</v>
      </c>
      <c r="L187" s="519">
        <v>1.7152959303735719E-5</v>
      </c>
    </row>
    <row r="188" spans="1:12" ht="15.5" x14ac:dyDescent="0.35">
      <c r="A188" s="143" t="s">
        <v>815</v>
      </c>
      <c r="B188" s="229">
        <v>2050</v>
      </c>
      <c r="C188" s="514" t="s">
        <v>1120</v>
      </c>
      <c r="D188" s="515">
        <v>2.3549707299791785E-2</v>
      </c>
      <c r="E188" s="516">
        <v>1.6101340718763419E-3</v>
      </c>
      <c r="F188" s="145">
        <v>1.784181637969286E-2</v>
      </c>
      <c r="G188" s="145">
        <v>3.916238147729001E-4</v>
      </c>
      <c r="H188" s="517">
        <v>2.0000010000000004E-3</v>
      </c>
      <c r="I188" s="517">
        <v>1.5750005000000004E-2</v>
      </c>
      <c r="J188" s="148">
        <v>4.2523891996356424E-4</v>
      </c>
      <c r="K188" s="518">
        <v>1.6221018177789846E-5</v>
      </c>
      <c r="L188" s="519">
        <v>1.6954460647388724E-5</v>
      </c>
    </row>
    <row r="189" spans="1:12" ht="15.5" x14ac:dyDescent="0.35">
      <c r="A189" s="143" t="s">
        <v>818</v>
      </c>
      <c r="B189" s="229">
        <v>2015</v>
      </c>
      <c r="C189" s="514" t="s">
        <v>819</v>
      </c>
      <c r="D189" s="515">
        <v>4.6472843740422543E-2</v>
      </c>
      <c r="E189" s="516">
        <v>8.5494605288095021E-2</v>
      </c>
      <c r="F189" s="145">
        <v>0.30518908319516641</v>
      </c>
      <c r="G189" s="145">
        <v>2.5735360969280237E-3</v>
      </c>
      <c r="H189" s="517">
        <v>2.0000009999999999E-3</v>
      </c>
      <c r="I189" s="517">
        <v>1.5750005000000001E-2</v>
      </c>
      <c r="J189" s="148">
        <v>2.7787773549588207E-3</v>
      </c>
      <c r="K189" s="518">
        <v>2.7861059666740607E-4</v>
      </c>
      <c r="L189" s="519">
        <v>2.9120813359364759E-4</v>
      </c>
    </row>
    <row r="190" spans="1:12" ht="15.5" x14ac:dyDescent="0.35">
      <c r="A190" s="143" t="s">
        <v>818</v>
      </c>
      <c r="B190" s="229">
        <v>2016</v>
      </c>
      <c r="C190" s="514" t="s">
        <v>820</v>
      </c>
      <c r="D190" s="515">
        <v>4.5754467169005185E-2</v>
      </c>
      <c r="E190" s="516">
        <v>7.1451637683814906E-2</v>
      </c>
      <c r="F190" s="145">
        <v>0.26222091085063148</v>
      </c>
      <c r="G190" s="145">
        <v>2.3652695265170796E-3</v>
      </c>
      <c r="H190" s="517">
        <v>2.0000009999999999E-3</v>
      </c>
      <c r="I190" s="517">
        <v>1.5750005000000004E-2</v>
      </c>
      <c r="J190" s="148">
        <v>2.5555615442029115E-3</v>
      </c>
      <c r="K190" s="518">
        <v>2.5680687560979257E-4</v>
      </c>
      <c r="L190" s="519">
        <v>2.6841854069661127E-4</v>
      </c>
    </row>
    <row r="191" spans="1:12" ht="15.5" x14ac:dyDescent="0.35">
      <c r="A191" s="143" t="s">
        <v>818</v>
      </c>
      <c r="B191" s="229">
        <v>2017</v>
      </c>
      <c r="C191" s="514" t="s">
        <v>1121</v>
      </c>
      <c r="D191" s="515">
        <v>4.4606160064638044E-2</v>
      </c>
      <c r="E191" s="516">
        <v>5.8946339237389497E-2</v>
      </c>
      <c r="F191" s="145">
        <v>0.22506316755077346</v>
      </c>
      <c r="G191" s="145">
        <v>2.2015886504264588E-3</v>
      </c>
      <c r="H191" s="517">
        <v>2.0000009999999999E-3</v>
      </c>
      <c r="I191" s="517">
        <v>1.5750005000000001E-2</v>
      </c>
      <c r="J191" s="148">
        <v>2.3805697895320603E-3</v>
      </c>
      <c r="K191" s="518">
        <v>2.3288620559888009E-4</v>
      </c>
      <c r="L191" s="519">
        <v>2.4341628544311417E-4</v>
      </c>
    </row>
    <row r="192" spans="1:12" ht="15.5" x14ac:dyDescent="0.35">
      <c r="A192" s="143" t="s">
        <v>818</v>
      </c>
      <c r="B192" s="229">
        <v>2018</v>
      </c>
      <c r="C192" s="514" t="s">
        <v>1122</v>
      </c>
      <c r="D192" s="515">
        <v>4.3388870147189708E-2</v>
      </c>
      <c r="E192" s="516">
        <v>4.8263281647497824E-2</v>
      </c>
      <c r="F192" s="145">
        <v>0.19226073396650833</v>
      </c>
      <c r="G192" s="145">
        <v>2.0850101924484638E-3</v>
      </c>
      <c r="H192" s="517">
        <v>2.0000009999999995E-3</v>
      </c>
      <c r="I192" s="517">
        <v>1.5750005000000001E-2</v>
      </c>
      <c r="J192" s="148">
        <v>2.2562236760609367E-3</v>
      </c>
      <c r="K192" s="518">
        <v>2.1225863189713604E-4</v>
      </c>
      <c r="L192" s="519">
        <v>2.2185602197616802E-4</v>
      </c>
    </row>
    <row r="193" spans="1:12" ht="15.5" x14ac:dyDescent="0.35">
      <c r="A193" s="143" t="s">
        <v>818</v>
      </c>
      <c r="B193" s="229">
        <v>2019</v>
      </c>
      <c r="C193" s="514" t="s">
        <v>1123</v>
      </c>
      <c r="D193" s="515">
        <v>4.2117348817344892E-2</v>
      </c>
      <c r="E193" s="516">
        <v>3.891548526255828E-2</v>
      </c>
      <c r="F193" s="145">
        <v>0.1636359012854908</v>
      </c>
      <c r="G193" s="145">
        <v>1.9906891849833705E-3</v>
      </c>
      <c r="H193" s="517">
        <v>2.0000009999999999E-3</v>
      </c>
      <c r="I193" s="517">
        <v>1.5750005000000001E-2</v>
      </c>
      <c r="J193" s="148">
        <v>2.155837463361134E-3</v>
      </c>
      <c r="K193" s="518">
        <v>1.9115416321119686E-4</v>
      </c>
      <c r="L193" s="519">
        <v>1.9979730493664065E-4</v>
      </c>
    </row>
    <row r="194" spans="1:12" ht="15.5" x14ac:dyDescent="0.35">
      <c r="A194" s="143" t="s">
        <v>818</v>
      </c>
      <c r="B194" s="229">
        <v>2020</v>
      </c>
      <c r="C194" s="514" t="s">
        <v>1124</v>
      </c>
      <c r="D194" s="515">
        <v>4.0824514564618886E-2</v>
      </c>
      <c r="E194" s="516">
        <v>3.2527842649594782E-2</v>
      </c>
      <c r="F194" s="145">
        <v>0.1402500613724692</v>
      </c>
      <c r="G194" s="145">
        <v>1.9020834875096656E-3</v>
      </c>
      <c r="H194" s="517">
        <v>2.0000010000000004E-3</v>
      </c>
      <c r="I194" s="517">
        <v>1.5750005000000001E-2</v>
      </c>
      <c r="J194" s="148">
        <v>2.0605458380215792E-3</v>
      </c>
      <c r="K194" s="518">
        <v>1.7562381586021304E-4</v>
      </c>
      <c r="L194" s="519">
        <v>1.8356474977097349E-4</v>
      </c>
    </row>
    <row r="195" spans="1:12" ht="15.5" x14ac:dyDescent="0.35">
      <c r="A195" s="143" t="s">
        <v>818</v>
      </c>
      <c r="B195" s="229">
        <v>2021</v>
      </c>
      <c r="C195" s="514" t="s">
        <v>1125</v>
      </c>
      <c r="D195" s="515">
        <v>3.9572393331734443E-2</v>
      </c>
      <c r="E195" s="516">
        <v>2.7875004058515753E-2</v>
      </c>
      <c r="F195" s="145">
        <v>0.12039647427300744</v>
      </c>
      <c r="G195" s="145">
        <v>1.8047708570294006E-3</v>
      </c>
      <c r="H195" s="517">
        <v>2.0000010000000004E-3</v>
      </c>
      <c r="I195" s="517">
        <v>1.5750005000000004E-2</v>
      </c>
      <c r="J195" s="148">
        <v>1.9556766931114818E-3</v>
      </c>
      <c r="K195" s="518">
        <v>1.5745897454809313E-4</v>
      </c>
      <c r="L195" s="519">
        <v>1.6457857026374928E-4</v>
      </c>
    </row>
    <row r="196" spans="1:12" ht="15.5" x14ac:dyDescent="0.35">
      <c r="A196" s="143" t="s">
        <v>818</v>
      </c>
      <c r="B196" s="229">
        <v>2022</v>
      </c>
      <c r="C196" s="514" t="s">
        <v>1126</v>
      </c>
      <c r="D196" s="515">
        <v>3.8276781381696476E-2</v>
      </c>
      <c r="E196" s="516">
        <v>2.2942431631587185E-2</v>
      </c>
      <c r="F196" s="145">
        <v>0.1026340877489882</v>
      </c>
      <c r="G196" s="145">
        <v>1.6966314313509238E-3</v>
      </c>
      <c r="H196" s="517">
        <v>2.0000009999999999E-3</v>
      </c>
      <c r="I196" s="517">
        <v>1.5750005000000001E-2</v>
      </c>
      <c r="J196" s="148">
        <v>1.8390829632111963E-3</v>
      </c>
      <c r="K196" s="518">
        <v>1.4216679231476937E-4</v>
      </c>
      <c r="L196" s="519">
        <v>1.4859494306032419E-4</v>
      </c>
    </row>
    <row r="197" spans="1:12" ht="15.5" x14ac:dyDescent="0.35">
      <c r="A197" s="143" t="s">
        <v>818</v>
      </c>
      <c r="B197" s="229">
        <v>2023</v>
      </c>
      <c r="C197" s="514" t="s">
        <v>1127</v>
      </c>
      <c r="D197" s="515">
        <v>3.7001413123927109E-2</v>
      </c>
      <c r="E197" s="516">
        <v>1.963502659710456E-2</v>
      </c>
      <c r="F197" s="145">
        <v>8.8595938986474859E-2</v>
      </c>
      <c r="G197" s="145">
        <v>1.6003675225821309E-3</v>
      </c>
      <c r="H197" s="517">
        <v>2.0000009999999999E-3</v>
      </c>
      <c r="I197" s="517">
        <v>1.5750005000000001E-2</v>
      </c>
      <c r="J197" s="148">
        <v>1.7350669156237716E-3</v>
      </c>
      <c r="K197" s="518">
        <v>1.2749877109895173E-4</v>
      </c>
      <c r="L197" s="519">
        <v>1.3326369755406489E-4</v>
      </c>
    </row>
    <row r="198" spans="1:12" ht="15.5" x14ac:dyDescent="0.35">
      <c r="A198" s="143" t="s">
        <v>818</v>
      </c>
      <c r="B198" s="229">
        <v>2024</v>
      </c>
      <c r="C198" s="514" t="s">
        <v>1128</v>
      </c>
      <c r="D198" s="515">
        <v>3.5749291415299617E-2</v>
      </c>
      <c r="E198" s="516">
        <v>1.6800677433550504E-2</v>
      </c>
      <c r="F198" s="145">
        <v>7.6708477742252354E-2</v>
      </c>
      <c r="G198" s="145">
        <v>1.5113604509702746E-3</v>
      </c>
      <c r="H198" s="517">
        <v>2.0000009999999999E-3</v>
      </c>
      <c r="I198" s="517">
        <v>1.5750005000000001E-2</v>
      </c>
      <c r="J198" s="148">
        <v>1.6389764661236962E-3</v>
      </c>
      <c r="K198" s="518">
        <v>1.120089675110169E-4</v>
      </c>
      <c r="L198" s="519">
        <v>1.1707351632362724E-4</v>
      </c>
    </row>
    <row r="199" spans="1:12" ht="15.5" x14ac:dyDescent="0.35">
      <c r="A199" s="143" t="s">
        <v>818</v>
      </c>
      <c r="B199" s="229">
        <v>2025</v>
      </c>
      <c r="C199" s="514" t="s">
        <v>1129</v>
      </c>
      <c r="D199" s="515">
        <v>3.4529483080278124E-2</v>
      </c>
      <c r="E199" s="516">
        <v>1.4566485788422571E-2</v>
      </c>
      <c r="F199" s="145">
        <v>6.72857117706568E-2</v>
      </c>
      <c r="G199" s="145">
        <v>1.4410083799157401E-3</v>
      </c>
      <c r="H199" s="517">
        <v>2.0000009999999999E-3</v>
      </c>
      <c r="I199" s="517">
        <v>1.5750005000000004E-2</v>
      </c>
      <c r="J199" s="148">
        <v>1.5629398505325907E-3</v>
      </c>
      <c r="K199" s="518">
        <v>1.0113370542765852E-4</v>
      </c>
      <c r="L199" s="519">
        <v>1.0570652328937039E-4</v>
      </c>
    </row>
    <row r="200" spans="1:12" ht="15.5" x14ac:dyDescent="0.35">
      <c r="A200" s="143" t="s">
        <v>818</v>
      </c>
      <c r="B200" s="229">
        <v>2026</v>
      </c>
      <c r="C200" s="514" t="s">
        <v>1130</v>
      </c>
      <c r="D200" s="515">
        <v>3.3406424435889225E-2</v>
      </c>
      <c r="E200" s="516">
        <v>1.2718779544656706E-2</v>
      </c>
      <c r="F200" s="145">
        <v>5.9590017661397814E-2</v>
      </c>
      <c r="G200" s="145">
        <v>1.3705021777443483E-3</v>
      </c>
      <c r="H200" s="517">
        <v>2.0000009999999995E-3</v>
      </c>
      <c r="I200" s="517">
        <v>1.5750005000000001E-2</v>
      </c>
      <c r="J200" s="148">
        <v>1.4868181058508433E-3</v>
      </c>
      <c r="K200" s="518">
        <v>8.7950186092928349E-5</v>
      </c>
      <c r="L200" s="519">
        <v>9.1926907994711009E-5</v>
      </c>
    </row>
    <row r="201" spans="1:12" ht="15.5" x14ac:dyDescent="0.35">
      <c r="A201" s="143" t="s">
        <v>818</v>
      </c>
      <c r="B201" s="229">
        <v>2027</v>
      </c>
      <c r="C201" s="514" t="s">
        <v>1131</v>
      </c>
      <c r="D201" s="515">
        <v>3.2371986218079837E-2</v>
      </c>
      <c r="E201" s="516">
        <v>1.1150828429059859E-2</v>
      </c>
      <c r="F201" s="145">
        <v>5.3089661239021355E-2</v>
      </c>
      <c r="G201" s="145">
        <v>1.2909145105332092E-3</v>
      </c>
      <c r="H201" s="517">
        <v>2.0000009999999995E-3</v>
      </c>
      <c r="I201" s="517">
        <v>1.5750004999999997E-2</v>
      </c>
      <c r="J201" s="148">
        <v>1.4009616012853427E-3</v>
      </c>
      <c r="K201" s="518">
        <v>7.1398981217799337E-5</v>
      </c>
      <c r="L201" s="519">
        <v>7.4627329330014623E-5</v>
      </c>
    </row>
    <row r="202" spans="1:12" ht="15.5" x14ac:dyDescent="0.35">
      <c r="A202" s="143" t="s">
        <v>818</v>
      </c>
      <c r="B202" s="229">
        <v>2028</v>
      </c>
      <c r="C202" s="514" t="s">
        <v>1132</v>
      </c>
      <c r="D202" s="515">
        <v>3.1435505035283036E-2</v>
      </c>
      <c r="E202" s="516">
        <v>9.8668853672104467E-3</v>
      </c>
      <c r="F202" s="145">
        <v>4.7733436117184322E-2</v>
      </c>
      <c r="G202" s="145">
        <v>1.2089716149710189E-3</v>
      </c>
      <c r="H202" s="517">
        <v>2.0000009999999999E-3</v>
      </c>
      <c r="I202" s="517">
        <v>1.5750005000000001E-2</v>
      </c>
      <c r="J202" s="148">
        <v>1.3123932675644953E-3</v>
      </c>
      <c r="K202" s="518">
        <v>5.8369959656229878E-5</v>
      </c>
      <c r="L202" s="519">
        <v>6.1009188433463851E-5</v>
      </c>
    </row>
    <row r="203" spans="1:12" ht="15.5" x14ac:dyDescent="0.35">
      <c r="A203" s="143" t="s">
        <v>818</v>
      </c>
      <c r="B203" s="229">
        <v>2029</v>
      </c>
      <c r="C203" s="514" t="s">
        <v>1133</v>
      </c>
      <c r="D203" s="515">
        <v>3.0589641219208451E-2</v>
      </c>
      <c r="E203" s="516">
        <v>8.727696614716722E-3</v>
      </c>
      <c r="F203" s="145">
        <v>4.3077583200131775E-2</v>
      </c>
      <c r="G203" s="145">
        <v>1.1314865303055067E-3</v>
      </c>
      <c r="H203" s="517">
        <v>2.0000009999999999E-3</v>
      </c>
      <c r="I203" s="517">
        <v>1.5750005000000001E-2</v>
      </c>
      <c r="J203" s="148">
        <v>1.2284811333594966E-3</v>
      </c>
      <c r="K203" s="518">
        <v>4.9888215532260246E-5</v>
      </c>
      <c r="L203" s="519">
        <v>5.2143937788159057E-5</v>
      </c>
    </row>
    <row r="204" spans="1:12" ht="15.5" x14ac:dyDescent="0.35">
      <c r="A204" s="143" t="s">
        <v>818</v>
      </c>
      <c r="B204" s="229">
        <v>2030</v>
      </c>
      <c r="C204" s="514" t="s">
        <v>1134</v>
      </c>
      <c r="D204" s="515">
        <v>2.9832186148225741E-2</v>
      </c>
      <c r="E204" s="516">
        <v>7.7881043842132989E-3</v>
      </c>
      <c r="F204" s="145">
        <v>3.9215529207247836E-2</v>
      </c>
      <c r="G204" s="145">
        <v>1.0576378274654984E-3</v>
      </c>
      <c r="H204" s="517">
        <v>2.0000010000000004E-3</v>
      </c>
      <c r="I204" s="517">
        <v>1.5750005000000001E-2</v>
      </c>
      <c r="J204" s="148">
        <v>1.1484823251782577E-3</v>
      </c>
      <c r="K204" s="518">
        <v>4.2359987119090846E-5</v>
      </c>
      <c r="L204" s="519">
        <v>4.4275321458385842E-5</v>
      </c>
    </row>
    <row r="205" spans="1:12" ht="15.5" x14ac:dyDescent="0.35">
      <c r="A205" s="143" t="s">
        <v>818</v>
      </c>
      <c r="B205" s="229">
        <v>2031</v>
      </c>
      <c r="C205" s="514" t="s">
        <v>1135</v>
      </c>
      <c r="D205" s="515">
        <v>2.9156121240029125E-2</v>
      </c>
      <c r="E205" s="516">
        <v>6.9435297611338959E-3</v>
      </c>
      <c r="F205" s="145">
        <v>3.5768133656993127E-2</v>
      </c>
      <c r="G205" s="145">
        <v>9.8933910517852225E-4</v>
      </c>
      <c r="H205" s="517">
        <v>2.0000009999999999E-3</v>
      </c>
      <c r="I205" s="517">
        <v>1.5750005000000004E-2</v>
      </c>
      <c r="J205" s="148">
        <v>1.0743634283749937E-3</v>
      </c>
      <c r="K205" s="518">
        <v>3.8548458284087685E-5</v>
      </c>
      <c r="L205" s="519">
        <v>4.0291451465655731E-5</v>
      </c>
    </row>
    <row r="206" spans="1:12" ht="15.5" x14ac:dyDescent="0.35">
      <c r="A206" s="143" t="s">
        <v>818</v>
      </c>
      <c r="B206" s="229">
        <v>2032</v>
      </c>
      <c r="C206" s="514" t="s">
        <v>1136</v>
      </c>
      <c r="D206" s="515">
        <v>2.8558214858127557E-2</v>
      </c>
      <c r="E206" s="516">
        <v>6.2397287437063291E-3</v>
      </c>
      <c r="F206" s="145">
        <v>3.3022967433473396E-2</v>
      </c>
      <c r="G206" s="145">
        <v>9.2589713315294891E-4</v>
      </c>
      <c r="H206" s="517">
        <v>2.0000009999999995E-3</v>
      </c>
      <c r="I206" s="517">
        <v>1.5750005000000001E-2</v>
      </c>
      <c r="J206" s="148">
        <v>1.0055336141971511E-3</v>
      </c>
      <c r="K206" s="518">
        <v>3.4543785316225418E-5</v>
      </c>
      <c r="L206" s="519">
        <v>3.6105701458430445E-5</v>
      </c>
    </row>
    <row r="207" spans="1:12" ht="15.5" x14ac:dyDescent="0.35">
      <c r="A207" s="143" t="s">
        <v>818</v>
      </c>
      <c r="B207" s="229">
        <v>2033</v>
      </c>
      <c r="C207" s="514" t="s">
        <v>1137</v>
      </c>
      <c r="D207" s="515">
        <v>2.8029263646084775E-2</v>
      </c>
      <c r="E207" s="516">
        <v>5.6149578510165223E-3</v>
      </c>
      <c r="F207" s="145">
        <v>3.0639691807386522E-2</v>
      </c>
      <c r="G207" s="145">
        <v>8.6715985372394651E-4</v>
      </c>
      <c r="H207" s="517">
        <v>2.0000009999999995E-3</v>
      </c>
      <c r="I207" s="517">
        <v>1.5750005000000001E-2</v>
      </c>
      <c r="J207" s="148">
        <v>9.4176464469612341E-4</v>
      </c>
      <c r="K207" s="518">
        <v>3.1872701333786723E-5</v>
      </c>
      <c r="L207" s="519">
        <v>3.3313842049911682E-5</v>
      </c>
    </row>
    <row r="208" spans="1:12" ht="15.5" x14ac:dyDescent="0.35">
      <c r="A208" s="143" t="s">
        <v>818</v>
      </c>
      <c r="B208" s="229">
        <v>2034</v>
      </c>
      <c r="C208" s="514" t="s">
        <v>1138</v>
      </c>
      <c r="D208" s="515">
        <v>2.756363591945267E-2</v>
      </c>
      <c r="E208" s="516">
        <v>5.0453189214870577E-3</v>
      </c>
      <c r="F208" s="145">
        <v>2.8534487660799586E-2</v>
      </c>
      <c r="G208" s="145">
        <v>8.1209141236644159E-4</v>
      </c>
      <c r="H208" s="517">
        <v>2.0000009999999999E-3</v>
      </c>
      <c r="I208" s="517">
        <v>1.5750005000000001E-2</v>
      </c>
      <c r="J208" s="148">
        <v>8.8197324347024579E-4</v>
      </c>
      <c r="K208" s="518">
        <v>2.9511633872388652E-5</v>
      </c>
      <c r="L208" s="519">
        <v>3.0846018548724598E-5</v>
      </c>
    </row>
    <row r="209" spans="1:12" ht="15.5" x14ac:dyDescent="0.35">
      <c r="A209" s="143" t="s">
        <v>818</v>
      </c>
      <c r="B209" s="229">
        <v>2035</v>
      </c>
      <c r="C209" s="514" t="s">
        <v>1139</v>
      </c>
      <c r="D209" s="515">
        <v>2.7158170665162323E-2</v>
      </c>
      <c r="E209" s="516">
        <v>4.5488738269685693E-3</v>
      </c>
      <c r="F209" s="145">
        <v>2.6780183728805841E-2</v>
      </c>
      <c r="G209" s="145">
        <v>7.6152464507264284E-4</v>
      </c>
      <c r="H209" s="517">
        <v>2.0000009999999999E-3</v>
      </c>
      <c r="I209" s="517">
        <v>1.5750005000000001E-2</v>
      </c>
      <c r="J209" s="148">
        <v>8.270714165788223E-4</v>
      </c>
      <c r="K209" s="518">
        <v>2.7280618465146541E-5</v>
      </c>
      <c r="L209" s="519">
        <v>2.8514123790991182E-5</v>
      </c>
    </row>
    <row r="210" spans="1:12" ht="15.5" x14ac:dyDescent="0.35">
      <c r="A210" s="143" t="s">
        <v>818</v>
      </c>
      <c r="B210" s="229">
        <v>2036</v>
      </c>
      <c r="C210" s="514" t="s">
        <v>1140</v>
      </c>
      <c r="D210" s="515">
        <v>2.6806533408006521E-2</v>
      </c>
      <c r="E210" s="516">
        <v>4.112994045989255E-3</v>
      </c>
      <c r="F210" s="145">
        <v>2.5275781803840675E-2</v>
      </c>
      <c r="G210" s="145">
        <v>7.1822332720946453E-4</v>
      </c>
      <c r="H210" s="517">
        <v>2.0000009999999999E-3</v>
      </c>
      <c r="I210" s="517">
        <v>1.5750005000000001E-2</v>
      </c>
      <c r="J210" s="148">
        <v>7.8006181868779277E-4</v>
      </c>
      <c r="K210" s="518">
        <v>2.5280622875857895E-5</v>
      </c>
      <c r="L210" s="519">
        <v>2.642370038011032E-5</v>
      </c>
    </row>
    <row r="211" spans="1:12" ht="15.5" x14ac:dyDescent="0.35">
      <c r="A211" s="143" t="s">
        <v>818</v>
      </c>
      <c r="B211" s="229">
        <v>2037</v>
      </c>
      <c r="C211" s="514" t="s">
        <v>1141</v>
      </c>
      <c r="D211" s="515">
        <v>2.6505125101416546E-2</v>
      </c>
      <c r="E211" s="516">
        <v>3.7406960793678599E-3</v>
      </c>
      <c r="F211" s="145">
        <v>2.4037329182327122E-2</v>
      </c>
      <c r="G211" s="145">
        <v>6.7962475624878168E-4</v>
      </c>
      <c r="H211" s="517">
        <v>2.0000009999999999E-3</v>
      </c>
      <c r="I211" s="517">
        <v>1.5750005000000001E-2</v>
      </c>
      <c r="J211" s="148">
        <v>7.3814744621386185E-4</v>
      </c>
      <c r="K211" s="518">
        <v>2.3744028324349595E-5</v>
      </c>
      <c r="L211" s="519">
        <v>2.4817627932847781E-5</v>
      </c>
    </row>
    <row r="212" spans="1:12" ht="15.5" x14ac:dyDescent="0.35">
      <c r="A212" s="143" t="s">
        <v>818</v>
      </c>
      <c r="B212" s="229">
        <v>2038</v>
      </c>
      <c r="C212" s="514" t="s">
        <v>1142</v>
      </c>
      <c r="D212" s="515">
        <v>2.6248769358273846E-2</v>
      </c>
      <c r="E212" s="516">
        <v>3.4093054164584754E-3</v>
      </c>
      <c r="F212" s="145">
        <v>2.2940840885473941E-2</v>
      </c>
      <c r="G212" s="145">
        <v>6.4512292548600926E-4</v>
      </c>
      <c r="H212" s="517">
        <v>2.0000009999999999E-3</v>
      </c>
      <c r="I212" s="517">
        <v>1.5750005000000001E-2</v>
      </c>
      <c r="J212" s="148">
        <v>7.0067660133729746E-4</v>
      </c>
      <c r="K212" s="518">
        <v>2.2506144609033479E-5</v>
      </c>
      <c r="L212" s="519">
        <v>2.3523772873049666E-5</v>
      </c>
    </row>
    <row r="213" spans="1:12" ht="15.5" x14ac:dyDescent="0.35">
      <c r="A213" s="143" t="s">
        <v>818</v>
      </c>
      <c r="B213" s="229">
        <v>2039</v>
      </c>
      <c r="C213" s="514" t="s">
        <v>1143</v>
      </c>
      <c r="D213" s="515">
        <v>2.6029520032362322E-2</v>
      </c>
      <c r="E213" s="516">
        <v>3.0899490154417827E-3</v>
      </c>
      <c r="F213" s="145">
        <v>2.1886992287688929E-2</v>
      </c>
      <c r="G213" s="145">
        <v>6.1407979774483006E-4</v>
      </c>
      <c r="H213" s="517">
        <v>2.0000009999999999E-3</v>
      </c>
      <c r="I213" s="517">
        <v>1.5750005000000001E-2</v>
      </c>
      <c r="J213" s="148">
        <v>6.6695812720290808E-4</v>
      </c>
      <c r="K213" s="518">
        <v>2.1469265442648165E-5</v>
      </c>
      <c r="L213" s="519">
        <v>2.2440012860604311E-5</v>
      </c>
    </row>
    <row r="214" spans="1:12" ht="15.5" x14ac:dyDescent="0.35">
      <c r="A214" s="143" t="s">
        <v>818</v>
      </c>
      <c r="B214" s="229">
        <v>2040</v>
      </c>
      <c r="C214" s="514" t="s">
        <v>1144</v>
      </c>
      <c r="D214" s="515">
        <v>2.5844871369911034E-2</v>
      </c>
      <c r="E214" s="516">
        <v>2.8231007479136193E-3</v>
      </c>
      <c r="F214" s="145">
        <v>2.1086997811355687E-2</v>
      </c>
      <c r="G214" s="145">
        <v>5.8702428233530326E-4</v>
      </c>
      <c r="H214" s="517">
        <v>2.0000009999999999E-3</v>
      </c>
      <c r="I214" s="517">
        <v>1.5750005000000001E-2</v>
      </c>
      <c r="J214" s="148">
        <v>6.375713325329753E-4</v>
      </c>
      <c r="K214" s="518">
        <v>2.0544978315270173E-5</v>
      </c>
      <c r="L214" s="519">
        <v>2.1473930959370827E-5</v>
      </c>
    </row>
    <row r="215" spans="1:12" ht="15.5" x14ac:dyDescent="0.35">
      <c r="A215" s="143" t="s">
        <v>818</v>
      </c>
      <c r="B215" s="229">
        <v>2041</v>
      </c>
      <c r="C215" s="514" t="s">
        <v>1145</v>
      </c>
      <c r="D215" s="515">
        <v>2.5690605249382277E-2</v>
      </c>
      <c r="E215" s="516">
        <v>2.6127757729719719E-3</v>
      </c>
      <c r="F215" s="145">
        <v>2.042811633993857E-2</v>
      </c>
      <c r="G215" s="145">
        <v>5.6629462310316949E-4</v>
      </c>
      <c r="H215" s="517">
        <v>2.0000009999999999E-3</v>
      </c>
      <c r="I215" s="517">
        <v>1.5750005000000001E-2</v>
      </c>
      <c r="J215" s="148">
        <v>6.1505913207463079E-4</v>
      </c>
      <c r="K215" s="518">
        <v>1.9778515876706881E-5</v>
      </c>
      <c r="L215" s="519">
        <v>2.0672806552126141E-5</v>
      </c>
    </row>
    <row r="216" spans="1:12" ht="15.5" x14ac:dyDescent="0.35">
      <c r="A216" s="143" t="s">
        <v>818</v>
      </c>
      <c r="B216" s="229">
        <v>2042</v>
      </c>
      <c r="C216" s="514" t="s">
        <v>1146</v>
      </c>
      <c r="D216" s="515">
        <v>2.5559946157639284E-2</v>
      </c>
      <c r="E216" s="516">
        <v>2.43492210976758E-3</v>
      </c>
      <c r="F216" s="145">
        <v>1.9844117384344256E-2</v>
      </c>
      <c r="G216" s="145">
        <v>5.4856150586928009E-4</v>
      </c>
      <c r="H216" s="517">
        <v>2.0000009999999999E-3</v>
      </c>
      <c r="I216" s="517">
        <v>1.5750005000000001E-2</v>
      </c>
      <c r="J216" s="148">
        <v>5.9579790518675976E-4</v>
      </c>
      <c r="K216" s="518">
        <v>1.9187446623569777E-5</v>
      </c>
      <c r="L216" s="519">
        <v>2.0055010825544146E-5</v>
      </c>
    </row>
    <row r="217" spans="1:12" ht="15.5" x14ac:dyDescent="0.35">
      <c r="A217" s="143" t="s">
        <v>818</v>
      </c>
      <c r="B217" s="229">
        <v>2043</v>
      </c>
      <c r="C217" s="514" t="s">
        <v>1147</v>
      </c>
      <c r="D217" s="515">
        <v>2.5451350060455936E-2</v>
      </c>
      <c r="E217" s="516">
        <v>2.3050074468566033E-3</v>
      </c>
      <c r="F217" s="145">
        <v>1.9418962660149867E-2</v>
      </c>
      <c r="G217" s="145">
        <v>5.3353364007801358E-4</v>
      </c>
      <c r="H217" s="517">
        <v>2.0000009999999995E-3</v>
      </c>
      <c r="I217" s="517">
        <v>1.5750004999999997E-2</v>
      </c>
      <c r="J217" s="148">
        <v>5.7947378240098878E-4</v>
      </c>
      <c r="K217" s="518">
        <v>1.8711701320113583E-5</v>
      </c>
      <c r="L217" s="519">
        <v>1.9557764765887319E-5</v>
      </c>
    </row>
    <row r="218" spans="1:12" ht="15.5" x14ac:dyDescent="0.35">
      <c r="A218" s="143" t="s">
        <v>818</v>
      </c>
      <c r="B218" s="229">
        <v>2044</v>
      </c>
      <c r="C218" s="514" t="s">
        <v>1148</v>
      </c>
      <c r="D218" s="515">
        <v>2.5359522544236613E-2</v>
      </c>
      <c r="E218" s="516">
        <v>2.2089980384830026E-3</v>
      </c>
      <c r="F218" s="145">
        <v>1.9082688723675325E-2</v>
      </c>
      <c r="G218" s="145">
        <v>5.2075584533858323E-4</v>
      </c>
      <c r="H218" s="517">
        <v>2.0000009999999999E-3</v>
      </c>
      <c r="I218" s="517">
        <v>1.5750005000000001E-2</v>
      </c>
      <c r="J218" s="148">
        <v>5.6559342069358812E-4</v>
      </c>
      <c r="K218" s="518">
        <v>1.8315746378115806E-5</v>
      </c>
      <c r="L218" s="519">
        <v>1.914390175809953E-5</v>
      </c>
    </row>
    <row r="219" spans="1:12" ht="15.5" x14ac:dyDescent="0.35">
      <c r="A219" s="143" t="s">
        <v>818</v>
      </c>
      <c r="B219" s="229">
        <v>2045</v>
      </c>
      <c r="C219" s="514" t="s">
        <v>1149</v>
      </c>
      <c r="D219" s="515">
        <v>2.5281860286784707E-2</v>
      </c>
      <c r="E219" s="516">
        <v>2.1493217804611016E-3</v>
      </c>
      <c r="F219" s="145">
        <v>1.8878200872276294E-2</v>
      </c>
      <c r="G219" s="145">
        <v>5.1001324662228837E-4</v>
      </c>
      <c r="H219" s="517">
        <v>2.0000009999999999E-3</v>
      </c>
      <c r="I219" s="517">
        <v>1.5750005000000001E-2</v>
      </c>
      <c r="J219" s="148">
        <v>5.5392226880988558E-4</v>
      </c>
      <c r="K219" s="518">
        <v>1.8014288106999575E-5</v>
      </c>
      <c r="L219" s="519">
        <v>1.8828818958630267E-5</v>
      </c>
    </row>
    <row r="220" spans="1:12" ht="15.5" x14ac:dyDescent="0.35">
      <c r="A220" s="143" t="s">
        <v>818</v>
      </c>
      <c r="B220" s="229">
        <v>2046</v>
      </c>
      <c r="C220" s="514" t="s">
        <v>1150</v>
      </c>
      <c r="D220" s="515">
        <v>2.5216297347772702E-2</v>
      </c>
      <c r="E220" s="516">
        <v>2.0979963851881626E-3</v>
      </c>
      <c r="F220" s="145">
        <v>1.8709405596496632E-2</v>
      </c>
      <c r="G220" s="145">
        <v>5.0101256402191436E-4</v>
      </c>
      <c r="H220" s="517">
        <v>2.0000009999999999E-3</v>
      </c>
      <c r="I220" s="517">
        <v>1.5750005000000004E-2</v>
      </c>
      <c r="J220" s="148">
        <v>5.441457754349168E-4</v>
      </c>
      <c r="K220" s="518">
        <v>1.7731101537209667E-5</v>
      </c>
      <c r="L220" s="519">
        <v>1.8532825792558478E-5</v>
      </c>
    </row>
    <row r="221" spans="1:12" ht="15.5" x14ac:dyDescent="0.35">
      <c r="A221" s="143" t="s">
        <v>818</v>
      </c>
      <c r="B221" s="229">
        <v>2047</v>
      </c>
      <c r="C221" s="514" t="s">
        <v>1151</v>
      </c>
      <c r="D221" s="515">
        <v>2.5161686734360578E-2</v>
      </c>
      <c r="E221" s="516">
        <v>2.0532165161126492E-3</v>
      </c>
      <c r="F221" s="145">
        <v>1.8558730091699095E-2</v>
      </c>
      <c r="G221" s="145">
        <v>4.9361837833623336E-4</v>
      </c>
      <c r="H221" s="517">
        <v>2.0000009999999999E-3</v>
      </c>
      <c r="I221" s="517">
        <v>1.5750005000000001E-2</v>
      </c>
      <c r="J221" s="148">
        <v>5.3611235778876351E-4</v>
      </c>
      <c r="K221" s="518">
        <v>1.751305630797421E-5</v>
      </c>
      <c r="L221" s="519">
        <v>1.8304915770938739E-5</v>
      </c>
    </row>
    <row r="222" spans="1:12" ht="15.5" x14ac:dyDescent="0.35">
      <c r="A222" s="143" t="s">
        <v>818</v>
      </c>
      <c r="B222" s="229">
        <v>2048</v>
      </c>
      <c r="C222" s="514" t="s">
        <v>1152</v>
      </c>
      <c r="D222" s="515">
        <v>2.5116032937954925E-2</v>
      </c>
      <c r="E222" s="516">
        <v>2.017672696289512E-3</v>
      </c>
      <c r="F222" s="145">
        <v>1.8437395472168501E-2</v>
      </c>
      <c r="G222" s="145">
        <v>4.8757468583313112E-4</v>
      </c>
      <c r="H222" s="517">
        <v>2.0000010000000004E-3</v>
      </c>
      <c r="I222" s="517">
        <v>1.5750005000000004E-2</v>
      </c>
      <c r="J222" s="148">
        <v>5.2954838617790467E-4</v>
      </c>
      <c r="K222" s="518">
        <v>1.731700447009149E-5</v>
      </c>
      <c r="L222" s="519">
        <v>1.8100002631184905E-5</v>
      </c>
    </row>
    <row r="223" spans="1:12" ht="15.5" x14ac:dyDescent="0.35">
      <c r="A223" s="143" t="s">
        <v>818</v>
      </c>
      <c r="B223" s="229">
        <v>2049</v>
      </c>
      <c r="C223" s="514" t="s">
        <v>1153</v>
      </c>
      <c r="D223" s="515">
        <v>2.5076835965316287E-2</v>
      </c>
      <c r="E223" s="516">
        <v>2.0043571547844956E-3</v>
      </c>
      <c r="F223" s="145">
        <v>1.8438612394016236E-2</v>
      </c>
      <c r="G223" s="145">
        <v>4.8377330368562949E-4</v>
      </c>
      <c r="H223" s="517">
        <v>2.0000009999999999E-3</v>
      </c>
      <c r="I223" s="517">
        <v>1.5750005000000001E-2</v>
      </c>
      <c r="J223" s="148">
        <v>5.2542005312109267E-4</v>
      </c>
      <c r="K223" s="518">
        <v>1.717130174844073E-5</v>
      </c>
      <c r="L223" s="519">
        <v>1.7947710687802078E-5</v>
      </c>
    </row>
    <row r="224" spans="1:12" ht="15.5" x14ac:dyDescent="0.35">
      <c r="A224" s="143" t="s">
        <v>818</v>
      </c>
      <c r="B224" s="229">
        <v>2050</v>
      </c>
      <c r="C224" s="514" t="s">
        <v>1154</v>
      </c>
      <c r="D224" s="515">
        <v>2.5045534686515047E-2</v>
      </c>
      <c r="E224" s="516">
        <v>1.9939159415023173E-3</v>
      </c>
      <c r="F224" s="145">
        <v>1.8442287876353172E-2</v>
      </c>
      <c r="G224" s="145">
        <v>4.8071920528854262E-4</v>
      </c>
      <c r="H224" s="517">
        <v>2.0000009999999999E-3</v>
      </c>
      <c r="I224" s="517">
        <v>1.5750005000000001E-2</v>
      </c>
      <c r="J224" s="148">
        <v>5.2210487487477301E-4</v>
      </c>
      <c r="K224" s="518">
        <v>1.7024813316532637E-5</v>
      </c>
      <c r="L224" s="519">
        <v>1.7794596471975591E-5</v>
      </c>
    </row>
    <row r="225" spans="1:12" ht="15.5" x14ac:dyDescent="0.35">
      <c r="A225" s="143" t="s">
        <v>821</v>
      </c>
      <c r="B225" s="229">
        <v>2015</v>
      </c>
      <c r="C225" s="514" t="s">
        <v>822</v>
      </c>
      <c r="D225" s="515">
        <v>4.6634776217869343E-2</v>
      </c>
      <c r="E225" s="516">
        <v>0.10204053782448495</v>
      </c>
      <c r="F225" s="145">
        <v>0.35490876779939085</v>
      </c>
      <c r="G225" s="145">
        <v>3.2573399670467085E-3</v>
      </c>
      <c r="H225" s="517">
        <v>2.0000009999999999E-3</v>
      </c>
      <c r="I225" s="517">
        <v>1.5750005000000001E-2</v>
      </c>
      <c r="J225" s="148">
        <v>3.5159599343096027E-3</v>
      </c>
      <c r="K225" s="518">
        <v>4.0970788785525425E-4</v>
      </c>
      <c r="L225" s="519">
        <v>4.2823305435496408E-4</v>
      </c>
    </row>
    <row r="226" spans="1:12" ht="15.5" x14ac:dyDescent="0.35">
      <c r="A226" s="143" t="s">
        <v>821</v>
      </c>
      <c r="B226" s="229">
        <v>2016</v>
      </c>
      <c r="C226" s="514" t="s">
        <v>823</v>
      </c>
      <c r="D226" s="515">
        <v>4.5985201655706368E-2</v>
      </c>
      <c r="E226" s="516">
        <v>8.7634651114327597E-2</v>
      </c>
      <c r="F226" s="145">
        <v>0.31714742950098218</v>
      </c>
      <c r="G226" s="145">
        <v>2.9991826307406298E-3</v>
      </c>
      <c r="H226" s="517">
        <v>2.0000009999999999E-3</v>
      </c>
      <c r="I226" s="517">
        <v>1.5750005000000004E-2</v>
      </c>
      <c r="J226" s="148">
        <v>3.239736837280609E-3</v>
      </c>
      <c r="K226" s="518">
        <v>3.6295394101561955E-4</v>
      </c>
      <c r="L226" s="519">
        <v>3.7936511302753026E-4</v>
      </c>
    </row>
    <row r="227" spans="1:12" ht="15.5" x14ac:dyDescent="0.35">
      <c r="A227" s="143" t="s">
        <v>821</v>
      </c>
      <c r="B227" s="229">
        <v>2017</v>
      </c>
      <c r="C227" s="514" t="s">
        <v>1155</v>
      </c>
      <c r="D227" s="515">
        <v>4.4934629308310506E-2</v>
      </c>
      <c r="E227" s="516">
        <v>7.4272670297588189E-2</v>
      </c>
      <c r="F227" s="145">
        <v>0.28023180672855041</v>
      </c>
      <c r="G227" s="145">
        <v>2.8051929514948159E-3</v>
      </c>
      <c r="H227" s="517">
        <v>2.0000009999999999E-3</v>
      </c>
      <c r="I227" s="517">
        <v>1.5750004999999997E-2</v>
      </c>
      <c r="J227" s="148">
        <v>3.0323612209316032E-3</v>
      </c>
      <c r="K227" s="518">
        <v>3.3237284486662349E-4</v>
      </c>
      <c r="L227" s="519">
        <v>3.4740126888339271E-4</v>
      </c>
    </row>
    <row r="228" spans="1:12" ht="15.5" x14ac:dyDescent="0.35">
      <c r="A228" s="143" t="s">
        <v>821</v>
      </c>
      <c r="B228" s="229">
        <v>2018</v>
      </c>
      <c r="C228" s="514" t="s">
        <v>1156</v>
      </c>
      <c r="D228" s="515">
        <v>4.3813331395105348E-2</v>
      </c>
      <c r="E228" s="516">
        <v>6.2744665889937129E-2</v>
      </c>
      <c r="F228" s="145">
        <v>0.24650800299507075</v>
      </c>
      <c r="G228" s="145">
        <v>2.6520121498917245E-3</v>
      </c>
      <c r="H228" s="517">
        <v>2.0000009999999999E-3</v>
      </c>
      <c r="I228" s="517">
        <v>1.5750005000000001E-2</v>
      </c>
      <c r="J228" s="148">
        <v>2.8687580953261297E-3</v>
      </c>
      <c r="K228" s="518">
        <v>3.0340949883914044E-4</v>
      </c>
      <c r="L228" s="519">
        <v>3.1712832521160007E-4</v>
      </c>
    </row>
    <row r="229" spans="1:12" ht="15.5" x14ac:dyDescent="0.35">
      <c r="A229" s="143" t="s">
        <v>821</v>
      </c>
      <c r="B229" s="229">
        <v>2019</v>
      </c>
      <c r="C229" s="514" t="s">
        <v>1157</v>
      </c>
      <c r="D229" s="515">
        <v>4.2635178924203938E-2</v>
      </c>
      <c r="E229" s="516">
        <v>5.3040610297384799E-2</v>
      </c>
      <c r="F229" s="145">
        <v>0.21666666970867907</v>
      </c>
      <c r="G229" s="145">
        <v>2.5253838863040839E-3</v>
      </c>
      <c r="H229" s="517">
        <v>2.0000009999999995E-3</v>
      </c>
      <c r="I229" s="517">
        <v>1.5750005000000001E-2</v>
      </c>
      <c r="J229" s="148">
        <v>2.7334495420995265E-3</v>
      </c>
      <c r="K229" s="518">
        <v>2.7661807065304116E-4</v>
      </c>
      <c r="L229" s="519">
        <v>2.8912551838239858E-4</v>
      </c>
    </row>
    <row r="230" spans="1:12" ht="15.5" x14ac:dyDescent="0.35">
      <c r="A230" s="143" t="s">
        <v>821</v>
      </c>
      <c r="B230" s="229">
        <v>2020</v>
      </c>
      <c r="C230" s="514" t="s">
        <v>1158</v>
      </c>
      <c r="D230" s="515">
        <v>4.1423520575031215E-2</v>
      </c>
      <c r="E230" s="516">
        <v>4.596812143276989E-2</v>
      </c>
      <c r="F230" s="145">
        <v>0.19106281214735246</v>
      </c>
      <c r="G230" s="145">
        <v>2.3922978553139007E-3</v>
      </c>
      <c r="H230" s="517">
        <v>2.0000009999999999E-3</v>
      </c>
      <c r="I230" s="517">
        <v>1.5750005000000001E-2</v>
      </c>
      <c r="J230" s="148">
        <v>2.5903305023741866E-3</v>
      </c>
      <c r="K230" s="518">
        <v>2.4812653566826294E-4</v>
      </c>
      <c r="L230" s="519">
        <v>2.5934571922125413E-4</v>
      </c>
    </row>
    <row r="231" spans="1:12" ht="15.5" x14ac:dyDescent="0.35">
      <c r="A231" s="143" t="s">
        <v>821</v>
      </c>
      <c r="B231" s="229">
        <v>2021</v>
      </c>
      <c r="C231" s="514" t="s">
        <v>1159</v>
      </c>
      <c r="D231" s="515">
        <v>4.0176517694818219E-2</v>
      </c>
      <c r="E231" s="516">
        <v>3.9759312006794618E-2</v>
      </c>
      <c r="F231" s="145">
        <v>0.16734634138422283</v>
      </c>
      <c r="G231" s="145">
        <v>2.2295856960745527E-3</v>
      </c>
      <c r="H231" s="517">
        <v>2.0000010000000004E-3</v>
      </c>
      <c r="I231" s="517">
        <v>1.5750004999999997E-2</v>
      </c>
      <c r="J231" s="148">
        <v>2.4147928440011453E-3</v>
      </c>
      <c r="K231" s="518">
        <v>2.2262995495152862E-4</v>
      </c>
      <c r="L231" s="519">
        <v>2.3269629229197747E-4</v>
      </c>
    </row>
    <row r="232" spans="1:12" ht="15.5" x14ac:dyDescent="0.35">
      <c r="A232" s="143" t="s">
        <v>821</v>
      </c>
      <c r="B232" s="229">
        <v>2022</v>
      </c>
      <c r="C232" s="514" t="s">
        <v>1160</v>
      </c>
      <c r="D232" s="515">
        <v>3.8937151855784433E-2</v>
      </c>
      <c r="E232" s="516">
        <v>3.4076888107095714E-2</v>
      </c>
      <c r="F232" s="145">
        <v>0.14650530942713724</v>
      </c>
      <c r="G232" s="145">
        <v>2.0771865726840915E-3</v>
      </c>
      <c r="H232" s="517">
        <v>2.0000009999999999E-3</v>
      </c>
      <c r="I232" s="517">
        <v>1.5750004999999997E-2</v>
      </c>
      <c r="J232" s="148">
        <v>2.2504651977820114E-3</v>
      </c>
      <c r="K232" s="518">
        <v>1.978410058844539E-4</v>
      </c>
      <c r="L232" s="519">
        <v>2.067864960564298E-4</v>
      </c>
    </row>
    <row r="233" spans="1:12" ht="15.5" x14ac:dyDescent="0.35">
      <c r="A233" s="143" t="s">
        <v>821</v>
      </c>
      <c r="B233" s="229">
        <v>2023</v>
      </c>
      <c r="C233" s="514" t="s">
        <v>1161</v>
      </c>
      <c r="D233" s="515">
        <v>3.7698388023586459E-2</v>
      </c>
      <c r="E233" s="516">
        <v>2.9702821283852675E-2</v>
      </c>
      <c r="F233" s="145">
        <v>0.12870189954612979</v>
      </c>
      <c r="G233" s="145">
        <v>1.9385167647620587E-3</v>
      </c>
      <c r="H233" s="517">
        <v>2.0000009999999999E-3</v>
      </c>
      <c r="I233" s="517">
        <v>1.5750005000000001E-2</v>
      </c>
      <c r="J233" s="148">
        <v>2.100547949218956E-3</v>
      </c>
      <c r="K233" s="518">
        <v>1.7942813268895729E-4</v>
      </c>
      <c r="L233" s="519">
        <v>1.8754108056851713E-4</v>
      </c>
    </row>
    <row r="234" spans="1:12" ht="15.5" x14ac:dyDescent="0.35">
      <c r="A234" s="143" t="s">
        <v>821</v>
      </c>
      <c r="B234" s="229">
        <v>2024</v>
      </c>
      <c r="C234" s="514" t="s">
        <v>1162</v>
      </c>
      <c r="D234" s="515">
        <v>3.646941547966788E-2</v>
      </c>
      <c r="E234" s="516">
        <v>2.5772673363796406E-2</v>
      </c>
      <c r="F234" s="145">
        <v>0.11289756765403412</v>
      </c>
      <c r="G234" s="145">
        <v>1.7953071633443828E-3</v>
      </c>
      <c r="H234" s="517">
        <v>2.0000009999999999E-3</v>
      </c>
      <c r="I234" s="517">
        <v>1.5750005000000001E-2</v>
      </c>
      <c r="J234" s="148">
        <v>1.9461900128625159E-3</v>
      </c>
      <c r="K234" s="518">
        <v>1.4936046237214228E-4</v>
      </c>
      <c r="L234" s="519">
        <v>1.5611387372991005E-4</v>
      </c>
    </row>
    <row r="235" spans="1:12" ht="15.5" x14ac:dyDescent="0.35">
      <c r="A235" s="143" t="s">
        <v>821</v>
      </c>
      <c r="B235" s="229">
        <v>2025</v>
      </c>
      <c r="C235" s="514" t="s">
        <v>1163</v>
      </c>
      <c r="D235" s="515">
        <v>3.5268417300768976E-2</v>
      </c>
      <c r="E235" s="516">
        <v>2.2698267404179837E-2</v>
      </c>
      <c r="F235" s="145">
        <v>0.10026195907900809</v>
      </c>
      <c r="G235" s="145">
        <v>1.6924935327693421E-3</v>
      </c>
      <c r="H235" s="517">
        <v>2.0000009999999999E-3</v>
      </c>
      <c r="I235" s="517">
        <v>1.5750005000000001E-2</v>
      </c>
      <c r="J235" s="148">
        <v>1.8350378933012148E-3</v>
      </c>
      <c r="K235" s="518">
        <v>1.3455805587589512E-4</v>
      </c>
      <c r="L235" s="519">
        <v>1.4064217669134977E-4</v>
      </c>
    </row>
    <row r="236" spans="1:12" ht="15.5" x14ac:dyDescent="0.35">
      <c r="A236" s="143" t="s">
        <v>821</v>
      </c>
      <c r="B236" s="229">
        <v>2026</v>
      </c>
      <c r="C236" s="514" t="s">
        <v>1164</v>
      </c>
      <c r="D236" s="515">
        <v>3.4154756921073406E-2</v>
      </c>
      <c r="E236" s="516">
        <v>2.0110915704035229E-2</v>
      </c>
      <c r="F236" s="145">
        <v>8.9671246293619E-2</v>
      </c>
      <c r="G236" s="145">
        <v>1.5959935425236085E-3</v>
      </c>
      <c r="H236" s="517">
        <v>2.0000010000000004E-3</v>
      </c>
      <c r="I236" s="517">
        <v>1.5750005000000008E-2</v>
      </c>
      <c r="J236" s="148">
        <v>1.7307808192188595E-3</v>
      </c>
      <c r="K236" s="518">
        <v>1.1815599589048035E-4</v>
      </c>
      <c r="L236" s="519">
        <v>1.2349848307828003E-4</v>
      </c>
    </row>
    <row r="237" spans="1:12" ht="15.5" x14ac:dyDescent="0.35">
      <c r="A237" s="143" t="s">
        <v>821</v>
      </c>
      <c r="B237" s="229">
        <v>2027</v>
      </c>
      <c r="C237" s="514" t="s">
        <v>1165</v>
      </c>
      <c r="D237" s="515">
        <v>3.3115079007761068E-2</v>
      </c>
      <c r="E237" s="516">
        <v>1.7771424091763563E-2</v>
      </c>
      <c r="F237" s="145">
        <v>8.0158948067542382E-2</v>
      </c>
      <c r="G237" s="145">
        <v>1.4895341575099311E-3</v>
      </c>
      <c r="H237" s="517">
        <v>2.0000009999999999E-3</v>
      </c>
      <c r="I237" s="517">
        <v>1.5750005000000001E-2</v>
      </c>
      <c r="J237" s="148">
        <v>1.61590994437453E-3</v>
      </c>
      <c r="K237" s="518">
        <v>9.6616083809068854E-5</v>
      </c>
      <c r="L237" s="519">
        <v>1.0098463501690991E-4</v>
      </c>
    </row>
    <row r="238" spans="1:12" ht="15.5" x14ac:dyDescent="0.35">
      <c r="A238" s="143" t="s">
        <v>821</v>
      </c>
      <c r="B238" s="229">
        <v>2028</v>
      </c>
      <c r="C238" s="514" t="s">
        <v>1166</v>
      </c>
      <c r="D238" s="515">
        <v>3.2165377192015787E-2</v>
      </c>
      <c r="E238" s="516">
        <v>1.5815704508473308E-2</v>
      </c>
      <c r="F238" s="145">
        <v>7.2005947144264837E-2</v>
      </c>
      <c r="G238" s="145">
        <v>1.3864285945172216E-3</v>
      </c>
      <c r="H238" s="517">
        <v>2.0000009999999999E-3</v>
      </c>
      <c r="I238" s="517">
        <v>1.5750005000000001E-2</v>
      </c>
      <c r="J238" s="148">
        <v>1.504394617881045E-3</v>
      </c>
      <c r="K238" s="518">
        <v>8.1943653323333039E-5</v>
      </c>
      <c r="L238" s="519">
        <v>8.5648775122329634E-5</v>
      </c>
    </row>
    <row r="239" spans="1:12" ht="15.5" x14ac:dyDescent="0.35">
      <c r="A239" s="143" t="s">
        <v>821</v>
      </c>
      <c r="B239" s="229">
        <v>2029</v>
      </c>
      <c r="C239" s="514" t="s">
        <v>1167</v>
      </c>
      <c r="D239" s="515">
        <v>3.1298651934062276E-2</v>
      </c>
      <c r="E239" s="516">
        <v>1.4047697677260379E-2</v>
      </c>
      <c r="F239" s="145">
        <v>6.4717769949845225E-2</v>
      </c>
      <c r="G239" s="145">
        <v>1.289961200173304E-3</v>
      </c>
      <c r="H239" s="517">
        <v>2.0000010000000004E-3</v>
      </c>
      <c r="I239" s="517">
        <v>1.5750005000000004E-2</v>
      </c>
      <c r="J239" s="148">
        <v>1.3999119689540682E-3</v>
      </c>
      <c r="K239" s="518">
        <v>7.1699362838441942E-5</v>
      </c>
      <c r="L239" s="519">
        <v>7.4941288785129151E-5</v>
      </c>
    </row>
    <row r="240" spans="1:12" ht="15.5" x14ac:dyDescent="0.35">
      <c r="A240" s="143" t="s">
        <v>821</v>
      </c>
      <c r="B240" s="229">
        <v>2030</v>
      </c>
      <c r="C240" s="514" t="s">
        <v>1168</v>
      </c>
      <c r="D240" s="515">
        <v>3.0510261848798362E-2</v>
      </c>
      <c r="E240" s="516">
        <v>1.2493470172704574E-2</v>
      </c>
      <c r="F240" s="145">
        <v>5.8267430292481034E-2</v>
      </c>
      <c r="G240" s="145">
        <v>1.1955102637408457E-3</v>
      </c>
      <c r="H240" s="517">
        <v>2.0000009999999999E-3</v>
      </c>
      <c r="I240" s="517">
        <v>1.5750005000000001E-2</v>
      </c>
      <c r="J240" s="148">
        <v>1.2977222684299337E-3</v>
      </c>
      <c r="K240" s="518">
        <v>5.9099173835988611E-5</v>
      </c>
      <c r="L240" s="519">
        <v>6.1771367082833072E-5</v>
      </c>
    </row>
    <row r="241" spans="1:12" ht="15.5" x14ac:dyDescent="0.35">
      <c r="A241" s="143" t="s">
        <v>821</v>
      </c>
      <c r="B241" s="229">
        <v>2031</v>
      </c>
      <c r="C241" s="514" t="s">
        <v>1169</v>
      </c>
      <c r="D241" s="515">
        <v>2.979690153886777E-2</v>
      </c>
      <c r="E241" s="516">
        <v>1.1047574631012615E-2</v>
      </c>
      <c r="F241" s="145">
        <v>5.2275865573506795E-2</v>
      </c>
      <c r="G241" s="145">
        <v>1.1093354269167165E-3</v>
      </c>
      <c r="H241" s="517">
        <v>2.0000009999999995E-3</v>
      </c>
      <c r="I241" s="517">
        <v>1.5750004999999997E-2</v>
      </c>
      <c r="J241" s="148">
        <v>1.2042888779001464E-3</v>
      </c>
      <c r="K241" s="518">
        <v>5.2262073665333364E-5</v>
      </c>
      <c r="L241" s="519">
        <v>5.462512983740433E-5</v>
      </c>
    </row>
    <row r="242" spans="1:12" ht="15.5" x14ac:dyDescent="0.35">
      <c r="A242" s="143" t="s">
        <v>821</v>
      </c>
      <c r="B242" s="229">
        <v>2032</v>
      </c>
      <c r="C242" s="514" t="s">
        <v>1170</v>
      </c>
      <c r="D242" s="515">
        <v>2.9159202746858782E-2</v>
      </c>
      <c r="E242" s="516">
        <v>9.7940480837140874E-3</v>
      </c>
      <c r="F242" s="145">
        <v>4.7192525093783258E-2</v>
      </c>
      <c r="G242" s="145">
        <v>1.0313077341064579E-3</v>
      </c>
      <c r="H242" s="517">
        <v>2.0000009999999991E-3</v>
      </c>
      <c r="I242" s="517">
        <v>1.5750005000000001E-2</v>
      </c>
      <c r="J242" s="148">
        <v>1.1197027448342409E-3</v>
      </c>
      <c r="K242" s="518">
        <v>4.5737831873542062E-5</v>
      </c>
      <c r="L242" s="519">
        <v>4.7805899495971719E-5</v>
      </c>
    </row>
    <row r="243" spans="1:12" ht="15.5" x14ac:dyDescent="0.35">
      <c r="A243" s="143" t="s">
        <v>821</v>
      </c>
      <c r="B243" s="229">
        <v>2033</v>
      </c>
      <c r="C243" s="514" t="s">
        <v>1171</v>
      </c>
      <c r="D243" s="515">
        <v>2.8593707988588197E-2</v>
      </c>
      <c r="E243" s="516">
        <v>8.7272280731926308E-3</v>
      </c>
      <c r="F243" s="145">
        <v>4.298807023333568E-2</v>
      </c>
      <c r="G243" s="145">
        <v>9.6286777200327777E-4</v>
      </c>
      <c r="H243" s="517">
        <v>2.0000009999999999E-3</v>
      </c>
      <c r="I243" s="517">
        <v>1.5750005000000001E-2</v>
      </c>
      <c r="J243" s="148">
        <v>1.0454355025786551E-3</v>
      </c>
      <c r="K243" s="518">
        <v>4.1791458850177513E-5</v>
      </c>
      <c r="L243" s="519">
        <v>4.3681076767661635E-5</v>
      </c>
    </row>
    <row r="244" spans="1:12" ht="15.5" x14ac:dyDescent="0.35">
      <c r="A244" s="143" t="s">
        <v>821</v>
      </c>
      <c r="B244" s="229">
        <v>2034</v>
      </c>
      <c r="C244" s="514" t="s">
        <v>1172</v>
      </c>
      <c r="D244" s="515">
        <v>2.8088849504057652E-2</v>
      </c>
      <c r="E244" s="516">
        <v>7.7224709738193641E-3</v>
      </c>
      <c r="F244" s="145">
        <v>3.9142941119428835E-2</v>
      </c>
      <c r="G244" s="145">
        <v>8.9796428250476026E-4</v>
      </c>
      <c r="H244" s="517">
        <v>2.0000009999999995E-3</v>
      </c>
      <c r="I244" s="517">
        <v>1.5750004999999997E-2</v>
      </c>
      <c r="J244" s="148">
        <v>9.7498275982614753E-4</v>
      </c>
      <c r="K244" s="518">
        <v>3.8588883142456636E-5</v>
      </c>
      <c r="L244" s="519">
        <v>4.0333701338345799E-5</v>
      </c>
    </row>
    <row r="245" spans="1:12" ht="15.5" x14ac:dyDescent="0.35">
      <c r="A245" s="143" t="s">
        <v>821</v>
      </c>
      <c r="B245" s="229">
        <v>2035</v>
      </c>
      <c r="C245" s="514" t="s">
        <v>1173</v>
      </c>
      <c r="D245" s="515">
        <v>2.7646055046135889E-2</v>
      </c>
      <c r="E245" s="516">
        <v>6.8700273113615441E-3</v>
      </c>
      <c r="F245" s="145">
        <v>3.5996705919938553E-2</v>
      </c>
      <c r="G245" s="145">
        <v>8.3997282376198172E-4</v>
      </c>
      <c r="H245" s="517">
        <v>2.0000009999999999E-3</v>
      </c>
      <c r="I245" s="517">
        <v>1.5750005000000004E-2</v>
      </c>
      <c r="J245" s="148">
        <v>9.1202973376437095E-4</v>
      </c>
      <c r="K245" s="518">
        <v>3.5811993015181842E-5</v>
      </c>
      <c r="L245" s="519">
        <v>3.7431249906425091E-5</v>
      </c>
    </row>
    <row r="246" spans="1:12" ht="15.5" x14ac:dyDescent="0.35">
      <c r="A246" s="143" t="s">
        <v>821</v>
      </c>
      <c r="B246" s="229">
        <v>2036</v>
      </c>
      <c r="C246" s="514" t="s">
        <v>1174</v>
      </c>
      <c r="D246" s="515">
        <v>2.7254180421866826E-2</v>
      </c>
      <c r="E246" s="516">
        <v>6.0827426890873145E-3</v>
      </c>
      <c r="F246" s="145">
        <v>3.309894792621642E-2</v>
      </c>
      <c r="G246" s="145">
        <v>7.9095401751758609E-4</v>
      </c>
      <c r="H246" s="517">
        <v>2.0000010000000004E-3</v>
      </c>
      <c r="I246" s="517">
        <v>1.5750005000000001E-2</v>
      </c>
      <c r="J246" s="148">
        <v>8.5883872750384157E-4</v>
      </c>
      <c r="K246" s="518">
        <v>3.2938630699260723E-5</v>
      </c>
      <c r="L246" s="519">
        <v>3.4427971344662413E-5</v>
      </c>
    </row>
    <row r="247" spans="1:12" ht="15.5" x14ac:dyDescent="0.35">
      <c r="A247" s="143" t="s">
        <v>821</v>
      </c>
      <c r="B247" s="229">
        <v>2037</v>
      </c>
      <c r="C247" s="514" t="s">
        <v>1175</v>
      </c>
      <c r="D247" s="515">
        <v>2.6913136328811579E-2</v>
      </c>
      <c r="E247" s="516">
        <v>5.4217375636318619E-3</v>
      </c>
      <c r="F247" s="145">
        <v>3.0693667450869117E-2</v>
      </c>
      <c r="G247" s="145">
        <v>7.4766871933595251E-4</v>
      </c>
      <c r="H247" s="517">
        <v>2.0000009999999999E-3</v>
      </c>
      <c r="I247" s="517">
        <v>1.5750005000000001E-2</v>
      </c>
      <c r="J247" s="148">
        <v>8.1186904680293609E-4</v>
      </c>
      <c r="K247" s="518">
        <v>3.0418099084012099E-5</v>
      </c>
      <c r="L247" s="519">
        <v>3.1793472254172493E-5</v>
      </c>
    </row>
    <row r="248" spans="1:12" ht="15.5" x14ac:dyDescent="0.35">
      <c r="A248" s="143" t="s">
        <v>821</v>
      </c>
      <c r="B248" s="229">
        <v>2038</v>
      </c>
      <c r="C248" s="514" t="s">
        <v>1176</v>
      </c>
      <c r="D248" s="515">
        <v>2.6616798443288917E-2</v>
      </c>
      <c r="E248" s="516">
        <v>4.810983704390529E-3</v>
      </c>
      <c r="F248" s="145">
        <v>2.8446989095817062E-2</v>
      </c>
      <c r="G248" s="145">
        <v>7.0865471871080134E-4</v>
      </c>
      <c r="H248" s="517">
        <v>2.0000009999999999E-3</v>
      </c>
      <c r="I248" s="517">
        <v>1.5750004999999997E-2</v>
      </c>
      <c r="J248" s="148">
        <v>7.6951623312917616E-4</v>
      </c>
      <c r="K248" s="518">
        <v>2.8558936855201151E-5</v>
      </c>
      <c r="L248" s="519">
        <v>2.985024948960018E-5</v>
      </c>
    </row>
    <row r="249" spans="1:12" ht="15.5" x14ac:dyDescent="0.35">
      <c r="A249" s="143" t="s">
        <v>821</v>
      </c>
      <c r="B249" s="229">
        <v>2039</v>
      </c>
      <c r="C249" s="514" t="s">
        <v>1177</v>
      </c>
      <c r="D249" s="515">
        <v>2.6356901459536491E-2</v>
      </c>
      <c r="E249" s="516">
        <v>4.2527136289575267E-3</v>
      </c>
      <c r="F249" s="145">
        <v>2.6410307690619955E-2</v>
      </c>
      <c r="G249" s="145">
        <v>6.7370072066456042E-4</v>
      </c>
      <c r="H249" s="517">
        <v>2.0000009999999999E-3</v>
      </c>
      <c r="I249" s="517">
        <v>1.5750005000000001E-2</v>
      </c>
      <c r="J249" s="148">
        <v>7.3156898996930156E-4</v>
      </c>
      <c r="K249" s="518">
        <v>2.695944282634475E-5</v>
      </c>
      <c r="L249" s="519">
        <v>2.8178434456524993E-5</v>
      </c>
    </row>
    <row r="250" spans="1:12" ht="15.5" x14ac:dyDescent="0.35">
      <c r="A250" s="143" t="s">
        <v>821</v>
      </c>
      <c r="B250" s="229">
        <v>2040</v>
      </c>
      <c r="C250" s="514" t="s">
        <v>1178</v>
      </c>
      <c r="D250" s="515">
        <v>2.6127544391608089E-2</v>
      </c>
      <c r="E250" s="516">
        <v>3.7305141795357642E-3</v>
      </c>
      <c r="F250" s="145">
        <v>2.4661850758608606E-2</v>
      </c>
      <c r="G250" s="145">
        <v>6.4175434091056651E-4</v>
      </c>
      <c r="H250" s="517">
        <v>2.0000009999999995E-3</v>
      </c>
      <c r="I250" s="517">
        <v>1.5750005000000001E-2</v>
      </c>
      <c r="J250" s="148">
        <v>6.9688055854726354E-4</v>
      </c>
      <c r="K250" s="518">
        <v>2.5624805352811902E-5</v>
      </c>
      <c r="L250" s="519">
        <v>2.6783444830075756E-5</v>
      </c>
    </row>
    <row r="251" spans="1:12" ht="15.5" x14ac:dyDescent="0.35">
      <c r="A251" s="143" t="s">
        <v>821</v>
      </c>
      <c r="B251" s="229">
        <v>2041</v>
      </c>
      <c r="C251" s="514" t="s">
        <v>1179</v>
      </c>
      <c r="D251" s="515">
        <v>2.5930526035864657E-2</v>
      </c>
      <c r="E251" s="516">
        <v>3.3194998064526066E-3</v>
      </c>
      <c r="F251" s="145">
        <v>2.3249187156578588E-2</v>
      </c>
      <c r="G251" s="145">
        <v>6.1947662294419112E-4</v>
      </c>
      <c r="H251" s="517">
        <v>2.0000009999999999E-3</v>
      </c>
      <c r="I251" s="517">
        <v>1.5750004999999997E-2</v>
      </c>
      <c r="J251" s="148">
        <v>6.7270307094451759E-4</v>
      </c>
      <c r="K251" s="518">
        <v>2.4402793312787513E-5</v>
      </c>
      <c r="L251" s="519">
        <v>2.5506177981516186E-5</v>
      </c>
    </row>
    <row r="252" spans="1:12" ht="15.5" x14ac:dyDescent="0.35">
      <c r="A252" s="143" t="s">
        <v>821</v>
      </c>
      <c r="B252" s="229">
        <v>2042</v>
      </c>
      <c r="C252" s="514" t="s">
        <v>1180</v>
      </c>
      <c r="D252" s="515">
        <v>2.5754812058193879E-2</v>
      </c>
      <c r="E252" s="516">
        <v>2.9705115683921735E-3</v>
      </c>
      <c r="F252" s="145">
        <v>2.1984933465090575E-2</v>
      </c>
      <c r="G252" s="145">
        <v>5.9969185101953182E-4</v>
      </c>
      <c r="H252" s="517">
        <v>2.0000010000000004E-3</v>
      </c>
      <c r="I252" s="517">
        <v>1.5750004999999997E-2</v>
      </c>
      <c r="J252" s="148">
        <v>6.5122467345267454E-4</v>
      </c>
      <c r="K252" s="518">
        <v>2.3478131666051591E-5</v>
      </c>
      <c r="L252" s="519">
        <v>2.4539710824972634E-5</v>
      </c>
    </row>
    <row r="253" spans="1:12" ht="15.5" x14ac:dyDescent="0.35">
      <c r="A253" s="143" t="s">
        <v>821</v>
      </c>
      <c r="B253" s="229">
        <v>2043</v>
      </c>
      <c r="C253" s="514" t="s">
        <v>1181</v>
      </c>
      <c r="D253" s="515">
        <v>2.5601800410717832E-2</v>
      </c>
      <c r="E253" s="516">
        <v>2.7131121163578523E-3</v>
      </c>
      <c r="F253" s="145">
        <v>2.1033847889415012E-2</v>
      </c>
      <c r="G253" s="145">
        <v>5.8212624359583803E-4</v>
      </c>
      <c r="H253" s="517">
        <v>2.0000009999999999E-3</v>
      </c>
      <c r="I253" s="517">
        <v>1.5750005000000001E-2</v>
      </c>
      <c r="J253" s="148">
        <v>6.3215773428775023E-4</v>
      </c>
      <c r="K253" s="518">
        <v>2.2592365251862186E-5</v>
      </c>
      <c r="L253" s="519">
        <v>2.3613893695002532E-5</v>
      </c>
    </row>
    <row r="254" spans="1:12" ht="15.5" x14ac:dyDescent="0.35">
      <c r="A254" s="143" t="s">
        <v>821</v>
      </c>
      <c r="B254" s="229">
        <v>2044</v>
      </c>
      <c r="C254" s="514" t="s">
        <v>1182</v>
      </c>
      <c r="D254" s="515">
        <v>2.5467137584434762E-2</v>
      </c>
      <c r="E254" s="516">
        <v>2.5356258116716684E-3</v>
      </c>
      <c r="F254" s="145">
        <v>2.0336955843730332E-2</v>
      </c>
      <c r="G254" s="145">
        <v>5.667541811116626E-4</v>
      </c>
      <c r="H254" s="517">
        <v>2.0000009999999995E-3</v>
      </c>
      <c r="I254" s="517">
        <v>1.5750004999999997E-2</v>
      </c>
      <c r="J254" s="148">
        <v>6.1546681349466113E-4</v>
      </c>
      <c r="K254" s="518">
        <v>2.1952183156528951E-5</v>
      </c>
      <c r="L254" s="519">
        <v>2.2944762871457509E-5</v>
      </c>
    </row>
    <row r="255" spans="1:12" ht="15.5" x14ac:dyDescent="0.35">
      <c r="A255" s="143" t="s">
        <v>821</v>
      </c>
      <c r="B255" s="229">
        <v>2045</v>
      </c>
      <c r="C255" s="514" t="s">
        <v>1183</v>
      </c>
      <c r="D255" s="515">
        <v>2.5346877594221832E-2</v>
      </c>
      <c r="E255" s="516">
        <v>2.4318327340847267E-3</v>
      </c>
      <c r="F255" s="145">
        <v>1.989334580212164E-2</v>
      </c>
      <c r="G255" s="145">
        <v>5.5323464702877149E-4</v>
      </c>
      <c r="H255" s="517">
        <v>2.0000009999999999E-3</v>
      </c>
      <c r="I255" s="517">
        <v>1.5750005000000001E-2</v>
      </c>
      <c r="J255" s="148">
        <v>6.0078777542997889E-4</v>
      </c>
      <c r="K255" s="518">
        <v>2.1362969690939331E-5</v>
      </c>
      <c r="L255" s="519">
        <v>2.2328914706778925E-5</v>
      </c>
    </row>
    <row r="256" spans="1:12" ht="15.5" x14ac:dyDescent="0.35">
      <c r="A256" s="143" t="s">
        <v>821</v>
      </c>
      <c r="B256" s="229">
        <v>2046</v>
      </c>
      <c r="C256" s="514" t="s">
        <v>1184</v>
      </c>
      <c r="D256" s="515">
        <v>2.5239708148232988E-2</v>
      </c>
      <c r="E256" s="516">
        <v>2.340511768045804E-3</v>
      </c>
      <c r="F256" s="145">
        <v>1.9514086810981216E-2</v>
      </c>
      <c r="G256" s="145">
        <v>5.4160516216535451E-4</v>
      </c>
      <c r="H256" s="517">
        <v>2.0000009999999995E-3</v>
      </c>
      <c r="I256" s="517">
        <v>1.5750004999999997E-2</v>
      </c>
      <c r="J256" s="148">
        <v>5.8816024595003389E-4</v>
      </c>
      <c r="K256" s="518">
        <v>2.0881299710170414E-5</v>
      </c>
      <c r="L256" s="519">
        <v>2.1825463755505157E-5</v>
      </c>
    </row>
    <row r="257" spans="1:12" ht="15.5" x14ac:dyDescent="0.35">
      <c r="A257" s="143" t="s">
        <v>821</v>
      </c>
      <c r="B257" s="229">
        <v>2047</v>
      </c>
      <c r="C257" s="514" t="s">
        <v>1185</v>
      </c>
      <c r="D257" s="515">
        <v>2.5149085576210872E-2</v>
      </c>
      <c r="E257" s="516">
        <v>2.2660470435860555E-3</v>
      </c>
      <c r="F257" s="145">
        <v>1.9212673425057648E-2</v>
      </c>
      <c r="G257" s="145">
        <v>5.3201365937589147E-4</v>
      </c>
      <c r="H257" s="517">
        <v>2.0000009999999995E-3</v>
      </c>
      <c r="I257" s="517">
        <v>1.5750005000000001E-2</v>
      </c>
      <c r="J257" s="148">
        <v>5.777430321000118E-4</v>
      </c>
      <c r="K257" s="518">
        <v>2.0534984170375343E-5</v>
      </c>
      <c r="L257" s="519">
        <v>2.1463483089795839E-5</v>
      </c>
    </row>
    <row r="258" spans="1:12" ht="15.5" x14ac:dyDescent="0.35">
      <c r="A258" s="143" t="s">
        <v>821</v>
      </c>
      <c r="B258" s="229">
        <v>2048</v>
      </c>
      <c r="C258" s="514" t="s">
        <v>1186</v>
      </c>
      <c r="D258" s="515">
        <v>2.5068979198735932E-2</v>
      </c>
      <c r="E258" s="516">
        <v>2.2022452641011934E-3</v>
      </c>
      <c r="F258" s="145">
        <v>1.8942445169275315E-2</v>
      </c>
      <c r="G258" s="145">
        <v>5.2352461915457606E-4</v>
      </c>
      <c r="H258" s="517">
        <v>2.0000009999999999E-3</v>
      </c>
      <c r="I258" s="517">
        <v>1.5750005000000001E-2</v>
      </c>
      <c r="J258" s="148">
        <v>5.6853103977656295E-4</v>
      </c>
      <c r="K258" s="518">
        <v>2.0065119905437686E-5</v>
      </c>
      <c r="L258" s="519">
        <v>2.0972378131840128E-5</v>
      </c>
    </row>
    <row r="259" spans="1:12" ht="15.5" x14ac:dyDescent="0.35">
      <c r="A259" s="143" t="s">
        <v>821</v>
      </c>
      <c r="B259" s="229">
        <v>2049</v>
      </c>
      <c r="C259" s="514" t="s">
        <v>1187</v>
      </c>
      <c r="D259" s="515">
        <v>2.500096274465493E-2</v>
      </c>
      <c r="E259" s="516">
        <v>2.1807426664684723E-3</v>
      </c>
      <c r="F259" s="145">
        <v>1.8939414963419169E-2</v>
      </c>
      <c r="G259" s="145">
        <v>5.1872198380202095E-4</v>
      </c>
      <c r="H259" s="517">
        <v>2.0000009999999995E-3</v>
      </c>
      <c r="I259" s="517">
        <v>1.5750005000000001E-2</v>
      </c>
      <c r="J259" s="148">
        <v>5.6331805341853212E-4</v>
      </c>
      <c r="K259" s="518">
        <v>1.9803469503864623E-5</v>
      </c>
      <c r="L259" s="519">
        <v>2.0698893034322761E-5</v>
      </c>
    </row>
    <row r="260" spans="1:12" ht="15.5" x14ac:dyDescent="0.35">
      <c r="A260" s="143" t="s">
        <v>821</v>
      </c>
      <c r="B260" s="229">
        <v>2050</v>
      </c>
      <c r="C260" s="514" t="s">
        <v>1188</v>
      </c>
      <c r="D260" s="515">
        <v>2.4940231544815568E-2</v>
      </c>
      <c r="E260" s="516">
        <v>2.1619131217441483E-3</v>
      </c>
      <c r="F260" s="145">
        <v>1.8932988405190834E-2</v>
      </c>
      <c r="G260" s="145">
        <v>5.1453285476523542E-4</v>
      </c>
      <c r="H260" s="517">
        <v>2.0000010000000004E-3</v>
      </c>
      <c r="I260" s="517">
        <v>1.5750005000000004E-2</v>
      </c>
      <c r="J260" s="148">
        <v>5.5877707752022938E-4</v>
      </c>
      <c r="K260" s="518">
        <v>1.9444723940848592E-5</v>
      </c>
      <c r="L260" s="519">
        <v>2.0323924872915373E-5</v>
      </c>
    </row>
    <row r="261" spans="1:12" ht="15.5" x14ac:dyDescent="0.35">
      <c r="A261" s="143" t="s">
        <v>824</v>
      </c>
      <c r="B261" s="229">
        <v>2015</v>
      </c>
      <c r="C261" s="514" t="s">
        <v>1189</v>
      </c>
      <c r="D261" s="515">
        <v>4.4866291695745547E-2</v>
      </c>
      <c r="E261" s="516">
        <v>5.2772233595470217E-2</v>
      </c>
      <c r="F261" s="145">
        <v>0.21467708465041974</v>
      </c>
      <c r="G261" s="145">
        <v>1.8469545780672777E-3</v>
      </c>
      <c r="H261" s="517">
        <v>2.0000009999999999E-3</v>
      </c>
      <c r="I261" s="517">
        <v>1.5750005000000001E-2</v>
      </c>
      <c r="J261" s="148">
        <v>1.9985295974018942E-3</v>
      </c>
      <c r="K261" s="518">
        <v>1.5465459631957705E-4</v>
      </c>
      <c r="L261" s="519">
        <v>1.6164739239912053E-4</v>
      </c>
    </row>
    <row r="262" spans="1:12" ht="15.5" x14ac:dyDescent="0.35">
      <c r="A262" s="143" t="s">
        <v>824</v>
      </c>
      <c r="B262" s="229">
        <v>2016</v>
      </c>
      <c r="C262" s="514" t="s">
        <v>1190</v>
      </c>
      <c r="D262" s="515">
        <v>4.3953855868053837E-2</v>
      </c>
      <c r="E262" s="516">
        <v>4.385360489850907E-2</v>
      </c>
      <c r="F262" s="145">
        <v>0.18312018508325659</v>
      </c>
      <c r="G262" s="145">
        <v>1.7280030204019086E-3</v>
      </c>
      <c r="H262" s="517">
        <v>2.0000009999999999E-3</v>
      </c>
      <c r="I262" s="517">
        <v>1.5750004999999997E-2</v>
      </c>
      <c r="J262" s="148">
        <v>1.8714977546522872E-3</v>
      </c>
      <c r="K262" s="518">
        <v>1.2534487575694022E-4</v>
      </c>
      <c r="L262" s="519">
        <v>1.3101241428068442E-4</v>
      </c>
    </row>
    <row r="263" spans="1:12" ht="15.5" x14ac:dyDescent="0.35">
      <c r="A263" s="143" t="s">
        <v>824</v>
      </c>
      <c r="B263" s="229">
        <v>2017</v>
      </c>
      <c r="C263" s="514" t="s">
        <v>1191</v>
      </c>
      <c r="D263" s="515">
        <v>4.2852395289840646E-2</v>
      </c>
      <c r="E263" s="516">
        <v>3.6329213152718941E-2</v>
      </c>
      <c r="F263" s="145">
        <v>0.15557279152593728</v>
      </c>
      <c r="G263" s="145">
        <v>1.6651548684262806E-3</v>
      </c>
      <c r="H263" s="517">
        <v>2.0000009999999999E-3</v>
      </c>
      <c r="I263" s="517">
        <v>1.5750005000000001E-2</v>
      </c>
      <c r="J263" s="148">
        <v>1.8044792130241149E-3</v>
      </c>
      <c r="K263" s="518">
        <v>1.1408497419771036E-4</v>
      </c>
      <c r="L263" s="519">
        <v>1.1924339304506454E-4</v>
      </c>
    </row>
    <row r="264" spans="1:12" ht="15.5" x14ac:dyDescent="0.35">
      <c r="A264" s="143" t="s">
        <v>824</v>
      </c>
      <c r="B264" s="229">
        <v>2018</v>
      </c>
      <c r="C264" s="514" t="s">
        <v>1192</v>
      </c>
      <c r="D264" s="515">
        <v>4.1678566839487327E-2</v>
      </c>
      <c r="E264" s="516">
        <v>2.9918066371685096E-2</v>
      </c>
      <c r="F264" s="145">
        <v>0.13174166405612023</v>
      </c>
      <c r="G264" s="145">
        <v>1.6342498060787512E-3</v>
      </c>
      <c r="H264" s="517">
        <v>2.0000009999999995E-3</v>
      </c>
      <c r="I264" s="517">
        <v>1.5750004999999997E-2</v>
      </c>
      <c r="J264" s="148">
        <v>1.7719205082605022E-3</v>
      </c>
      <c r="K264" s="518">
        <v>1.0495996064461459E-4</v>
      </c>
      <c r="L264" s="519">
        <v>1.0970578168139888E-4</v>
      </c>
    </row>
    <row r="265" spans="1:12" ht="15.5" x14ac:dyDescent="0.35">
      <c r="A265" s="143" t="s">
        <v>824</v>
      </c>
      <c r="B265" s="229">
        <v>2019</v>
      </c>
      <c r="C265" s="514" t="s">
        <v>1193</v>
      </c>
      <c r="D265" s="515">
        <v>4.0467051635682767E-2</v>
      </c>
      <c r="E265" s="516">
        <v>2.4576036541952988E-2</v>
      </c>
      <c r="F265" s="145">
        <v>0.11157671373837033</v>
      </c>
      <c r="G265" s="145">
        <v>1.6121794536162069E-3</v>
      </c>
      <c r="H265" s="517">
        <v>2.0000010000000004E-3</v>
      </c>
      <c r="I265" s="517">
        <v>1.5750005000000001E-2</v>
      </c>
      <c r="J265" s="148">
        <v>1.7488211457349228E-3</v>
      </c>
      <c r="K265" s="518">
        <v>9.5294997075317058E-5</v>
      </c>
      <c r="L265" s="519">
        <v>9.9603813652817433E-5</v>
      </c>
    </row>
    <row r="266" spans="1:12" ht="15.5" x14ac:dyDescent="0.35">
      <c r="A266" s="143" t="s">
        <v>824</v>
      </c>
      <c r="B266" s="229">
        <v>2020</v>
      </c>
      <c r="C266" s="514" t="s">
        <v>1194</v>
      </c>
      <c r="D266" s="515">
        <v>3.9240670396350152E-2</v>
      </c>
      <c r="E266" s="516">
        <v>2.0476548505693037E-2</v>
      </c>
      <c r="F266" s="145">
        <v>9.4866810332708496E-2</v>
      </c>
      <c r="G266" s="145">
        <v>1.5645093744186421E-3</v>
      </c>
      <c r="H266" s="517">
        <v>2.0000009999999999E-3</v>
      </c>
      <c r="I266" s="517">
        <v>1.5750004999999997E-2</v>
      </c>
      <c r="J266" s="148">
        <v>1.6974465176831826E-3</v>
      </c>
      <c r="K266" s="518">
        <v>8.9333869575853293E-5</v>
      </c>
      <c r="L266" s="519">
        <v>9.337314377957134E-5</v>
      </c>
    </row>
    <row r="267" spans="1:12" ht="15.5" x14ac:dyDescent="0.35">
      <c r="A267" s="143" t="s">
        <v>824</v>
      </c>
      <c r="B267" s="229">
        <v>2021</v>
      </c>
      <c r="C267" s="514" t="s">
        <v>1195</v>
      </c>
      <c r="D267" s="515">
        <v>3.8012357632477949E-2</v>
      </c>
      <c r="E267" s="516">
        <v>1.7336167478389768E-2</v>
      </c>
      <c r="F267" s="145">
        <v>8.1058383960328703E-2</v>
      </c>
      <c r="G267" s="145">
        <v>1.4810282323929375E-3</v>
      </c>
      <c r="H267" s="517">
        <v>2.0000009999999999E-3</v>
      </c>
      <c r="I267" s="517">
        <v>1.5750005000000001E-2</v>
      </c>
      <c r="J267" s="148">
        <v>1.6071116201324981E-3</v>
      </c>
      <c r="K267" s="518">
        <v>8.0935424968640407E-5</v>
      </c>
      <c r="L267" s="519">
        <v>8.4594964959338302E-5</v>
      </c>
    </row>
    <row r="268" spans="1:12" ht="15.5" x14ac:dyDescent="0.35">
      <c r="A268" s="143" t="s">
        <v>824</v>
      </c>
      <c r="B268" s="229">
        <v>2022</v>
      </c>
      <c r="C268" s="514" t="s">
        <v>1196</v>
      </c>
      <c r="D268" s="515">
        <v>3.6809703601014286E-2</v>
      </c>
      <c r="E268" s="516">
        <v>1.448293735728802E-2</v>
      </c>
      <c r="F268" s="145">
        <v>6.9333836986252173E-2</v>
      </c>
      <c r="G268" s="145">
        <v>1.4004967116692734E-3</v>
      </c>
      <c r="H268" s="517">
        <v>2.0000009999999995E-3</v>
      </c>
      <c r="I268" s="517">
        <v>1.5750005000000001E-2</v>
      </c>
      <c r="J268" s="148">
        <v>1.5200055773278872E-3</v>
      </c>
      <c r="K268" s="518">
        <v>7.3218929155893667E-5</v>
      </c>
      <c r="L268" s="519">
        <v>7.6529570110547108E-5</v>
      </c>
    </row>
    <row r="269" spans="1:12" ht="15.5" x14ac:dyDescent="0.35">
      <c r="A269" s="143" t="s">
        <v>824</v>
      </c>
      <c r="B269" s="229">
        <v>2023</v>
      </c>
      <c r="C269" s="514" t="s">
        <v>1197</v>
      </c>
      <c r="D269" s="515">
        <v>3.5627051473352038E-2</v>
      </c>
      <c r="E269" s="516">
        <v>1.2439504968298237E-2</v>
      </c>
      <c r="F269" s="145">
        <v>6.0007284062561561E-2</v>
      </c>
      <c r="G269" s="145">
        <v>1.3285295844182468E-3</v>
      </c>
      <c r="H269" s="517">
        <v>2.0000009999999999E-3</v>
      </c>
      <c r="I269" s="517">
        <v>1.5750005000000001E-2</v>
      </c>
      <c r="J269" s="148">
        <v>1.4421205526707098E-3</v>
      </c>
      <c r="K269" s="518">
        <v>6.4756693478213508E-5</v>
      </c>
      <c r="L269" s="519">
        <v>6.7684702402707271E-5</v>
      </c>
    </row>
    <row r="270" spans="1:12" ht="15.5" x14ac:dyDescent="0.35">
      <c r="A270" s="143" t="s">
        <v>824</v>
      </c>
      <c r="B270" s="229">
        <v>2024</v>
      </c>
      <c r="C270" s="514" t="s">
        <v>1198</v>
      </c>
      <c r="D270" s="515">
        <v>3.4468415200160134E-2</v>
      </c>
      <c r="E270" s="516">
        <v>1.0734251678204151E-2</v>
      </c>
      <c r="F270" s="145">
        <v>5.2335971953179829E-2</v>
      </c>
      <c r="G270" s="145">
        <v>1.2675545388303048E-3</v>
      </c>
      <c r="H270" s="517">
        <v>2.0000009999999995E-3</v>
      </c>
      <c r="I270" s="517">
        <v>1.5750005000000001E-2</v>
      </c>
      <c r="J270" s="148">
        <v>1.3760716621274639E-3</v>
      </c>
      <c r="K270" s="518">
        <v>5.9003644307012891E-5</v>
      </c>
      <c r="L270" s="519">
        <v>6.1671526926860394E-5</v>
      </c>
    </row>
    <row r="271" spans="1:12" ht="15.5" x14ac:dyDescent="0.35">
      <c r="A271" s="143" t="s">
        <v>824</v>
      </c>
      <c r="B271" s="229">
        <v>2025</v>
      </c>
      <c r="C271" s="514" t="s">
        <v>1199</v>
      </c>
      <c r="D271" s="515">
        <v>3.3332238598969013E-2</v>
      </c>
      <c r="E271" s="516">
        <v>9.3563951400374382E-3</v>
      </c>
      <c r="F271" s="145">
        <v>4.6210205748487915E-2</v>
      </c>
      <c r="G271" s="145">
        <v>1.2171135722301902E-3</v>
      </c>
      <c r="H271" s="517">
        <v>2.0000009999999995E-3</v>
      </c>
      <c r="I271" s="517">
        <v>1.5750005000000001E-2</v>
      </c>
      <c r="J271" s="148">
        <v>1.3214015203440097E-3</v>
      </c>
      <c r="K271" s="518">
        <v>5.4729710329445401E-5</v>
      </c>
      <c r="L271" s="519">
        <v>5.7204346074566455E-5</v>
      </c>
    </row>
    <row r="272" spans="1:12" ht="15.5" x14ac:dyDescent="0.35">
      <c r="A272" s="143" t="s">
        <v>824</v>
      </c>
      <c r="B272" s="229">
        <v>2026</v>
      </c>
      <c r="C272" s="514" t="s">
        <v>1200</v>
      </c>
      <c r="D272" s="515">
        <v>3.2303380922489626E-2</v>
      </c>
      <c r="E272" s="516">
        <v>8.2223231542698141E-3</v>
      </c>
      <c r="F272" s="145">
        <v>4.1280528283316693E-2</v>
      </c>
      <c r="G272" s="145">
        <v>1.1636832991681098E-3</v>
      </c>
      <c r="H272" s="517">
        <v>2.0000009999999999E-3</v>
      </c>
      <c r="I272" s="517">
        <v>1.5750005000000001E-2</v>
      </c>
      <c r="J272" s="148">
        <v>1.2635272467942536E-3</v>
      </c>
      <c r="K272" s="518">
        <v>4.9173683567296827E-5</v>
      </c>
      <c r="L272" s="519">
        <v>5.1397100151843479E-5</v>
      </c>
    </row>
    <row r="273" spans="1:12" ht="15.5" x14ac:dyDescent="0.35">
      <c r="A273" s="143" t="s">
        <v>824</v>
      </c>
      <c r="B273" s="229">
        <v>2027</v>
      </c>
      <c r="C273" s="514" t="s">
        <v>1201</v>
      </c>
      <c r="D273" s="515">
        <v>3.1369080984094175E-2</v>
      </c>
      <c r="E273" s="516">
        <v>7.2726293663980326E-3</v>
      </c>
      <c r="F273" s="145">
        <v>3.7209176894842537E-2</v>
      </c>
      <c r="G273" s="145">
        <v>1.1036095758029272E-3</v>
      </c>
      <c r="H273" s="517">
        <v>2.0000009999999999E-3</v>
      </c>
      <c r="I273" s="517">
        <v>1.5750005000000001E-2</v>
      </c>
      <c r="J273" s="148">
        <v>1.1984185521056634E-3</v>
      </c>
      <c r="K273" s="518">
        <v>4.3845596126589252E-5</v>
      </c>
      <c r="L273" s="519">
        <v>4.5828094899442107E-5</v>
      </c>
    </row>
    <row r="274" spans="1:12" ht="15.5" x14ac:dyDescent="0.35">
      <c r="A274" s="143" t="s">
        <v>824</v>
      </c>
      <c r="B274" s="229">
        <v>2028</v>
      </c>
      <c r="C274" s="514" t="s">
        <v>1202</v>
      </c>
      <c r="D274" s="515">
        <v>3.0532715305571036E-2</v>
      </c>
      <c r="E274" s="516">
        <v>6.4989774884416625E-3</v>
      </c>
      <c r="F274" s="145">
        <v>3.3904812188403632E-2</v>
      </c>
      <c r="G274" s="145">
        <v>1.0363055419526923E-3</v>
      </c>
      <c r="H274" s="517">
        <v>2.0000009999999995E-3</v>
      </c>
      <c r="I274" s="517">
        <v>1.5750004999999997E-2</v>
      </c>
      <c r="J274" s="148">
        <v>1.1254837602697107E-3</v>
      </c>
      <c r="K274" s="518">
        <v>3.7593404817612223E-5</v>
      </c>
      <c r="L274" s="519">
        <v>3.929321053304858E-5</v>
      </c>
    </row>
    <row r="275" spans="1:12" ht="15.5" x14ac:dyDescent="0.35">
      <c r="A275" s="143" t="s">
        <v>824</v>
      </c>
      <c r="B275" s="229">
        <v>2029</v>
      </c>
      <c r="C275" s="514" t="s">
        <v>1203</v>
      </c>
      <c r="D275" s="515">
        <v>2.9785213752214795E-2</v>
      </c>
      <c r="E275" s="516">
        <v>5.8219529415036771E-3</v>
      </c>
      <c r="F275" s="145">
        <v>3.1119458719394918E-2</v>
      </c>
      <c r="G275" s="145">
        <v>9.7222260826141673E-4</v>
      </c>
      <c r="H275" s="517">
        <v>2.0000009999999999E-3</v>
      </c>
      <c r="I275" s="517">
        <v>1.5750005000000001E-2</v>
      </c>
      <c r="J275" s="148">
        <v>1.0559850160190951E-3</v>
      </c>
      <c r="K275" s="518">
        <v>3.293405454427641E-5</v>
      </c>
      <c r="L275" s="519">
        <v>3.4423178810418782E-5</v>
      </c>
    </row>
    <row r="276" spans="1:12" ht="15.5" x14ac:dyDescent="0.35">
      <c r="A276" s="143" t="s">
        <v>824</v>
      </c>
      <c r="B276" s="229">
        <v>2030</v>
      </c>
      <c r="C276" s="514" t="s">
        <v>1204</v>
      </c>
      <c r="D276" s="515">
        <v>2.9120277720738535E-2</v>
      </c>
      <c r="E276" s="516">
        <v>5.2548897282307001E-3</v>
      </c>
      <c r="F276" s="145">
        <v>2.8821313298519124E-2</v>
      </c>
      <c r="G276" s="145">
        <v>9.1224823500407539E-4</v>
      </c>
      <c r="H276" s="517">
        <v>2.0000010000000004E-3</v>
      </c>
      <c r="I276" s="517">
        <v>1.5750005000000001E-2</v>
      </c>
      <c r="J276" s="148">
        <v>9.9090531054710088E-4</v>
      </c>
      <c r="K276" s="518">
        <v>2.944070220795105E-5</v>
      </c>
      <c r="L276" s="519">
        <v>3.0771878040702626E-5</v>
      </c>
    </row>
    <row r="277" spans="1:12" ht="15.5" x14ac:dyDescent="0.35">
      <c r="A277" s="143" t="s">
        <v>824</v>
      </c>
      <c r="B277" s="229">
        <v>2031</v>
      </c>
      <c r="C277" s="514" t="s">
        <v>1205</v>
      </c>
      <c r="D277" s="515">
        <v>2.8532517804712856E-2</v>
      </c>
      <c r="E277" s="516">
        <v>4.7662482453170538E-3</v>
      </c>
      <c r="F277" s="145">
        <v>2.6891864254918296E-2</v>
      </c>
      <c r="G277" s="145">
        <v>8.5738296252143545E-4</v>
      </c>
      <c r="H277" s="517">
        <v>2.0000009999999999E-3</v>
      </c>
      <c r="I277" s="517">
        <v>1.5750005000000001E-2</v>
      </c>
      <c r="J277" s="148">
        <v>9.3130567230657044E-4</v>
      </c>
      <c r="K277" s="518">
        <v>2.7759633691690348E-5</v>
      </c>
      <c r="L277" s="519">
        <v>2.9014803853503466E-5</v>
      </c>
    </row>
    <row r="278" spans="1:12" ht="15.5" x14ac:dyDescent="0.35">
      <c r="A278" s="143" t="s">
        <v>824</v>
      </c>
      <c r="B278" s="229">
        <v>2032</v>
      </c>
      <c r="C278" s="514" t="s">
        <v>1206</v>
      </c>
      <c r="D278" s="515">
        <v>2.8013114407358073E-2</v>
      </c>
      <c r="E278" s="516">
        <v>4.3431165920924187E-3</v>
      </c>
      <c r="F278" s="145">
        <v>2.5291760754734525E-2</v>
      </c>
      <c r="G278" s="145">
        <v>8.0573093648809838E-4</v>
      </c>
      <c r="H278" s="517">
        <v>2.0000009999999999E-3</v>
      </c>
      <c r="I278" s="517">
        <v>1.5750005000000001E-2</v>
      </c>
      <c r="J278" s="148">
        <v>8.752193958640902E-4</v>
      </c>
      <c r="K278" s="518">
        <v>2.5632638227581442E-5</v>
      </c>
      <c r="L278" s="519">
        <v>2.6791628489320935E-5</v>
      </c>
    </row>
    <row r="279" spans="1:12" ht="15.5" x14ac:dyDescent="0.35">
      <c r="A279" s="143" t="s">
        <v>824</v>
      </c>
      <c r="B279" s="229">
        <v>2033</v>
      </c>
      <c r="C279" s="514" t="s">
        <v>1207</v>
      </c>
      <c r="D279" s="515">
        <v>2.7555947985768808E-2</v>
      </c>
      <c r="E279" s="516">
        <v>3.974858309635107E-3</v>
      </c>
      <c r="F279" s="145">
        <v>2.3966703763861605E-2</v>
      </c>
      <c r="G279" s="145">
        <v>7.5809263705562378E-4</v>
      </c>
      <c r="H279" s="517">
        <v>2.0000009999999995E-3</v>
      </c>
      <c r="I279" s="517">
        <v>1.5750005000000001E-2</v>
      </c>
      <c r="J279" s="148">
        <v>8.2347998627910223E-4</v>
      </c>
      <c r="K279" s="518">
        <v>2.3958488400074029E-5</v>
      </c>
      <c r="L279" s="519">
        <v>2.504178266567421E-5</v>
      </c>
    </row>
    <row r="280" spans="1:12" ht="15.5" x14ac:dyDescent="0.35">
      <c r="A280" s="143" t="s">
        <v>824</v>
      </c>
      <c r="B280" s="229">
        <v>2034</v>
      </c>
      <c r="C280" s="514" t="s">
        <v>1208</v>
      </c>
      <c r="D280" s="515">
        <v>2.7155571044033423E-2</v>
      </c>
      <c r="E280" s="516">
        <v>3.6486450550207096E-3</v>
      </c>
      <c r="F280" s="145">
        <v>2.284705088533948E-2</v>
      </c>
      <c r="G280" s="145">
        <v>7.1440788726170911E-4</v>
      </c>
      <c r="H280" s="517">
        <v>2.0000009999999999E-3</v>
      </c>
      <c r="I280" s="517">
        <v>1.5750005000000001E-2</v>
      </c>
      <c r="J280" s="148">
        <v>7.7602280066422396E-4</v>
      </c>
      <c r="K280" s="518">
        <v>2.2674088178089603E-5</v>
      </c>
      <c r="L280" s="519">
        <v>2.3699311481753603E-5</v>
      </c>
    </row>
    <row r="281" spans="1:12" ht="15.5" x14ac:dyDescent="0.35">
      <c r="A281" s="143" t="s">
        <v>824</v>
      </c>
      <c r="B281" s="229">
        <v>2035</v>
      </c>
      <c r="C281" s="514" t="s">
        <v>1209</v>
      </c>
      <c r="D281" s="515">
        <v>2.6807864931418041E-2</v>
      </c>
      <c r="E281" s="516">
        <v>3.3611711467867113E-3</v>
      </c>
      <c r="F281" s="145">
        <v>2.1922456045024265E-2</v>
      </c>
      <c r="G281" s="145">
        <v>6.7417611414362258E-4</v>
      </c>
      <c r="H281" s="517">
        <v>2.0000009999999999E-3</v>
      </c>
      <c r="I281" s="517">
        <v>1.5750005000000001E-2</v>
      </c>
      <c r="J281" s="148">
        <v>7.3232168461322502E-4</v>
      </c>
      <c r="K281" s="518">
        <v>2.1377614332936707E-5</v>
      </c>
      <c r="L281" s="519">
        <v>2.2344221543763215E-5</v>
      </c>
    </row>
    <row r="282" spans="1:12" ht="15.5" x14ac:dyDescent="0.35">
      <c r="A282" s="143" t="s">
        <v>824</v>
      </c>
      <c r="B282" s="229">
        <v>2036</v>
      </c>
      <c r="C282" s="514" t="s">
        <v>1210</v>
      </c>
      <c r="D282" s="515">
        <v>2.6506940366924355E-2</v>
      </c>
      <c r="E282" s="516">
        <v>3.1125948209666235E-3</v>
      </c>
      <c r="F282" s="145">
        <v>2.1155948695561026E-2</v>
      </c>
      <c r="G282" s="145">
        <v>6.3903073813563276E-4</v>
      </c>
      <c r="H282" s="517">
        <v>2.0000009999999999E-3</v>
      </c>
      <c r="I282" s="517">
        <v>1.5750005000000001E-2</v>
      </c>
      <c r="J282" s="148">
        <v>6.9414207685465732E-4</v>
      </c>
      <c r="K282" s="518">
        <v>2.0346067811297638E-5</v>
      </c>
      <c r="L282" s="519">
        <v>2.1266024201240207E-5</v>
      </c>
    </row>
    <row r="283" spans="1:12" ht="15.5" x14ac:dyDescent="0.35">
      <c r="A283" s="143" t="s">
        <v>824</v>
      </c>
      <c r="B283" s="229">
        <v>2037</v>
      </c>
      <c r="C283" s="514" t="s">
        <v>1211</v>
      </c>
      <c r="D283" s="515">
        <v>2.6249418831777702E-2</v>
      </c>
      <c r="E283" s="516">
        <v>2.8958469041529661E-3</v>
      </c>
      <c r="F283" s="145">
        <v>2.0518523831519832E-2</v>
      </c>
      <c r="G283" s="145">
        <v>6.0741678987342377E-4</v>
      </c>
      <c r="H283" s="517">
        <v>2.0000009999999999E-3</v>
      </c>
      <c r="I283" s="517">
        <v>1.5750005000000001E-2</v>
      </c>
      <c r="J283" s="148">
        <v>6.5979726689191823E-4</v>
      </c>
      <c r="K283" s="518">
        <v>1.9439443327446779E-5</v>
      </c>
      <c r="L283" s="519">
        <v>2.0318418630025228E-5</v>
      </c>
    </row>
    <row r="284" spans="1:12" ht="15.5" x14ac:dyDescent="0.35">
      <c r="A284" s="143" t="s">
        <v>824</v>
      </c>
      <c r="B284" s="229">
        <v>2038</v>
      </c>
      <c r="C284" s="514" t="s">
        <v>1212</v>
      </c>
      <c r="D284" s="515">
        <v>2.6030629887177248E-2</v>
      </c>
      <c r="E284" s="516">
        <v>2.7005339958628299E-3</v>
      </c>
      <c r="F284" s="145">
        <v>1.9950317771388632E-2</v>
      </c>
      <c r="G284" s="145">
        <v>5.7922247239830841E-4</v>
      </c>
      <c r="H284" s="517">
        <v>2.0000009999999999E-3</v>
      </c>
      <c r="I284" s="517">
        <v>1.5750005000000004E-2</v>
      </c>
      <c r="J284" s="148">
        <v>6.2916668775021931E-4</v>
      </c>
      <c r="K284" s="518">
        <v>1.8658451672127058E-5</v>
      </c>
      <c r="L284" s="519">
        <v>1.9502103254352047E-5</v>
      </c>
    </row>
    <row r="285" spans="1:12" ht="15.5" x14ac:dyDescent="0.35">
      <c r="A285" s="143" t="s">
        <v>824</v>
      </c>
      <c r="B285" s="229">
        <v>2039</v>
      </c>
      <c r="C285" s="514" t="s">
        <v>1213</v>
      </c>
      <c r="D285" s="515">
        <v>2.5845937046230599E-2</v>
      </c>
      <c r="E285" s="516">
        <v>2.5201158388736219E-3</v>
      </c>
      <c r="F285" s="145">
        <v>1.9429399531155019E-2</v>
      </c>
      <c r="G285" s="145">
        <v>5.5430593372118061E-4</v>
      </c>
      <c r="H285" s="517">
        <v>2.0000009999999995E-3</v>
      </c>
      <c r="I285" s="517">
        <v>1.5750005000000001E-2</v>
      </c>
      <c r="J285" s="148">
        <v>6.0209539968661039E-4</v>
      </c>
      <c r="K285" s="518">
        <v>1.7998302690034851E-5</v>
      </c>
      <c r="L285" s="519">
        <v>1.8812098571084196E-5</v>
      </c>
    </row>
    <row r="286" spans="1:12" ht="15.5" x14ac:dyDescent="0.35">
      <c r="A286" s="143" t="s">
        <v>824</v>
      </c>
      <c r="B286" s="229">
        <v>2040</v>
      </c>
      <c r="C286" s="514" t="s">
        <v>1214</v>
      </c>
      <c r="D286" s="515">
        <v>2.5690342107196749E-2</v>
      </c>
      <c r="E286" s="516">
        <v>2.3595988118327248E-3</v>
      </c>
      <c r="F286" s="145">
        <v>1.8995558496170822E-2</v>
      </c>
      <c r="G286" s="145">
        <v>5.3253413997843507E-4</v>
      </c>
      <c r="H286" s="517">
        <v>2.0000009999999999E-3</v>
      </c>
      <c r="I286" s="517">
        <v>1.5750005000000001E-2</v>
      </c>
      <c r="J286" s="148">
        <v>5.7844013805405229E-4</v>
      </c>
      <c r="K286" s="518">
        <v>1.7439225246918963E-5</v>
      </c>
      <c r="L286" s="519">
        <v>1.8227751013349413E-5</v>
      </c>
    </row>
    <row r="287" spans="1:12" ht="15.5" x14ac:dyDescent="0.35">
      <c r="A287" s="143" t="s">
        <v>824</v>
      </c>
      <c r="B287" s="229">
        <v>2041</v>
      </c>
      <c r="C287" s="514" t="s">
        <v>1215</v>
      </c>
      <c r="D287" s="515">
        <v>2.5562314889580984E-2</v>
      </c>
      <c r="E287" s="516">
        <v>2.2364645721438736E-3</v>
      </c>
      <c r="F287" s="145">
        <v>1.8664070914964737E-2</v>
      </c>
      <c r="G287" s="145">
        <v>5.1531362417344339E-4</v>
      </c>
      <c r="H287" s="517">
        <v>2.0000009999999999E-3</v>
      </c>
      <c r="I287" s="517">
        <v>1.5750005000000004E-2</v>
      </c>
      <c r="J287" s="148">
        <v>5.5973096775054857E-4</v>
      </c>
      <c r="K287" s="518">
        <v>1.6978077909245772E-5</v>
      </c>
      <c r="L287" s="519">
        <v>1.7745754501647036E-5</v>
      </c>
    </row>
    <row r="288" spans="1:12" ht="15.5" x14ac:dyDescent="0.35">
      <c r="A288" s="143" t="s">
        <v>824</v>
      </c>
      <c r="B288" s="229">
        <v>2042</v>
      </c>
      <c r="C288" s="514" t="s">
        <v>1216</v>
      </c>
      <c r="D288" s="515">
        <v>2.5456017417633318E-2</v>
      </c>
      <c r="E288" s="516">
        <v>2.1311407075549817E-3</v>
      </c>
      <c r="F288" s="145">
        <v>1.8362673851408353E-2</v>
      </c>
      <c r="G288" s="145">
        <v>5.0071794398646595E-4</v>
      </c>
      <c r="H288" s="517">
        <v>2.0000009999999999E-3</v>
      </c>
      <c r="I288" s="517">
        <v>1.5750005000000004E-2</v>
      </c>
      <c r="J288" s="148">
        <v>5.4387300696124425E-4</v>
      </c>
      <c r="K288" s="518">
        <v>1.6604419697259259E-5</v>
      </c>
      <c r="L288" s="519">
        <v>1.735519917594094E-5</v>
      </c>
    </row>
    <row r="289" spans="1:12" ht="15.5" x14ac:dyDescent="0.35">
      <c r="A289" s="143" t="s">
        <v>824</v>
      </c>
      <c r="B289" s="229">
        <v>2043</v>
      </c>
      <c r="C289" s="514" t="s">
        <v>1217</v>
      </c>
      <c r="D289" s="515">
        <v>2.5369253893076534E-2</v>
      </c>
      <c r="E289" s="516">
        <v>2.0522256528230217E-3</v>
      </c>
      <c r="F289" s="145">
        <v>1.8143727194859342E-2</v>
      </c>
      <c r="G289" s="145">
        <v>4.8854431126684849E-4</v>
      </c>
      <c r="H289" s="517">
        <v>2.0000009999999999E-3</v>
      </c>
      <c r="I289" s="517">
        <v>1.5750005000000001E-2</v>
      </c>
      <c r="J289" s="148">
        <v>5.3064515642720078E-4</v>
      </c>
      <c r="K289" s="518">
        <v>1.6312709988891123E-5</v>
      </c>
      <c r="L289" s="519">
        <v>1.7050291635956359E-5</v>
      </c>
    </row>
    <row r="290" spans="1:12" ht="15.5" x14ac:dyDescent="0.35">
      <c r="A290" s="143" t="s">
        <v>824</v>
      </c>
      <c r="B290" s="229">
        <v>2044</v>
      </c>
      <c r="C290" s="514" t="s">
        <v>1218</v>
      </c>
      <c r="D290" s="515">
        <v>2.5297377977774226E-2</v>
      </c>
      <c r="E290" s="516">
        <v>1.9922615721904972E-3</v>
      </c>
      <c r="F290" s="145">
        <v>1.7965278388765341E-2</v>
      </c>
      <c r="G290" s="145">
        <v>4.783390323206191E-4</v>
      </c>
      <c r="H290" s="517">
        <v>2.0000010000000004E-3</v>
      </c>
      <c r="I290" s="517">
        <v>1.5750005000000001E-2</v>
      </c>
      <c r="J290" s="148">
        <v>5.1955626134886032E-4</v>
      </c>
      <c r="K290" s="518">
        <v>1.6068987018475384E-5</v>
      </c>
      <c r="L290" s="519">
        <v>1.6795554412065343E-5</v>
      </c>
    </row>
    <row r="291" spans="1:12" ht="15.5" x14ac:dyDescent="0.35">
      <c r="A291" s="143" t="s">
        <v>824</v>
      </c>
      <c r="B291" s="229">
        <v>2045</v>
      </c>
      <c r="C291" s="514" t="s">
        <v>1219</v>
      </c>
      <c r="D291" s="515">
        <v>2.5236611158029203E-2</v>
      </c>
      <c r="E291" s="516">
        <v>1.9515332295704827E-3</v>
      </c>
      <c r="F291" s="145">
        <v>1.7846984335635585E-2</v>
      </c>
      <c r="G291" s="145">
        <v>4.6981384446293526E-4</v>
      </c>
      <c r="H291" s="517">
        <v>2.0000010000000004E-3</v>
      </c>
      <c r="I291" s="517">
        <v>1.5750005000000004E-2</v>
      </c>
      <c r="J291" s="148">
        <v>5.1029178041732274E-4</v>
      </c>
      <c r="K291" s="518">
        <v>1.5893254086430574E-5</v>
      </c>
      <c r="L291" s="519">
        <v>1.6611876344780489E-5</v>
      </c>
    </row>
    <row r="292" spans="1:12" ht="15.5" x14ac:dyDescent="0.35">
      <c r="A292" s="143" t="s">
        <v>824</v>
      </c>
      <c r="B292" s="229">
        <v>2046</v>
      </c>
      <c r="C292" s="514" t="s">
        <v>1220</v>
      </c>
      <c r="D292" s="515">
        <v>2.5186785150874438E-2</v>
      </c>
      <c r="E292" s="516">
        <v>1.9169659997652323E-3</v>
      </c>
      <c r="F292" s="145">
        <v>1.7752604310630606E-2</v>
      </c>
      <c r="G292" s="145">
        <v>4.6276220159463679E-4</v>
      </c>
      <c r="H292" s="517">
        <v>2.0000009999999995E-3</v>
      </c>
      <c r="I292" s="517">
        <v>1.5750004999999997E-2</v>
      </c>
      <c r="J292" s="148">
        <v>5.0262872292031104E-4</v>
      </c>
      <c r="K292" s="518">
        <v>1.5735318134101769E-5</v>
      </c>
      <c r="L292" s="519">
        <v>1.6446797570531796E-5</v>
      </c>
    </row>
    <row r="293" spans="1:12" ht="15.5" x14ac:dyDescent="0.35">
      <c r="A293" s="143" t="s">
        <v>824</v>
      </c>
      <c r="B293" s="229">
        <v>2047</v>
      </c>
      <c r="C293" s="514" t="s">
        <v>1221</v>
      </c>
      <c r="D293" s="515">
        <v>2.5145628474360464E-2</v>
      </c>
      <c r="E293" s="516">
        <v>1.8869256106649774E-3</v>
      </c>
      <c r="F293" s="145">
        <v>1.7666117117801305E-2</v>
      </c>
      <c r="G293" s="145">
        <v>4.5698481298739844E-4</v>
      </c>
      <c r="H293" s="517">
        <v>2.0000009999999999E-3</v>
      </c>
      <c r="I293" s="517">
        <v>1.5750004999999997E-2</v>
      </c>
      <c r="J293" s="148">
        <v>4.9635093207624659E-4</v>
      </c>
      <c r="K293" s="518">
        <v>1.5613351317501628E-5</v>
      </c>
      <c r="L293" s="519">
        <v>1.6319318598751491E-5</v>
      </c>
    </row>
    <row r="294" spans="1:12" ht="15.5" x14ac:dyDescent="0.35">
      <c r="A294" s="143" t="s">
        <v>824</v>
      </c>
      <c r="B294" s="229">
        <v>2048</v>
      </c>
      <c r="C294" s="514" t="s">
        <v>1222</v>
      </c>
      <c r="D294" s="515">
        <v>2.511181700986086E-2</v>
      </c>
      <c r="E294" s="516">
        <v>1.8630537365358711E-3</v>
      </c>
      <c r="F294" s="145">
        <v>1.7595281413618186E-2</v>
      </c>
      <c r="G294" s="145">
        <v>4.5224871938652353E-4</v>
      </c>
      <c r="H294" s="517">
        <v>2.0000009999999995E-3</v>
      </c>
      <c r="I294" s="517">
        <v>1.5750005000000001E-2</v>
      </c>
      <c r="J294" s="148">
        <v>4.9120648414921562E-4</v>
      </c>
      <c r="K294" s="518">
        <v>1.5470402860802663E-5</v>
      </c>
      <c r="L294" s="519">
        <v>1.6169900810043329E-5</v>
      </c>
    </row>
    <row r="295" spans="1:12" ht="15.5" x14ac:dyDescent="0.35">
      <c r="A295" s="143" t="s">
        <v>824</v>
      </c>
      <c r="B295" s="229">
        <v>2049</v>
      </c>
      <c r="C295" s="514" t="s">
        <v>1223</v>
      </c>
      <c r="D295" s="515">
        <v>2.5083411399383224E-2</v>
      </c>
      <c r="E295" s="516">
        <v>1.8536263461148854E-3</v>
      </c>
      <c r="F295" s="145">
        <v>1.760453751025506E-2</v>
      </c>
      <c r="G295" s="145">
        <v>4.4916820950526568E-4</v>
      </c>
      <c r="H295" s="517">
        <v>2.0000009999999999E-3</v>
      </c>
      <c r="I295" s="517">
        <v>1.5750005000000001E-2</v>
      </c>
      <c r="J295" s="148">
        <v>4.8785878337279174E-4</v>
      </c>
      <c r="K295" s="518">
        <v>1.5402037813342036E-5</v>
      </c>
      <c r="L295" s="519">
        <v>1.6098442704118814E-5</v>
      </c>
    </row>
    <row r="296" spans="1:12" ht="15.5" x14ac:dyDescent="0.35">
      <c r="A296" s="143" t="s">
        <v>824</v>
      </c>
      <c r="B296" s="229">
        <v>2050</v>
      </c>
      <c r="C296" s="514" t="s">
        <v>1224</v>
      </c>
      <c r="D296" s="515">
        <v>2.5060446377145919E-2</v>
      </c>
      <c r="E296" s="516">
        <v>1.8461370239567106E-3</v>
      </c>
      <c r="F296" s="145">
        <v>1.7614041010375708E-2</v>
      </c>
      <c r="G296" s="145">
        <v>4.4672957158399578E-4</v>
      </c>
      <c r="H296" s="517">
        <v>2.0000009999999999E-3</v>
      </c>
      <c r="I296" s="517">
        <v>1.5750005000000001E-2</v>
      </c>
      <c r="J296" s="148">
        <v>4.8521029170769595E-4</v>
      </c>
      <c r="K296" s="518">
        <v>1.532420229126615E-5</v>
      </c>
      <c r="L296" s="519">
        <v>1.6017095012919962E-5</v>
      </c>
    </row>
    <row r="297" spans="1:12" ht="15.5" x14ac:dyDescent="0.35">
      <c r="A297" s="143" t="s">
        <v>827</v>
      </c>
      <c r="B297" s="229">
        <v>2015</v>
      </c>
      <c r="C297" s="514" t="s">
        <v>828</v>
      </c>
      <c r="D297" s="515">
        <v>4.2868772159691343E-2</v>
      </c>
      <c r="E297" s="516">
        <v>4.3996151579743993E-2</v>
      </c>
      <c r="F297" s="145">
        <v>0.17808112307729196</v>
      </c>
      <c r="G297" s="145">
        <v>1.7122408872532846E-3</v>
      </c>
      <c r="H297" s="517">
        <v>2.0000009999999999E-3</v>
      </c>
      <c r="I297" s="517">
        <v>1.5750005000000001E-2</v>
      </c>
      <c r="J297" s="148">
        <v>1.853846369181518E-3</v>
      </c>
      <c r="K297" s="518">
        <v>1.3649001682218936E-4</v>
      </c>
      <c r="L297" s="519">
        <v>1.4266148986483585E-4</v>
      </c>
    </row>
    <row r="298" spans="1:12" ht="15.5" x14ac:dyDescent="0.35">
      <c r="A298" s="143" t="s">
        <v>827</v>
      </c>
      <c r="B298" s="229">
        <v>2016</v>
      </c>
      <c r="C298" s="514" t="s">
        <v>829</v>
      </c>
      <c r="D298" s="515">
        <v>4.2001288659377155E-2</v>
      </c>
      <c r="E298" s="516">
        <v>3.6529454448866509E-2</v>
      </c>
      <c r="F298" s="145">
        <v>0.1510316894199954</v>
      </c>
      <c r="G298" s="145">
        <v>1.6244054261802504E-3</v>
      </c>
      <c r="H298" s="517">
        <v>2.0000009999999999E-3</v>
      </c>
      <c r="I298" s="517">
        <v>1.5750004999999997E-2</v>
      </c>
      <c r="J298" s="148">
        <v>1.7598778195328378E-3</v>
      </c>
      <c r="K298" s="518">
        <v>1.1828353594274654E-4</v>
      </c>
      <c r="L298" s="519">
        <v>1.2363179409289612E-4</v>
      </c>
    </row>
    <row r="299" spans="1:12" ht="15.5" x14ac:dyDescent="0.35">
      <c r="A299" s="143" t="s">
        <v>827</v>
      </c>
      <c r="B299" s="229">
        <v>2017</v>
      </c>
      <c r="C299" s="514" t="s">
        <v>1225</v>
      </c>
      <c r="D299" s="515">
        <v>4.1040884087771186E-2</v>
      </c>
      <c r="E299" s="516">
        <v>3.0370953589759539E-2</v>
      </c>
      <c r="F299" s="145">
        <v>0.12868136359302049</v>
      </c>
      <c r="G299" s="145">
        <v>1.5849718773827807E-3</v>
      </c>
      <c r="H299" s="517">
        <v>2.0000009999999999E-3</v>
      </c>
      <c r="I299" s="517">
        <v>1.5750005000000001E-2</v>
      </c>
      <c r="J299" s="148">
        <v>1.7180916554545662E-3</v>
      </c>
      <c r="K299" s="518">
        <v>1.0723859856977582E-4</v>
      </c>
      <c r="L299" s="519">
        <v>1.1208745313193722E-4</v>
      </c>
    </row>
    <row r="300" spans="1:12" ht="15.5" x14ac:dyDescent="0.35">
      <c r="A300" s="143" t="s">
        <v>827</v>
      </c>
      <c r="B300" s="229">
        <v>2018</v>
      </c>
      <c r="C300" s="514" t="s">
        <v>1226</v>
      </c>
      <c r="D300" s="515">
        <v>4.0009866823056656E-2</v>
      </c>
      <c r="E300" s="516">
        <v>2.5248039116561594E-2</v>
      </c>
      <c r="F300" s="145">
        <v>0.10956864814900077</v>
      </c>
      <c r="G300" s="145">
        <v>1.5761823723816916E-3</v>
      </c>
      <c r="H300" s="517">
        <v>2.0000009999999999E-3</v>
      </c>
      <c r="I300" s="517">
        <v>1.5750005000000004E-2</v>
      </c>
      <c r="J300" s="148">
        <v>1.7093708524018908E-3</v>
      </c>
      <c r="K300" s="518">
        <v>9.8218061788793673E-5</v>
      </c>
      <c r="L300" s="519">
        <v>1.0265904818035261E-4</v>
      </c>
    </row>
    <row r="301" spans="1:12" ht="15.5" x14ac:dyDescent="0.35">
      <c r="A301" s="143" t="s">
        <v>827</v>
      </c>
      <c r="B301" s="229">
        <v>2019</v>
      </c>
      <c r="C301" s="514" t="s">
        <v>1227</v>
      </c>
      <c r="D301" s="515">
        <v>3.8941177576773657E-2</v>
      </c>
      <c r="E301" s="516">
        <v>2.0953819953779401E-2</v>
      </c>
      <c r="F301" s="145">
        <v>9.342488550737757E-2</v>
      </c>
      <c r="G301" s="145">
        <v>1.5748956579668533E-3</v>
      </c>
      <c r="H301" s="517">
        <v>2.0000009999999999E-3</v>
      </c>
      <c r="I301" s="517">
        <v>1.5750005000000004E-2</v>
      </c>
      <c r="J301" s="148">
        <v>1.708651955576475E-3</v>
      </c>
      <c r="K301" s="518">
        <v>9.0294598215471733E-5</v>
      </c>
      <c r="L301" s="519">
        <v>9.4377319221042809E-5</v>
      </c>
    </row>
    <row r="302" spans="1:12" ht="15.5" x14ac:dyDescent="0.35">
      <c r="A302" s="143" t="s">
        <v>827</v>
      </c>
      <c r="B302" s="229">
        <v>2020</v>
      </c>
      <c r="C302" s="514" t="s">
        <v>1228</v>
      </c>
      <c r="D302" s="515">
        <v>3.7845704182928902E-2</v>
      </c>
      <c r="E302" s="516">
        <v>1.7714054041828731E-2</v>
      </c>
      <c r="F302" s="145">
        <v>8.0116189346350897E-2</v>
      </c>
      <c r="G302" s="145">
        <v>1.5442516588443282E-3</v>
      </c>
      <c r="H302" s="517">
        <v>2.0000009999999999E-3</v>
      </c>
      <c r="I302" s="517">
        <v>1.5750005000000001E-2</v>
      </c>
      <c r="J302" s="148">
        <v>1.6757074773007643E-3</v>
      </c>
      <c r="K302" s="518">
        <v>8.4111768887142196E-5</v>
      </c>
      <c r="L302" s="519">
        <v>8.7914927172629497E-5</v>
      </c>
    </row>
    <row r="303" spans="1:12" ht="15.5" x14ac:dyDescent="0.35">
      <c r="A303" s="143" t="s">
        <v>827</v>
      </c>
      <c r="B303" s="229">
        <v>2021</v>
      </c>
      <c r="C303" s="514" t="s">
        <v>1229</v>
      </c>
      <c r="D303" s="515">
        <v>3.673334445470372E-2</v>
      </c>
      <c r="E303" s="516">
        <v>1.5127683596428187E-2</v>
      </c>
      <c r="F303" s="145">
        <v>6.9028269672849779E-2</v>
      </c>
      <c r="G303" s="145">
        <v>1.4753820978789249E-3</v>
      </c>
      <c r="H303" s="517">
        <v>2.0000009999999995E-3</v>
      </c>
      <c r="I303" s="517">
        <v>1.5750004999999997E-2</v>
      </c>
      <c r="J303" s="148">
        <v>1.6011802787700719E-3</v>
      </c>
      <c r="K303" s="518">
        <v>7.6867551623449983E-5</v>
      </c>
      <c r="L303" s="519">
        <v>8.034316761419062E-5</v>
      </c>
    </row>
    <row r="304" spans="1:12" ht="15.5" x14ac:dyDescent="0.35">
      <c r="A304" s="143" t="s">
        <v>827</v>
      </c>
      <c r="B304" s="229">
        <v>2022</v>
      </c>
      <c r="C304" s="514" t="s">
        <v>1230</v>
      </c>
      <c r="D304" s="515">
        <v>3.563202810215943E-2</v>
      </c>
      <c r="E304" s="516">
        <v>1.2673389990337501E-2</v>
      </c>
      <c r="F304" s="145">
        <v>5.9465438120474647E-2</v>
      </c>
      <c r="G304" s="145">
        <v>1.4066717024440536E-3</v>
      </c>
      <c r="H304" s="517">
        <v>2.0000010000000004E-3</v>
      </c>
      <c r="I304" s="517">
        <v>1.5750005000000004E-2</v>
      </c>
      <c r="J304" s="148">
        <v>1.5268724470921021E-3</v>
      </c>
      <c r="K304" s="518">
        <v>7.0173305688000975E-5</v>
      </c>
      <c r="L304" s="519">
        <v>7.3346232686144873E-5</v>
      </c>
    </row>
    <row r="305" spans="1:12" ht="15.5" x14ac:dyDescent="0.35">
      <c r="A305" s="143" t="s">
        <v>827</v>
      </c>
      <c r="B305" s="229">
        <v>2023</v>
      </c>
      <c r="C305" s="514" t="s">
        <v>1231</v>
      </c>
      <c r="D305" s="515">
        <v>3.4536961483244359E-2</v>
      </c>
      <c r="E305" s="516">
        <v>1.096358975646136E-2</v>
      </c>
      <c r="F305" s="145">
        <v>5.19267166109754E-2</v>
      </c>
      <c r="G305" s="145">
        <v>1.3452026044794888E-3</v>
      </c>
      <c r="H305" s="517">
        <v>2.0000009999999995E-3</v>
      </c>
      <c r="I305" s="517">
        <v>1.5750004999999997E-2</v>
      </c>
      <c r="J305" s="148">
        <v>1.4603046491664775E-3</v>
      </c>
      <c r="K305" s="518">
        <v>6.3803506725033338E-5</v>
      </c>
      <c r="L305" s="519">
        <v>6.6688416968256495E-5</v>
      </c>
    </row>
    <row r="306" spans="1:12" ht="15.5" x14ac:dyDescent="0.35">
      <c r="A306" s="143" t="s">
        <v>827</v>
      </c>
      <c r="B306" s="229">
        <v>2024</v>
      </c>
      <c r="C306" s="514" t="s">
        <v>1232</v>
      </c>
      <c r="D306" s="515">
        <v>3.3452783190648344E-2</v>
      </c>
      <c r="E306" s="516">
        <v>9.5148132456049483E-3</v>
      </c>
      <c r="F306" s="145">
        <v>4.5666890576372549E-2</v>
      </c>
      <c r="G306" s="145">
        <v>1.2884598182411938E-3</v>
      </c>
      <c r="H306" s="517">
        <v>2.0000009999999999E-3</v>
      </c>
      <c r="I306" s="517">
        <v>1.5750004999999997E-2</v>
      </c>
      <c r="J306" s="148">
        <v>1.3988906517122732E-3</v>
      </c>
      <c r="K306" s="518">
        <v>5.714679876196711E-5</v>
      </c>
      <c r="L306" s="519">
        <v>5.9730726407217064E-5</v>
      </c>
    </row>
    <row r="307" spans="1:12" ht="15.5" x14ac:dyDescent="0.35">
      <c r="A307" s="143" t="s">
        <v>827</v>
      </c>
      <c r="B307" s="229">
        <v>2025</v>
      </c>
      <c r="C307" s="514" t="s">
        <v>1233</v>
      </c>
      <c r="D307" s="515">
        <v>3.2379856183069045E-2</v>
      </c>
      <c r="E307" s="516">
        <v>8.3369745282425283E-3</v>
      </c>
      <c r="F307" s="145">
        <v>4.0666491576122107E-2</v>
      </c>
      <c r="G307" s="145">
        <v>1.2399178383585613E-3</v>
      </c>
      <c r="H307" s="517">
        <v>2.0000010000000004E-3</v>
      </c>
      <c r="I307" s="517">
        <v>1.5750005000000001E-2</v>
      </c>
      <c r="J307" s="148">
        <v>1.3463171206755324E-3</v>
      </c>
      <c r="K307" s="518">
        <v>5.2059386953798306E-5</v>
      </c>
      <c r="L307" s="519">
        <v>5.4413285329106597E-5</v>
      </c>
    </row>
    <row r="308" spans="1:12" ht="15.5" x14ac:dyDescent="0.35">
      <c r="A308" s="143" t="s">
        <v>827</v>
      </c>
      <c r="B308" s="229">
        <v>2026</v>
      </c>
      <c r="C308" s="514" t="s">
        <v>1234</v>
      </c>
      <c r="D308" s="515">
        <v>3.1402902362314425E-2</v>
      </c>
      <c r="E308" s="516">
        <v>7.3690263648372454E-3</v>
      </c>
      <c r="F308" s="145">
        <v>3.6650433241285391E-2</v>
      </c>
      <c r="G308" s="145">
        <v>1.1874544796441431E-3</v>
      </c>
      <c r="H308" s="517">
        <v>2.0000009999999999E-3</v>
      </c>
      <c r="I308" s="517">
        <v>1.5750005000000001E-2</v>
      </c>
      <c r="J308" s="148">
        <v>1.2894716870070592E-3</v>
      </c>
      <c r="K308" s="518">
        <v>4.7038232067664868E-5</v>
      </c>
      <c r="L308" s="519">
        <v>4.9165094912023751E-5</v>
      </c>
    </row>
    <row r="309" spans="1:12" ht="15.5" x14ac:dyDescent="0.35">
      <c r="A309" s="143" t="s">
        <v>827</v>
      </c>
      <c r="B309" s="229">
        <v>2027</v>
      </c>
      <c r="C309" s="514" t="s">
        <v>1235</v>
      </c>
      <c r="D309" s="515">
        <v>3.0511174087321034E-2</v>
      </c>
      <c r="E309" s="516">
        <v>6.5516088070300656E-3</v>
      </c>
      <c r="F309" s="145">
        <v>3.3323037731814484E-2</v>
      </c>
      <c r="G309" s="145">
        <v>1.1261911470608471E-3</v>
      </c>
      <c r="H309" s="517">
        <v>2.0000009999999999E-3</v>
      </c>
      <c r="I309" s="517">
        <v>1.5750005000000001E-2</v>
      </c>
      <c r="J309" s="148">
        <v>1.223080054450413E-3</v>
      </c>
      <c r="K309" s="518">
        <v>4.1441983637450156E-5</v>
      </c>
      <c r="L309" s="519">
        <v>4.331581220358612E-5</v>
      </c>
    </row>
    <row r="310" spans="1:12" ht="15.5" x14ac:dyDescent="0.35">
      <c r="A310" s="143" t="s">
        <v>827</v>
      </c>
      <c r="B310" s="229">
        <v>2028</v>
      </c>
      <c r="C310" s="514" t="s">
        <v>1236</v>
      </c>
      <c r="D310" s="515">
        <v>2.9708990189260827E-2</v>
      </c>
      <c r="E310" s="516">
        <v>5.8690918550369335E-3</v>
      </c>
      <c r="F310" s="145">
        <v>3.0600455311487564E-2</v>
      </c>
      <c r="G310" s="145">
        <v>1.0581884192264962E-3</v>
      </c>
      <c r="H310" s="517">
        <v>2.0000009999999995E-3</v>
      </c>
      <c r="I310" s="517">
        <v>1.5750005000000001E-2</v>
      </c>
      <c r="J310" s="148">
        <v>1.1493196552164143E-3</v>
      </c>
      <c r="K310" s="518">
        <v>3.6751556397519923E-5</v>
      </c>
      <c r="L310" s="519">
        <v>3.8413302864486013E-5</v>
      </c>
    </row>
    <row r="311" spans="1:12" ht="15.5" x14ac:dyDescent="0.35">
      <c r="A311" s="143" t="s">
        <v>827</v>
      </c>
      <c r="B311" s="229">
        <v>2029</v>
      </c>
      <c r="C311" s="514" t="s">
        <v>1237</v>
      </c>
      <c r="D311" s="515">
        <v>2.8991430753468925E-2</v>
      </c>
      <c r="E311" s="516">
        <v>5.2803084461587081E-3</v>
      </c>
      <c r="F311" s="145">
        <v>2.8326648136638207E-2</v>
      </c>
      <c r="G311" s="145">
        <v>9.9276382117705346E-4</v>
      </c>
      <c r="H311" s="517">
        <v>2.0000009999999999E-3</v>
      </c>
      <c r="I311" s="517">
        <v>1.5750005000000001E-2</v>
      </c>
      <c r="J311" s="148">
        <v>1.0783174195564871E-3</v>
      </c>
      <c r="K311" s="518">
        <v>3.3129159102631617E-5</v>
      </c>
      <c r="L311" s="519">
        <v>3.4627117363495522E-5</v>
      </c>
    </row>
    <row r="312" spans="1:12" ht="15.5" x14ac:dyDescent="0.35">
      <c r="A312" s="143" t="s">
        <v>827</v>
      </c>
      <c r="B312" s="229">
        <v>2030</v>
      </c>
      <c r="C312" s="514" t="s">
        <v>1238</v>
      </c>
      <c r="D312" s="515">
        <v>2.8353685158327223E-2</v>
      </c>
      <c r="E312" s="516">
        <v>4.78706938281307E-3</v>
      </c>
      <c r="F312" s="145">
        <v>2.6470751311902168E-2</v>
      </c>
      <c r="G312" s="145">
        <v>9.3112140416730285E-4</v>
      </c>
      <c r="H312" s="517">
        <v>2.0000009999999999E-3</v>
      </c>
      <c r="I312" s="517">
        <v>1.5750005000000001E-2</v>
      </c>
      <c r="J312" s="148">
        <v>1.011401229343E-3</v>
      </c>
      <c r="K312" s="518">
        <v>3.016905337469465E-5</v>
      </c>
      <c r="L312" s="519">
        <v>3.1533158886065198E-5</v>
      </c>
    </row>
    <row r="313" spans="1:12" ht="15.5" x14ac:dyDescent="0.35">
      <c r="A313" s="143" t="s">
        <v>827</v>
      </c>
      <c r="B313" s="229">
        <v>2031</v>
      </c>
      <c r="C313" s="514" t="s">
        <v>1239</v>
      </c>
      <c r="D313" s="515">
        <v>2.7789106626250663E-2</v>
      </c>
      <c r="E313" s="516">
        <v>4.3565602702937811E-3</v>
      </c>
      <c r="F313" s="145">
        <v>2.4894251286549259E-2</v>
      </c>
      <c r="G313" s="145">
        <v>8.7348781695015287E-4</v>
      </c>
      <c r="H313" s="517">
        <v>2.0000009999999995E-3</v>
      </c>
      <c r="I313" s="517">
        <v>1.5750005000000001E-2</v>
      </c>
      <c r="J313" s="148">
        <v>9.4880840051297976E-4</v>
      </c>
      <c r="K313" s="518">
        <v>2.8075736659912603E-5</v>
      </c>
      <c r="L313" s="519">
        <v>2.9345199187355257E-5</v>
      </c>
    </row>
    <row r="314" spans="1:12" ht="15.5" x14ac:dyDescent="0.35">
      <c r="A314" s="143" t="s">
        <v>827</v>
      </c>
      <c r="B314" s="229">
        <v>2032</v>
      </c>
      <c r="C314" s="514" t="s">
        <v>1240</v>
      </c>
      <c r="D314" s="515">
        <v>2.7292243628594989E-2</v>
      </c>
      <c r="E314" s="516">
        <v>3.9873559770117126E-3</v>
      </c>
      <c r="F314" s="145">
        <v>2.3610505706038593E-2</v>
      </c>
      <c r="G314" s="145">
        <v>8.2008462438622003E-4</v>
      </c>
      <c r="H314" s="517">
        <v>2.0000009999999995E-3</v>
      </c>
      <c r="I314" s="517">
        <v>1.5750005000000004E-2</v>
      </c>
      <c r="J314" s="148">
        <v>8.9080870752219392E-4</v>
      </c>
      <c r="K314" s="518">
        <v>2.6143178494110822E-5</v>
      </c>
      <c r="L314" s="519">
        <v>2.7325258008610811E-5</v>
      </c>
    </row>
    <row r="315" spans="1:12" ht="15.5" x14ac:dyDescent="0.35">
      <c r="A315" s="143" t="s">
        <v>827</v>
      </c>
      <c r="B315" s="229">
        <v>2033</v>
      </c>
      <c r="C315" s="514" t="s">
        <v>1241</v>
      </c>
      <c r="D315" s="515">
        <v>2.6857717831512959E-2</v>
      </c>
      <c r="E315" s="516">
        <v>3.6675462251971407E-3</v>
      </c>
      <c r="F315" s="145">
        <v>2.2549563098021926E-2</v>
      </c>
      <c r="G315" s="145">
        <v>7.7121273140002959E-4</v>
      </c>
      <c r="H315" s="517">
        <v>2.0000009999999999E-3</v>
      </c>
      <c r="I315" s="517">
        <v>1.5750004999999997E-2</v>
      </c>
      <c r="J315" s="148">
        <v>8.3771975389936373E-4</v>
      </c>
      <c r="K315" s="518">
        <v>2.4654191193378486E-5</v>
      </c>
      <c r="L315" s="519">
        <v>2.576894739747273E-5</v>
      </c>
    </row>
    <row r="316" spans="1:12" ht="15.5" x14ac:dyDescent="0.35">
      <c r="A316" s="143" t="s">
        <v>827</v>
      </c>
      <c r="B316" s="229">
        <v>2034</v>
      </c>
      <c r="C316" s="514" t="s">
        <v>1242</v>
      </c>
      <c r="D316" s="515">
        <v>2.6479341429897815E-2</v>
      </c>
      <c r="E316" s="516">
        <v>3.3833931197766432E-3</v>
      </c>
      <c r="F316" s="145">
        <v>2.165253432576647E-2</v>
      </c>
      <c r="G316" s="145">
        <v>7.2624115716522558E-4</v>
      </c>
      <c r="H316" s="517">
        <v>2.0000009999999999E-3</v>
      </c>
      <c r="I316" s="517">
        <v>1.5750005000000001E-2</v>
      </c>
      <c r="J316" s="148">
        <v>7.8886760709237101E-4</v>
      </c>
      <c r="K316" s="518">
        <v>2.3261223982853769E-5</v>
      </c>
      <c r="L316" s="519">
        <v>2.4312994271689642E-5</v>
      </c>
    </row>
    <row r="317" spans="1:12" ht="15.5" x14ac:dyDescent="0.35">
      <c r="A317" s="143" t="s">
        <v>827</v>
      </c>
      <c r="B317" s="229">
        <v>2035</v>
      </c>
      <c r="C317" s="514" t="s">
        <v>1243</v>
      </c>
      <c r="D317" s="515">
        <v>2.6152579021701861E-2</v>
      </c>
      <c r="E317" s="516">
        <v>3.1358873852199457E-3</v>
      </c>
      <c r="F317" s="145">
        <v>2.0916789354383392E-2</v>
      </c>
      <c r="G317" s="145">
        <v>6.8546932678498077E-4</v>
      </c>
      <c r="H317" s="517">
        <v>2.0000009999999995E-3</v>
      </c>
      <c r="I317" s="517">
        <v>1.5750005000000001E-2</v>
      </c>
      <c r="J317" s="148">
        <v>7.4457513732813306E-4</v>
      </c>
      <c r="K317" s="518">
        <v>2.2072689359112696E-5</v>
      </c>
      <c r="L317" s="519">
        <v>2.3070708888786194E-5</v>
      </c>
    </row>
    <row r="318" spans="1:12" ht="15.5" x14ac:dyDescent="0.35">
      <c r="A318" s="143" t="s">
        <v>827</v>
      </c>
      <c r="B318" s="229">
        <v>2036</v>
      </c>
      <c r="C318" s="514" t="s">
        <v>1244</v>
      </c>
      <c r="D318" s="515">
        <v>2.5872868606240582E-2</v>
      </c>
      <c r="E318" s="516">
        <v>2.9220673325321697E-3</v>
      </c>
      <c r="F318" s="145">
        <v>2.0312087707052999E-2</v>
      </c>
      <c r="G318" s="145">
        <v>6.4973388450342243E-4</v>
      </c>
      <c r="H318" s="517">
        <v>2.0000009999999995E-3</v>
      </c>
      <c r="I318" s="517">
        <v>1.5750005000000001E-2</v>
      </c>
      <c r="J318" s="148">
        <v>7.0575444822597213E-4</v>
      </c>
      <c r="K318" s="518">
        <v>2.101517570524919E-5</v>
      </c>
      <c r="L318" s="519">
        <v>2.1965388402287377E-5</v>
      </c>
    </row>
    <row r="319" spans="1:12" ht="15.5" x14ac:dyDescent="0.35">
      <c r="A319" s="143" t="s">
        <v>827</v>
      </c>
      <c r="B319" s="229">
        <v>2037</v>
      </c>
      <c r="C319" s="514" t="s">
        <v>1245</v>
      </c>
      <c r="D319" s="515">
        <v>2.5635636067888469E-2</v>
      </c>
      <c r="E319" s="516">
        <v>2.7397674049526454E-3</v>
      </c>
      <c r="F319" s="145">
        <v>1.9821057415266932E-2</v>
      </c>
      <c r="G319" s="145">
        <v>6.1818423411521151E-4</v>
      </c>
      <c r="H319" s="517">
        <v>2.0000009999999999E-3</v>
      </c>
      <c r="I319" s="517">
        <v>1.5750004999999997E-2</v>
      </c>
      <c r="J319" s="148">
        <v>6.7148011091520423E-4</v>
      </c>
      <c r="K319" s="518">
        <v>2.0103793032043981E-5</v>
      </c>
      <c r="L319" s="519">
        <v>2.1012791220488682E-5</v>
      </c>
    </row>
    <row r="320" spans="1:12" ht="15.5" x14ac:dyDescent="0.35">
      <c r="A320" s="143" t="s">
        <v>827</v>
      </c>
      <c r="B320" s="229">
        <v>2038</v>
      </c>
      <c r="C320" s="514" t="s">
        <v>1246</v>
      </c>
      <c r="D320" s="515">
        <v>2.543644117678804E-2</v>
      </c>
      <c r="E320" s="516">
        <v>2.5783798458044868E-3</v>
      </c>
      <c r="F320" s="145">
        <v>1.9391783491850445E-2</v>
      </c>
      <c r="G320" s="145">
        <v>5.9048459450079522E-4</v>
      </c>
      <c r="H320" s="517">
        <v>2.0000009999999999E-3</v>
      </c>
      <c r="I320" s="517">
        <v>1.5750004999999997E-2</v>
      </c>
      <c r="J320" s="148">
        <v>6.4138637966539643E-4</v>
      </c>
      <c r="K320" s="518">
        <v>1.9339469405712751E-5</v>
      </c>
      <c r="L320" s="519">
        <v>2.0213908257997266E-5</v>
      </c>
    </row>
    <row r="321" spans="1:12" ht="15.5" x14ac:dyDescent="0.35">
      <c r="A321" s="143" t="s">
        <v>827</v>
      </c>
      <c r="B321" s="229">
        <v>2039</v>
      </c>
      <c r="C321" s="514" t="s">
        <v>1247</v>
      </c>
      <c r="D321" s="515">
        <v>2.5269878327070817E-2</v>
      </c>
      <c r="E321" s="516">
        <v>2.4292045720516334E-3</v>
      </c>
      <c r="F321" s="145">
        <v>1.8997020043060954E-2</v>
      </c>
      <c r="G321" s="145">
        <v>5.6631102118349561E-4</v>
      </c>
      <c r="H321" s="517">
        <v>2.0000009999999999E-3</v>
      </c>
      <c r="I321" s="517">
        <v>1.5750005000000001E-2</v>
      </c>
      <c r="J321" s="148">
        <v>6.1512300661848156E-4</v>
      </c>
      <c r="K321" s="518">
        <v>1.869273478286777E-5</v>
      </c>
      <c r="L321" s="519">
        <v>1.9537936832245087E-5</v>
      </c>
    </row>
    <row r="322" spans="1:12" ht="15.5" x14ac:dyDescent="0.35">
      <c r="A322" s="143" t="s">
        <v>827</v>
      </c>
      <c r="B322" s="229">
        <v>2040</v>
      </c>
      <c r="C322" s="514" t="s">
        <v>1248</v>
      </c>
      <c r="D322" s="515">
        <v>2.5131437850579117E-2</v>
      </c>
      <c r="E322" s="516">
        <v>2.298058881571106E-3</v>
      </c>
      <c r="F322" s="145">
        <v>1.8669450350133641E-2</v>
      </c>
      <c r="G322" s="145">
        <v>5.4553157935727237E-4</v>
      </c>
      <c r="H322" s="517">
        <v>2.0000009999999999E-3</v>
      </c>
      <c r="I322" s="517">
        <v>1.5750005000000001E-2</v>
      </c>
      <c r="J322" s="148">
        <v>5.9254582435947802E-4</v>
      </c>
      <c r="K322" s="518">
        <v>1.8158179426691893E-5</v>
      </c>
      <c r="L322" s="519">
        <v>1.8979210649613688E-5</v>
      </c>
    </row>
    <row r="323" spans="1:12" ht="15.5" x14ac:dyDescent="0.35">
      <c r="A323" s="143" t="s">
        <v>827</v>
      </c>
      <c r="B323" s="229">
        <v>2041</v>
      </c>
      <c r="C323" s="514" t="s">
        <v>1249</v>
      </c>
      <c r="D323" s="515">
        <v>2.501832004851948E-2</v>
      </c>
      <c r="E323" s="516">
        <v>2.1967217372878558E-3</v>
      </c>
      <c r="F323" s="145">
        <v>1.8409821390411495E-2</v>
      </c>
      <c r="G323" s="145">
        <v>5.2898464187565856E-4</v>
      </c>
      <c r="H323" s="517">
        <v>2.0000010000000004E-3</v>
      </c>
      <c r="I323" s="517">
        <v>1.5750005000000001E-2</v>
      </c>
      <c r="J323" s="148">
        <v>5.7456905284753346E-4</v>
      </c>
      <c r="K323" s="518">
        <v>1.7708271767160666E-5</v>
      </c>
      <c r="L323" s="519">
        <v>1.8508956546447092E-5</v>
      </c>
    </row>
    <row r="324" spans="1:12" ht="15.5" x14ac:dyDescent="0.35">
      <c r="A324" s="143" t="s">
        <v>827</v>
      </c>
      <c r="B324" s="229">
        <v>2042</v>
      </c>
      <c r="C324" s="514" t="s">
        <v>1250</v>
      </c>
      <c r="D324" s="515">
        <v>2.4924888716906516E-2</v>
      </c>
      <c r="E324" s="516">
        <v>2.1092021648965288E-3</v>
      </c>
      <c r="F324" s="145">
        <v>1.8166738655032943E-2</v>
      </c>
      <c r="G324" s="145">
        <v>5.1508569996959865E-4</v>
      </c>
      <c r="H324" s="517">
        <v>2.0000010000000004E-3</v>
      </c>
      <c r="I324" s="517">
        <v>1.5750005000000001E-2</v>
      </c>
      <c r="J324" s="148">
        <v>5.5946781520572455E-4</v>
      </c>
      <c r="K324" s="518">
        <v>1.7349768238778971E-5</v>
      </c>
      <c r="L324" s="519">
        <v>1.8134248932399795E-5</v>
      </c>
    </row>
    <row r="325" spans="1:12" ht="15.5" x14ac:dyDescent="0.35">
      <c r="A325" s="143" t="s">
        <v>827</v>
      </c>
      <c r="B325" s="229">
        <v>2043</v>
      </c>
      <c r="C325" s="514" t="s">
        <v>1251</v>
      </c>
      <c r="D325" s="515">
        <v>2.4848817035979864E-2</v>
      </c>
      <c r="E325" s="516">
        <v>2.0422030380067399E-3</v>
      </c>
      <c r="F325" s="145">
        <v>1.7982706152543909E-2</v>
      </c>
      <c r="G325" s="145">
        <v>5.0350995159076947E-4</v>
      </c>
      <c r="H325" s="517">
        <v>2.0000010000000004E-3</v>
      </c>
      <c r="I325" s="517">
        <v>1.5750005000000001E-2</v>
      </c>
      <c r="J325" s="148">
        <v>5.4688991114875405E-4</v>
      </c>
      <c r="K325" s="518">
        <v>1.7064685530335248E-5</v>
      </c>
      <c r="L325" s="519">
        <v>1.7836276912073773E-5</v>
      </c>
    </row>
    <row r="326" spans="1:12" ht="15.5" x14ac:dyDescent="0.35">
      <c r="A326" s="143" t="s">
        <v>827</v>
      </c>
      <c r="B326" s="229">
        <v>2044</v>
      </c>
      <c r="C326" s="514" t="s">
        <v>1252</v>
      </c>
      <c r="D326" s="515">
        <v>2.478630015651136E-2</v>
      </c>
      <c r="E326" s="516">
        <v>1.9902201844523423E-3</v>
      </c>
      <c r="F326" s="145">
        <v>1.7829699029256144E-2</v>
      </c>
      <c r="G326" s="145">
        <v>4.9387233731350061E-4</v>
      </c>
      <c r="H326" s="517">
        <v>2.0000010000000004E-3</v>
      </c>
      <c r="I326" s="517">
        <v>1.5750005000000004E-2</v>
      </c>
      <c r="J326" s="148">
        <v>5.364179223211438E-4</v>
      </c>
      <c r="K326" s="518">
        <v>1.683995327588561E-5</v>
      </c>
      <c r="L326" s="519">
        <v>1.7601378262160364E-5</v>
      </c>
    </row>
    <row r="327" spans="1:12" ht="15.5" x14ac:dyDescent="0.35">
      <c r="A327" s="143" t="s">
        <v>827</v>
      </c>
      <c r="B327" s="229">
        <v>2045</v>
      </c>
      <c r="C327" s="514" t="s">
        <v>1253</v>
      </c>
      <c r="D327" s="515">
        <v>2.473403275316062E-2</v>
      </c>
      <c r="E327" s="516">
        <v>1.9536155898345294E-3</v>
      </c>
      <c r="F327" s="145">
        <v>1.7725404724229996E-2</v>
      </c>
      <c r="G327" s="145">
        <v>4.8589807748343342E-4</v>
      </c>
      <c r="H327" s="517">
        <v>2.0000009999999999E-3</v>
      </c>
      <c r="I327" s="517">
        <v>1.5750005000000001E-2</v>
      </c>
      <c r="J327" s="148">
        <v>5.277525104465129E-4</v>
      </c>
      <c r="K327" s="518">
        <v>1.6667876571894817E-5</v>
      </c>
      <c r="L327" s="519">
        <v>1.742151932014082E-5</v>
      </c>
    </row>
    <row r="328" spans="1:12" ht="15.5" x14ac:dyDescent="0.35">
      <c r="A328" s="143" t="s">
        <v>827</v>
      </c>
      <c r="B328" s="229">
        <v>2046</v>
      </c>
      <c r="C328" s="514" t="s">
        <v>1254</v>
      </c>
      <c r="D328" s="515">
        <v>2.4690501557212509E-2</v>
      </c>
      <c r="E328" s="516">
        <v>1.9213617102033509E-3</v>
      </c>
      <c r="F328" s="145">
        <v>1.7635944078386773E-2</v>
      </c>
      <c r="G328" s="145">
        <v>4.793286185315161E-4</v>
      </c>
      <c r="H328" s="517">
        <v>2.0000009999999999E-3</v>
      </c>
      <c r="I328" s="517">
        <v>1.5750005000000001E-2</v>
      </c>
      <c r="J328" s="148">
        <v>5.2061279751199551E-4</v>
      </c>
      <c r="K328" s="518">
        <v>1.653025444394694E-5</v>
      </c>
      <c r="L328" s="519">
        <v>1.7277678479896429E-5</v>
      </c>
    </row>
    <row r="329" spans="1:12" ht="15.5" x14ac:dyDescent="0.35">
      <c r="A329" s="143" t="s">
        <v>827</v>
      </c>
      <c r="B329" s="229">
        <v>2047</v>
      </c>
      <c r="C329" s="514" t="s">
        <v>1255</v>
      </c>
      <c r="D329" s="515">
        <v>2.465426037325838E-2</v>
      </c>
      <c r="E329" s="516">
        <v>1.8923134099514899E-3</v>
      </c>
      <c r="F329" s="145">
        <v>1.7549029447236693E-2</v>
      </c>
      <c r="G329" s="145">
        <v>4.7397160550968472E-4</v>
      </c>
      <c r="H329" s="517">
        <v>2.0000009999999995E-3</v>
      </c>
      <c r="I329" s="517">
        <v>1.5750005000000001E-2</v>
      </c>
      <c r="J329" s="148">
        <v>5.1479151175628515E-4</v>
      </c>
      <c r="K329" s="518">
        <v>1.6423105067953963E-5</v>
      </c>
      <c r="L329" s="519">
        <v>1.7165693846890722E-5</v>
      </c>
    </row>
    <row r="330" spans="1:12" ht="15.5" x14ac:dyDescent="0.35">
      <c r="A330" s="143" t="s">
        <v>827</v>
      </c>
      <c r="B330" s="229">
        <v>2048</v>
      </c>
      <c r="C330" s="514" t="s">
        <v>1256</v>
      </c>
      <c r="D330" s="515">
        <v>2.4624707384285974E-2</v>
      </c>
      <c r="E330" s="516">
        <v>1.8695337393395386E-3</v>
      </c>
      <c r="F330" s="145">
        <v>1.748064064469278E-2</v>
      </c>
      <c r="G330" s="145">
        <v>4.6963088112669425E-4</v>
      </c>
      <c r="H330" s="517">
        <v>2.0000009999999999E-3</v>
      </c>
      <c r="I330" s="517">
        <v>1.5750005000000001E-2</v>
      </c>
      <c r="J330" s="148">
        <v>5.1007401176266843E-4</v>
      </c>
      <c r="K330" s="518">
        <v>1.6332587151511814E-5</v>
      </c>
      <c r="L330" s="519">
        <v>1.707107577589984E-5</v>
      </c>
    </row>
    <row r="331" spans="1:12" ht="15.5" x14ac:dyDescent="0.35">
      <c r="A331" s="143" t="s">
        <v>827</v>
      </c>
      <c r="B331" s="229">
        <v>2049</v>
      </c>
      <c r="C331" s="514" t="s">
        <v>1257</v>
      </c>
      <c r="D331" s="515">
        <v>2.4599839189138942E-2</v>
      </c>
      <c r="E331" s="516">
        <v>1.8607778295343512E-3</v>
      </c>
      <c r="F331" s="145">
        <v>1.7489045110512573E-2</v>
      </c>
      <c r="G331" s="145">
        <v>4.667858148408718E-4</v>
      </c>
      <c r="H331" s="517">
        <v>2.0000009999999999E-3</v>
      </c>
      <c r="I331" s="517">
        <v>1.5750005000000001E-2</v>
      </c>
      <c r="J331" s="148">
        <v>5.0698293883350487E-4</v>
      </c>
      <c r="K331" s="518">
        <v>1.6267416743005541E-5</v>
      </c>
      <c r="L331" s="519">
        <v>1.7002964466043224E-5</v>
      </c>
    </row>
    <row r="332" spans="1:12" ht="15.5" x14ac:dyDescent="0.35">
      <c r="A332" s="143" t="s">
        <v>827</v>
      </c>
      <c r="B332" s="229">
        <v>2050</v>
      </c>
      <c r="C332" s="514" t="s">
        <v>1258</v>
      </c>
      <c r="D332" s="515">
        <v>2.4580299957419088E-2</v>
      </c>
      <c r="E332" s="516">
        <v>1.8539645865975152E-3</v>
      </c>
      <c r="F332" s="145">
        <v>1.7498830853565114E-2</v>
      </c>
      <c r="G332" s="145">
        <v>4.6451514949661239E-4</v>
      </c>
      <c r="H332" s="517">
        <v>2.0000009999999995E-3</v>
      </c>
      <c r="I332" s="517">
        <v>1.5750005000000001E-2</v>
      </c>
      <c r="J332" s="148">
        <v>5.0451605944364065E-4</v>
      </c>
      <c r="K332" s="518">
        <v>1.6198941173500436E-5</v>
      </c>
      <c r="L332" s="519">
        <v>1.6931382803873277E-5</v>
      </c>
    </row>
    <row r="333" spans="1:12" ht="15.5" x14ac:dyDescent="0.35">
      <c r="A333" s="143" t="s">
        <v>830</v>
      </c>
      <c r="B333" s="229">
        <v>2015</v>
      </c>
      <c r="C333" s="514" t="s">
        <v>831</v>
      </c>
      <c r="D333" s="515">
        <v>4.7270505185088775E-2</v>
      </c>
      <c r="E333" s="516">
        <v>9.0781922512730914E-2</v>
      </c>
      <c r="F333" s="145">
        <v>0.34451810197856214</v>
      </c>
      <c r="G333" s="145">
        <v>3.1109934064670387E-3</v>
      </c>
      <c r="H333" s="517">
        <v>2.0000010000000004E-3</v>
      </c>
      <c r="I333" s="517">
        <v>1.5750005000000004E-2</v>
      </c>
      <c r="J333" s="148">
        <v>3.3610443048982508E-3</v>
      </c>
      <c r="K333" s="518">
        <v>3.8641215861735182E-4</v>
      </c>
      <c r="L333" s="519">
        <v>4.0388399447880866E-4</v>
      </c>
    </row>
    <row r="334" spans="1:12" ht="15.5" x14ac:dyDescent="0.35">
      <c r="A334" s="143" t="s">
        <v>830</v>
      </c>
      <c r="B334" s="229">
        <v>2016</v>
      </c>
      <c r="C334" s="514" t="s">
        <v>832</v>
      </c>
      <c r="D334" s="515">
        <v>4.648192181819414E-2</v>
      </c>
      <c r="E334" s="516">
        <v>7.7281265407341496E-2</v>
      </c>
      <c r="F334" s="145">
        <v>0.30132705733703996</v>
      </c>
      <c r="G334" s="145">
        <v>2.862618567852972E-3</v>
      </c>
      <c r="H334" s="517">
        <v>2.0000009999999999E-3</v>
      </c>
      <c r="I334" s="517">
        <v>1.5750004999999997E-2</v>
      </c>
      <c r="J334" s="148">
        <v>3.0941221243476727E-3</v>
      </c>
      <c r="K334" s="518">
        <v>3.5298428619624745E-4</v>
      </c>
      <c r="L334" s="519">
        <v>3.6894466260829235E-4</v>
      </c>
    </row>
    <row r="335" spans="1:12" ht="15.5" x14ac:dyDescent="0.35">
      <c r="A335" s="143" t="s">
        <v>830</v>
      </c>
      <c r="B335" s="229">
        <v>2017</v>
      </c>
      <c r="C335" s="514" t="s">
        <v>1259</v>
      </c>
      <c r="D335" s="515">
        <v>4.5563902415390455E-2</v>
      </c>
      <c r="E335" s="516">
        <v>6.5844019381775074E-2</v>
      </c>
      <c r="F335" s="145">
        <v>0.26467917297027915</v>
      </c>
      <c r="G335" s="145">
        <v>2.6765752984746344E-3</v>
      </c>
      <c r="H335" s="517">
        <v>2.0000009999999995E-3</v>
      </c>
      <c r="I335" s="517">
        <v>1.5750005000000001E-2</v>
      </c>
      <c r="J335" s="148">
        <v>2.8944256427707277E-3</v>
      </c>
      <c r="K335" s="518">
        <v>3.2498615546968642E-4</v>
      </c>
      <c r="L335" s="519">
        <v>3.3968059009027767E-4</v>
      </c>
    </row>
    <row r="336" spans="1:12" ht="15.5" x14ac:dyDescent="0.35">
      <c r="A336" s="143" t="s">
        <v>830</v>
      </c>
      <c r="B336" s="229">
        <v>2018</v>
      </c>
      <c r="C336" s="514" t="s">
        <v>1260</v>
      </c>
      <c r="D336" s="515">
        <v>4.4588664585792477E-2</v>
      </c>
      <c r="E336" s="516">
        <v>5.6339215596475124E-2</v>
      </c>
      <c r="F336" s="145">
        <v>0.23200983467783115</v>
      </c>
      <c r="G336" s="145">
        <v>2.5390409674155806E-3</v>
      </c>
      <c r="H336" s="517">
        <v>2.0000010000000004E-3</v>
      </c>
      <c r="I336" s="517">
        <v>1.5750005000000001E-2</v>
      </c>
      <c r="J336" s="148">
        <v>2.7468252045836335E-3</v>
      </c>
      <c r="K336" s="518">
        <v>3.0106826890756834E-4</v>
      </c>
      <c r="L336" s="519">
        <v>3.1468123505972909E-4</v>
      </c>
    </row>
    <row r="337" spans="1:12" ht="15.5" x14ac:dyDescent="0.35">
      <c r="A337" s="143" t="s">
        <v>830</v>
      </c>
      <c r="B337" s="229">
        <v>2019</v>
      </c>
      <c r="C337" s="514" t="s">
        <v>1261</v>
      </c>
      <c r="D337" s="515">
        <v>4.3530871356280157E-2</v>
      </c>
      <c r="E337" s="516">
        <v>4.735366668064845E-2</v>
      </c>
      <c r="F337" s="145">
        <v>0.20231548251437914</v>
      </c>
      <c r="G337" s="145">
        <v>2.4172650654852258E-3</v>
      </c>
      <c r="H337" s="517">
        <v>2.0000009999999995E-3</v>
      </c>
      <c r="I337" s="517">
        <v>1.5750004999999997E-2</v>
      </c>
      <c r="J337" s="148">
        <v>2.616472785493964E-3</v>
      </c>
      <c r="K337" s="518">
        <v>2.7427674263301769E-4</v>
      </c>
      <c r="L337" s="519">
        <v>2.8667831352381765E-4</v>
      </c>
    </row>
    <row r="338" spans="1:12" ht="15.5" x14ac:dyDescent="0.35">
      <c r="A338" s="143" t="s">
        <v>830</v>
      </c>
      <c r="B338" s="229">
        <v>2020</v>
      </c>
      <c r="C338" s="514" t="s">
        <v>1262</v>
      </c>
      <c r="D338" s="515">
        <v>4.2420844469730636E-2</v>
      </c>
      <c r="E338" s="516">
        <v>4.0427744222136304E-2</v>
      </c>
      <c r="F338" s="145">
        <v>0.17661390039248881</v>
      </c>
      <c r="G338" s="145">
        <v>2.2905462373530748E-3</v>
      </c>
      <c r="H338" s="517">
        <v>2.0000009999999999E-3</v>
      </c>
      <c r="I338" s="517">
        <v>1.5750005000000001E-2</v>
      </c>
      <c r="J338" s="148">
        <v>2.480181778068624E-3</v>
      </c>
      <c r="K338" s="518">
        <v>2.4675850668491118E-4</v>
      </c>
      <c r="L338" s="519">
        <v>2.5791582730723921E-4</v>
      </c>
    </row>
    <row r="339" spans="1:12" ht="15.5" x14ac:dyDescent="0.35">
      <c r="A339" s="143" t="s">
        <v>830</v>
      </c>
      <c r="B339" s="229">
        <v>2021</v>
      </c>
      <c r="C339" s="514" t="s">
        <v>1263</v>
      </c>
      <c r="D339" s="515">
        <v>4.1264120370022958E-2</v>
      </c>
      <c r="E339" s="516">
        <v>3.5030772063855208E-2</v>
      </c>
      <c r="F339" s="145">
        <v>0.15415413974549819</v>
      </c>
      <c r="G339" s="145">
        <v>2.1448733141357606E-3</v>
      </c>
      <c r="H339" s="517">
        <v>2.0000009999999999E-3</v>
      </c>
      <c r="I339" s="517">
        <v>1.5750005000000001E-2</v>
      </c>
      <c r="J339" s="148">
        <v>2.3230287036492252E-3</v>
      </c>
      <c r="K339" s="518">
        <v>2.2023617247390014E-4</v>
      </c>
      <c r="L339" s="519">
        <v>2.3019427145832731E-4</v>
      </c>
    </row>
    <row r="340" spans="1:12" ht="15.5" x14ac:dyDescent="0.35">
      <c r="A340" s="143" t="s">
        <v>830</v>
      </c>
      <c r="B340" s="229">
        <v>2022</v>
      </c>
      <c r="C340" s="514" t="s">
        <v>1264</v>
      </c>
      <c r="D340" s="515">
        <v>4.0093815650400953E-2</v>
      </c>
      <c r="E340" s="516">
        <v>2.9995731033763118E-2</v>
      </c>
      <c r="F340" s="145">
        <v>0.13455644366252117</v>
      </c>
      <c r="G340" s="145">
        <v>2.0176601611173696E-3</v>
      </c>
      <c r="H340" s="517">
        <v>2.0000009999999999E-3</v>
      </c>
      <c r="I340" s="517">
        <v>1.5750005000000001E-2</v>
      </c>
      <c r="J340" s="148">
        <v>2.1856623178527885E-3</v>
      </c>
      <c r="K340" s="518">
        <v>2.0268990456142626E-4</v>
      </c>
      <c r="L340" s="519">
        <v>2.1185464003622577E-4</v>
      </c>
    </row>
    <row r="341" spans="1:12" ht="15.5" x14ac:dyDescent="0.35">
      <c r="A341" s="143" t="s">
        <v>830</v>
      </c>
      <c r="B341" s="229">
        <v>2023</v>
      </c>
      <c r="C341" s="514" t="s">
        <v>1265</v>
      </c>
      <c r="D341" s="515">
        <v>3.8909064874212133E-2</v>
      </c>
      <c r="E341" s="516">
        <v>2.6161255527452094E-2</v>
      </c>
      <c r="F341" s="145">
        <v>0.11807515360173633</v>
      </c>
      <c r="G341" s="145">
        <v>1.9033942297395183E-3</v>
      </c>
      <c r="H341" s="517">
        <v>2.0000009999999999E-3</v>
      </c>
      <c r="I341" s="517">
        <v>1.5750005000000004E-2</v>
      </c>
      <c r="J341" s="148">
        <v>2.0621501746365357E-3</v>
      </c>
      <c r="K341" s="518">
        <v>1.859683676742214E-4</v>
      </c>
      <c r="L341" s="519">
        <v>1.9437704055761271E-4</v>
      </c>
    </row>
    <row r="342" spans="1:12" ht="15.5" x14ac:dyDescent="0.35">
      <c r="A342" s="143" t="s">
        <v>830</v>
      </c>
      <c r="B342" s="229">
        <v>2024</v>
      </c>
      <c r="C342" s="514" t="s">
        <v>1266</v>
      </c>
      <c r="D342" s="515">
        <v>3.7719915023007575E-2</v>
      </c>
      <c r="E342" s="516">
        <v>2.2839137669811112E-2</v>
      </c>
      <c r="F342" s="145">
        <v>0.10389981870783364</v>
      </c>
      <c r="G342" s="145">
        <v>1.7966894109010178E-3</v>
      </c>
      <c r="H342" s="517">
        <v>2.0000009999999995E-3</v>
      </c>
      <c r="I342" s="517">
        <v>1.5750005000000001E-2</v>
      </c>
      <c r="J342" s="148">
        <v>1.9470299117570759E-3</v>
      </c>
      <c r="K342" s="518">
        <v>1.6527901303193537E-4</v>
      </c>
      <c r="L342" s="519">
        <v>1.7275219142791248E-4</v>
      </c>
    </row>
    <row r="343" spans="1:12" ht="15.5" x14ac:dyDescent="0.35">
      <c r="A343" s="143" t="s">
        <v>830</v>
      </c>
      <c r="B343" s="229">
        <v>2025</v>
      </c>
      <c r="C343" s="514" t="s">
        <v>1267</v>
      </c>
      <c r="D343" s="515">
        <v>3.6532643085736907E-2</v>
      </c>
      <c r="E343" s="516">
        <v>2.0051747988690607E-2</v>
      </c>
      <c r="F343" s="145">
        <v>9.2000903064417217E-2</v>
      </c>
      <c r="G343" s="145">
        <v>1.7028331306032627E-3</v>
      </c>
      <c r="H343" s="517">
        <v>2.0000009999999999E-3</v>
      </c>
      <c r="I343" s="517">
        <v>1.5750005000000001E-2</v>
      </c>
      <c r="J343" s="148">
        <v>1.8459116078961009E-3</v>
      </c>
      <c r="K343" s="518">
        <v>1.4327396394818377E-4</v>
      </c>
      <c r="L343" s="519">
        <v>1.4975217406952229E-4</v>
      </c>
    </row>
    <row r="344" spans="1:12" ht="15.5" x14ac:dyDescent="0.35">
      <c r="A344" s="143" t="s">
        <v>830</v>
      </c>
      <c r="B344" s="229">
        <v>2026</v>
      </c>
      <c r="C344" s="514" t="s">
        <v>1268</v>
      </c>
      <c r="D344" s="515">
        <v>3.5417397007550491E-2</v>
      </c>
      <c r="E344" s="516">
        <v>1.7699180894345672E-2</v>
      </c>
      <c r="F344" s="145">
        <v>8.2076470029228812E-2</v>
      </c>
      <c r="G344" s="145">
        <v>1.6160144608458706E-3</v>
      </c>
      <c r="H344" s="517">
        <v>2.0000009999999999E-3</v>
      </c>
      <c r="I344" s="517">
        <v>1.5750005000000001E-2</v>
      </c>
      <c r="J344" s="148">
        <v>1.7524100123736089E-3</v>
      </c>
      <c r="K344" s="518">
        <v>1.2159366199696199E-4</v>
      </c>
      <c r="L344" s="519">
        <v>1.2709158680835003E-4</v>
      </c>
    </row>
    <row r="345" spans="1:12" ht="15.5" x14ac:dyDescent="0.35">
      <c r="A345" s="143" t="s">
        <v>830</v>
      </c>
      <c r="B345" s="229">
        <v>2027</v>
      </c>
      <c r="C345" s="514" t="s">
        <v>1269</v>
      </c>
      <c r="D345" s="515">
        <v>3.4368511620525677E-2</v>
      </c>
      <c r="E345" s="516">
        <v>1.572842745345622E-2</v>
      </c>
      <c r="F345" s="145">
        <v>7.3646990616483429E-2</v>
      </c>
      <c r="G345" s="145">
        <v>1.5255236462807928E-3</v>
      </c>
      <c r="H345" s="517">
        <v>2.0000009999999999E-3</v>
      </c>
      <c r="I345" s="517">
        <v>1.5750005000000004E-2</v>
      </c>
      <c r="J345" s="148">
        <v>1.6549311213428042E-3</v>
      </c>
      <c r="K345" s="518">
        <v>9.9470194004804214E-5</v>
      </c>
      <c r="L345" s="519">
        <v>1.039677949493345E-4</v>
      </c>
    </row>
    <row r="346" spans="1:12" ht="15.5" x14ac:dyDescent="0.35">
      <c r="A346" s="143" t="s">
        <v>830</v>
      </c>
      <c r="B346" s="229">
        <v>2028</v>
      </c>
      <c r="C346" s="514" t="s">
        <v>1270</v>
      </c>
      <c r="D346" s="515">
        <v>3.3396093548417695E-2</v>
      </c>
      <c r="E346" s="516">
        <v>1.4064314052540635E-2</v>
      </c>
      <c r="F346" s="145">
        <v>6.6436632550179633E-2</v>
      </c>
      <c r="G346" s="145">
        <v>1.4375356663111716E-3</v>
      </c>
      <c r="H346" s="517">
        <v>2.0000010000000004E-3</v>
      </c>
      <c r="I346" s="517">
        <v>1.5750005000000001E-2</v>
      </c>
      <c r="J346" s="148">
        <v>1.5598084693719664E-3</v>
      </c>
      <c r="K346" s="518">
        <v>8.5967864502473106E-5</v>
      </c>
      <c r="L346" s="519">
        <v>8.9854949560337434E-5</v>
      </c>
    </row>
    <row r="347" spans="1:12" ht="15.5" x14ac:dyDescent="0.35">
      <c r="A347" s="143" t="s">
        <v>830</v>
      </c>
      <c r="B347" s="229">
        <v>2029</v>
      </c>
      <c r="C347" s="514" t="s">
        <v>1271</v>
      </c>
      <c r="D347" s="515">
        <v>3.2498545301335065E-2</v>
      </c>
      <c r="E347" s="516">
        <v>1.2582120740969144E-2</v>
      </c>
      <c r="F347" s="145">
        <v>6.0085718759349961E-2</v>
      </c>
      <c r="G347" s="145">
        <v>1.3518889123835744E-3</v>
      </c>
      <c r="H347" s="517">
        <v>2.0000009999999995E-3</v>
      </c>
      <c r="I347" s="517">
        <v>1.5750005000000001E-2</v>
      </c>
      <c r="J347" s="148">
        <v>1.4671462729148202E-3</v>
      </c>
      <c r="K347" s="518">
        <v>7.4477841634948798E-5</v>
      </c>
      <c r="L347" s="519">
        <v>7.7845399190940365E-5</v>
      </c>
    </row>
    <row r="348" spans="1:12" ht="15.5" x14ac:dyDescent="0.35">
      <c r="A348" s="143" t="s">
        <v>830</v>
      </c>
      <c r="B348" s="229">
        <v>2030</v>
      </c>
      <c r="C348" s="514" t="s">
        <v>1272</v>
      </c>
      <c r="D348" s="515">
        <v>3.1673783683172897E-2</v>
      </c>
      <c r="E348" s="516">
        <v>1.1279316003736864E-2</v>
      </c>
      <c r="F348" s="145">
        <v>5.4467981841865888E-2</v>
      </c>
      <c r="G348" s="145">
        <v>1.266013695563486E-3</v>
      </c>
      <c r="H348" s="517">
        <v>2.0000009999999999E-3</v>
      </c>
      <c r="I348" s="517">
        <v>1.5750005000000001E-2</v>
      </c>
      <c r="J348" s="148">
        <v>1.3742956151596853E-3</v>
      </c>
      <c r="K348" s="518">
        <v>6.1586647541741679E-5</v>
      </c>
      <c r="L348" s="519">
        <v>6.4371320284648721E-5</v>
      </c>
    </row>
    <row r="349" spans="1:12" ht="15.5" x14ac:dyDescent="0.35">
      <c r="A349" s="143" t="s">
        <v>830</v>
      </c>
      <c r="B349" s="229">
        <v>2031</v>
      </c>
      <c r="C349" s="514" t="s">
        <v>1273</v>
      </c>
      <c r="D349" s="515">
        <v>3.0920958349776973E-2</v>
      </c>
      <c r="E349" s="516">
        <v>1.0091032979004532E-2</v>
      </c>
      <c r="F349" s="145">
        <v>4.9356088607821126E-2</v>
      </c>
      <c r="G349" s="145">
        <v>1.1850018968352877E-3</v>
      </c>
      <c r="H349" s="517">
        <v>2.0000009999999999E-3</v>
      </c>
      <c r="I349" s="517">
        <v>1.5750005000000001E-2</v>
      </c>
      <c r="J349" s="148">
        <v>1.2865963312506542E-3</v>
      </c>
      <c r="K349" s="518">
        <v>5.1941394314611504E-5</v>
      </c>
      <c r="L349" s="519">
        <v>5.4289952654747495E-5</v>
      </c>
    </row>
    <row r="350" spans="1:12" ht="15.5" x14ac:dyDescent="0.35">
      <c r="A350" s="143" t="s">
        <v>830</v>
      </c>
      <c r="B350" s="229">
        <v>2032</v>
      </c>
      <c r="C350" s="514" t="s">
        <v>1274</v>
      </c>
      <c r="D350" s="515">
        <v>3.0238540593015204E-2</v>
      </c>
      <c r="E350" s="516">
        <v>9.0377042252618289E-3</v>
      </c>
      <c r="F350" s="145">
        <v>4.4929370618210111E-2</v>
      </c>
      <c r="G350" s="145">
        <v>1.1103944767643615E-3</v>
      </c>
      <c r="H350" s="517">
        <v>2.0000009999999999E-3</v>
      </c>
      <c r="I350" s="517">
        <v>1.5750005000000001E-2</v>
      </c>
      <c r="J350" s="148">
        <v>1.2057136045714747E-3</v>
      </c>
      <c r="K350" s="518">
        <v>4.5814789390883998E-5</v>
      </c>
      <c r="L350" s="519">
        <v>4.7886332825108567E-5</v>
      </c>
    </row>
    <row r="351" spans="1:12" ht="15.5" x14ac:dyDescent="0.35">
      <c r="A351" s="143" t="s">
        <v>830</v>
      </c>
      <c r="B351" s="229">
        <v>2033</v>
      </c>
      <c r="C351" s="514" t="s">
        <v>1275</v>
      </c>
      <c r="D351" s="515">
        <v>2.9624830782141731E-2</v>
      </c>
      <c r="E351" s="516">
        <v>8.1297087418924236E-3</v>
      </c>
      <c r="F351" s="145">
        <v>4.1195016070367976E-2</v>
      </c>
      <c r="G351" s="145">
        <v>1.0421175963729356E-3</v>
      </c>
      <c r="H351" s="517">
        <v>2.0000009999999999E-3</v>
      </c>
      <c r="I351" s="517">
        <v>1.5750005000000001E-2</v>
      </c>
      <c r="J351" s="148">
        <v>1.1316095487424241E-3</v>
      </c>
      <c r="K351" s="518">
        <v>4.2206610191239735E-5</v>
      </c>
      <c r="L351" s="519">
        <v>4.4115007095421412E-5</v>
      </c>
    </row>
    <row r="352" spans="1:12" ht="15.5" x14ac:dyDescent="0.35">
      <c r="A352" s="143" t="s">
        <v>830</v>
      </c>
      <c r="B352" s="229">
        <v>2034</v>
      </c>
      <c r="C352" s="514" t="s">
        <v>1276</v>
      </c>
      <c r="D352" s="515">
        <v>2.9071928663278263E-2</v>
      </c>
      <c r="E352" s="516">
        <v>7.2851487785730203E-3</v>
      </c>
      <c r="F352" s="145">
        <v>3.7874432371889692E-2</v>
      </c>
      <c r="G352" s="145">
        <v>9.7526787212321407E-4</v>
      </c>
      <c r="H352" s="517">
        <v>2.0000009999999999E-3</v>
      </c>
      <c r="I352" s="517">
        <v>1.5750004999999997E-2</v>
      </c>
      <c r="J352" s="148">
        <v>1.0590852447479606E-3</v>
      </c>
      <c r="K352" s="518">
        <v>3.7939376384223976E-5</v>
      </c>
      <c r="L352" s="519">
        <v>3.9654823924345603E-5</v>
      </c>
    </row>
    <row r="353" spans="1:12" ht="15.5" x14ac:dyDescent="0.35">
      <c r="A353" s="143" t="s">
        <v>830</v>
      </c>
      <c r="B353" s="229">
        <v>2035</v>
      </c>
      <c r="C353" s="514" t="s">
        <v>1277</v>
      </c>
      <c r="D353" s="515">
        <v>2.8578867663783071E-2</v>
      </c>
      <c r="E353" s="516">
        <v>6.5251387912897765E-3</v>
      </c>
      <c r="F353" s="145">
        <v>3.5024659102430557E-2</v>
      </c>
      <c r="G353" s="145">
        <v>9.1294468700436578E-4</v>
      </c>
      <c r="H353" s="517">
        <v>2.0000009999999999E-3</v>
      </c>
      <c r="I353" s="517">
        <v>1.5750005000000001E-2</v>
      </c>
      <c r="J353" s="148">
        <v>9.9142322669061697E-4</v>
      </c>
      <c r="K353" s="518">
        <v>3.5106811118360546E-5</v>
      </c>
      <c r="L353" s="519">
        <v>3.669418381599837E-5</v>
      </c>
    </row>
    <row r="354" spans="1:12" ht="15.5" x14ac:dyDescent="0.35">
      <c r="A354" s="143" t="s">
        <v>830</v>
      </c>
      <c r="B354" s="229">
        <v>2036</v>
      </c>
      <c r="C354" s="514" t="s">
        <v>1278</v>
      </c>
      <c r="D354" s="515">
        <v>2.8141644140170917E-2</v>
      </c>
      <c r="E354" s="516">
        <v>5.8451382701932651E-3</v>
      </c>
      <c r="F354" s="145">
        <v>3.2501661346533463E-2</v>
      </c>
      <c r="G354" s="145">
        <v>8.6002039730659222E-4</v>
      </c>
      <c r="H354" s="517">
        <v>2.0000009999999999E-3</v>
      </c>
      <c r="I354" s="517">
        <v>1.5750005000000001E-2</v>
      </c>
      <c r="J354" s="148">
        <v>9.3397031119233178E-4</v>
      </c>
      <c r="K354" s="518">
        <v>3.2581482576639028E-5</v>
      </c>
      <c r="L354" s="519">
        <v>3.4054670123542394E-5</v>
      </c>
    </row>
    <row r="355" spans="1:12" ht="15.5" x14ac:dyDescent="0.35">
      <c r="A355" s="143" t="s">
        <v>830</v>
      </c>
      <c r="B355" s="229">
        <v>2037</v>
      </c>
      <c r="C355" s="514" t="s">
        <v>1279</v>
      </c>
      <c r="D355" s="515">
        <v>2.7759295784109891E-2</v>
      </c>
      <c r="E355" s="516">
        <v>5.2525201473104825E-3</v>
      </c>
      <c r="F355" s="145">
        <v>3.0379417608622523E-2</v>
      </c>
      <c r="G355" s="145">
        <v>8.1180731701319066E-4</v>
      </c>
      <c r="H355" s="517">
        <v>2.0000009999999999E-3</v>
      </c>
      <c r="I355" s="517">
        <v>1.5750005000000001E-2</v>
      </c>
      <c r="J355" s="148">
        <v>8.8162834856757299E-4</v>
      </c>
      <c r="K355" s="518">
        <v>3.0357212946274726E-5</v>
      </c>
      <c r="L355" s="519">
        <v>3.1729833913824605E-5</v>
      </c>
    </row>
    <row r="356" spans="1:12" ht="15.5" x14ac:dyDescent="0.35">
      <c r="A356" s="143" t="s">
        <v>830</v>
      </c>
      <c r="B356" s="229">
        <v>2038</v>
      </c>
      <c r="C356" s="514" t="s">
        <v>1280</v>
      </c>
      <c r="D356" s="515">
        <v>2.742326618184741E-2</v>
      </c>
      <c r="E356" s="516">
        <v>4.659452428328604E-3</v>
      </c>
      <c r="F356" s="145">
        <v>2.8180990924189953E-2</v>
      </c>
      <c r="G356" s="145">
        <v>7.6671665842277103E-4</v>
      </c>
      <c r="H356" s="517">
        <v>2.0000009999999999E-3</v>
      </c>
      <c r="I356" s="517">
        <v>1.5750005000000001E-2</v>
      </c>
      <c r="J356" s="148">
        <v>8.3266691351602772E-4</v>
      </c>
      <c r="K356" s="518">
        <v>2.8480799572480686E-5</v>
      </c>
      <c r="L356" s="519">
        <v>2.976857495844808E-5</v>
      </c>
    </row>
    <row r="357" spans="1:12" ht="15.5" x14ac:dyDescent="0.35">
      <c r="A357" s="143" t="s">
        <v>830</v>
      </c>
      <c r="B357" s="229">
        <v>2039</v>
      </c>
      <c r="C357" s="514" t="s">
        <v>1281</v>
      </c>
      <c r="D357" s="515">
        <v>2.7133602479920072E-2</v>
      </c>
      <c r="E357" s="516">
        <v>4.1384861111551921E-3</v>
      </c>
      <c r="F357" s="145">
        <v>2.631236212301406E-2</v>
      </c>
      <c r="G357" s="145">
        <v>7.2623338720042771E-4</v>
      </c>
      <c r="H357" s="517">
        <v>2.0000009999999999E-3</v>
      </c>
      <c r="I357" s="517">
        <v>1.5750005000000001E-2</v>
      </c>
      <c r="J357" s="148">
        <v>7.8870999542936997E-4</v>
      </c>
      <c r="K357" s="518">
        <v>2.677920598532864E-5</v>
      </c>
      <c r="L357" s="519">
        <v>2.7990038086129829E-5</v>
      </c>
    </row>
    <row r="358" spans="1:12" ht="15.5" x14ac:dyDescent="0.35">
      <c r="A358" s="143" t="s">
        <v>830</v>
      </c>
      <c r="B358" s="229">
        <v>2040</v>
      </c>
      <c r="C358" s="514" t="s">
        <v>1282</v>
      </c>
      <c r="D358" s="515">
        <v>2.6880991872873718E-2</v>
      </c>
      <c r="E358" s="516">
        <v>3.6527626799531432E-3</v>
      </c>
      <c r="F358" s="145">
        <v>2.4707076994936909E-2</v>
      </c>
      <c r="G358" s="145">
        <v>6.8917450920246088E-4</v>
      </c>
      <c r="H358" s="517">
        <v>2.0000010000000004E-3</v>
      </c>
      <c r="I358" s="517">
        <v>1.5750005000000004E-2</v>
      </c>
      <c r="J358" s="148">
        <v>7.4846979549513155E-4</v>
      </c>
      <c r="K358" s="518">
        <v>2.5257054490839516E-5</v>
      </c>
      <c r="L358" s="519">
        <v>2.639906401556106E-5</v>
      </c>
    </row>
    <row r="359" spans="1:12" ht="15.5" x14ac:dyDescent="0.35">
      <c r="A359" s="143" t="s">
        <v>830</v>
      </c>
      <c r="B359" s="229">
        <v>2041</v>
      </c>
      <c r="C359" s="514" t="s">
        <v>1283</v>
      </c>
      <c r="D359" s="515">
        <v>2.6667344439805049E-2</v>
      </c>
      <c r="E359" s="516">
        <v>3.2763558705576567E-3</v>
      </c>
      <c r="F359" s="145">
        <v>2.3424824294536229E-2</v>
      </c>
      <c r="G359" s="145">
        <v>6.6235596023381845E-4</v>
      </c>
      <c r="H359" s="517">
        <v>2.0000009999999999E-3</v>
      </c>
      <c r="I359" s="517">
        <v>1.5750005000000001E-2</v>
      </c>
      <c r="J359" s="148">
        <v>7.1935121770471387E-4</v>
      </c>
      <c r="K359" s="518">
        <v>2.4093121845013321E-5</v>
      </c>
      <c r="L359" s="519">
        <v>2.5182501248339697E-5</v>
      </c>
    </row>
    <row r="360" spans="1:12" ht="15.5" x14ac:dyDescent="0.35">
      <c r="A360" s="143" t="s">
        <v>830</v>
      </c>
      <c r="B360" s="229">
        <v>2042</v>
      </c>
      <c r="C360" s="514" t="s">
        <v>1284</v>
      </c>
      <c r="D360" s="515">
        <v>2.6485108844514212E-2</v>
      </c>
      <c r="E360" s="516">
        <v>2.9886119483467049E-3</v>
      </c>
      <c r="F360" s="145">
        <v>2.2420636336802014E-2</v>
      </c>
      <c r="G360" s="145">
        <v>6.3906740730087846E-4</v>
      </c>
      <c r="H360" s="517">
        <v>2.0000009999999999E-3</v>
      </c>
      <c r="I360" s="517">
        <v>1.5750004999999997E-2</v>
      </c>
      <c r="J360" s="148">
        <v>6.9406266657247534E-4</v>
      </c>
      <c r="K360" s="518">
        <v>2.315253069424235E-5</v>
      </c>
      <c r="L360" s="519">
        <v>2.4199379578238405E-5</v>
      </c>
    </row>
    <row r="361" spans="1:12" ht="15.5" x14ac:dyDescent="0.35">
      <c r="A361" s="143" t="s">
        <v>830</v>
      </c>
      <c r="B361" s="229">
        <v>2043</v>
      </c>
      <c r="C361" s="514" t="s">
        <v>1285</v>
      </c>
      <c r="D361" s="515">
        <v>2.6326110773355109E-2</v>
      </c>
      <c r="E361" s="516">
        <v>2.7447868140872884E-3</v>
      </c>
      <c r="F361" s="145">
        <v>2.1533505587204682E-2</v>
      </c>
      <c r="G361" s="145">
        <v>6.1856058389321014E-4</v>
      </c>
      <c r="H361" s="517">
        <v>2.0000009999999999E-3</v>
      </c>
      <c r="I361" s="517">
        <v>1.5750005000000001E-2</v>
      </c>
      <c r="J361" s="148">
        <v>6.7179445697166523E-4</v>
      </c>
      <c r="K361" s="518">
        <v>2.2333994786216229E-5</v>
      </c>
      <c r="L361" s="519">
        <v>2.3343835175800093E-5</v>
      </c>
    </row>
    <row r="362" spans="1:12" ht="15.5" x14ac:dyDescent="0.35">
      <c r="A362" s="143" t="s">
        <v>830</v>
      </c>
      <c r="B362" s="229">
        <v>2044</v>
      </c>
      <c r="C362" s="514" t="s">
        <v>1286</v>
      </c>
      <c r="D362" s="515">
        <v>2.6192543333318115E-2</v>
      </c>
      <c r="E362" s="516">
        <v>2.5910966289479707E-3</v>
      </c>
      <c r="F362" s="145">
        <v>2.0964720619336748E-2</v>
      </c>
      <c r="G362" s="145">
        <v>6.0113123312905271E-4</v>
      </c>
      <c r="H362" s="517">
        <v>2.0000009999999995E-3</v>
      </c>
      <c r="I362" s="517">
        <v>1.5750004999999997E-2</v>
      </c>
      <c r="J362" s="148">
        <v>6.5286742972819672E-4</v>
      </c>
      <c r="K362" s="518">
        <v>2.1660148080088602E-5</v>
      </c>
      <c r="L362" s="519">
        <v>2.2639521656291451E-5</v>
      </c>
    </row>
    <row r="363" spans="1:12" ht="15.5" x14ac:dyDescent="0.35">
      <c r="A363" s="143" t="s">
        <v>830</v>
      </c>
      <c r="B363" s="229">
        <v>2045</v>
      </c>
      <c r="C363" s="514" t="s">
        <v>1287</v>
      </c>
      <c r="D363" s="515">
        <v>2.607246231807616E-2</v>
      </c>
      <c r="E363" s="516">
        <v>2.4909015064891195E-3</v>
      </c>
      <c r="F363" s="145">
        <v>2.0559779431625722E-2</v>
      </c>
      <c r="G363" s="145">
        <v>5.8579885589430075E-4</v>
      </c>
      <c r="H363" s="517">
        <v>2.0000009999999999E-3</v>
      </c>
      <c r="I363" s="517">
        <v>1.5750005000000004E-2</v>
      </c>
      <c r="J363" s="148">
        <v>6.3621932424576103E-4</v>
      </c>
      <c r="K363" s="518">
        <v>2.1016829931916661E-5</v>
      </c>
      <c r="L363" s="519">
        <v>2.1967116416292606E-5</v>
      </c>
    </row>
    <row r="364" spans="1:12" ht="15.5" x14ac:dyDescent="0.35">
      <c r="A364" s="143" t="s">
        <v>830</v>
      </c>
      <c r="B364" s="229">
        <v>2046</v>
      </c>
      <c r="C364" s="514" t="s">
        <v>1288</v>
      </c>
      <c r="D364" s="515">
        <v>2.5972423210875804E-2</v>
      </c>
      <c r="E364" s="516">
        <v>2.4089861496575473E-3</v>
      </c>
      <c r="F364" s="145">
        <v>2.0259327547070344E-2</v>
      </c>
      <c r="G364" s="145">
        <v>5.7313919391398737E-4</v>
      </c>
      <c r="H364" s="517">
        <v>2.0000009999999999E-3</v>
      </c>
      <c r="I364" s="517">
        <v>1.5750005000000001E-2</v>
      </c>
      <c r="J364" s="148">
        <v>6.224679752258709E-4</v>
      </c>
      <c r="K364" s="518">
        <v>2.0606814903281202E-5</v>
      </c>
      <c r="L364" s="519">
        <v>2.1538569506577164E-5</v>
      </c>
    </row>
    <row r="365" spans="1:12" ht="15.5" x14ac:dyDescent="0.35">
      <c r="A365" s="143" t="s">
        <v>830</v>
      </c>
      <c r="B365" s="229">
        <v>2047</v>
      </c>
      <c r="C365" s="514" t="s">
        <v>1289</v>
      </c>
      <c r="D365" s="515">
        <v>2.5886388157124594E-2</v>
      </c>
      <c r="E365" s="516">
        <v>2.3361092711104065E-3</v>
      </c>
      <c r="F365" s="145">
        <v>1.9977213876218845E-2</v>
      </c>
      <c r="G365" s="145">
        <v>5.6223923212083955E-4</v>
      </c>
      <c r="H365" s="517">
        <v>2.0000009999999999E-3</v>
      </c>
      <c r="I365" s="517">
        <v>1.5750005000000001E-2</v>
      </c>
      <c r="J365" s="148">
        <v>6.1063186389878382E-4</v>
      </c>
      <c r="K365" s="518">
        <v>2.0168408406062286E-5</v>
      </c>
      <c r="L365" s="519">
        <v>2.1080333805164213E-5</v>
      </c>
    </row>
    <row r="366" spans="1:12" ht="15.5" x14ac:dyDescent="0.35">
      <c r="A366" s="143" t="s">
        <v>830</v>
      </c>
      <c r="B366" s="229">
        <v>2048</v>
      </c>
      <c r="C366" s="514" t="s">
        <v>1290</v>
      </c>
      <c r="D366" s="515">
        <v>2.581029833711327E-2</v>
      </c>
      <c r="E366" s="516">
        <v>2.2718872877999078E-3</v>
      </c>
      <c r="F366" s="145">
        <v>1.9709090122702062E-2</v>
      </c>
      <c r="G366" s="145">
        <v>5.5281337251716694E-4</v>
      </c>
      <c r="H366" s="517">
        <v>2.0000009999999995E-3</v>
      </c>
      <c r="I366" s="517">
        <v>1.5750005000000001E-2</v>
      </c>
      <c r="J366" s="148">
        <v>6.0040165027860177E-4</v>
      </c>
      <c r="K366" s="518">
        <v>1.9661197682537349E-5</v>
      </c>
      <c r="L366" s="519">
        <v>2.0550191462856089E-5</v>
      </c>
    </row>
    <row r="367" spans="1:12" ht="15.5" x14ac:dyDescent="0.35">
      <c r="A367" s="143" t="s">
        <v>830</v>
      </c>
      <c r="B367" s="229">
        <v>2049</v>
      </c>
      <c r="C367" s="514" t="s">
        <v>1291</v>
      </c>
      <c r="D367" s="515">
        <v>2.574628252409706E-2</v>
      </c>
      <c r="E367" s="516">
        <v>2.2502711847149168E-3</v>
      </c>
      <c r="F367" s="145">
        <v>1.9698898290291152E-2</v>
      </c>
      <c r="G367" s="145">
        <v>5.4744371832285215E-4</v>
      </c>
      <c r="H367" s="517">
        <v>2.0000009999999999E-3</v>
      </c>
      <c r="I367" s="517">
        <v>1.5750005000000004E-2</v>
      </c>
      <c r="J367" s="148">
        <v>5.9457109245066096E-4</v>
      </c>
      <c r="K367" s="518">
        <v>1.9446296434231013E-5</v>
      </c>
      <c r="L367" s="519">
        <v>2.0325569939879802E-5</v>
      </c>
    </row>
    <row r="368" spans="1:12" ht="15.5" x14ac:dyDescent="0.35">
      <c r="A368" s="143" t="s">
        <v>830</v>
      </c>
      <c r="B368" s="229">
        <v>2050</v>
      </c>
      <c r="C368" s="514" t="s">
        <v>1292</v>
      </c>
      <c r="D368" s="515">
        <v>2.569187161871022E-2</v>
      </c>
      <c r="E368" s="516">
        <v>2.2321968546471895E-3</v>
      </c>
      <c r="F368" s="145">
        <v>1.9685021951349566E-2</v>
      </c>
      <c r="G368" s="145">
        <v>5.4283986413901407E-4</v>
      </c>
      <c r="H368" s="517">
        <v>2.0000009999999999E-3</v>
      </c>
      <c r="I368" s="517">
        <v>1.5750005000000001E-2</v>
      </c>
      <c r="J368" s="148">
        <v>5.8958406358311098E-4</v>
      </c>
      <c r="K368" s="518">
        <v>1.8964301751541082E-5</v>
      </c>
      <c r="L368" s="519">
        <v>1.9821781962673885E-5</v>
      </c>
    </row>
    <row r="369" spans="1:12" ht="15.5" x14ac:dyDescent="0.35">
      <c r="A369" s="143" t="s">
        <v>833</v>
      </c>
      <c r="B369" s="229">
        <v>2015</v>
      </c>
      <c r="C369" s="514" t="s">
        <v>834</v>
      </c>
      <c r="D369" s="515">
        <v>4.5644386464213572E-2</v>
      </c>
      <c r="E369" s="516">
        <v>6.1819056319592204E-2</v>
      </c>
      <c r="F369" s="145">
        <v>0.22934723088913153</v>
      </c>
      <c r="G369" s="145">
        <v>2.1762739656239253E-3</v>
      </c>
      <c r="H369" s="517">
        <v>2.0000009999999999E-3</v>
      </c>
      <c r="I369" s="517">
        <v>1.5750005000000001E-2</v>
      </c>
      <c r="J369" s="148">
        <v>2.3514460483456717E-3</v>
      </c>
      <c r="K369" s="518">
        <v>2.5894229736132547E-4</v>
      </c>
      <c r="L369" s="519">
        <v>2.7065052077120404E-4</v>
      </c>
    </row>
    <row r="370" spans="1:12" ht="15.5" x14ac:dyDescent="0.35">
      <c r="A370" s="143" t="s">
        <v>833</v>
      </c>
      <c r="B370" s="229">
        <v>2016</v>
      </c>
      <c r="C370" s="514" t="s">
        <v>835</v>
      </c>
      <c r="D370" s="515">
        <v>4.4781698234962475E-2</v>
      </c>
      <c r="E370" s="516">
        <v>5.0803397410458258E-2</v>
      </c>
      <c r="F370" s="145">
        <v>0.19636094344092705</v>
      </c>
      <c r="G370" s="145">
        <v>2.0247372182929184E-3</v>
      </c>
      <c r="H370" s="517">
        <v>2.0000009999999999E-3</v>
      </c>
      <c r="I370" s="517">
        <v>1.5750005000000001E-2</v>
      </c>
      <c r="J370" s="148">
        <v>2.18966221513513E-3</v>
      </c>
      <c r="K370" s="518">
        <v>2.2263168076046416E-4</v>
      </c>
      <c r="L370" s="519">
        <v>2.326981037429473E-4</v>
      </c>
    </row>
    <row r="371" spans="1:12" ht="15.5" x14ac:dyDescent="0.35">
      <c r="A371" s="143" t="s">
        <v>833</v>
      </c>
      <c r="B371" s="229">
        <v>2017</v>
      </c>
      <c r="C371" s="514" t="s">
        <v>1293</v>
      </c>
      <c r="D371" s="515">
        <v>4.3723229642216643E-2</v>
      </c>
      <c r="E371" s="516">
        <v>4.2243947417565146E-2</v>
      </c>
      <c r="F371" s="145">
        <v>0.16941219739407185</v>
      </c>
      <c r="G371" s="145">
        <v>1.9466468746818103E-3</v>
      </c>
      <c r="H371" s="517">
        <v>2.0000010000000004E-3</v>
      </c>
      <c r="I371" s="517">
        <v>1.5750005000000004E-2</v>
      </c>
      <c r="J371" s="148">
        <v>2.1068094296028124E-3</v>
      </c>
      <c r="K371" s="518">
        <v>1.9838571101626868E-4</v>
      </c>
      <c r="L371" s="519">
        <v>2.0735584037031359E-4</v>
      </c>
    </row>
    <row r="372" spans="1:12" ht="15.5" x14ac:dyDescent="0.35">
      <c r="A372" s="143" t="s">
        <v>833</v>
      </c>
      <c r="B372" s="229">
        <v>2018</v>
      </c>
      <c r="C372" s="514" t="s">
        <v>1294</v>
      </c>
      <c r="D372" s="515">
        <v>4.2598485073423752E-2</v>
      </c>
      <c r="E372" s="516">
        <v>3.4920364916475141E-2</v>
      </c>
      <c r="F372" s="145">
        <v>0.14580747657229873</v>
      </c>
      <c r="G372" s="145">
        <v>1.9046317687648664E-3</v>
      </c>
      <c r="H372" s="517">
        <v>2.0000009999999995E-3</v>
      </c>
      <c r="I372" s="517">
        <v>1.5750005000000001E-2</v>
      </c>
      <c r="J372" s="148">
        <v>2.0627979911834772E-3</v>
      </c>
      <c r="K372" s="518">
        <v>1.7836224097753087E-4</v>
      </c>
      <c r="L372" s="519">
        <v>1.864269888860437E-4</v>
      </c>
    </row>
    <row r="373" spans="1:12" ht="15.5" x14ac:dyDescent="0.35">
      <c r="A373" s="143" t="s">
        <v>833</v>
      </c>
      <c r="B373" s="229">
        <v>2019</v>
      </c>
      <c r="C373" s="514" t="s">
        <v>1295</v>
      </c>
      <c r="D373" s="515">
        <v>4.1144768366918549E-2</v>
      </c>
      <c r="E373" s="516">
        <v>2.8625814381137177E-2</v>
      </c>
      <c r="F373" s="145">
        <v>0.12530966086180853</v>
      </c>
      <c r="G373" s="145">
        <v>1.8453106861304415E-3</v>
      </c>
      <c r="H373" s="517">
        <v>2.0000009999999995E-3</v>
      </c>
      <c r="I373" s="517">
        <v>1.5750004999999997E-2</v>
      </c>
      <c r="J373" s="148">
        <v>1.9996501489693078E-3</v>
      </c>
      <c r="K373" s="518">
        <v>1.58955191944465E-4</v>
      </c>
      <c r="L373" s="519">
        <v>1.6614243681010898E-4</v>
      </c>
    </row>
    <row r="374" spans="1:12" ht="15.5" x14ac:dyDescent="0.35">
      <c r="A374" s="143" t="s">
        <v>833</v>
      </c>
      <c r="B374" s="229">
        <v>2020</v>
      </c>
      <c r="C374" s="514" t="s">
        <v>1296</v>
      </c>
      <c r="D374" s="515">
        <v>3.9964538775937711E-2</v>
      </c>
      <c r="E374" s="516">
        <v>2.4152063018244425E-2</v>
      </c>
      <c r="F374" s="145">
        <v>0.10823599159924222</v>
      </c>
      <c r="G374" s="145">
        <v>1.7921103456791496E-3</v>
      </c>
      <c r="H374" s="517">
        <v>2.0000009999999999E-3</v>
      </c>
      <c r="I374" s="517">
        <v>1.5750005000000001E-2</v>
      </c>
      <c r="J374" s="148">
        <v>1.9426635951576125E-3</v>
      </c>
      <c r="K374" s="518">
        <v>1.4391637862245225E-4</v>
      </c>
      <c r="L374" s="519">
        <v>1.5042364051072628E-4</v>
      </c>
    </row>
    <row r="375" spans="1:12" ht="15.5" x14ac:dyDescent="0.35">
      <c r="A375" s="143" t="s">
        <v>833</v>
      </c>
      <c r="B375" s="229">
        <v>2021</v>
      </c>
      <c r="C375" s="514" t="s">
        <v>1297</v>
      </c>
      <c r="D375" s="515">
        <v>3.8772269376079707E-2</v>
      </c>
      <c r="E375" s="516">
        <v>2.0759716932591064E-2</v>
      </c>
      <c r="F375" s="145">
        <v>9.4007097800161837E-2</v>
      </c>
      <c r="G375" s="145">
        <v>1.705043136349568E-3</v>
      </c>
      <c r="H375" s="517">
        <v>2.0000009999999995E-3</v>
      </c>
      <c r="I375" s="517">
        <v>1.5750004999999997E-2</v>
      </c>
      <c r="J375" s="148">
        <v>1.8487267068190536E-3</v>
      </c>
      <c r="K375" s="518">
        <v>1.2839049833019404E-4</v>
      </c>
      <c r="L375" s="519">
        <v>1.3419575191666005E-4</v>
      </c>
    </row>
    <row r="376" spans="1:12" ht="15.5" x14ac:dyDescent="0.35">
      <c r="A376" s="143" t="s">
        <v>833</v>
      </c>
      <c r="B376" s="229">
        <v>2022</v>
      </c>
      <c r="C376" s="514" t="s">
        <v>1298</v>
      </c>
      <c r="D376" s="515">
        <v>3.7593312218435454E-2</v>
      </c>
      <c r="E376" s="516">
        <v>1.7573658855290854E-2</v>
      </c>
      <c r="F376" s="145">
        <v>8.173393694145574E-2</v>
      </c>
      <c r="G376" s="145">
        <v>1.6180485973977929E-3</v>
      </c>
      <c r="H376" s="517">
        <v>2.0000009999999999E-3</v>
      </c>
      <c r="I376" s="517">
        <v>1.5750005000000001E-2</v>
      </c>
      <c r="J376" s="148">
        <v>1.7548141483547017E-3</v>
      </c>
      <c r="K376" s="518">
        <v>1.155057092497375E-4</v>
      </c>
      <c r="L376" s="519">
        <v>1.2072835641622175E-4</v>
      </c>
    </row>
    <row r="377" spans="1:12" ht="15.5" x14ac:dyDescent="0.35">
      <c r="A377" s="143" t="s">
        <v>833</v>
      </c>
      <c r="B377" s="229">
        <v>2023</v>
      </c>
      <c r="C377" s="514" t="s">
        <v>1299</v>
      </c>
      <c r="D377" s="515">
        <v>3.6423583914970678E-2</v>
      </c>
      <c r="E377" s="516">
        <v>1.5257775750029928E-2</v>
      </c>
      <c r="F377" s="145">
        <v>7.163590105874211E-2</v>
      </c>
      <c r="G377" s="145">
        <v>1.537241975968518E-3</v>
      </c>
      <c r="H377" s="517">
        <v>2.0000009999999995E-3</v>
      </c>
      <c r="I377" s="517">
        <v>1.5750005000000001E-2</v>
      </c>
      <c r="J377" s="148">
        <v>1.6674984977692944E-3</v>
      </c>
      <c r="K377" s="518">
        <v>1.0277723615094913E-4</v>
      </c>
      <c r="L377" s="519">
        <v>1.0742436831802149E-4</v>
      </c>
    </row>
    <row r="378" spans="1:12" ht="15.5" x14ac:dyDescent="0.35">
      <c r="A378" s="143" t="s">
        <v>833</v>
      </c>
      <c r="B378" s="229">
        <v>2024</v>
      </c>
      <c r="C378" s="514" t="s">
        <v>1300</v>
      </c>
      <c r="D378" s="515">
        <v>3.5269988320453943E-2</v>
      </c>
      <c r="E378" s="516">
        <v>1.3254956991039187E-2</v>
      </c>
      <c r="F378" s="145">
        <v>6.3053415070432259E-2</v>
      </c>
      <c r="G378" s="145">
        <v>1.4638021270768334E-3</v>
      </c>
      <c r="H378" s="517">
        <v>2.0000009999999999E-3</v>
      </c>
      <c r="I378" s="517">
        <v>1.5750005000000001E-2</v>
      </c>
      <c r="J378" s="148">
        <v>1.5881036889152445E-3</v>
      </c>
      <c r="K378" s="518">
        <v>9.2209560889301202E-5</v>
      </c>
      <c r="L378" s="519">
        <v>9.6378862262199973E-5</v>
      </c>
    </row>
    <row r="379" spans="1:12" ht="15.5" x14ac:dyDescent="0.35">
      <c r="A379" s="143" t="s">
        <v>833</v>
      </c>
      <c r="B379" s="229">
        <v>2025</v>
      </c>
      <c r="C379" s="514" t="s">
        <v>1301</v>
      </c>
      <c r="D379" s="515">
        <v>3.4134174846009654E-2</v>
      </c>
      <c r="E379" s="516">
        <v>1.1647746179026674E-2</v>
      </c>
      <c r="F379" s="145">
        <v>5.6032236412521405E-2</v>
      </c>
      <c r="G379" s="145">
        <v>1.3991019241337164E-3</v>
      </c>
      <c r="H379" s="517">
        <v>2.0000010000000004E-3</v>
      </c>
      <c r="I379" s="517">
        <v>1.5750005000000004E-2</v>
      </c>
      <c r="J379" s="148">
        <v>1.518195643770114E-3</v>
      </c>
      <c r="K379" s="518">
        <v>8.1518514296761795E-5</v>
      </c>
      <c r="L379" s="519">
        <v>8.5204419593972651E-5</v>
      </c>
    </row>
    <row r="380" spans="1:12" ht="15.5" x14ac:dyDescent="0.35">
      <c r="A380" s="143" t="s">
        <v>833</v>
      </c>
      <c r="B380" s="229">
        <v>2026</v>
      </c>
      <c r="C380" s="514" t="s">
        <v>1302</v>
      </c>
      <c r="D380" s="515">
        <v>3.3090120386262682E-2</v>
      </c>
      <c r="E380" s="516">
        <v>1.0307372199822404E-2</v>
      </c>
      <c r="F380" s="145">
        <v>5.0258125210345443E-2</v>
      </c>
      <c r="G380" s="145">
        <v>1.3333554309138498E-3</v>
      </c>
      <c r="H380" s="517">
        <v>2.0000010000000004E-3</v>
      </c>
      <c r="I380" s="517">
        <v>1.5750005000000004E-2</v>
      </c>
      <c r="J380" s="148">
        <v>1.4471148717708617E-3</v>
      </c>
      <c r="K380" s="518">
        <v>7.1512103455098562E-5</v>
      </c>
      <c r="L380" s="519">
        <v>7.4745567260440732E-5</v>
      </c>
    </row>
    <row r="381" spans="1:12" ht="15.5" x14ac:dyDescent="0.35">
      <c r="A381" s="143" t="s">
        <v>833</v>
      </c>
      <c r="B381" s="229">
        <v>2027</v>
      </c>
      <c r="C381" s="514" t="s">
        <v>1303</v>
      </c>
      <c r="D381" s="515">
        <v>3.2129543269757865E-2</v>
      </c>
      <c r="E381" s="516">
        <v>9.1435921237140276E-3</v>
      </c>
      <c r="F381" s="145">
        <v>4.5335424188883769E-2</v>
      </c>
      <c r="G381" s="145">
        <v>1.2604217496801236E-3</v>
      </c>
      <c r="H381" s="517">
        <v>2.0000009999999999E-3</v>
      </c>
      <c r="I381" s="517">
        <v>1.5750005000000001E-2</v>
      </c>
      <c r="J381" s="148">
        <v>1.3681975642622062E-3</v>
      </c>
      <c r="K381" s="518">
        <v>6.1982958202686864E-5</v>
      </c>
      <c r="L381" s="519">
        <v>6.4785552966371366E-5</v>
      </c>
    </row>
    <row r="382" spans="1:12" ht="15.5" x14ac:dyDescent="0.35">
      <c r="A382" s="143" t="s">
        <v>833</v>
      </c>
      <c r="B382" s="229">
        <v>2028</v>
      </c>
      <c r="C382" s="514" t="s">
        <v>1304</v>
      </c>
      <c r="D382" s="515">
        <v>3.1258589354496935E-2</v>
      </c>
      <c r="E382" s="516">
        <v>8.1619626414119514E-3</v>
      </c>
      <c r="F382" s="145">
        <v>4.1202230903486119E-2</v>
      </c>
      <c r="G382" s="145">
        <v>1.1822034134771932E-3</v>
      </c>
      <c r="H382" s="517">
        <v>2.0000009999999999E-3</v>
      </c>
      <c r="I382" s="517">
        <v>1.5750004999999997E-2</v>
      </c>
      <c r="J382" s="148">
        <v>1.2834675040485485E-3</v>
      </c>
      <c r="K382" s="518">
        <v>5.3960461218817355E-5</v>
      </c>
      <c r="L382" s="519">
        <v>5.6400310414556149E-5</v>
      </c>
    </row>
    <row r="383" spans="1:12" ht="15.5" x14ac:dyDescent="0.35">
      <c r="A383" s="143" t="s">
        <v>833</v>
      </c>
      <c r="B383" s="229">
        <v>2029</v>
      </c>
      <c r="C383" s="514" t="s">
        <v>1305</v>
      </c>
      <c r="D383" s="515">
        <v>3.0473152502081786E-2</v>
      </c>
      <c r="E383" s="516">
        <v>7.2959829648476587E-3</v>
      </c>
      <c r="F383" s="145">
        <v>3.7673315750585364E-2</v>
      </c>
      <c r="G383" s="145">
        <v>1.1075767531784249E-3</v>
      </c>
      <c r="H383" s="517">
        <v>2.0000009999999999E-3</v>
      </c>
      <c r="I383" s="517">
        <v>1.5750005000000001E-2</v>
      </c>
      <c r="J383" s="148">
        <v>1.2025351393842097E-3</v>
      </c>
      <c r="K383" s="518">
        <v>4.8505097651888085E-5</v>
      </c>
      <c r="L383" s="519">
        <v>5.0698274997264721E-5</v>
      </c>
    </row>
    <row r="384" spans="1:12" ht="15.5" x14ac:dyDescent="0.35">
      <c r="A384" s="143" t="s">
        <v>833</v>
      </c>
      <c r="B384" s="229">
        <v>2030</v>
      </c>
      <c r="C384" s="514" t="s">
        <v>1306</v>
      </c>
      <c r="D384" s="515">
        <v>2.9768035992035164E-2</v>
      </c>
      <c r="E384" s="516">
        <v>6.5656226275221203E-3</v>
      </c>
      <c r="F384" s="145">
        <v>3.470798526105727E-2</v>
      </c>
      <c r="G384" s="145">
        <v>1.0360104823956744E-3</v>
      </c>
      <c r="H384" s="517">
        <v>2.0000009999999999E-3</v>
      </c>
      <c r="I384" s="517">
        <v>1.5750005000000001E-2</v>
      </c>
      <c r="J384" s="148">
        <v>1.1249374543423824E-3</v>
      </c>
      <c r="K384" s="518">
        <v>4.2911019001698465E-5</v>
      </c>
      <c r="L384" s="519">
        <v>4.4851268234084915E-5</v>
      </c>
    </row>
    <row r="385" spans="1:12" ht="15.5" x14ac:dyDescent="0.35">
      <c r="A385" s="143" t="s">
        <v>833</v>
      </c>
      <c r="B385" s="229">
        <v>2031</v>
      </c>
      <c r="C385" s="514" t="s">
        <v>1307</v>
      </c>
      <c r="D385" s="515">
        <v>2.9139586374300235E-2</v>
      </c>
      <c r="E385" s="516">
        <v>5.9184670713315441E-3</v>
      </c>
      <c r="F385" s="145">
        <v>3.2143546637757037E-2</v>
      </c>
      <c r="G385" s="145">
        <v>9.701136588369855E-4</v>
      </c>
      <c r="H385" s="517">
        <v>2.0000009999999999E-3</v>
      </c>
      <c r="I385" s="517">
        <v>1.5750004999999997E-2</v>
      </c>
      <c r="J385" s="148">
        <v>1.0534129167462283E-3</v>
      </c>
      <c r="K385" s="518">
        <v>3.951303057746144E-5</v>
      </c>
      <c r="L385" s="519">
        <v>4.1299636730102385E-5</v>
      </c>
    </row>
    <row r="386" spans="1:12" ht="15.5" x14ac:dyDescent="0.35">
      <c r="A386" s="143" t="s">
        <v>833</v>
      </c>
      <c r="B386" s="229">
        <v>2032</v>
      </c>
      <c r="C386" s="514" t="s">
        <v>1308</v>
      </c>
      <c r="D386" s="515">
        <v>2.8583254507738735E-2</v>
      </c>
      <c r="E386" s="516">
        <v>5.365556498852478E-3</v>
      </c>
      <c r="F386" s="145">
        <v>3.0032601585353785E-2</v>
      </c>
      <c r="G386" s="145">
        <v>9.0914377908326725E-4</v>
      </c>
      <c r="H386" s="517">
        <v>2.0000009999999991E-3</v>
      </c>
      <c r="I386" s="517">
        <v>1.5750004999999997E-2</v>
      </c>
      <c r="J386" s="148">
        <v>9.872442991534741E-4</v>
      </c>
      <c r="K386" s="518">
        <v>3.6158420844087127E-5</v>
      </c>
      <c r="L386" s="519">
        <v>3.7793340470802731E-5</v>
      </c>
    </row>
    <row r="387" spans="1:12" ht="15.5" x14ac:dyDescent="0.35">
      <c r="A387" s="143" t="s">
        <v>833</v>
      </c>
      <c r="B387" s="229">
        <v>2033</v>
      </c>
      <c r="C387" s="514" t="s">
        <v>1309</v>
      </c>
      <c r="D387" s="515">
        <v>2.8093027995701798E-2</v>
      </c>
      <c r="E387" s="516">
        <v>4.8840079230288158E-3</v>
      </c>
      <c r="F387" s="145">
        <v>2.8252180708226118E-2</v>
      </c>
      <c r="G387" s="145">
        <v>8.5371204234122456E-4</v>
      </c>
      <c r="H387" s="517">
        <v>2.0000009999999995E-3</v>
      </c>
      <c r="I387" s="517">
        <v>1.5750005000000001E-2</v>
      </c>
      <c r="J387" s="148">
        <v>9.2706333436591494E-4</v>
      </c>
      <c r="K387" s="518">
        <v>3.3657318872757443E-5</v>
      </c>
      <c r="L387" s="519">
        <v>3.5179150956181139E-5</v>
      </c>
    </row>
    <row r="388" spans="1:12" ht="15.5" x14ac:dyDescent="0.35">
      <c r="A388" s="143" t="s">
        <v>833</v>
      </c>
      <c r="B388" s="229">
        <v>2034</v>
      </c>
      <c r="C388" s="514" t="s">
        <v>1310</v>
      </c>
      <c r="D388" s="515">
        <v>2.7663799740040181E-2</v>
      </c>
      <c r="E388" s="516">
        <v>4.4546765546310142E-3</v>
      </c>
      <c r="F388" s="145">
        <v>2.6728973098749456E-2</v>
      </c>
      <c r="G388" s="145">
        <v>8.0246035573632317E-4</v>
      </c>
      <c r="H388" s="517">
        <v>2.0000010000000004E-3</v>
      </c>
      <c r="I388" s="517">
        <v>1.5750005000000004E-2</v>
      </c>
      <c r="J388" s="148">
        <v>8.7143418565526582E-4</v>
      </c>
      <c r="K388" s="518">
        <v>3.101870039810401E-5</v>
      </c>
      <c r="L388" s="519">
        <v>3.2421223715990984E-5</v>
      </c>
    </row>
    <row r="389" spans="1:12" ht="15.5" x14ac:dyDescent="0.35">
      <c r="A389" s="143" t="s">
        <v>833</v>
      </c>
      <c r="B389" s="229">
        <v>2035</v>
      </c>
      <c r="C389" s="514" t="s">
        <v>1311</v>
      </c>
      <c r="D389" s="515">
        <v>2.7288537808421689E-2</v>
      </c>
      <c r="E389" s="516">
        <v>4.0697967523640353E-3</v>
      </c>
      <c r="F389" s="145">
        <v>2.5405299939844233E-2</v>
      </c>
      <c r="G389" s="145">
        <v>7.5594308473614174E-4</v>
      </c>
      <c r="H389" s="517">
        <v>2.0000010000000004E-3</v>
      </c>
      <c r="I389" s="517">
        <v>1.5750005000000004E-2</v>
      </c>
      <c r="J389" s="148">
        <v>8.2092665321176607E-4</v>
      </c>
      <c r="K389" s="518">
        <v>2.9040649572240635E-5</v>
      </c>
      <c r="L389" s="519">
        <v>3.0353733982482478E-5</v>
      </c>
    </row>
    <row r="390" spans="1:12" ht="15.5" x14ac:dyDescent="0.35">
      <c r="A390" s="143" t="s">
        <v>833</v>
      </c>
      <c r="B390" s="229">
        <v>2036</v>
      </c>
      <c r="C390" s="514" t="s">
        <v>1312</v>
      </c>
      <c r="D390" s="515">
        <v>2.6965055267387607E-2</v>
      </c>
      <c r="E390" s="516">
        <v>3.7452114929242531E-3</v>
      </c>
      <c r="F390" s="145">
        <v>2.4329675214655198E-2</v>
      </c>
      <c r="G390" s="145">
        <v>7.160091001232338E-4</v>
      </c>
      <c r="H390" s="517">
        <v>2.0000009999999995E-3</v>
      </c>
      <c r="I390" s="517">
        <v>1.5750004999999997E-2</v>
      </c>
      <c r="J390" s="148">
        <v>7.7757812557533964E-4</v>
      </c>
      <c r="K390" s="518">
        <v>2.706272238211985E-5</v>
      </c>
      <c r="L390" s="519">
        <v>2.8286370279505747E-5</v>
      </c>
    </row>
    <row r="391" spans="1:12" ht="15.5" x14ac:dyDescent="0.35">
      <c r="A391" s="143" t="s">
        <v>833</v>
      </c>
      <c r="B391" s="229">
        <v>2037</v>
      </c>
      <c r="C391" s="514" t="s">
        <v>1313</v>
      </c>
      <c r="D391" s="515">
        <v>2.6687025905840357E-2</v>
      </c>
      <c r="E391" s="516">
        <v>3.4635926407798668E-3</v>
      </c>
      <c r="F391" s="145">
        <v>2.342229011069959E-2</v>
      </c>
      <c r="G391" s="145">
        <v>6.8088003559221486E-4</v>
      </c>
      <c r="H391" s="517">
        <v>2.0000009999999995E-3</v>
      </c>
      <c r="I391" s="517">
        <v>1.5750004999999997E-2</v>
      </c>
      <c r="J391" s="148">
        <v>7.3942829131305092E-4</v>
      </c>
      <c r="K391" s="518">
        <v>2.5744997150518209E-5</v>
      </c>
      <c r="L391" s="519">
        <v>2.6909070543199259E-5</v>
      </c>
    </row>
    <row r="392" spans="1:12" ht="15.5" x14ac:dyDescent="0.35">
      <c r="A392" s="143" t="s">
        <v>833</v>
      </c>
      <c r="B392" s="229">
        <v>2038</v>
      </c>
      <c r="C392" s="514" t="s">
        <v>1314</v>
      </c>
      <c r="D392" s="515">
        <v>2.6450140531544389E-2</v>
      </c>
      <c r="E392" s="516">
        <v>3.2114941270405001E-3</v>
      </c>
      <c r="F392" s="145">
        <v>2.2613424728579936E-2</v>
      </c>
      <c r="G392" s="145">
        <v>6.497523903642306E-4</v>
      </c>
      <c r="H392" s="517">
        <v>2.0000009999999995E-3</v>
      </c>
      <c r="I392" s="517">
        <v>1.5750005000000001E-2</v>
      </c>
      <c r="J392" s="148">
        <v>7.0562015245696612E-4</v>
      </c>
      <c r="K392" s="518">
        <v>2.4638168628453734E-5</v>
      </c>
      <c r="L392" s="519">
        <v>2.5752200312221603E-5</v>
      </c>
    </row>
    <row r="393" spans="1:12" ht="15.5" x14ac:dyDescent="0.35">
      <c r="A393" s="143" t="s">
        <v>833</v>
      </c>
      <c r="B393" s="229">
        <v>2039</v>
      </c>
      <c r="C393" s="514" t="s">
        <v>1315</v>
      </c>
      <c r="D393" s="515">
        <v>2.6247451385983681E-2</v>
      </c>
      <c r="E393" s="516">
        <v>2.9766585067585159E-3</v>
      </c>
      <c r="F393" s="145">
        <v>2.1859655107096213E-2</v>
      </c>
      <c r="G393" s="145">
        <v>6.2225836882467034E-4</v>
      </c>
      <c r="H393" s="517">
        <v>2.0000009999999995E-3</v>
      </c>
      <c r="I393" s="517">
        <v>1.5750005000000001E-2</v>
      </c>
      <c r="J393" s="148">
        <v>6.7575849941264963E-4</v>
      </c>
      <c r="K393" s="518">
        <v>2.3709361222466218E-5</v>
      </c>
      <c r="L393" s="519">
        <v>2.4781397206992472E-5</v>
      </c>
    </row>
    <row r="394" spans="1:12" ht="15.5" x14ac:dyDescent="0.35">
      <c r="A394" s="143" t="s">
        <v>833</v>
      </c>
      <c r="B394" s="229">
        <v>2040</v>
      </c>
      <c r="C394" s="514" t="s">
        <v>1316</v>
      </c>
      <c r="D394" s="515">
        <v>2.607461712477474E-2</v>
      </c>
      <c r="E394" s="516">
        <v>2.7639898713205076E-3</v>
      </c>
      <c r="F394" s="145">
        <v>2.1208346395528602E-2</v>
      </c>
      <c r="G394" s="145">
        <v>5.9803314966638225E-4</v>
      </c>
      <c r="H394" s="517">
        <v>2.0000009999999999E-3</v>
      </c>
      <c r="I394" s="517">
        <v>1.5750005000000001E-2</v>
      </c>
      <c r="J394" s="148">
        <v>6.4944620838268505E-4</v>
      </c>
      <c r="K394" s="518">
        <v>2.2868428548958295E-5</v>
      </c>
      <c r="L394" s="519">
        <v>2.3902442609567313E-5</v>
      </c>
    </row>
    <row r="395" spans="1:12" ht="15.5" x14ac:dyDescent="0.35">
      <c r="A395" s="143" t="s">
        <v>833</v>
      </c>
      <c r="B395" s="229">
        <v>2041</v>
      </c>
      <c r="C395" s="514" t="s">
        <v>1317</v>
      </c>
      <c r="D395" s="515">
        <v>2.5929028028574098E-2</v>
      </c>
      <c r="E395" s="516">
        <v>2.5972290859344643E-3</v>
      </c>
      <c r="F395" s="145">
        <v>2.0683186512108712E-2</v>
      </c>
      <c r="G395" s="145">
        <v>5.790628962837797E-4</v>
      </c>
      <c r="H395" s="517">
        <v>2.0000009999999995E-3</v>
      </c>
      <c r="I395" s="517">
        <v>1.5750005000000001E-2</v>
      </c>
      <c r="J395" s="148">
        <v>6.2884403995014263E-4</v>
      </c>
      <c r="K395" s="518">
        <v>2.2174000006265819E-5</v>
      </c>
      <c r="L395" s="519">
        <v>2.3176611794788739E-5</v>
      </c>
    </row>
    <row r="396" spans="1:12" ht="15.5" x14ac:dyDescent="0.35">
      <c r="A396" s="143" t="s">
        <v>833</v>
      </c>
      <c r="B396" s="229">
        <v>2042</v>
      </c>
      <c r="C396" s="514" t="s">
        <v>1318</v>
      </c>
      <c r="D396" s="515">
        <v>2.5804711951645715E-2</v>
      </c>
      <c r="E396" s="516">
        <v>2.4519788873690719E-3</v>
      </c>
      <c r="F396" s="145">
        <v>2.0203883982348472E-2</v>
      </c>
      <c r="G396" s="145">
        <v>5.6277948541880879E-4</v>
      </c>
      <c r="H396" s="517">
        <v>2.0000009999999999E-3</v>
      </c>
      <c r="I396" s="517">
        <v>1.5750005000000004E-2</v>
      </c>
      <c r="J396" s="148">
        <v>6.1116032432693274E-4</v>
      </c>
      <c r="K396" s="518">
        <v>2.1564471497328314E-5</v>
      </c>
      <c r="L396" s="519">
        <v>2.2539513605206812E-5</v>
      </c>
    </row>
    <row r="397" spans="1:12" ht="15.5" x14ac:dyDescent="0.35">
      <c r="A397" s="143" t="s">
        <v>833</v>
      </c>
      <c r="B397" s="229">
        <v>2043</v>
      </c>
      <c r="C397" s="514" t="s">
        <v>1319</v>
      </c>
      <c r="D397" s="515">
        <v>2.5700009092183944E-2</v>
      </c>
      <c r="E397" s="516">
        <v>2.3411905750159302E-3</v>
      </c>
      <c r="F397" s="145">
        <v>1.9842158881619231E-2</v>
      </c>
      <c r="G397" s="145">
        <v>5.4896117284276651E-4</v>
      </c>
      <c r="H397" s="517">
        <v>2.0000010000000004E-3</v>
      </c>
      <c r="I397" s="517">
        <v>1.5750005000000004E-2</v>
      </c>
      <c r="J397" s="148">
        <v>5.9615237140402978E-4</v>
      </c>
      <c r="K397" s="518">
        <v>2.1067483853276293E-5</v>
      </c>
      <c r="L397" s="519">
        <v>2.2020064054436217E-5</v>
      </c>
    </row>
    <row r="398" spans="1:12" ht="15.5" x14ac:dyDescent="0.35">
      <c r="A398" s="143" t="s">
        <v>833</v>
      </c>
      <c r="B398" s="229">
        <v>2044</v>
      </c>
      <c r="C398" s="514" t="s">
        <v>1320</v>
      </c>
      <c r="D398" s="515">
        <v>2.5610561018027275E-2</v>
      </c>
      <c r="E398" s="516">
        <v>2.2568318805166461E-3</v>
      </c>
      <c r="F398" s="145">
        <v>1.9550186629341885E-2</v>
      </c>
      <c r="G398" s="145">
        <v>5.3720266983058919E-4</v>
      </c>
      <c r="H398" s="517">
        <v>2.0000009999999999E-3</v>
      </c>
      <c r="I398" s="517">
        <v>1.5750005000000001E-2</v>
      </c>
      <c r="J398" s="148">
        <v>5.8338080328901635E-4</v>
      </c>
      <c r="K398" s="518">
        <v>2.06732410140068E-5</v>
      </c>
      <c r="L398" s="519">
        <v>2.1607989478161487E-5</v>
      </c>
    </row>
    <row r="399" spans="1:12" ht="15.5" x14ac:dyDescent="0.35">
      <c r="A399" s="143" t="s">
        <v>833</v>
      </c>
      <c r="B399" s="229">
        <v>2045</v>
      </c>
      <c r="C399" s="514" t="s">
        <v>1321</v>
      </c>
      <c r="D399" s="515">
        <v>2.5532506537554275E-2</v>
      </c>
      <c r="E399" s="516">
        <v>2.1994826603745138E-3</v>
      </c>
      <c r="F399" s="145">
        <v>1.9351469173513311E-2</v>
      </c>
      <c r="G399" s="145">
        <v>5.2725190525625566E-4</v>
      </c>
      <c r="H399" s="517">
        <v>2.0000010000000004E-3</v>
      </c>
      <c r="I399" s="517">
        <v>1.5750005000000001E-2</v>
      </c>
      <c r="J399" s="148">
        <v>5.725711999021207E-4</v>
      </c>
      <c r="K399" s="518">
        <v>2.0370198322393409E-5</v>
      </c>
      <c r="L399" s="519">
        <v>2.1291247884377572E-5</v>
      </c>
    </row>
    <row r="400" spans="1:12" ht="15.5" x14ac:dyDescent="0.35">
      <c r="A400" s="143" t="s">
        <v>833</v>
      </c>
      <c r="B400" s="229">
        <v>2046</v>
      </c>
      <c r="C400" s="514" t="s">
        <v>1322</v>
      </c>
      <c r="D400" s="515">
        <v>2.5465429977606077E-2</v>
      </c>
      <c r="E400" s="516">
        <v>2.1498247376320833E-3</v>
      </c>
      <c r="F400" s="145">
        <v>1.9186314197614011E-2</v>
      </c>
      <c r="G400" s="145">
        <v>5.1880820486280017E-4</v>
      </c>
      <c r="H400" s="517">
        <v>2.0000009999999999E-3</v>
      </c>
      <c r="I400" s="517">
        <v>1.5750004999999997E-2</v>
      </c>
      <c r="J400" s="148">
        <v>5.6340002542645145E-4</v>
      </c>
      <c r="K400" s="518">
        <v>2.0088096208395195E-5</v>
      </c>
      <c r="L400" s="519">
        <v>2.0996392130025493E-5</v>
      </c>
    </row>
    <row r="401" spans="1:12" ht="15.5" x14ac:dyDescent="0.35">
      <c r="A401" s="143" t="s">
        <v>833</v>
      </c>
      <c r="B401" s="229">
        <v>2047</v>
      </c>
      <c r="C401" s="514" t="s">
        <v>1323</v>
      </c>
      <c r="D401" s="515">
        <v>2.5408598274012956E-2</v>
      </c>
      <c r="E401" s="516">
        <v>2.106163120197224E-3</v>
      </c>
      <c r="F401" s="145">
        <v>1.9038818232543435E-2</v>
      </c>
      <c r="G401" s="145">
        <v>5.1178139469739402E-4</v>
      </c>
      <c r="H401" s="517">
        <v>2.0000009999999999E-3</v>
      </c>
      <c r="I401" s="517">
        <v>1.5750005000000001E-2</v>
      </c>
      <c r="J401" s="148">
        <v>5.5576631016234824E-4</v>
      </c>
      <c r="K401" s="518">
        <v>1.9893895347609381E-5</v>
      </c>
      <c r="L401" s="519">
        <v>2.0793411728501711E-5</v>
      </c>
    </row>
    <row r="402" spans="1:12" ht="15.5" x14ac:dyDescent="0.35">
      <c r="A402" s="143" t="s">
        <v>833</v>
      </c>
      <c r="B402" s="229">
        <v>2048</v>
      </c>
      <c r="C402" s="514" t="s">
        <v>1324</v>
      </c>
      <c r="D402" s="515">
        <v>2.536099371343423E-2</v>
      </c>
      <c r="E402" s="516">
        <v>2.0714859728840234E-3</v>
      </c>
      <c r="F402" s="145">
        <v>1.8921547339520145E-2</v>
      </c>
      <c r="G402" s="145">
        <v>5.0587006020270898E-4</v>
      </c>
      <c r="H402" s="517">
        <v>2.0000009999999999E-3</v>
      </c>
      <c r="I402" s="517">
        <v>1.5750005000000001E-2</v>
      </c>
      <c r="J402" s="148">
        <v>5.4934653358824209E-4</v>
      </c>
      <c r="K402" s="518">
        <v>1.9669547694249665E-5</v>
      </c>
      <c r="L402" s="519">
        <v>2.0558914801893195E-5</v>
      </c>
    </row>
    <row r="403" spans="1:12" ht="15.5" x14ac:dyDescent="0.35">
      <c r="A403" s="143" t="s">
        <v>833</v>
      </c>
      <c r="B403" s="229">
        <v>2049</v>
      </c>
      <c r="C403" s="514" t="s">
        <v>1325</v>
      </c>
      <c r="D403" s="515">
        <v>2.5319518902006816E-2</v>
      </c>
      <c r="E403" s="516">
        <v>2.0576021487871154E-3</v>
      </c>
      <c r="F403" s="145">
        <v>1.8924676016995191E-2</v>
      </c>
      <c r="G403" s="145">
        <v>5.0203580841656173E-4</v>
      </c>
      <c r="H403" s="517">
        <v>2.0000009999999999E-3</v>
      </c>
      <c r="I403" s="517">
        <v>1.5750005000000001E-2</v>
      </c>
      <c r="J403" s="148">
        <v>5.451819076677302E-4</v>
      </c>
      <c r="K403" s="518">
        <v>1.9536357931103672E-5</v>
      </c>
      <c r="L403" s="519">
        <v>2.0419706942333265E-5</v>
      </c>
    </row>
    <row r="404" spans="1:12" ht="15.5" x14ac:dyDescent="0.35">
      <c r="A404" s="143" t="s">
        <v>833</v>
      </c>
      <c r="B404" s="229">
        <v>2050</v>
      </c>
      <c r="C404" s="514" t="s">
        <v>1326</v>
      </c>
      <c r="D404" s="515">
        <v>2.5284307156365895E-2</v>
      </c>
      <c r="E404" s="516">
        <v>2.0460851126685151E-3</v>
      </c>
      <c r="F404" s="145">
        <v>1.8928917858009854E-2</v>
      </c>
      <c r="G404" s="145">
        <v>4.9887859346261967E-4</v>
      </c>
      <c r="H404" s="517">
        <v>2.0000009999999999E-3</v>
      </c>
      <c r="I404" s="517">
        <v>1.5750005000000001E-2</v>
      </c>
      <c r="J404" s="148">
        <v>5.4175404747630997E-4</v>
      </c>
      <c r="K404" s="518">
        <v>1.939571966160949E-5</v>
      </c>
      <c r="L404" s="519">
        <v>2.0272713530736397E-5</v>
      </c>
    </row>
    <row r="405" spans="1:12" ht="15.5" x14ac:dyDescent="0.35">
      <c r="A405" s="143" t="s">
        <v>836</v>
      </c>
      <c r="B405" s="229">
        <v>2015</v>
      </c>
      <c r="C405" s="514" t="s">
        <v>837</v>
      </c>
      <c r="D405" s="515">
        <v>4.4639375347106373E-2</v>
      </c>
      <c r="E405" s="516">
        <v>5.0094299962831997E-2</v>
      </c>
      <c r="F405" s="145">
        <v>0.20808473376949091</v>
      </c>
      <c r="G405" s="145">
        <v>1.6811954813682195E-3</v>
      </c>
      <c r="H405" s="517">
        <v>2.0000009999999995E-3</v>
      </c>
      <c r="I405" s="517">
        <v>1.5750004999999997E-2</v>
      </c>
      <c r="J405" s="148">
        <v>1.8198504621693688E-3</v>
      </c>
      <c r="K405" s="518">
        <v>1.144818693343737E-4</v>
      </c>
      <c r="L405" s="519">
        <v>1.1965823088404451E-4</v>
      </c>
    </row>
    <row r="406" spans="1:12" ht="15.5" x14ac:dyDescent="0.35">
      <c r="A406" s="143" t="s">
        <v>836</v>
      </c>
      <c r="B406" s="229">
        <v>2016</v>
      </c>
      <c r="C406" s="514" t="s">
        <v>838</v>
      </c>
      <c r="D406" s="515">
        <v>4.3707580989049269E-2</v>
      </c>
      <c r="E406" s="516">
        <v>4.1302419862347187E-2</v>
      </c>
      <c r="F406" s="145">
        <v>0.17583945478629798</v>
      </c>
      <c r="G406" s="145">
        <v>1.5653141886691668E-3</v>
      </c>
      <c r="H406" s="517">
        <v>2.0000010000000004E-3</v>
      </c>
      <c r="I406" s="517">
        <v>1.5750005000000001E-2</v>
      </c>
      <c r="J406" s="148">
        <v>1.6957865879420921E-3</v>
      </c>
      <c r="K406" s="518">
        <v>9.385306536610936E-5</v>
      </c>
      <c r="L406" s="519">
        <v>9.8096687612644182E-5</v>
      </c>
    </row>
    <row r="407" spans="1:12" ht="15.5" x14ac:dyDescent="0.35">
      <c r="A407" s="143" t="s">
        <v>836</v>
      </c>
      <c r="B407" s="229">
        <v>2017</v>
      </c>
      <c r="C407" s="514" t="s">
        <v>1327</v>
      </c>
      <c r="D407" s="515">
        <v>4.2649690598795621E-2</v>
      </c>
      <c r="E407" s="516">
        <v>3.3871139085017876E-2</v>
      </c>
      <c r="F407" s="145">
        <v>0.14869514751442348</v>
      </c>
      <c r="G407" s="145">
        <v>1.5037910167479017E-3</v>
      </c>
      <c r="H407" s="517">
        <v>2.0000009999999999E-3</v>
      </c>
      <c r="I407" s="517">
        <v>1.5750005000000001E-2</v>
      </c>
      <c r="J407" s="148">
        <v>1.6301725089178422E-3</v>
      </c>
      <c r="K407" s="518">
        <v>8.5131907850017352E-5</v>
      </c>
      <c r="L407" s="519">
        <v>8.898119546473574E-5</v>
      </c>
    </row>
    <row r="408" spans="1:12" ht="15.5" x14ac:dyDescent="0.35">
      <c r="A408" s="143" t="s">
        <v>836</v>
      </c>
      <c r="B408" s="229">
        <v>2018</v>
      </c>
      <c r="C408" s="514" t="s">
        <v>1328</v>
      </c>
      <c r="D408" s="515">
        <v>4.1576299496473144E-2</v>
      </c>
      <c r="E408" s="516">
        <v>2.7788385842934631E-2</v>
      </c>
      <c r="F408" s="145">
        <v>0.12560953207275266</v>
      </c>
      <c r="G408" s="145">
        <v>1.4849232518297764E-3</v>
      </c>
      <c r="H408" s="517">
        <v>2.0000009999999999E-3</v>
      </c>
      <c r="I408" s="517">
        <v>1.5750005000000004E-2</v>
      </c>
      <c r="J408" s="148">
        <v>1.6106581261161176E-3</v>
      </c>
      <c r="K408" s="518">
        <v>7.8618261329110029E-5</v>
      </c>
      <c r="L408" s="519">
        <v>8.217302752888118E-5</v>
      </c>
    </row>
    <row r="409" spans="1:12" ht="15.5" x14ac:dyDescent="0.35">
      <c r="A409" s="143" t="s">
        <v>836</v>
      </c>
      <c r="B409" s="229">
        <v>2019</v>
      </c>
      <c r="C409" s="514" t="s">
        <v>1329</v>
      </c>
      <c r="D409" s="515">
        <v>4.0402402498287568E-2</v>
      </c>
      <c r="E409" s="516">
        <v>2.2575504079101621E-2</v>
      </c>
      <c r="F409" s="145">
        <v>0.10604987371876627</v>
      </c>
      <c r="G409" s="145">
        <v>1.4687532849702188E-3</v>
      </c>
      <c r="H409" s="517">
        <v>2.0000010000000004E-3</v>
      </c>
      <c r="I409" s="517">
        <v>1.5750005000000001E-2</v>
      </c>
      <c r="J409" s="148">
        <v>1.5938644854393475E-3</v>
      </c>
      <c r="K409" s="518">
        <v>7.269354680846399E-5</v>
      </c>
      <c r="L409" s="519">
        <v>7.5980426761240795E-5</v>
      </c>
    </row>
    <row r="410" spans="1:12" ht="15.5" x14ac:dyDescent="0.35">
      <c r="A410" s="143" t="s">
        <v>836</v>
      </c>
      <c r="B410" s="229">
        <v>2020</v>
      </c>
      <c r="C410" s="514" t="s">
        <v>1330</v>
      </c>
      <c r="D410" s="515">
        <v>3.9208574131292119E-2</v>
      </c>
      <c r="E410" s="516">
        <v>1.8776283294914223E-2</v>
      </c>
      <c r="F410" s="145">
        <v>9.003432925690473E-2</v>
      </c>
      <c r="G410" s="145">
        <v>1.4351200829468922E-3</v>
      </c>
      <c r="H410" s="517">
        <v>2.0000009999999999E-3</v>
      </c>
      <c r="I410" s="517">
        <v>1.5750005000000001E-2</v>
      </c>
      <c r="J410" s="148">
        <v>1.5576458166402215E-3</v>
      </c>
      <c r="K410" s="518">
        <v>6.8595255755419301E-5</v>
      </c>
      <c r="L410" s="519">
        <v>7.1696824777289623E-5</v>
      </c>
    </row>
    <row r="411" spans="1:12" ht="15.5" x14ac:dyDescent="0.35">
      <c r="A411" s="143" t="s">
        <v>836</v>
      </c>
      <c r="B411" s="229">
        <v>2021</v>
      </c>
      <c r="C411" s="514" t="s">
        <v>1331</v>
      </c>
      <c r="D411" s="515">
        <v>3.8006590838565064E-2</v>
      </c>
      <c r="E411" s="516">
        <v>1.590925457036443E-2</v>
      </c>
      <c r="F411" s="145">
        <v>7.6884836821080701E-2</v>
      </c>
      <c r="G411" s="145">
        <v>1.3726404032545693E-3</v>
      </c>
      <c r="H411" s="517">
        <v>2.0000009999999995E-3</v>
      </c>
      <c r="I411" s="517">
        <v>1.5750005000000001E-2</v>
      </c>
      <c r="J411" s="148">
        <v>1.4899803419457904E-3</v>
      </c>
      <c r="K411" s="518">
        <v>6.3721567954561618E-5</v>
      </c>
      <c r="L411" s="519">
        <v>6.6602772263995859E-5</v>
      </c>
    </row>
    <row r="412" spans="1:12" ht="15.5" x14ac:dyDescent="0.35">
      <c r="A412" s="143" t="s">
        <v>836</v>
      </c>
      <c r="B412" s="229">
        <v>2022</v>
      </c>
      <c r="C412" s="514" t="s">
        <v>1332</v>
      </c>
      <c r="D412" s="515">
        <v>3.6822122106248016E-2</v>
      </c>
      <c r="E412" s="516">
        <v>1.3259455516354409E-2</v>
      </c>
      <c r="F412" s="145">
        <v>6.5656338978513626E-2</v>
      </c>
      <c r="G412" s="145">
        <v>1.3084813738806599E-3</v>
      </c>
      <c r="H412" s="517">
        <v>2.0000009999999999E-3</v>
      </c>
      <c r="I412" s="517">
        <v>1.5750005000000001E-2</v>
      </c>
      <c r="J412" s="148">
        <v>1.4205460958038167E-3</v>
      </c>
      <c r="K412" s="518">
        <v>5.8909001708310395E-5</v>
      </c>
      <c r="L412" s="519">
        <v>6.1572610225506084E-5</v>
      </c>
    </row>
    <row r="413" spans="1:12" ht="15.5" x14ac:dyDescent="0.35">
      <c r="A413" s="143" t="s">
        <v>836</v>
      </c>
      <c r="B413" s="229">
        <v>2023</v>
      </c>
      <c r="C413" s="514" t="s">
        <v>1333</v>
      </c>
      <c r="D413" s="515">
        <v>3.5651386147175543E-2</v>
      </c>
      <c r="E413" s="516">
        <v>1.1368395085989424E-2</v>
      </c>
      <c r="F413" s="145">
        <v>5.6752271899027332E-2</v>
      </c>
      <c r="G413" s="145">
        <v>1.2498993628828848E-3</v>
      </c>
      <c r="H413" s="517">
        <v>2.0000009999999999E-3</v>
      </c>
      <c r="I413" s="517">
        <v>1.5750005000000001E-2</v>
      </c>
      <c r="J413" s="148">
        <v>1.3570604309760845E-3</v>
      </c>
      <c r="K413" s="518">
        <v>5.4060662749358568E-5</v>
      </c>
      <c r="L413" s="519">
        <v>5.6505050991004932E-5</v>
      </c>
    </row>
    <row r="414" spans="1:12" ht="15.5" x14ac:dyDescent="0.35">
      <c r="A414" s="143" t="s">
        <v>836</v>
      </c>
      <c r="B414" s="229">
        <v>2024</v>
      </c>
      <c r="C414" s="514" t="s">
        <v>1334</v>
      </c>
      <c r="D414" s="515">
        <v>3.4493633878448691E-2</v>
      </c>
      <c r="E414" s="516">
        <v>9.7728563103427722E-3</v>
      </c>
      <c r="F414" s="145">
        <v>4.9402972816250439E-2</v>
      </c>
      <c r="G414" s="145">
        <v>1.1942727084256241E-3</v>
      </c>
      <c r="H414" s="517">
        <v>2.0000009999999999E-3</v>
      </c>
      <c r="I414" s="517">
        <v>1.5750004999999997E-2</v>
      </c>
      <c r="J414" s="148">
        <v>1.2968329934083089E-3</v>
      </c>
      <c r="K414" s="518">
        <v>4.8111132757786115E-5</v>
      </c>
      <c r="L414" s="519">
        <v>5.0286503699930364E-5</v>
      </c>
    </row>
    <row r="415" spans="1:12" ht="15.5" x14ac:dyDescent="0.35">
      <c r="A415" s="143" t="s">
        <v>836</v>
      </c>
      <c r="B415" s="229">
        <v>2025</v>
      </c>
      <c r="C415" s="514" t="s">
        <v>1335</v>
      </c>
      <c r="D415" s="515">
        <v>3.3362267858325294E-2</v>
      </c>
      <c r="E415" s="516">
        <v>8.493002050764642E-3</v>
      </c>
      <c r="F415" s="145">
        <v>4.352641359986599E-2</v>
      </c>
      <c r="G415" s="145">
        <v>1.1493128511109278E-3</v>
      </c>
      <c r="H415" s="517">
        <v>2.0000009999999999E-3</v>
      </c>
      <c r="I415" s="517">
        <v>1.5750005000000001E-2</v>
      </c>
      <c r="J415" s="148">
        <v>1.2480907132378194E-3</v>
      </c>
      <c r="K415" s="518">
        <v>4.4629506306079746E-5</v>
      </c>
      <c r="L415" s="519">
        <v>4.6647451732009162E-5</v>
      </c>
    </row>
    <row r="416" spans="1:12" ht="15.5" x14ac:dyDescent="0.35">
      <c r="A416" s="143" t="s">
        <v>836</v>
      </c>
      <c r="B416" s="229">
        <v>2026</v>
      </c>
      <c r="C416" s="514" t="s">
        <v>1336</v>
      </c>
      <c r="D416" s="515">
        <v>3.240222165794112E-2</v>
      </c>
      <c r="E416" s="516">
        <v>7.5682350118937173E-3</v>
      </c>
      <c r="F416" s="145">
        <v>3.8966203953305918E-2</v>
      </c>
      <c r="G416" s="145">
        <v>1.118221419327686E-3</v>
      </c>
      <c r="H416" s="517">
        <v>2.0000010000000004E-3</v>
      </c>
      <c r="I416" s="517">
        <v>1.5750005000000001E-2</v>
      </c>
      <c r="J416" s="148">
        <v>1.2144295129809524E-3</v>
      </c>
      <c r="K416" s="518">
        <v>4.1008919787805461E-5</v>
      </c>
      <c r="L416" s="519">
        <v>4.2863166601543209E-5</v>
      </c>
    </row>
    <row r="417" spans="1:12" ht="15.5" x14ac:dyDescent="0.35">
      <c r="A417" s="143" t="s">
        <v>836</v>
      </c>
      <c r="B417" s="229">
        <v>2027</v>
      </c>
      <c r="C417" s="514" t="s">
        <v>1337</v>
      </c>
      <c r="D417" s="515">
        <v>3.1448816733203357E-2</v>
      </c>
      <c r="E417" s="516">
        <v>6.6890141886000593E-3</v>
      </c>
      <c r="F417" s="145">
        <v>3.5109454759856842E-2</v>
      </c>
      <c r="G417" s="145">
        <v>1.062196105262416E-3</v>
      </c>
      <c r="H417" s="517">
        <v>2.0000009999999999E-3</v>
      </c>
      <c r="I417" s="517">
        <v>1.5750005000000001E-2</v>
      </c>
      <c r="J417" s="148">
        <v>1.1537256521892082E-3</v>
      </c>
      <c r="K417" s="518">
        <v>3.5620889879114327E-5</v>
      </c>
      <c r="L417" s="519">
        <v>3.7231509965858458E-5</v>
      </c>
    </row>
    <row r="418" spans="1:12" ht="15.5" x14ac:dyDescent="0.35">
      <c r="A418" s="143" t="s">
        <v>836</v>
      </c>
      <c r="B418" s="229">
        <v>2028</v>
      </c>
      <c r="C418" s="514" t="s">
        <v>1338</v>
      </c>
      <c r="D418" s="515">
        <v>3.0588947591480672E-2</v>
      </c>
      <c r="E418" s="516">
        <v>5.9605201393691468E-3</v>
      </c>
      <c r="F418" s="145">
        <v>3.1972605136686455E-2</v>
      </c>
      <c r="G418" s="145">
        <v>1.0006187682548241E-3</v>
      </c>
      <c r="H418" s="517">
        <v>2.0000009999999999E-3</v>
      </c>
      <c r="I418" s="517">
        <v>1.5750005000000001E-2</v>
      </c>
      <c r="J418" s="148">
        <v>1.0869376142507721E-3</v>
      </c>
      <c r="K418" s="518">
        <v>3.129680553905574E-5</v>
      </c>
      <c r="L418" s="519">
        <v>3.2711909730723464E-5</v>
      </c>
    </row>
    <row r="419" spans="1:12" ht="15.5" x14ac:dyDescent="0.35">
      <c r="A419" s="143" t="s">
        <v>836</v>
      </c>
      <c r="B419" s="229">
        <v>2029</v>
      </c>
      <c r="C419" s="514" t="s">
        <v>1339</v>
      </c>
      <c r="D419" s="515">
        <v>2.9816583577260736E-2</v>
      </c>
      <c r="E419" s="516">
        <v>5.3370374437703471E-3</v>
      </c>
      <c r="F419" s="145">
        <v>2.9369712516512575E-2</v>
      </c>
      <c r="G419" s="145">
        <v>9.411238956883839E-4</v>
      </c>
      <c r="H419" s="517">
        <v>2.0000009999999999E-3</v>
      </c>
      <c r="I419" s="517">
        <v>1.5750005000000001E-2</v>
      </c>
      <c r="J419" s="148">
        <v>1.022349477004776E-3</v>
      </c>
      <c r="K419" s="518">
        <v>2.8511102059489165E-5</v>
      </c>
      <c r="L419" s="519">
        <v>2.9800249582502037E-5</v>
      </c>
    </row>
    <row r="420" spans="1:12" ht="15.5" x14ac:dyDescent="0.35">
      <c r="A420" s="143" t="s">
        <v>836</v>
      </c>
      <c r="B420" s="229">
        <v>2030</v>
      </c>
      <c r="C420" s="514" t="s">
        <v>1340</v>
      </c>
      <c r="D420" s="515">
        <v>2.912661758211427E-2</v>
      </c>
      <c r="E420" s="516">
        <v>4.8183097697713307E-3</v>
      </c>
      <c r="F420" s="145">
        <v>2.725247851041392E-2</v>
      </c>
      <c r="G420" s="145">
        <v>8.8435710732053647E-4</v>
      </c>
      <c r="H420" s="517">
        <v>2.0000009999999999E-3</v>
      </c>
      <c r="I420" s="517">
        <v>1.5750005000000001E-2</v>
      </c>
      <c r="J420" s="148">
        <v>9.6070735512243058E-4</v>
      </c>
      <c r="K420" s="518">
        <v>2.6237178323256853E-5</v>
      </c>
      <c r="L420" s="519">
        <v>2.7423502395149894E-5</v>
      </c>
    </row>
    <row r="421" spans="1:12" ht="15.5" x14ac:dyDescent="0.35">
      <c r="A421" s="143" t="s">
        <v>836</v>
      </c>
      <c r="B421" s="229">
        <v>2031</v>
      </c>
      <c r="C421" s="514" t="s">
        <v>1341</v>
      </c>
      <c r="D421" s="515">
        <v>2.8513999447003609E-2</v>
      </c>
      <c r="E421" s="516">
        <v>4.3726549453002098E-3</v>
      </c>
      <c r="F421" s="145">
        <v>2.5490153967955835E-2</v>
      </c>
      <c r="G421" s="145">
        <v>8.3091985803835928E-4</v>
      </c>
      <c r="H421" s="517">
        <v>2.0000009999999999E-3</v>
      </c>
      <c r="I421" s="517">
        <v>1.5750005000000001E-2</v>
      </c>
      <c r="J421" s="148">
        <v>9.026516649306357E-4</v>
      </c>
      <c r="K421" s="518">
        <v>2.4757597404803273E-5</v>
      </c>
      <c r="L421" s="519">
        <v>2.5877028190395601E-5</v>
      </c>
    </row>
    <row r="422" spans="1:12" ht="15.5" x14ac:dyDescent="0.35">
      <c r="A422" s="143" t="s">
        <v>836</v>
      </c>
      <c r="B422" s="229">
        <v>2032</v>
      </c>
      <c r="C422" s="514" t="s">
        <v>1342</v>
      </c>
      <c r="D422" s="515">
        <v>2.7972751636861595E-2</v>
      </c>
      <c r="E422" s="516">
        <v>3.990711349595606E-3</v>
      </c>
      <c r="F422" s="145">
        <v>2.4052633704705829E-2</v>
      </c>
      <c r="G422" s="145">
        <v>7.8072451001656219E-4</v>
      </c>
      <c r="H422" s="517">
        <v>2.0000009999999999E-3</v>
      </c>
      <c r="I422" s="517">
        <v>1.5750005000000004E-2</v>
      </c>
      <c r="J422" s="148">
        <v>8.4812077462881948E-4</v>
      </c>
      <c r="K422" s="518">
        <v>2.3331995850364632E-5</v>
      </c>
      <c r="L422" s="519">
        <v>2.4386963551514446E-5</v>
      </c>
    </row>
    <row r="423" spans="1:12" ht="15.5" x14ac:dyDescent="0.35">
      <c r="A423" s="143" t="s">
        <v>836</v>
      </c>
      <c r="B423" s="229">
        <v>2033</v>
      </c>
      <c r="C423" s="514" t="s">
        <v>1343</v>
      </c>
      <c r="D423" s="515">
        <v>2.7496456354052342E-2</v>
      </c>
      <c r="E423" s="516">
        <v>3.6585589085986114E-3</v>
      </c>
      <c r="F423" s="145">
        <v>2.285821250394857E-2</v>
      </c>
      <c r="G423" s="145">
        <v>7.3413499800220963E-4</v>
      </c>
      <c r="H423" s="517">
        <v>2.0000009999999999E-3</v>
      </c>
      <c r="I423" s="517">
        <v>1.5750005000000001E-2</v>
      </c>
      <c r="J423" s="148">
        <v>7.9749461896379205E-4</v>
      </c>
      <c r="K423" s="518">
        <v>2.2280832539349984E-5</v>
      </c>
      <c r="L423" s="519">
        <v>2.3288277853913148E-5</v>
      </c>
    </row>
    <row r="424" spans="1:12" ht="15.5" x14ac:dyDescent="0.35">
      <c r="A424" s="143" t="s">
        <v>836</v>
      </c>
      <c r="B424" s="229">
        <v>2034</v>
      </c>
      <c r="C424" s="514" t="s">
        <v>1344</v>
      </c>
      <c r="D424" s="515">
        <v>2.7080389754257087E-2</v>
      </c>
      <c r="E424" s="516">
        <v>3.3682938211757646E-3</v>
      </c>
      <c r="F424" s="145">
        <v>2.1876973873253162E-2</v>
      </c>
      <c r="G424" s="145">
        <v>6.9103817841829082E-4</v>
      </c>
      <c r="H424" s="517">
        <v>2.0000009999999999E-3</v>
      </c>
      <c r="I424" s="517">
        <v>1.5750005000000001E-2</v>
      </c>
      <c r="J424" s="148">
        <v>7.5066429502997046E-4</v>
      </c>
      <c r="K424" s="518">
        <v>2.129337080342042E-5</v>
      </c>
      <c r="L424" s="519">
        <v>2.2256161478402097E-5</v>
      </c>
    </row>
    <row r="425" spans="1:12" ht="15.5" x14ac:dyDescent="0.35">
      <c r="A425" s="143" t="s">
        <v>836</v>
      </c>
      <c r="B425" s="229">
        <v>2035</v>
      </c>
      <c r="C425" s="514" t="s">
        <v>1345</v>
      </c>
      <c r="D425" s="515">
        <v>2.6719248012442652E-2</v>
      </c>
      <c r="E425" s="516">
        <v>3.113001402593552E-3</v>
      </c>
      <c r="F425" s="145">
        <v>2.1066162065609684E-2</v>
      </c>
      <c r="G425" s="145">
        <v>6.5154897991268155E-4</v>
      </c>
      <c r="H425" s="517">
        <v>2.0000010000000004E-3</v>
      </c>
      <c r="I425" s="517">
        <v>1.5750005000000001E-2</v>
      </c>
      <c r="J425" s="148">
        <v>7.0775616964214715E-4</v>
      </c>
      <c r="K425" s="518">
        <v>2.036270197642115E-5</v>
      </c>
      <c r="L425" s="519">
        <v>2.1283410233947668E-5</v>
      </c>
    </row>
    <row r="426" spans="1:12" ht="15.5" x14ac:dyDescent="0.35">
      <c r="A426" s="143" t="s">
        <v>836</v>
      </c>
      <c r="B426" s="229">
        <v>2036</v>
      </c>
      <c r="C426" s="514" t="s">
        <v>1346</v>
      </c>
      <c r="D426" s="515">
        <v>2.640736653918287E-2</v>
      </c>
      <c r="E426" s="516">
        <v>2.8884599369226605E-3</v>
      </c>
      <c r="F426" s="145">
        <v>2.0384500707117462E-2</v>
      </c>
      <c r="G426" s="145">
        <v>6.1672116963797715E-4</v>
      </c>
      <c r="H426" s="517">
        <v>2.0000009999999999E-3</v>
      </c>
      <c r="I426" s="517">
        <v>1.5750005000000001E-2</v>
      </c>
      <c r="J426" s="148">
        <v>6.6991407487225767E-4</v>
      </c>
      <c r="K426" s="518">
        <v>1.950549411084602E-5</v>
      </c>
      <c r="L426" s="519">
        <v>2.038744440127364E-5</v>
      </c>
    </row>
    <row r="427" spans="1:12" ht="15.5" x14ac:dyDescent="0.35">
      <c r="A427" s="143" t="s">
        <v>836</v>
      </c>
      <c r="B427" s="229">
        <v>2037</v>
      </c>
      <c r="C427" s="514" t="s">
        <v>1347</v>
      </c>
      <c r="D427" s="515">
        <v>2.6141193284013656E-2</v>
      </c>
      <c r="E427" s="516">
        <v>2.6986367607936186E-3</v>
      </c>
      <c r="F427" s="145">
        <v>1.9844579001469926E-2</v>
      </c>
      <c r="G427" s="145">
        <v>5.8576051264462407E-4</v>
      </c>
      <c r="H427" s="517">
        <v>2.0000009999999999E-3</v>
      </c>
      <c r="I427" s="517">
        <v>1.5750004999999997E-2</v>
      </c>
      <c r="J427" s="148">
        <v>6.362730255677631E-4</v>
      </c>
      <c r="K427" s="518">
        <v>1.875713191022364E-5</v>
      </c>
      <c r="L427" s="519">
        <v>1.9605244215377788E-5</v>
      </c>
    </row>
    <row r="428" spans="1:12" ht="15.5" x14ac:dyDescent="0.35">
      <c r="A428" s="143" t="s">
        <v>836</v>
      </c>
      <c r="B428" s="229">
        <v>2038</v>
      </c>
      <c r="C428" s="514" t="s">
        <v>1348</v>
      </c>
      <c r="D428" s="515">
        <v>2.5915989400185739E-2</v>
      </c>
      <c r="E428" s="516">
        <v>2.5298310071675944E-3</v>
      </c>
      <c r="F428" s="145">
        <v>1.9372954334652057E-2</v>
      </c>
      <c r="G428" s="145">
        <v>5.5830859195271578E-4</v>
      </c>
      <c r="H428" s="517">
        <v>2.0000009999999999E-3</v>
      </c>
      <c r="I428" s="517">
        <v>1.5750005000000004E-2</v>
      </c>
      <c r="J428" s="148">
        <v>6.0644476881289977E-4</v>
      </c>
      <c r="K428" s="518">
        <v>1.8104301967347426E-5</v>
      </c>
      <c r="L428" s="519">
        <v>1.8922900465311086E-5</v>
      </c>
    </row>
    <row r="429" spans="1:12" ht="15.5" x14ac:dyDescent="0.35">
      <c r="A429" s="143" t="s">
        <v>836</v>
      </c>
      <c r="B429" s="229">
        <v>2039</v>
      </c>
      <c r="C429" s="514" t="s">
        <v>1349</v>
      </c>
      <c r="D429" s="515">
        <v>2.5726579736285123E-2</v>
      </c>
      <c r="E429" s="516">
        <v>2.3747314097964795E-3</v>
      </c>
      <c r="F429" s="145">
        <v>1.8945921195199642E-2</v>
      </c>
      <c r="G429" s="145">
        <v>5.3417566534981443E-4</v>
      </c>
      <c r="H429" s="517">
        <v>2.0000009999999999E-3</v>
      </c>
      <c r="I429" s="517">
        <v>1.5750005000000001E-2</v>
      </c>
      <c r="J429" s="148">
        <v>5.80221442011357E-4</v>
      </c>
      <c r="K429" s="518">
        <v>1.7547238223087541E-5</v>
      </c>
      <c r="L429" s="519">
        <v>1.8340642942492774E-5</v>
      </c>
    </row>
    <row r="430" spans="1:12" ht="15.5" x14ac:dyDescent="0.35">
      <c r="A430" s="143" t="s">
        <v>836</v>
      </c>
      <c r="B430" s="229">
        <v>2040</v>
      </c>
      <c r="C430" s="514" t="s">
        <v>1350</v>
      </c>
      <c r="D430" s="515">
        <v>2.5568601933367012E-2</v>
      </c>
      <c r="E430" s="516">
        <v>2.2395002291782599E-3</v>
      </c>
      <c r="F430" s="145">
        <v>1.8600557380746067E-2</v>
      </c>
      <c r="G430" s="145">
        <v>5.1330832259007474E-4</v>
      </c>
      <c r="H430" s="517">
        <v>2.0000009999999995E-3</v>
      </c>
      <c r="I430" s="517">
        <v>1.5750005000000001E-2</v>
      </c>
      <c r="J430" s="148">
        <v>5.5754616177632835E-4</v>
      </c>
      <c r="K430" s="518">
        <v>1.7073228648566729E-5</v>
      </c>
      <c r="L430" s="519">
        <v>1.7845203544038381E-5</v>
      </c>
    </row>
    <row r="431" spans="1:12" ht="15.5" x14ac:dyDescent="0.35">
      <c r="A431" s="143" t="s">
        <v>836</v>
      </c>
      <c r="B431" s="229">
        <v>2041</v>
      </c>
      <c r="C431" s="514" t="s">
        <v>1351</v>
      </c>
      <c r="D431" s="515">
        <v>2.5439193114970456E-2</v>
      </c>
      <c r="E431" s="516">
        <v>2.1341731015909098E-3</v>
      </c>
      <c r="F431" s="145">
        <v>1.8333125652766739E-2</v>
      </c>
      <c r="G431" s="145">
        <v>4.9661573173620781E-4</v>
      </c>
      <c r="H431" s="517">
        <v>2.0000009999999995E-3</v>
      </c>
      <c r="I431" s="517">
        <v>1.5750004999999997E-2</v>
      </c>
      <c r="J431" s="148">
        <v>5.3940773260641227E-4</v>
      </c>
      <c r="K431" s="518">
        <v>1.6686894459386453E-5</v>
      </c>
      <c r="L431" s="519">
        <v>1.7441401585440071E-5</v>
      </c>
    </row>
    <row r="432" spans="1:12" ht="15.5" x14ac:dyDescent="0.35">
      <c r="A432" s="143" t="s">
        <v>836</v>
      </c>
      <c r="B432" s="229">
        <v>2042</v>
      </c>
      <c r="C432" s="514" t="s">
        <v>1352</v>
      </c>
      <c r="D432" s="515">
        <v>2.5332318585292179E-2</v>
      </c>
      <c r="E432" s="516">
        <v>2.0443862158843599E-3</v>
      </c>
      <c r="F432" s="145">
        <v>1.8089545527966468E-2</v>
      </c>
      <c r="G432" s="145">
        <v>4.8252907850446447E-4</v>
      </c>
      <c r="H432" s="517">
        <v>2.0000009999999999E-3</v>
      </c>
      <c r="I432" s="517">
        <v>1.5750005000000001E-2</v>
      </c>
      <c r="J432" s="148">
        <v>5.2410058029513009E-4</v>
      </c>
      <c r="K432" s="518">
        <v>1.6372504432374057E-5</v>
      </c>
      <c r="L432" s="519">
        <v>1.711279209185036E-5</v>
      </c>
    </row>
    <row r="433" spans="1:12" ht="15.5" x14ac:dyDescent="0.35">
      <c r="A433" s="143" t="s">
        <v>836</v>
      </c>
      <c r="B433" s="229">
        <v>2043</v>
      </c>
      <c r="C433" s="514" t="s">
        <v>1353</v>
      </c>
      <c r="D433" s="515">
        <v>2.5245314457857115E-2</v>
      </c>
      <c r="E433" s="516">
        <v>1.9768366851232464E-3</v>
      </c>
      <c r="F433" s="145">
        <v>1.7913929742320905E-2</v>
      </c>
      <c r="G433" s="145">
        <v>4.7080415932828046E-4</v>
      </c>
      <c r="H433" s="517">
        <v>2.0000009999999995E-3</v>
      </c>
      <c r="I433" s="517">
        <v>1.5750005000000001E-2</v>
      </c>
      <c r="J433" s="148">
        <v>5.113593859741311E-4</v>
      </c>
      <c r="K433" s="518">
        <v>1.6124044793973035E-5</v>
      </c>
      <c r="L433" s="519">
        <v>1.6853098538697475E-5</v>
      </c>
    </row>
    <row r="434" spans="1:12" ht="15.5" x14ac:dyDescent="0.35">
      <c r="A434" s="143" t="s">
        <v>836</v>
      </c>
      <c r="B434" s="229">
        <v>2044</v>
      </c>
      <c r="C434" s="514" t="s">
        <v>1354</v>
      </c>
      <c r="D434" s="515">
        <v>2.5173917436127392E-2</v>
      </c>
      <c r="E434" s="516">
        <v>1.9263375727271018E-3</v>
      </c>
      <c r="F434" s="145">
        <v>1.7777500356252265E-2</v>
      </c>
      <c r="G434" s="145">
        <v>4.6107908663285674E-4</v>
      </c>
      <c r="H434" s="517">
        <v>2.0000009999999999E-3</v>
      </c>
      <c r="I434" s="517">
        <v>1.5750005000000004E-2</v>
      </c>
      <c r="J434" s="148">
        <v>5.0079062684266651E-4</v>
      </c>
      <c r="K434" s="518">
        <v>1.5928220603367067E-5</v>
      </c>
      <c r="L434" s="519">
        <v>1.6648425369194672E-5</v>
      </c>
    </row>
    <row r="435" spans="1:12" ht="15.5" x14ac:dyDescent="0.35">
      <c r="A435" s="143" t="s">
        <v>836</v>
      </c>
      <c r="B435" s="229">
        <v>2045</v>
      </c>
      <c r="C435" s="514" t="s">
        <v>1355</v>
      </c>
      <c r="D435" s="515">
        <v>2.5114639020031689E-2</v>
      </c>
      <c r="E435" s="516">
        <v>1.8910754770640156E-3</v>
      </c>
      <c r="F435" s="145">
        <v>1.7685670425113473E-2</v>
      </c>
      <c r="G435" s="145">
        <v>4.5302697931185826E-4</v>
      </c>
      <c r="H435" s="517">
        <v>2.0000009999999999E-3</v>
      </c>
      <c r="I435" s="517">
        <v>1.5750005000000001E-2</v>
      </c>
      <c r="J435" s="148">
        <v>4.9203946834809977E-4</v>
      </c>
      <c r="K435" s="518">
        <v>1.5780131090204709E-5</v>
      </c>
      <c r="L435" s="519">
        <v>1.6493637066399216E-5</v>
      </c>
    </row>
    <row r="436" spans="1:12" ht="15.5" x14ac:dyDescent="0.35">
      <c r="A436" s="143" t="s">
        <v>836</v>
      </c>
      <c r="B436" s="229">
        <v>2046</v>
      </c>
      <c r="C436" s="514" t="s">
        <v>1356</v>
      </c>
      <c r="D436" s="515">
        <v>2.5066251364476377E-2</v>
      </c>
      <c r="E436" s="516">
        <v>1.8615365059145099E-3</v>
      </c>
      <c r="F436" s="145">
        <v>1.7614217615783568E-2</v>
      </c>
      <c r="G436" s="145">
        <v>4.4645174440562216E-4</v>
      </c>
      <c r="H436" s="517">
        <v>2.0000009999999999E-3</v>
      </c>
      <c r="I436" s="517">
        <v>1.5750005000000004E-2</v>
      </c>
      <c r="J436" s="148">
        <v>4.8489315495589238E-4</v>
      </c>
      <c r="K436" s="518">
        <v>1.5667292050413571E-5</v>
      </c>
      <c r="L436" s="519">
        <v>1.6375695037459195E-5</v>
      </c>
    </row>
    <row r="437" spans="1:12" ht="15.5" x14ac:dyDescent="0.35">
      <c r="A437" s="143" t="s">
        <v>836</v>
      </c>
      <c r="B437" s="229">
        <v>2047</v>
      </c>
      <c r="C437" s="514" t="s">
        <v>1357</v>
      </c>
      <c r="D437" s="515">
        <v>2.5026733563389258E-2</v>
      </c>
      <c r="E437" s="516">
        <v>1.8358748434751341E-3</v>
      </c>
      <c r="F437" s="145">
        <v>1.7547074458360731E-2</v>
      </c>
      <c r="G437" s="145">
        <v>4.4111038072160169E-4</v>
      </c>
      <c r="H437" s="517">
        <v>2.0000009999999999E-3</v>
      </c>
      <c r="I437" s="517">
        <v>1.5750005000000001E-2</v>
      </c>
      <c r="J437" s="148">
        <v>4.7908747696515352E-4</v>
      </c>
      <c r="K437" s="518">
        <v>1.5580040061330975E-5</v>
      </c>
      <c r="L437" s="519">
        <v>1.6284500840829474E-5</v>
      </c>
    </row>
    <row r="438" spans="1:12" ht="15.5" x14ac:dyDescent="0.35">
      <c r="A438" s="143" t="s">
        <v>836</v>
      </c>
      <c r="B438" s="229">
        <v>2048</v>
      </c>
      <c r="C438" s="514" t="s">
        <v>1358</v>
      </c>
      <c r="D438" s="515">
        <v>2.499441624520771E-2</v>
      </c>
      <c r="E438" s="516">
        <v>1.8151784859921139E-3</v>
      </c>
      <c r="F438" s="145">
        <v>1.7490818846701693E-2</v>
      </c>
      <c r="G438" s="145">
        <v>4.3678088646871072E-4</v>
      </c>
      <c r="H438" s="517">
        <v>2.0000009999999999E-3</v>
      </c>
      <c r="I438" s="517">
        <v>1.5750005000000001E-2</v>
      </c>
      <c r="J438" s="148">
        <v>4.7438182207699194E-4</v>
      </c>
      <c r="K438" s="518">
        <v>1.5511009028991253E-5</v>
      </c>
      <c r="L438" s="519">
        <v>1.6212346808663025E-5</v>
      </c>
    </row>
    <row r="439" spans="1:12" ht="15.5" x14ac:dyDescent="0.35">
      <c r="A439" s="143" t="s">
        <v>836</v>
      </c>
      <c r="B439" s="229">
        <v>2049</v>
      </c>
      <c r="C439" s="514" t="s">
        <v>1359</v>
      </c>
      <c r="D439" s="515">
        <v>2.4967927726575329E-2</v>
      </c>
      <c r="E439" s="516">
        <v>1.8066128723199261E-3</v>
      </c>
      <c r="F439" s="145">
        <v>1.75003255792575E-2</v>
      </c>
      <c r="G439" s="145">
        <v>4.3386310375922445E-4</v>
      </c>
      <c r="H439" s="517">
        <v>2.0000009999999999E-3</v>
      </c>
      <c r="I439" s="517">
        <v>1.5750004999999997E-2</v>
      </c>
      <c r="J439" s="148">
        <v>4.7121065189917669E-4</v>
      </c>
      <c r="K439" s="518">
        <v>1.5460825250724085E-5</v>
      </c>
      <c r="L439" s="519">
        <v>1.6159898417792214E-5</v>
      </c>
    </row>
    <row r="440" spans="1:12" ht="15.5" x14ac:dyDescent="0.35">
      <c r="A440" s="143" t="s">
        <v>836</v>
      </c>
      <c r="B440" s="229">
        <v>2050</v>
      </c>
      <c r="C440" s="514" t="s">
        <v>1360</v>
      </c>
      <c r="D440" s="515">
        <v>2.4946557347403982E-2</v>
      </c>
      <c r="E440" s="516">
        <v>1.7998656247408878E-3</v>
      </c>
      <c r="F440" s="145">
        <v>1.7509933355351961E-2</v>
      </c>
      <c r="G440" s="145">
        <v>4.3156026223834095E-4</v>
      </c>
      <c r="H440" s="517">
        <v>2.0000009999999995E-3</v>
      </c>
      <c r="I440" s="517">
        <v>1.5750005000000001E-2</v>
      </c>
      <c r="J440" s="148">
        <v>4.6870773996838172E-4</v>
      </c>
      <c r="K440" s="518">
        <v>1.5412039914242417E-5</v>
      </c>
      <c r="L440" s="519">
        <v>1.6108900891811538E-5</v>
      </c>
    </row>
    <row r="441" spans="1:12" ht="15.5" x14ac:dyDescent="0.35">
      <c r="A441" s="143" t="s">
        <v>839</v>
      </c>
      <c r="B441" s="229">
        <v>2015</v>
      </c>
      <c r="C441" s="514" t="s">
        <v>840</v>
      </c>
      <c r="D441" s="515">
        <v>4.5783229141895997E-2</v>
      </c>
      <c r="E441" s="516">
        <v>6.0741772857357587E-2</v>
      </c>
      <c r="F441" s="145">
        <v>0.22986141807015531</v>
      </c>
      <c r="G441" s="145">
        <v>2.1098487391456493E-3</v>
      </c>
      <c r="H441" s="517">
        <v>2.0000009999999999E-3</v>
      </c>
      <c r="I441" s="517">
        <v>1.5750005000000001E-2</v>
      </c>
      <c r="J441" s="148">
        <v>2.2833093806420325E-3</v>
      </c>
      <c r="K441" s="518">
        <v>1.7786253080600843E-4</v>
      </c>
      <c r="L441" s="519">
        <v>1.8590468860611356E-4</v>
      </c>
    </row>
    <row r="442" spans="1:12" ht="15.5" x14ac:dyDescent="0.35">
      <c r="A442" s="143" t="s">
        <v>839</v>
      </c>
      <c r="B442" s="229">
        <v>2016</v>
      </c>
      <c r="C442" s="514" t="s">
        <v>841</v>
      </c>
      <c r="D442" s="515">
        <v>4.4886987166095772E-2</v>
      </c>
      <c r="E442" s="516">
        <v>5.0754152931517811E-2</v>
      </c>
      <c r="F442" s="145">
        <v>0.19645575364671294</v>
      </c>
      <c r="G442" s="145">
        <v>1.9583901588435594E-3</v>
      </c>
      <c r="H442" s="517">
        <v>2.0000009999999995E-3</v>
      </c>
      <c r="I442" s="517">
        <v>1.5750005000000001E-2</v>
      </c>
      <c r="J442" s="148">
        <v>2.1210868886160999E-3</v>
      </c>
      <c r="K442" s="518">
        <v>1.4730986703944595E-4</v>
      </c>
      <c r="L442" s="519">
        <v>1.539705632208514E-4</v>
      </c>
    </row>
    <row r="443" spans="1:12" ht="15.5" x14ac:dyDescent="0.35">
      <c r="A443" s="143" t="s">
        <v>839</v>
      </c>
      <c r="B443" s="229">
        <v>2017</v>
      </c>
      <c r="C443" s="514" t="s">
        <v>1361</v>
      </c>
      <c r="D443" s="515">
        <v>4.3730654144060646E-2</v>
      </c>
      <c r="E443" s="516">
        <v>4.2424376329702446E-2</v>
      </c>
      <c r="F443" s="145">
        <v>0.16707248527554383</v>
      </c>
      <c r="G443" s="145">
        <v>1.8739403656185816E-3</v>
      </c>
      <c r="H443" s="517">
        <v>2.0000009999999999E-3</v>
      </c>
      <c r="I443" s="517">
        <v>1.5750005000000004E-2</v>
      </c>
      <c r="J443" s="148">
        <v>2.0306108582403165E-3</v>
      </c>
      <c r="K443" s="518">
        <v>1.3382020336688731E-4</v>
      </c>
      <c r="L443" s="519">
        <v>1.3987095635605145E-4</v>
      </c>
    </row>
    <row r="444" spans="1:12" ht="15.5" x14ac:dyDescent="0.35">
      <c r="A444" s="143" t="s">
        <v>839</v>
      </c>
      <c r="B444" s="229">
        <v>2018</v>
      </c>
      <c r="C444" s="514" t="s">
        <v>1362</v>
      </c>
      <c r="D444" s="515">
        <v>4.2516838391857555E-2</v>
      </c>
      <c r="E444" s="516">
        <v>3.5041192152807391E-2</v>
      </c>
      <c r="F444" s="145">
        <v>0.14123627469820535</v>
      </c>
      <c r="G444" s="145">
        <v>1.8255322185516778E-3</v>
      </c>
      <c r="H444" s="517">
        <v>2.0000009999999999E-3</v>
      </c>
      <c r="I444" s="517">
        <v>1.5750005000000001E-2</v>
      </c>
      <c r="J444" s="148">
        <v>1.9791092838310309E-3</v>
      </c>
      <c r="K444" s="518">
        <v>1.2298286654563185E-4</v>
      </c>
      <c r="L444" s="519">
        <v>1.2854360176742366E-4</v>
      </c>
    </row>
    <row r="445" spans="1:12" ht="15.5" x14ac:dyDescent="0.35">
      <c r="A445" s="143" t="s">
        <v>839</v>
      </c>
      <c r="B445" s="229">
        <v>2019</v>
      </c>
      <c r="C445" s="514" t="s">
        <v>1363</v>
      </c>
      <c r="D445" s="515">
        <v>4.1262469576388204E-2</v>
      </c>
      <c r="E445" s="516">
        <v>2.8827974458510427E-2</v>
      </c>
      <c r="F445" s="145">
        <v>0.11927285016582687</v>
      </c>
      <c r="G445" s="145">
        <v>1.7931219650967846E-3</v>
      </c>
      <c r="H445" s="517">
        <v>2.0000009999999999E-3</v>
      </c>
      <c r="I445" s="517">
        <v>1.5750005000000001E-2</v>
      </c>
      <c r="J445" s="148">
        <v>1.9447526846032321E-3</v>
      </c>
      <c r="K445" s="518">
        <v>1.1406110335051043E-4</v>
      </c>
      <c r="L445" s="519">
        <v>1.1921843786172636E-4</v>
      </c>
    </row>
    <row r="446" spans="1:12" ht="15.5" x14ac:dyDescent="0.35">
      <c r="A446" s="143" t="s">
        <v>839</v>
      </c>
      <c r="B446" s="229">
        <v>2020</v>
      </c>
      <c r="C446" s="514" t="s">
        <v>1364</v>
      </c>
      <c r="D446" s="515">
        <v>3.9991673412479507E-2</v>
      </c>
      <c r="E446" s="516">
        <v>2.4058865543117487E-2</v>
      </c>
      <c r="F446" s="145">
        <v>0.10105620079297363</v>
      </c>
      <c r="G446" s="145">
        <v>1.737113688549846E-3</v>
      </c>
      <c r="H446" s="517">
        <v>2.0000009999999999E-3</v>
      </c>
      <c r="I446" s="517">
        <v>1.5750005000000004E-2</v>
      </c>
      <c r="J446" s="148">
        <v>1.8843554217574084E-3</v>
      </c>
      <c r="K446" s="518">
        <v>1.0671931116435354E-4</v>
      </c>
      <c r="L446" s="519">
        <v>1.115446861950716E-4</v>
      </c>
    </row>
    <row r="447" spans="1:12" ht="15.5" x14ac:dyDescent="0.35">
      <c r="A447" s="143" t="s">
        <v>839</v>
      </c>
      <c r="B447" s="229">
        <v>2021</v>
      </c>
      <c r="C447" s="514" t="s">
        <v>1365</v>
      </c>
      <c r="D447" s="515">
        <v>3.8713392477168103E-2</v>
      </c>
      <c r="E447" s="516">
        <v>2.0161927869270763E-2</v>
      </c>
      <c r="F447" s="145">
        <v>8.5696539780657874E-2</v>
      </c>
      <c r="G447" s="145">
        <v>1.6457106612909206E-3</v>
      </c>
      <c r="H447" s="517">
        <v>2.0000009999999999E-3</v>
      </c>
      <c r="I447" s="517">
        <v>1.5750005000000001E-2</v>
      </c>
      <c r="J447" s="148">
        <v>1.7854790972244015E-3</v>
      </c>
      <c r="K447" s="518">
        <v>9.7451699402805662E-5</v>
      </c>
      <c r="L447" s="519">
        <v>1.018580313374191E-4</v>
      </c>
    </row>
    <row r="448" spans="1:12" ht="15.5" x14ac:dyDescent="0.35">
      <c r="A448" s="143" t="s">
        <v>839</v>
      </c>
      <c r="B448" s="229">
        <v>2022</v>
      </c>
      <c r="C448" s="514" t="s">
        <v>1366</v>
      </c>
      <c r="D448" s="515">
        <v>3.7462191468192345E-2</v>
      </c>
      <c r="E448" s="516">
        <v>1.6691874362756539E-2</v>
      </c>
      <c r="F448" s="145">
        <v>7.2754710547742144E-2</v>
      </c>
      <c r="G448" s="145">
        <v>1.5595307828094793E-3</v>
      </c>
      <c r="H448" s="517">
        <v>2.0000009999999999E-3</v>
      </c>
      <c r="I448" s="517">
        <v>1.5750005000000001E-2</v>
      </c>
      <c r="J448" s="148">
        <v>1.6922485614880613E-3</v>
      </c>
      <c r="K448" s="518">
        <v>9.0013392841035154E-5</v>
      </c>
      <c r="L448" s="519">
        <v>9.4083400405660397E-5</v>
      </c>
    </row>
    <row r="449" spans="1:12" ht="15.5" x14ac:dyDescent="0.35">
      <c r="A449" s="143" t="s">
        <v>839</v>
      </c>
      <c r="B449" s="229">
        <v>2023</v>
      </c>
      <c r="C449" s="514" t="s">
        <v>1367</v>
      </c>
      <c r="D449" s="515">
        <v>3.6232679408727056E-2</v>
      </c>
      <c r="E449" s="516">
        <v>1.4202043392741569E-2</v>
      </c>
      <c r="F449" s="145">
        <v>6.2465143643895486E-2</v>
      </c>
      <c r="G449" s="145">
        <v>1.483638079994526E-3</v>
      </c>
      <c r="H449" s="517">
        <v>2.0000010000000004E-3</v>
      </c>
      <c r="I449" s="517">
        <v>1.5750005000000001E-2</v>
      </c>
      <c r="J449" s="148">
        <v>1.6100268766849897E-3</v>
      </c>
      <c r="K449" s="518">
        <v>8.3229686993466738E-5</v>
      </c>
      <c r="L449" s="519">
        <v>8.699296314756055E-5</v>
      </c>
    </row>
    <row r="450" spans="1:12" ht="15.5" x14ac:dyDescent="0.35">
      <c r="A450" s="143" t="s">
        <v>839</v>
      </c>
      <c r="B450" s="229">
        <v>2024</v>
      </c>
      <c r="C450" s="514" t="s">
        <v>1368</v>
      </c>
      <c r="D450" s="515">
        <v>3.5030377868133136E-2</v>
      </c>
      <c r="E450" s="516">
        <v>1.2143187927789388E-2</v>
      </c>
      <c r="F450" s="145">
        <v>5.4058097970707833E-2</v>
      </c>
      <c r="G450" s="145">
        <v>1.4138635720269206E-3</v>
      </c>
      <c r="H450" s="517">
        <v>2.0000009999999999E-3</v>
      </c>
      <c r="I450" s="517">
        <v>1.5750005000000001E-2</v>
      </c>
      <c r="J450" s="148">
        <v>1.5345765168518135E-3</v>
      </c>
      <c r="K450" s="518">
        <v>7.3602142008529628E-5</v>
      </c>
      <c r="L450" s="519">
        <v>7.6930104555340972E-5</v>
      </c>
    </row>
    <row r="451" spans="1:12" ht="15.5" x14ac:dyDescent="0.35">
      <c r="A451" s="143" t="s">
        <v>839</v>
      </c>
      <c r="B451" s="229">
        <v>2025</v>
      </c>
      <c r="C451" s="514" t="s">
        <v>1369</v>
      </c>
      <c r="D451" s="515">
        <v>3.3855533492833115E-2</v>
      </c>
      <c r="E451" s="516">
        <v>1.0498354359633042E-2</v>
      </c>
      <c r="F451" s="145">
        <v>4.7398004654293523E-2</v>
      </c>
      <c r="G451" s="145">
        <v>1.3546018396583537E-3</v>
      </c>
      <c r="H451" s="517">
        <v>2.0000010000000004E-3</v>
      </c>
      <c r="I451" s="517">
        <v>1.5750005000000004E-2</v>
      </c>
      <c r="J451" s="148">
        <v>1.4704787565590137E-3</v>
      </c>
      <c r="K451" s="518">
        <v>6.5429944509896875E-5</v>
      </c>
      <c r="L451" s="519">
        <v>6.8388400154816329E-5</v>
      </c>
    </row>
    <row r="452" spans="1:12" ht="15.5" x14ac:dyDescent="0.35">
      <c r="A452" s="143" t="s">
        <v>839</v>
      </c>
      <c r="B452" s="229">
        <v>2026</v>
      </c>
      <c r="C452" s="514" t="s">
        <v>1370</v>
      </c>
      <c r="D452" s="515">
        <v>3.2788778020358671E-2</v>
      </c>
      <c r="E452" s="516">
        <v>9.1667468304083149E-3</v>
      </c>
      <c r="F452" s="145">
        <v>4.2110230176396236E-2</v>
      </c>
      <c r="G452" s="145">
        <v>1.2952687080556987E-3</v>
      </c>
      <c r="H452" s="517">
        <v>2.0000009999999999E-3</v>
      </c>
      <c r="I452" s="517">
        <v>1.5750005000000001E-2</v>
      </c>
      <c r="J452" s="148">
        <v>1.4062214666629852E-3</v>
      </c>
      <c r="K452" s="518">
        <v>5.9011974855975805E-5</v>
      </c>
      <c r="L452" s="519">
        <v>6.1680236770271933E-5</v>
      </c>
    </row>
    <row r="453" spans="1:12" ht="15.5" x14ac:dyDescent="0.35">
      <c r="A453" s="143" t="s">
        <v>839</v>
      </c>
      <c r="B453" s="229">
        <v>2027</v>
      </c>
      <c r="C453" s="514" t="s">
        <v>1371</v>
      </c>
      <c r="D453" s="515">
        <v>3.1818043158868527E-2</v>
      </c>
      <c r="E453" s="516">
        <v>8.0640756984938101E-3</v>
      </c>
      <c r="F453" s="145">
        <v>3.7778837974834258E-2</v>
      </c>
      <c r="G453" s="145">
        <v>1.226802736439889E-3</v>
      </c>
      <c r="H453" s="517">
        <v>2.0000009999999995E-3</v>
      </c>
      <c r="I453" s="517">
        <v>1.5750005000000001E-2</v>
      </c>
      <c r="J453" s="148">
        <v>1.3321063479017575E-3</v>
      </c>
      <c r="K453" s="518">
        <v>5.0816195298672385E-5</v>
      </c>
      <c r="L453" s="519">
        <v>5.3113884492369467E-5</v>
      </c>
    </row>
    <row r="454" spans="1:12" ht="15.5" x14ac:dyDescent="0.35">
      <c r="A454" s="143" t="s">
        <v>839</v>
      </c>
      <c r="B454" s="229">
        <v>2028</v>
      </c>
      <c r="C454" s="514" t="s">
        <v>1372</v>
      </c>
      <c r="D454" s="515">
        <v>3.094790128200825E-2</v>
      </c>
      <c r="E454" s="516">
        <v>7.1568424643318872E-3</v>
      </c>
      <c r="F454" s="145">
        <v>3.4263044436974838E-2</v>
      </c>
      <c r="G454" s="145">
        <v>1.1514426341014872E-3</v>
      </c>
      <c r="H454" s="517">
        <v>2.0000009999999995E-3</v>
      </c>
      <c r="I454" s="517">
        <v>1.5750005000000001E-2</v>
      </c>
      <c r="J454" s="148">
        <v>1.2505012163185893E-3</v>
      </c>
      <c r="K454" s="518">
        <v>4.2422236027915787E-5</v>
      </c>
      <c r="L454" s="519">
        <v>4.4340387702380046E-5</v>
      </c>
    </row>
    <row r="455" spans="1:12" ht="15.5" x14ac:dyDescent="0.35">
      <c r="A455" s="143" t="s">
        <v>839</v>
      </c>
      <c r="B455" s="229">
        <v>2029</v>
      </c>
      <c r="C455" s="514" t="s">
        <v>1373</v>
      </c>
      <c r="D455" s="515">
        <v>3.0169569873031377E-2</v>
      </c>
      <c r="E455" s="516">
        <v>6.3817464333204696E-3</v>
      </c>
      <c r="F455" s="145">
        <v>3.1349991584691726E-2</v>
      </c>
      <c r="G455" s="145">
        <v>1.0808456251499407E-3</v>
      </c>
      <c r="H455" s="517">
        <v>2.0000009999999999E-3</v>
      </c>
      <c r="I455" s="517">
        <v>1.5750004999999997E-2</v>
      </c>
      <c r="J455" s="148">
        <v>1.1739481750309981E-3</v>
      </c>
      <c r="K455" s="518">
        <v>3.7064459631796439E-5</v>
      </c>
      <c r="L455" s="519">
        <v>3.8740344500027326E-5</v>
      </c>
    </row>
    <row r="456" spans="1:12" ht="15.5" x14ac:dyDescent="0.35">
      <c r="A456" s="143" t="s">
        <v>839</v>
      </c>
      <c r="B456" s="229">
        <v>2030</v>
      </c>
      <c r="C456" s="514" t="s">
        <v>1374</v>
      </c>
      <c r="D456" s="515">
        <v>2.9478309933457635E-2</v>
      </c>
      <c r="E456" s="516">
        <v>5.7478002837252238E-3</v>
      </c>
      <c r="F456" s="145">
        <v>2.9011550704975644E-2</v>
      </c>
      <c r="G456" s="145">
        <v>1.0147636240925993E-3</v>
      </c>
      <c r="H456" s="517">
        <v>2.0000010000000004E-3</v>
      </c>
      <c r="I456" s="517">
        <v>1.5750005000000001E-2</v>
      </c>
      <c r="J456" s="148">
        <v>1.1022592284048211E-3</v>
      </c>
      <c r="K456" s="518">
        <v>3.2769849153163669E-5</v>
      </c>
      <c r="L456" s="519">
        <v>3.4251551754860355E-5</v>
      </c>
    </row>
    <row r="457" spans="1:12" ht="15.5" x14ac:dyDescent="0.35">
      <c r="A457" s="143" t="s">
        <v>839</v>
      </c>
      <c r="B457" s="229">
        <v>2031</v>
      </c>
      <c r="C457" s="514" t="s">
        <v>1375</v>
      </c>
      <c r="D457" s="515">
        <v>2.8866829505587815E-2</v>
      </c>
      <c r="E457" s="516">
        <v>5.2028327285963561E-3</v>
      </c>
      <c r="F457" s="145">
        <v>2.7049480437593521E-2</v>
      </c>
      <c r="G457" s="145">
        <v>9.5384542959258724E-4</v>
      </c>
      <c r="H457" s="517">
        <v>2.0000009999999995E-3</v>
      </c>
      <c r="I457" s="517">
        <v>1.5750004999999997E-2</v>
      </c>
      <c r="J457" s="148">
        <v>1.0361085365233997E-3</v>
      </c>
      <c r="K457" s="518">
        <v>3.0327402916479755E-5</v>
      </c>
      <c r="L457" s="519">
        <v>3.1698672829349107E-5</v>
      </c>
    </row>
    <row r="458" spans="1:12" ht="15.5" x14ac:dyDescent="0.35">
      <c r="A458" s="143" t="s">
        <v>839</v>
      </c>
      <c r="B458" s="229">
        <v>2032</v>
      </c>
      <c r="C458" s="514" t="s">
        <v>1376</v>
      </c>
      <c r="D458" s="515">
        <v>2.8327718907354773E-2</v>
      </c>
      <c r="E458" s="516">
        <v>4.7389919680349687E-3</v>
      </c>
      <c r="F458" s="145">
        <v>2.5462538335631005E-2</v>
      </c>
      <c r="G458" s="145">
        <v>8.9683910519240781E-4</v>
      </c>
      <c r="H458" s="517">
        <v>2.0000010000000004E-3</v>
      </c>
      <c r="I458" s="517">
        <v>1.5750005000000004E-2</v>
      </c>
      <c r="J458" s="148">
        <v>9.7420713688443385E-4</v>
      </c>
      <c r="K458" s="518">
        <v>2.8026297081021095E-5</v>
      </c>
      <c r="L458" s="519">
        <v>2.9293520645081307E-5</v>
      </c>
    </row>
    <row r="459" spans="1:12" ht="15.5" x14ac:dyDescent="0.35">
      <c r="A459" s="143" t="s">
        <v>839</v>
      </c>
      <c r="B459" s="229">
        <v>2033</v>
      </c>
      <c r="C459" s="514" t="s">
        <v>1377</v>
      </c>
      <c r="D459" s="515">
        <v>2.7855761094360696E-2</v>
      </c>
      <c r="E459" s="516">
        <v>4.3382534432883429E-3</v>
      </c>
      <c r="F459" s="145">
        <v>2.4154839367260879E-2</v>
      </c>
      <c r="G459" s="145">
        <v>8.4421290057560031E-4</v>
      </c>
      <c r="H459" s="517">
        <v>2.0000009999999999E-3</v>
      </c>
      <c r="I459" s="517">
        <v>1.5750005000000001E-2</v>
      </c>
      <c r="J459" s="148">
        <v>9.1704240695272734E-4</v>
      </c>
      <c r="K459" s="518">
        <v>2.6340621055459459E-5</v>
      </c>
      <c r="L459" s="519">
        <v>2.7531624998403059E-5</v>
      </c>
    </row>
    <row r="460" spans="1:12" ht="15.5" x14ac:dyDescent="0.35">
      <c r="A460" s="143" t="s">
        <v>839</v>
      </c>
      <c r="B460" s="229">
        <v>2034</v>
      </c>
      <c r="C460" s="514" t="s">
        <v>1378</v>
      </c>
      <c r="D460" s="515">
        <v>2.7443083463377049E-2</v>
      </c>
      <c r="E460" s="516">
        <v>3.9780141755175295E-3</v>
      </c>
      <c r="F460" s="145">
        <v>2.3034347562164735E-2</v>
      </c>
      <c r="G460" s="145">
        <v>7.9505407327343811E-4</v>
      </c>
      <c r="H460" s="517">
        <v>2.0000009999999999E-3</v>
      </c>
      <c r="I460" s="517">
        <v>1.5750005000000001E-2</v>
      </c>
      <c r="J460" s="148">
        <v>8.6364290216006613E-4</v>
      </c>
      <c r="K460" s="518">
        <v>2.4806146070786752E-5</v>
      </c>
      <c r="L460" s="519">
        <v>2.5927770632806599E-5</v>
      </c>
    </row>
    <row r="461" spans="1:12" ht="15.5" x14ac:dyDescent="0.35">
      <c r="A461" s="143" t="s">
        <v>839</v>
      </c>
      <c r="B461" s="229">
        <v>2035</v>
      </c>
      <c r="C461" s="514" t="s">
        <v>1379</v>
      </c>
      <c r="D461" s="515">
        <v>2.7085616769883285E-2</v>
      </c>
      <c r="E461" s="516">
        <v>3.6649214574395652E-3</v>
      </c>
      <c r="F461" s="145">
        <v>2.2122503031978675E-2</v>
      </c>
      <c r="G461" s="145">
        <v>7.4993893973101936E-4</v>
      </c>
      <c r="H461" s="517">
        <v>2.0000009999999999E-3</v>
      </c>
      <c r="I461" s="517">
        <v>1.5750005000000004E-2</v>
      </c>
      <c r="J461" s="148">
        <v>8.1463420048936996E-4</v>
      </c>
      <c r="K461" s="518">
        <v>2.3418975650803049E-5</v>
      </c>
      <c r="L461" s="519">
        <v>2.4477878593656016E-5</v>
      </c>
    </row>
    <row r="462" spans="1:12" ht="15.5" x14ac:dyDescent="0.35">
      <c r="A462" s="143" t="s">
        <v>839</v>
      </c>
      <c r="B462" s="229">
        <v>2036</v>
      </c>
      <c r="C462" s="514" t="s">
        <v>1380</v>
      </c>
      <c r="D462" s="515">
        <v>2.6776625894035858E-2</v>
      </c>
      <c r="E462" s="516">
        <v>3.3896010364739861E-3</v>
      </c>
      <c r="F462" s="145">
        <v>2.1357801041412803E-2</v>
      </c>
      <c r="G462" s="145">
        <v>7.1025487587392808E-4</v>
      </c>
      <c r="H462" s="517">
        <v>2.0000009999999999E-3</v>
      </c>
      <c r="I462" s="517">
        <v>1.5750005000000004E-2</v>
      </c>
      <c r="J462" s="148">
        <v>7.7152716169114771E-4</v>
      </c>
      <c r="K462" s="518">
        <v>2.2187164508410522E-5</v>
      </c>
      <c r="L462" s="519">
        <v>2.3190372998411817E-5</v>
      </c>
    </row>
    <row r="463" spans="1:12" ht="15.5" x14ac:dyDescent="0.35">
      <c r="A463" s="143" t="s">
        <v>839</v>
      </c>
      <c r="B463" s="229">
        <v>2037</v>
      </c>
      <c r="C463" s="514" t="s">
        <v>1381</v>
      </c>
      <c r="D463" s="515">
        <v>2.6512350823129312E-2</v>
      </c>
      <c r="E463" s="516">
        <v>3.1572332595220516E-3</v>
      </c>
      <c r="F463" s="145">
        <v>2.0749087183426992E-2</v>
      </c>
      <c r="G463" s="145">
        <v>6.7466521209333093E-4</v>
      </c>
      <c r="H463" s="517">
        <v>2.0000009999999995E-3</v>
      </c>
      <c r="I463" s="517">
        <v>1.5750005000000001E-2</v>
      </c>
      <c r="J463" s="148">
        <v>7.3287008630114185E-4</v>
      </c>
      <c r="K463" s="518">
        <v>2.0988034245879644E-5</v>
      </c>
      <c r="L463" s="519">
        <v>2.1937022587974179E-5</v>
      </c>
    </row>
    <row r="464" spans="1:12" ht="15.5" x14ac:dyDescent="0.35">
      <c r="A464" s="143" t="s">
        <v>839</v>
      </c>
      <c r="B464" s="229">
        <v>2038</v>
      </c>
      <c r="C464" s="514" t="s">
        <v>1382</v>
      </c>
      <c r="D464" s="515">
        <v>2.6288679679537835E-2</v>
      </c>
      <c r="E464" s="516">
        <v>2.9495653046141971E-3</v>
      </c>
      <c r="F464" s="145">
        <v>2.0214473267963929E-2</v>
      </c>
      <c r="G464" s="145">
        <v>6.4301243189541037E-4</v>
      </c>
      <c r="H464" s="517">
        <v>2.0000009999999999E-3</v>
      </c>
      <c r="I464" s="517">
        <v>1.5750005000000001E-2</v>
      </c>
      <c r="J464" s="148">
        <v>6.984852610294899E-4</v>
      </c>
      <c r="K464" s="518">
        <v>2.0050571188984724E-5</v>
      </c>
      <c r="L464" s="519">
        <v>2.0957165966214804E-5</v>
      </c>
    </row>
    <row r="465" spans="1:12" ht="15.5" x14ac:dyDescent="0.35">
      <c r="A465" s="143" t="s">
        <v>839</v>
      </c>
      <c r="B465" s="229">
        <v>2039</v>
      </c>
      <c r="C465" s="514" t="s">
        <v>1383</v>
      </c>
      <c r="D465" s="515">
        <v>2.6099186829740714E-2</v>
      </c>
      <c r="E465" s="516">
        <v>2.7539515278838396E-3</v>
      </c>
      <c r="F465" s="145">
        <v>1.9712441075133411E-2</v>
      </c>
      <c r="G465" s="145">
        <v>6.1486775230376362E-4</v>
      </c>
      <c r="H465" s="517">
        <v>2.0000009999999999E-3</v>
      </c>
      <c r="I465" s="517">
        <v>1.5750004999999997E-2</v>
      </c>
      <c r="J465" s="148">
        <v>6.6790869197584125E-4</v>
      </c>
      <c r="K465" s="518">
        <v>1.9259035375056501E-5</v>
      </c>
      <c r="L465" s="519">
        <v>2.0129843852865561E-5</v>
      </c>
    </row>
    <row r="466" spans="1:12" ht="15.5" x14ac:dyDescent="0.35">
      <c r="A466" s="143" t="s">
        <v>839</v>
      </c>
      <c r="B466" s="229">
        <v>2040</v>
      </c>
      <c r="C466" s="514" t="s">
        <v>1384</v>
      </c>
      <c r="D466" s="515">
        <v>2.5940977460168806E-2</v>
      </c>
      <c r="E466" s="516">
        <v>2.5892756726911032E-3</v>
      </c>
      <c r="F466" s="145">
        <v>1.9327609332549889E-2</v>
      </c>
      <c r="G466" s="145">
        <v>5.9043290082887862E-4</v>
      </c>
      <c r="H466" s="517">
        <v>2.0000009999999999E-3</v>
      </c>
      <c r="I466" s="517">
        <v>1.5750005000000001E-2</v>
      </c>
      <c r="J466" s="148">
        <v>6.413627921381999E-4</v>
      </c>
      <c r="K466" s="518">
        <v>1.8571793295091949E-5</v>
      </c>
      <c r="L466" s="519">
        <v>1.9411527907979634E-5</v>
      </c>
    </row>
    <row r="467" spans="1:12" ht="15.5" x14ac:dyDescent="0.35">
      <c r="A467" s="143" t="s">
        <v>839</v>
      </c>
      <c r="B467" s="229">
        <v>2041</v>
      </c>
      <c r="C467" s="514" t="s">
        <v>1385</v>
      </c>
      <c r="D467" s="515">
        <v>2.581047350698739E-2</v>
      </c>
      <c r="E467" s="516">
        <v>2.4604652898220719E-3</v>
      </c>
      <c r="F467" s="145">
        <v>1.9022876228421831E-2</v>
      </c>
      <c r="G467" s="145">
        <v>5.7081833793972878E-4</v>
      </c>
      <c r="H467" s="517">
        <v>2.0000009999999999E-3</v>
      </c>
      <c r="I467" s="517">
        <v>1.5750005000000001E-2</v>
      </c>
      <c r="J467" s="148">
        <v>6.2005451844358763E-4</v>
      </c>
      <c r="K467" s="518">
        <v>1.8001774107166307E-5</v>
      </c>
      <c r="L467" s="519">
        <v>1.8815731839147126E-5</v>
      </c>
    </row>
    <row r="468" spans="1:12" ht="15.5" x14ac:dyDescent="0.35">
      <c r="A468" s="143" t="s">
        <v>839</v>
      </c>
      <c r="B468" s="229">
        <v>2042</v>
      </c>
      <c r="C468" s="514" t="s">
        <v>1386</v>
      </c>
      <c r="D468" s="515">
        <v>2.5702179727697907E-2</v>
      </c>
      <c r="E468" s="516">
        <v>2.3501533494079941E-3</v>
      </c>
      <c r="F468" s="145">
        <v>1.8747009561838262E-2</v>
      </c>
      <c r="G468" s="145">
        <v>5.5408875034210572E-4</v>
      </c>
      <c r="H468" s="517">
        <v>2.0000009999999999E-3</v>
      </c>
      <c r="I468" s="517">
        <v>1.5750005000000001E-2</v>
      </c>
      <c r="J468" s="148">
        <v>6.0187807144152189E-4</v>
      </c>
      <c r="K468" s="518">
        <v>1.7568242941630712E-5</v>
      </c>
      <c r="L468" s="519">
        <v>1.8362597887351273E-5</v>
      </c>
    </row>
    <row r="469" spans="1:12" ht="15.5" x14ac:dyDescent="0.35">
      <c r="A469" s="143" t="s">
        <v>839</v>
      </c>
      <c r="B469" s="229">
        <v>2043</v>
      </c>
      <c r="C469" s="514" t="s">
        <v>1387</v>
      </c>
      <c r="D469" s="515">
        <v>2.5613507986537169E-2</v>
      </c>
      <c r="E469" s="516">
        <v>2.26603087287337E-3</v>
      </c>
      <c r="F469" s="145">
        <v>1.8544769615300868E-2</v>
      </c>
      <c r="G469" s="145">
        <v>5.4002106329455678E-4</v>
      </c>
      <c r="H469" s="517">
        <v>2.0000009999999999E-3</v>
      </c>
      <c r="I469" s="517">
        <v>1.5750005000000001E-2</v>
      </c>
      <c r="J469" s="148">
        <v>5.8659234028243302E-4</v>
      </c>
      <c r="K469" s="518">
        <v>1.7224790361457396E-5</v>
      </c>
      <c r="L469" s="519">
        <v>1.8003622673313471E-5</v>
      </c>
    </row>
    <row r="470" spans="1:12" ht="15.5" x14ac:dyDescent="0.35">
      <c r="A470" s="143" t="s">
        <v>839</v>
      </c>
      <c r="B470" s="229">
        <v>2044</v>
      </c>
      <c r="C470" s="514" t="s">
        <v>1388</v>
      </c>
      <c r="D470" s="515">
        <v>2.5540845481673805E-2</v>
      </c>
      <c r="E470" s="516">
        <v>2.2037825623264884E-3</v>
      </c>
      <c r="F470" s="145">
        <v>1.8389963609349178E-2</v>
      </c>
      <c r="G470" s="145">
        <v>5.2822576559475481E-4</v>
      </c>
      <c r="H470" s="517">
        <v>2.0000010000000004E-3</v>
      </c>
      <c r="I470" s="517">
        <v>1.5750005000000001E-2</v>
      </c>
      <c r="J470" s="148">
        <v>5.7377519417854152E-4</v>
      </c>
      <c r="K470" s="518">
        <v>1.6944326994050197E-5</v>
      </c>
      <c r="L470" s="519">
        <v>1.7710474433273675E-5</v>
      </c>
    </row>
    <row r="471" spans="1:12" ht="15.5" x14ac:dyDescent="0.35">
      <c r="A471" s="143" t="s">
        <v>839</v>
      </c>
      <c r="B471" s="229">
        <v>2045</v>
      </c>
      <c r="C471" s="514" t="s">
        <v>1389</v>
      </c>
      <c r="D471" s="515">
        <v>2.5480326217456203E-2</v>
      </c>
      <c r="E471" s="516">
        <v>2.1614360869463066E-3</v>
      </c>
      <c r="F471" s="145">
        <v>1.8290152823364377E-2</v>
      </c>
      <c r="G471" s="145">
        <v>5.1841874149568244E-4</v>
      </c>
      <c r="H471" s="517">
        <v>2.0000009999999999E-3</v>
      </c>
      <c r="I471" s="517">
        <v>1.5750005000000001E-2</v>
      </c>
      <c r="J471" s="148">
        <v>5.631183658699224E-4</v>
      </c>
      <c r="K471" s="518">
        <v>1.6724509932204651E-5</v>
      </c>
      <c r="L471" s="519">
        <v>1.7480719140688001E-5</v>
      </c>
    </row>
    <row r="472" spans="1:12" ht="15.5" x14ac:dyDescent="0.35">
      <c r="A472" s="143" t="s">
        <v>839</v>
      </c>
      <c r="B472" s="229">
        <v>2046</v>
      </c>
      <c r="C472" s="514" t="s">
        <v>1390</v>
      </c>
      <c r="D472" s="515">
        <v>2.5430675350703851E-2</v>
      </c>
      <c r="E472" s="516">
        <v>2.1253464782516195E-3</v>
      </c>
      <c r="F472" s="145">
        <v>1.8209492377470032E-2</v>
      </c>
      <c r="G472" s="145">
        <v>5.1039419588630691E-4</v>
      </c>
      <c r="H472" s="517">
        <v>2.0000009999999999E-3</v>
      </c>
      <c r="I472" s="517">
        <v>1.5750005000000001E-2</v>
      </c>
      <c r="J472" s="148">
        <v>5.5439851644801163E-4</v>
      </c>
      <c r="K472" s="518">
        <v>1.6552478138676865E-5</v>
      </c>
      <c r="L472" s="519">
        <v>1.7300909228570242E-5</v>
      </c>
    </row>
    <row r="473" spans="1:12" ht="15.5" x14ac:dyDescent="0.35">
      <c r="A473" s="143" t="s">
        <v>839</v>
      </c>
      <c r="B473" s="229">
        <v>2047</v>
      </c>
      <c r="C473" s="514" t="s">
        <v>1391</v>
      </c>
      <c r="D473" s="515">
        <v>2.5389880626879097E-2</v>
      </c>
      <c r="E473" s="516">
        <v>2.0938788803508868E-3</v>
      </c>
      <c r="F473" s="145">
        <v>1.8134081592515491E-2</v>
      </c>
      <c r="G473" s="145">
        <v>5.0387696970150692E-4</v>
      </c>
      <c r="H473" s="517">
        <v>2.0000009999999999E-3</v>
      </c>
      <c r="I473" s="517">
        <v>1.5750005000000001E-2</v>
      </c>
      <c r="J473" s="148">
        <v>5.473165190744676E-4</v>
      </c>
      <c r="K473" s="518">
        <v>1.6431998279228567E-5</v>
      </c>
      <c r="L473" s="519">
        <v>1.7174981093928092E-5</v>
      </c>
    </row>
    <row r="474" spans="1:12" ht="15.5" x14ac:dyDescent="0.35">
      <c r="A474" s="143" t="s">
        <v>839</v>
      </c>
      <c r="B474" s="229">
        <v>2048</v>
      </c>
      <c r="C474" s="514" t="s">
        <v>1392</v>
      </c>
      <c r="D474" s="515">
        <v>2.5356652741239882E-2</v>
      </c>
      <c r="E474" s="516">
        <v>2.0686753041161236E-3</v>
      </c>
      <c r="F474" s="145">
        <v>1.8071582322328555E-2</v>
      </c>
      <c r="G474" s="145">
        <v>4.9859454727511812E-4</v>
      </c>
      <c r="H474" s="517">
        <v>2.0000009999999999E-3</v>
      </c>
      <c r="I474" s="517">
        <v>1.5750005000000001E-2</v>
      </c>
      <c r="J474" s="148">
        <v>5.4157571034955812E-4</v>
      </c>
      <c r="K474" s="518">
        <v>1.6315434915207549E-5</v>
      </c>
      <c r="L474" s="519">
        <v>1.7053145273048766E-5</v>
      </c>
    </row>
    <row r="475" spans="1:12" ht="15.5" x14ac:dyDescent="0.35">
      <c r="A475" s="143" t="s">
        <v>839</v>
      </c>
      <c r="B475" s="229">
        <v>2049</v>
      </c>
      <c r="C475" s="514" t="s">
        <v>1393</v>
      </c>
      <c r="D475" s="515">
        <v>2.5329255773447634E-2</v>
      </c>
      <c r="E475" s="516">
        <v>2.0584683717294197E-3</v>
      </c>
      <c r="F475" s="145">
        <v>1.8082535753315535E-2</v>
      </c>
      <c r="G475" s="145">
        <v>4.9506321003928611E-4</v>
      </c>
      <c r="H475" s="517">
        <v>2.0000009999999995E-3</v>
      </c>
      <c r="I475" s="517">
        <v>1.5750005000000001E-2</v>
      </c>
      <c r="J475" s="148">
        <v>5.3773749178826597E-4</v>
      </c>
      <c r="K475" s="518">
        <v>1.6247279901894508E-5</v>
      </c>
      <c r="L475" s="519">
        <v>1.6981906521205438E-5</v>
      </c>
    </row>
    <row r="476" spans="1:12" ht="15.5" x14ac:dyDescent="0.35">
      <c r="A476" s="143" t="s">
        <v>839</v>
      </c>
      <c r="B476" s="229">
        <v>2050</v>
      </c>
      <c r="C476" s="514" t="s">
        <v>1394</v>
      </c>
      <c r="D476" s="515">
        <v>2.5307699737173787E-2</v>
      </c>
      <c r="E476" s="516">
        <v>2.0506127233554062E-3</v>
      </c>
      <c r="F476" s="145">
        <v>1.8093413631111419E-2</v>
      </c>
      <c r="G476" s="145">
        <v>4.9226741789669165E-4</v>
      </c>
      <c r="H476" s="517">
        <v>2.0000009999999999E-3</v>
      </c>
      <c r="I476" s="517">
        <v>1.5750005000000004E-2</v>
      </c>
      <c r="J476" s="148">
        <v>5.3470082531841857E-4</v>
      </c>
      <c r="K476" s="518">
        <v>1.6167225602189504E-5</v>
      </c>
      <c r="L476" s="519">
        <v>1.6898240021447009E-5</v>
      </c>
    </row>
    <row r="477" spans="1:12" ht="15.5" x14ac:dyDescent="0.35">
      <c r="A477" s="143" t="s">
        <v>843</v>
      </c>
      <c r="B477" s="229">
        <v>2015</v>
      </c>
      <c r="C477" s="514" t="s">
        <v>844</v>
      </c>
      <c r="D477" s="515">
        <v>4.577688262772496E-2</v>
      </c>
      <c r="E477" s="516">
        <v>7.8280205357965801E-2</v>
      </c>
      <c r="F477" s="145">
        <v>0.32403810381190817</v>
      </c>
      <c r="G477" s="145">
        <v>2.8276739404882122E-3</v>
      </c>
      <c r="H477" s="517">
        <v>2.0000009999999999E-3</v>
      </c>
      <c r="I477" s="517">
        <v>1.5750005000000001E-2</v>
      </c>
      <c r="J477" s="148">
        <v>3.0498057963671333E-3</v>
      </c>
      <c r="K477" s="518">
        <v>4.7440042089466156E-4</v>
      </c>
      <c r="L477" s="519">
        <v>4.958507097107492E-4</v>
      </c>
    </row>
    <row r="478" spans="1:12" ht="15.5" x14ac:dyDescent="0.35">
      <c r="A478" s="143" t="s">
        <v>843</v>
      </c>
      <c r="B478" s="229">
        <v>2016</v>
      </c>
      <c r="C478" s="514" t="s">
        <v>845</v>
      </c>
      <c r="D478" s="515">
        <v>4.4850231803885143E-2</v>
      </c>
      <c r="E478" s="516">
        <v>6.5467436214072777E-2</v>
      </c>
      <c r="F478" s="145">
        <v>0.27988973091602859</v>
      </c>
      <c r="G478" s="145">
        <v>2.5690194795928061E-3</v>
      </c>
      <c r="H478" s="517">
        <v>2.0000010000000004E-3</v>
      </c>
      <c r="I478" s="517">
        <v>1.5750005000000001E-2</v>
      </c>
      <c r="J478" s="148">
        <v>2.7716784393648328E-3</v>
      </c>
      <c r="K478" s="518">
        <v>4.3820549159491961E-4</v>
      </c>
      <c r="L478" s="519">
        <v>4.5801919466704279E-4</v>
      </c>
    </row>
    <row r="479" spans="1:12" ht="15.5" x14ac:dyDescent="0.35">
      <c r="A479" s="143" t="s">
        <v>843</v>
      </c>
      <c r="B479" s="229">
        <v>2017</v>
      </c>
      <c r="C479" s="514" t="s">
        <v>1395</v>
      </c>
      <c r="D479" s="515">
        <v>4.375267178704665E-2</v>
      </c>
      <c r="E479" s="516">
        <v>5.5353911278889494E-2</v>
      </c>
      <c r="F479" s="145">
        <v>0.24363958940054126</v>
      </c>
      <c r="G479" s="145">
        <v>2.3878723153897001E-3</v>
      </c>
      <c r="H479" s="517">
        <v>2.0000009999999999E-3</v>
      </c>
      <c r="I479" s="517">
        <v>1.5750005000000004E-2</v>
      </c>
      <c r="J479" s="148">
        <v>2.5777243623947925E-3</v>
      </c>
      <c r="K479" s="518">
        <v>3.9476995783055706E-4</v>
      </c>
      <c r="L479" s="519">
        <v>4.1261969873605131E-4</v>
      </c>
    </row>
    <row r="480" spans="1:12" ht="15.5" x14ac:dyDescent="0.35">
      <c r="A480" s="143" t="s">
        <v>843</v>
      </c>
      <c r="B480" s="229">
        <v>2018</v>
      </c>
      <c r="C480" s="514" t="s">
        <v>1396</v>
      </c>
      <c r="D480" s="515">
        <v>4.2621822710346396E-2</v>
      </c>
      <c r="E480" s="516">
        <v>4.6373413764050506E-2</v>
      </c>
      <c r="F480" s="145">
        <v>0.2109686208063401</v>
      </c>
      <c r="G480" s="145">
        <v>2.2468476341060114E-3</v>
      </c>
      <c r="H480" s="517">
        <v>2.0000010000000004E-3</v>
      </c>
      <c r="I480" s="517">
        <v>1.5750005000000001E-2</v>
      </c>
      <c r="J480" s="148">
        <v>2.427081879817447E-3</v>
      </c>
      <c r="K480" s="518">
        <v>3.5422786301550182E-4</v>
      </c>
      <c r="L480" s="519">
        <v>3.7024447378463261E-4</v>
      </c>
    </row>
    <row r="481" spans="1:12" ht="15.5" x14ac:dyDescent="0.35">
      <c r="A481" s="143" t="s">
        <v>843</v>
      </c>
      <c r="B481" s="229">
        <v>2019</v>
      </c>
      <c r="C481" s="514" t="s">
        <v>1397</v>
      </c>
      <c r="D481" s="515">
        <v>4.1452231226848969E-2</v>
      </c>
      <c r="E481" s="516">
        <v>3.8707431739956624E-2</v>
      </c>
      <c r="F481" s="145">
        <v>0.18238433732480938</v>
      </c>
      <c r="G481" s="145">
        <v>2.134177543437752E-3</v>
      </c>
      <c r="H481" s="517">
        <v>2.0000009999999995E-3</v>
      </c>
      <c r="I481" s="517">
        <v>1.5750004999999997E-2</v>
      </c>
      <c r="J481" s="148">
        <v>2.3068367646375651E-3</v>
      </c>
      <c r="K481" s="518">
        <v>3.1809795791064912E-4</v>
      </c>
      <c r="L481" s="519">
        <v>3.3248094456403952E-4</v>
      </c>
    </row>
    <row r="482" spans="1:12" ht="15.5" x14ac:dyDescent="0.35">
      <c r="A482" s="143" t="s">
        <v>843</v>
      </c>
      <c r="B482" s="229">
        <v>2020</v>
      </c>
      <c r="C482" s="514" t="s">
        <v>1398</v>
      </c>
      <c r="D482" s="515">
        <v>4.0262061083891881E-2</v>
      </c>
      <c r="E482" s="516">
        <v>3.2839767130804699E-2</v>
      </c>
      <c r="F482" s="145">
        <v>0.15780711244399076</v>
      </c>
      <c r="G482" s="145">
        <v>2.0206855561784218E-3</v>
      </c>
      <c r="H482" s="517">
        <v>2.0000009999999995E-3</v>
      </c>
      <c r="I482" s="517">
        <v>1.5750005000000001E-2</v>
      </c>
      <c r="J482" s="148">
        <v>2.1850988633027547E-3</v>
      </c>
      <c r="K482" s="518">
        <v>2.8469767864820988E-4</v>
      </c>
      <c r="L482" s="519">
        <v>2.9757044198479955E-4</v>
      </c>
    </row>
    <row r="483" spans="1:12" ht="15.5" x14ac:dyDescent="0.35">
      <c r="A483" s="143" t="s">
        <v>843</v>
      </c>
      <c r="B483" s="229">
        <v>2021</v>
      </c>
      <c r="C483" s="514" t="s">
        <v>1399</v>
      </c>
      <c r="D483" s="515">
        <v>3.9055304324391318E-2</v>
      </c>
      <c r="E483" s="516">
        <v>2.8123352053565854E-2</v>
      </c>
      <c r="F483" s="145">
        <v>0.13643651359827694</v>
      </c>
      <c r="G483" s="145">
        <v>1.8889932465102485E-3</v>
      </c>
      <c r="H483" s="517">
        <v>2.0000010000000004E-3</v>
      </c>
      <c r="I483" s="517">
        <v>1.5750005000000004E-2</v>
      </c>
      <c r="J483" s="148">
        <v>2.0434555671588008E-3</v>
      </c>
      <c r="K483" s="518">
        <v>2.5112518361199339E-4</v>
      </c>
      <c r="L483" s="519">
        <v>2.6247995504876585E-4</v>
      </c>
    </row>
    <row r="484" spans="1:12" ht="15.5" x14ac:dyDescent="0.35">
      <c r="A484" s="143" t="s">
        <v>843</v>
      </c>
      <c r="B484" s="229">
        <v>2022</v>
      </c>
      <c r="C484" s="514" t="s">
        <v>1400</v>
      </c>
      <c r="D484" s="515">
        <v>3.7863308928105341E-2</v>
      </c>
      <c r="E484" s="516">
        <v>2.3771684062434181E-2</v>
      </c>
      <c r="F484" s="145">
        <v>0.11791781819069809</v>
      </c>
      <c r="G484" s="145">
        <v>1.7688283857360898E-3</v>
      </c>
      <c r="H484" s="517">
        <v>2.0000010000000004E-3</v>
      </c>
      <c r="I484" s="517">
        <v>1.5750005000000001E-2</v>
      </c>
      <c r="J484" s="148">
        <v>1.9142089201362126E-3</v>
      </c>
      <c r="K484" s="518">
        <v>2.2242211159229644E-4</v>
      </c>
      <c r="L484" s="519">
        <v>2.3247904705742681E-4</v>
      </c>
    </row>
    <row r="485" spans="1:12" ht="15.5" x14ac:dyDescent="0.35">
      <c r="A485" s="143" t="s">
        <v>843</v>
      </c>
      <c r="B485" s="229">
        <v>2023</v>
      </c>
      <c r="C485" s="514" t="s">
        <v>1401</v>
      </c>
      <c r="D485" s="515">
        <v>3.668652422699302E-2</v>
      </c>
      <c r="E485" s="516">
        <v>2.0523367065308575E-2</v>
      </c>
      <c r="F485" s="145">
        <v>0.10254149715985905</v>
      </c>
      <c r="G485" s="145">
        <v>1.65669258276563E-3</v>
      </c>
      <c r="H485" s="517">
        <v>2.0000009999999999E-3</v>
      </c>
      <c r="I485" s="517">
        <v>1.5750005000000001E-2</v>
      </c>
      <c r="J485" s="148">
        <v>1.7936131411579663E-3</v>
      </c>
      <c r="K485" s="518">
        <v>1.9156654650565109E-4</v>
      </c>
      <c r="L485" s="519">
        <v>2.0022833607351436E-4</v>
      </c>
    </row>
    <row r="486" spans="1:12" ht="15.5" x14ac:dyDescent="0.35">
      <c r="A486" s="143" t="s">
        <v>843</v>
      </c>
      <c r="B486" s="229">
        <v>2024</v>
      </c>
      <c r="C486" s="514" t="s">
        <v>1402</v>
      </c>
      <c r="D486" s="515">
        <v>3.5525825096388172E-2</v>
      </c>
      <c r="E486" s="516">
        <v>1.7725648338537837E-2</v>
      </c>
      <c r="F486" s="145">
        <v>8.9401285679388154E-2</v>
      </c>
      <c r="G486" s="145">
        <v>1.5570346024747854E-3</v>
      </c>
      <c r="H486" s="517">
        <v>2.0000009999999999E-3</v>
      </c>
      <c r="I486" s="517">
        <v>1.5750005000000001E-2</v>
      </c>
      <c r="J486" s="148">
        <v>1.6863839054861605E-3</v>
      </c>
      <c r="K486" s="518">
        <v>1.6556163478963963E-4</v>
      </c>
      <c r="L486" s="519">
        <v>1.7304760096018969E-4</v>
      </c>
    </row>
    <row r="487" spans="1:12" ht="15.5" x14ac:dyDescent="0.35">
      <c r="A487" s="143" t="s">
        <v>843</v>
      </c>
      <c r="B487" s="229">
        <v>2025</v>
      </c>
      <c r="C487" s="514" t="s">
        <v>1403</v>
      </c>
      <c r="D487" s="515">
        <v>3.4385830308371522E-2</v>
      </c>
      <c r="E487" s="516">
        <v>1.550146281422886E-2</v>
      </c>
      <c r="F487" s="145">
        <v>7.8822640365175042E-2</v>
      </c>
      <c r="G487" s="145">
        <v>1.4787049533259153E-3</v>
      </c>
      <c r="H487" s="517">
        <v>2.0000009999999999E-3</v>
      </c>
      <c r="I487" s="517">
        <v>1.5750005000000001E-2</v>
      </c>
      <c r="J487" s="148">
        <v>1.6020353268858519E-3</v>
      </c>
      <c r="K487" s="518">
        <v>1.4606878073847751E-4</v>
      </c>
      <c r="L487" s="519">
        <v>1.5267337140038113E-4</v>
      </c>
    </row>
    <row r="488" spans="1:12" ht="15.5" x14ac:dyDescent="0.35">
      <c r="A488" s="143" t="s">
        <v>843</v>
      </c>
      <c r="B488" s="229">
        <v>2026</v>
      </c>
      <c r="C488" s="514" t="s">
        <v>1404</v>
      </c>
      <c r="D488" s="515">
        <v>3.3353620433582011E-2</v>
      </c>
      <c r="E488" s="516">
        <v>1.3639151547947873E-2</v>
      </c>
      <c r="F488" s="145">
        <v>7.0069900814051581E-2</v>
      </c>
      <c r="G488" s="145">
        <v>1.4022296775821654E-3</v>
      </c>
      <c r="H488" s="517">
        <v>2.0000009999999995E-3</v>
      </c>
      <c r="I488" s="517">
        <v>1.5750004999999997E-2</v>
      </c>
      <c r="J488" s="148">
        <v>1.5197983183971944E-3</v>
      </c>
      <c r="K488" s="518">
        <v>1.2397913770259851E-4</v>
      </c>
      <c r="L488" s="519">
        <v>1.2958492446036216E-4</v>
      </c>
    </row>
    <row r="489" spans="1:12" ht="15.5" x14ac:dyDescent="0.35">
      <c r="A489" s="143" t="s">
        <v>843</v>
      </c>
      <c r="B489" s="229">
        <v>2027</v>
      </c>
      <c r="C489" s="514" t="s">
        <v>1405</v>
      </c>
      <c r="D489" s="515">
        <v>3.2412374404066323E-2</v>
      </c>
      <c r="E489" s="516">
        <v>1.2046113794070654E-2</v>
      </c>
      <c r="F489" s="145">
        <v>6.258404869218076E-2</v>
      </c>
      <c r="G489" s="145">
        <v>1.3192324153888421E-3</v>
      </c>
      <c r="H489" s="517">
        <v>2.0000009999999995E-3</v>
      </c>
      <c r="I489" s="517">
        <v>1.5750004999999997E-2</v>
      </c>
      <c r="J489" s="148">
        <v>1.4305848981484659E-3</v>
      </c>
      <c r="K489" s="518">
        <v>9.9129144999921201E-5</v>
      </c>
      <c r="L489" s="519">
        <v>1.0361132186356966E-4</v>
      </c>
    </row>
    <row r="490" spans="1:12" ht="15.5" x14ac:dyDescent="0.35">
      <c r="A490" s="143" t="s">
        <v>843</v>
      </c>
      <c r="B490" s="229">
        <v>2028</v>
      </c>
      <c r="C490" s="514" t="s">
        <v>1406</v>
      </c>
      <c r="D490" s="515">
        <v>3.1565174771669077E-2</v>
      </c>
      <c r="E490" s="516">
        <v>1.0691533033271198E-2</v>
      </c>
      <c r="F490" s="145">
        <v>5.622114507545372E-2</v>
      </c>
      <c r="G490" s="145">
        <v>1.2397873548373485E-3</v>
      </c>
      <c r="H490" s="517">
        <v>2.0000009999999999E-3</v>
      </c>
      <c r="I490" s="517">
        <v>1.5750005000000004E-2</v>
      </c>
      <c r="J490" s="148">
        <v>1.344864547650942E-3</v>
      </c>
      <c r="K490" s="518">
        <v>8.2994482492849871E-5</v>
      </c>
      <c r="L490" s="519">
        <v>8.6747124628732168E-5</v>
      </c>
    </row>
    <row r="491" spans="1:12" ht="15.5" x14ac:dyDescent="0.35">
      <c r="A491" s="143" t="s">
        <v>843</v>
      </c>
      <c r="B491" s="229">
        <v>2029</v>
      </c>
      <c r="C491" s="514" t="s">
        <v>1407</v>
      </c>
      <c r="D491" s="515">
        <v>3.0802307850790613E-2</v>
      </c>
      <c r="E491" s="516">
        <v>9.5051509153819529E-3</v>
      </c>
      <c r="F491" s="145">
        <v>5.0744146235325673E-2</v>
      </c>
      <c r="G491" s="145">
        <v>1.1652090173596603E-3</v>
      </c>
      <c r="H491" s="517">
        <v>2.0000009999999999E-3</v>
      </c>
      <c r="I491" s="517">
        <v>1.5750005000000001E-2</v>
      </c>
      <c r="J491" s="148">
        <v>1.2642499725534857E-3</v>
      </c>
      <c r="K491" s="518">
        <v>7.1302743382442276E-5</v>
      </c>
      <c r="L491" s="519">
        <v>7.452673490840091E-5</v>
      </c>
    </row>
    <row r="492" spans="1:12" ht="15.5" x14ac:dyDescent="0.35">
      <c r="A492" s="143" t="s">
        <v>843</v>
      </c>
      <c r="B492" s="229">
        <v>2030</v>
      </c>
      <c r="C492" s="514" t="s">
        <v>1408</v>
      </c>
      <c r="D492" s="515">
        <v>3.012118047231695E-2</v>
      </c>
      <c r="E492" s="516">
        <v>8.4850873090744506E-3</v>
      </c>
      <c r="F492" s="145">
        <v>4.6012932320628468E-2</v>
      </c>
      <c r="G492" s="145">
        <v>1.0928889378070692E-3</v>
      </c>
      <c r="H492" s="517">
        <v>2.0000009999999995E-3</v>
      </c>
      <c r="I492" s="517">
        <v>1.5750004999999997E-2</v>
      </c>
      <c r="J492" s="148">
        <v>1.1860347097604348E-3</v>
      </c>
      <c r="K492" s="518">
        <v>6.0922518569514055E-5</v>
      </c>
      <c r="L492" s="519">
        <v>6.3677164531805532E-5</v>
      </c>
    </row>
    <row r="493" spans="1:12" ht="15.5" x14ac:dyDescent="0.35">
      <c r="A493" s="143" t="s">
        <v>843</v>
      </c>
      <c r="B493" s="229">
        <v>2031</v>
      </c>
      <c r="C493" s="514" t="s">
        <v>1409</v>
      </c>
      <c r="D493" s="515">
        <v>2.9514119933439581E-2</v>
      </c>
      <c r="E493" s="516">
        <v>7.5788216498510553E-3</v>
      </c>
      <c r="F493" s="145">
        <v>4.1832285396316032E-2</v>
      </c>
      <c r="G493" s="145">
        <v>1.0258794075268059E-3</v>
      </c>
      <c r="H493" s="517">
        <v>2.0000010000000004E-3</v>
      </c>
      <c r="I493" s="517">
        <v>1.5750004999999997E-2</v>
      </c>
      <c r="J493" s="148">
        <v>1.1134345641261975E-3</v>
      </c>
      <c r="K493" s="518">
        <v>5.4331302455314637E-5</v>
      </c>
      <c r="L493" s="519">
        <v>5.6787920493696914E-5</v>
      </c>
    </row>
    <row r="494" spans="1:12" ht="15.5" x14ac:dyDescent="0.35">
      <c r="A494" s="143" t="s">
        <v>843</v>
      </c>
      <c r="B494" s="229">
        <v>2032</v>
      </c>
      <c r="C494" s="514" t="s">
        <v>1410</v>
      </c>
      <c r="D494" s="515">
        <v>2.897562697625293E-2</v>
      </c>
      <c r="E494" s="516">
        <v>6.7887864541567658E-3</v>
      </c>
      <c r="F494" s="145">
        <v>3.8301485602047519E-2</v>
      </c>
      <c r="G494" s="145">
        <v>9.6250055635880639E-4</v>
      </c>
      <c r="H494" s="517">
        <v>2.0000009999999995E-3</v>
      </c>
      <c r="I494" s="517">
        <v>1.5750004999999997E-2</v>
      </c>
      <c r="J494" s="148">
        <v>1.04475245734223E-3</v>
      </c>
      <c r="K494" s="518">
        <v>4.8481140228138243E-5</v>
      </c>
      <c r="L494" s="519">
        <v>5.0673241044666168E-5</v>
      </c>
    </row>
    <row r="495" spans="1:12" ht="15.5" x14ac:dyDescent="0.35">
      <c r="A495" s="143" t="s">
        <v>843</v>
      </c>
      <c r="B495" s="229">
        <v>2033</v>
      </c>
      <c r="C495" s="514" t="s">
        <v>1411</v>
      </c>
      <c r="D495" s="515">
        <v>2.8500557759314097E-2</v>
      </c>
      <c r="E495" s="516">
        <v>6.1118477374017977E-3</v>
      </c>
      <c r="F495" s="145">
        <v>3.5385712606218152E-2</v>
      </c>
      <c r="G495" s="145">
        <v>9.0399481887950216E-4</v>
      </c>
      <c r="H495" s="517">
        <v>2.0000009999999999E-3</v>
      </c>
      <c r="I495" s="517">
        <v>1.5750005000000001E-2</v>
      </c>
      <c r="J495" s="148">
        <v>9.8130392603889118E-4</v>
      </c>
      <c r="K495" s="518">
        <v>4.4184628277631834E-5</v>
      </c>
      <c r="L495" s="519">
        <v>4.6182467086133747E-5</v>
      </c>
    </row>
    <row r="496" spans="1:12" ht="15.5" x14ac:dyDescent="0.35">
      <c r="A496" s="143" t="s">
        <v>843</v>
      </c>
      <c r="B496" s="229">
        <v>2034</v>
      </c>
      <c r="C496" s="514" t="s">
        <v>1412</v>
      </c>
      <c r="D496" s="515">
        <v>2.8083260219686382E-2</v>
      </c>
      <c r="E496" s="516">
        <v>5.4950679945161502E-3</v>
      </c>
      <c r="F496" s="145">
        <v>3.2833765906628523E-2</v>
      </c>
      <c r="G496" s="145">
        <v>8.4829771767578287E-4</v>
      </c>
      <c r="H496" s="517">
        <v>2.0000009999999999E-3</v>
      </c>
      <c r="I496" s="517">
        <v>1.5750005000000001E-2</v>
      </c>
      <c r="J496" s="148">
        <v>9.2088326399273235E-4</v>
      </c>
      <c r="K496" s="518">
        <v>4.0535386173467177E-5</v>
      </c>
      <c r="L496" s="519">
        <v>4.236821284154035E-5</v>
      </c>
    </row>
    <row r="497" spans="1:12" ht="15.5" x14ac:dyDescent="0.35">
      <c r="A497" s="143" t="s">
        <v>843</v>
      </c>
      <c r="B497" s="229">
        <v>2035</v>
      </c>
      <c r="C497" s="514" t="s">
        <v>1413</v>
      </c>
      <c r="D497" s="515">
        <v>2.772013725999967E-2</v>
      </c>
      <c r="E497" s="516">
        <v>4.9578524205052925E-3</v>
      </c>
      <c r="F497" s="145">
        <v>3.0723391851484726E-2</v>
      </c>
      <c r="G497" s="145">
        <v>7.9655654786176054E-4</v>
      </c>
      <c r="H497" s="517">
        <v>2.0000010000000004E-3</v>
      </c>
      <c r="I497" s="517">
        <v>1.5750005000000001E-2</v>
      </c>
      <c r="J497" s="148">
        <v>8.6474832735081489E-4</v>
      </c>
      <c r="K497" s="518">
        <v>3.728664035489298E-5</v>
      </c>
      <c r="L497" s="519">
        <v>3.8972576114475461E-5</v>
      </c>
    </row>
    <row r="498" spans="1:12" ht="15.5" x14ac:dyDescent="0.35">
      <c r="A498" s="143" t="s">
        <v>843</v>
      </c>
      <c r="B498" s="229">
        <v>2036</v>
      </c>
      <c r="C498" s="514" t="s">
        <v>1414</v>
      </c>
      <c r="D498" s="515">
        <v>2.7405631148524949E-2</v>
      </c>
      <c r="E498" s="516">
        <v>4.4722525235617447E-3</v>
      </c>
      <c r="F498" s="145">
        <v>2.8859300033626287E-2</v>
      </c>
      <c r="G498" s="145">
        <v>7.5094253141097696E-4</v>
      </c>
      <c r="H498" s="517">
        <v>2.0000010000000004E-3</v>
      </c>
      <c r="I498" s="517">
        <v>1.5750005000000001E-2</v>
      </c>
      <c r="J498" s="148">
        <v>8.1527312797316086E-4</v>
      </c>
      <c r="K498" s="518">
        <v>3.41091303507798E-5</v>
      </c>
      <c r="L498" s="519">
        <v>3.565139955800852E-5</v>
      </c>
    </row>
    <row r="499" spans="1:12" ht="15.5" x14ac:dyDescent="0.35">
      <c r="A499" s="143" t="s">
        <v>843</v>
      </c>
      <c r="B499" s="229">
        <v>2037</v>
      </c>
      <c r="C499" s="514" t="s">
        <v>1415</v>
      </c>
      <c r="D499" s="515">
        <v>2.713551716407471E-2</v>
      </c>
      <c r="E499" s="516">
        <v>4.0760219915536178E-3</v>
      </c>
      <c r="F499" s="145">
        <v>2.7401052629223373E-2</v>
      </c>
      <c r="G499" s="145">
        <v>7.1009906197464867E-4</v>
      </c>
      <c r="H499" s="517">
        <v>2.0000009999999999E-3</v>
      </c>
      <c r="I499" s="517">
        <v>1.5750005000000001E-2</v>
      </c>
      <c r="J499" s="148">
        <v>7.7096517037938061E-4</v>
      </c>
      <c r="K499" s="518">
        <v>3.1442330068594894E-5</v>
      </c>
      <c r="L499" s="519">
        <v>3.2864014763012077E-5</v>
      </c>
    </row>
    <row r="500" spans="1:12" ht="15.5" x14ac:dyDescent="0.35">
      <c r="A500" s="143" t="s">
        <v>843</v>
      </c>
      <c r="B500" s="229">
        <v>2038</v>
      </c>
      <c r="C500" s="514" t="s">
        <v>1416</v>
      </c>
      <c r="D500" s="515">
        <v>2.6905618530117414E-2</v>
      </c>
      <c r="E500" s="516">
        <v>3.6890165360754972E-3</v>
      </c>
      <c r="F500" s="145">
        <v>2.59281258879786E-2</v>
      </c>
      <c r="G500" s="145">
        <v>6.7223168595173836E-4</v>
      </c>
      <c r="H500" s="517">
        <v>2.0000010000000004E-3</v>
      </c>
      <c r="I500" s="517">
        <v>1.5750005000000001E-2</v>
      </c>
      <c r="J500" s="148">
        <v>7.2986999183883758E-4</v>
      </c>
      <c r="K500" s="518">
        <v>2.9341178352289642E-5</v>
      </c>
      <c r="L500" s="519">
        <v>3.0667852382166473E-5</v>
      </c>
    </row>
    <row r="501" spans="1:12" ht="15.5" x14ac:dyDescent="0.35">
      <c r="A501" s="143" t="s">
        <v>843</v>
      </c>
      <c r="B501" s="229">
        <v>2039</v>
      </c>
      <c r="C501" s="514" t="s">
        <v>1417</v>
      </c>
      <c r="D501" s="515">
        <v>2.6710402043686972E-2</v>
      </c>
      <c r="E501" s="516">
        <v>3.3264748496777711E-3</v>
      </c>
      <c r="F501" s="145">
        <v>2.4570012590675833E-2</v>
      </c>
      <c r="G501" s="145">
        <v>6.3764907795666045E-4</v>
      </c>
      <c r="H501" s="517">
        <v>2.0000009999999999E-3</v>
      </c>
      <c r="I501" s="517">
        <v>1.5750005000000001E-2</v>
      </c>
      <c r="J501" s="148">
        <v>6.9233594582072142E-4</v>
      </c>
      <c r="K501" s="518">
        <v>2.750174596854964E-5</v>
      </c>
      <c r="L501" s="519">
        <v>2.874525294982811E-5</v>
      </c>
    </row>
    <row r="502" spans="1:12" ht="15.5" x14ac:dyDescent="0.35">
      <c r="A502" s="143" t="s">
        <v>843</v>
      </c>
      <c r="B502" s="229">
        <v>2040</v>
      </c>
      <c r="C502" s="514" t="s">
        <v>1418</v>
      </c>
      <c r="D502" s="515">
        <v>2.6545702484237186E-2</v>
      </c>
      <c r="E502" s="516">
        <v>3.0034708369254329E-3</v>
      </c>
      <c r="F502" s="145">
        <v>2.3462192724808012E-2</v>
      </c>
      <c r="G502" s="145">
        <v>6.0675219310070796E-4</v>
      </c>
      <c r="H502" s="517">
        <v>2.0000009999999999E-3</v>
      </c>
      <c r="I502" s="517">
        <v>1.5750005000000001E-2</v>
      </c>
      <c r="J502" s="148">
        <v>6.5879726004028295E-4</v>
      </c>
      <c r="K502" s="518">
        <v>2.5985053088998014E-5</v>
      </c>
      <c r="L502" s="519">
        <v>2.7159981356506168E-5</v>
      </c>
    </row>
    <row r="503" spans="1:12" ht="15.5" x14ac:dyDescent="0.35">
      <c r="A503" s="143" t="s">
        <v>843</v>
      </c>
      <c r="B503" s="229">
        <v>2041</v>
      </c>
      <c r="C503" s="514" t="s">
        <v>1419</v>
      </c>
      <c r="D503" s="515">
        <v>2.6408118562736869E-2</v>
      </c>
      <c r="E503" s="516">
        <v>2.7409543957938971E-3</v>
      </c>
      <c r="F503" s="145">
        <v>2.2532304863529848E-2</v>
      </c>
      <c r="G503" s="145">
        <v>5.8293252198090206E-4</v>
      </c>
      <c r="H503" s="517">
        <v>2.0000010000000008E-3</v>
      </c>
      <c r="I503" s="517">
        <v>1.5750005000000001E-2</v>
      </c>
      <c r="J503" s="148">
        <v>6.3294894346185436E-4</v>
      </c>
      <c r="K503" s="518">
        <v>2.4625629608686251E-5</v>
      </c>
      <c r="L503" s="519">
        <v>2.5739089598206694E-5</v>
      </c>
    </row>
    <row r="504" spans="1:12" ht="15.5" x14ac:dyDescent="0.35">
      <c r="A504" s="143" t="s">
        <v>843</v>
      </c>
      <c r="B504" s="229">
        <v>2042</v>
      </c>
      <c r="C504" s="514" t="s">
        <v>1420</v>
      </c>
      <c r="D504" s="515">
        <v>2.6292280259768049E-2</v>
      </c>
      <c r="E504" s="516">
        <v>2.5089571322474088E-3</v>
      </c>
      <c r="F504" s="145">
        <v>2.1673698598122102E-2</v>
      </c>
      <c r="G504" s="145">
        <v>5.6209083953014626E-4</v>
      </c>
      <c r="H504" s="517">
        <v>2.0000009999999995E-3</v>
      </c>
      <c r="I504" s="517">
        <v>1.5750005000000001E-2</v>
      </c>
      <c r="J504" s="148">
        <v>6.1032653704872299E-4</v>
      </c>
      <c r="K504" s="518">
        <v>2.3559440851831023E-5</v>
      </c>
      <c r="L504" s="519">
        <v>2.4624698725911196E-5</v>
      </c>
    </row>
    <row r="505" spans="1:12" ht="15.5" x14ac:dyDescent="0.35">
      <c r="A505" s="143" t="s">
        <v>843</v>
      </c>
      <c r="B505" s="229">
        <v>2043</v>
      </c>
      <c r="C505" s="514" t="s">
        <v>1421</v>
      </c>
      <c r="D505" s="515">
        <v>2.6196185164960518E-2</v>
      </c>
      <c r="E505" s="516">
        <v>2.3402959568493385E-3</v>
      </c>
      <c r="F505" s="145">
        <v>2.1055649063464948E-2</v>
      </c>
      <c r="G505" s="145">
        <v>5.4404179603369186E-4</v>
      </c>
      <c r="H505" s="517">
        <v>2.0000009999999995E-3</v>
      </c>
      <c r="I505" s="517">
        <v>1.5750005000000001E-2</v>
      </c>
      <c r="J505" s="148">
        <v>5.9073775396775632E-4</v>
      </c>
      <c r="K505" s="518">
        <v>2.2586084722215029E-5</v>
      </c>
      <c r="L505" s="519">
        <v>2.3607323512963366E-5</v>
      </c>
    </row>
    <row r="506" spans="1:12" ht="15.5" x14ac:dyDescent="0.35">
      <c r="A506" s="143" t="s">
        <v>843</v>
      </c>
      <c r="B506" s="229">
        <v>2044</v>
      </c>
      <c r="C506" s="514" t="s">
        <v>1422</v>
      </c>
      <c r="D506" s="515">
        <v>2.6115214164379213E-2</v>
      </c>
      <c r="E506" s="516">
        <v>2.2233205802962407E-3</v>
      </c>
      <c r="F506" s="145">
        <v>2.0608083278205392E-2</v>
      </c>
      <c r="G506" s="145">
        <v>5.2858970749183865E-4</v>
      </c>
      <c r="H506" s="517">
        <v>2.0000010000000004E-3</v>
      </c>
      <c r="I506" s="517">
        <v>1.5750005000000001E-2</v>
      </c>
      <c r="J506" s="148">
        <v>5.7396460492138408E-4</v>
      </c>
      <c r="K506" s="518">
        <v>2.1815035046122383E-5</v>
      </c>
      <c r="L506" s="519">
        <v>2.2801413400208594E-5</v>
      </c>
    </row>
    <row r="507" spans="1:12" ht="15.5" x14ac:dyDescent="0.35">
      <c r="A507" s="143" t="s">
        <v>843</v>
      </c>
      <c r="B507" s="229">
        <v>2045</v>
      </c>
      <c r="C507" s="514" t="s">
        <v>1423</v>
      </c>
      <c r="D507" s="515">
        <v>2.6046526235875261E-2</v>
      </c>
      <c r="E507" s="516">
        <v>2.1481234386095155E-3</v>
      </c>
      <c r="F507" s="145">
        <v>2.0311576927276864E-2</v>
      </c>
      <c r="G507" s="145">
        <v>5.1533714796138689E-4</v>
      </c>
      <c r="H507" s="517">
        <v>2.0000010000000004E-3</v>
      </c>
      <c r="I507" s="517">
        <v>1.5750005000000001E-2</v>
      </c>
      <c r="J507" s="148">
        <v>5.5957790408907944E-4</v>
      </c>
      <c r="K507" s="518">
        <v>2.120079247197468E-5</v>
      </c>
      <c r="L507" s="519">
        <v>2.2159401458179541E-5</v>
      </c>
    </row>
    <row r="508" spans="1:12" ht="15.5" x14ac:dyDescent="0.35">
      <c r="A508" s="143" t="s">
        <v>843</v>
      </c>
      <c r="B508" s="229">
        <v>2046</v>
      </c>
      <c r="C508" s="514" t="s">
        <v>1424</v>
      </c>
      <c r="D508" s="515">
        <v>2.5988932866253211E-2</v>
      </c>
      <c r="E508" s="516">
        <v>2.084257231818887E-3</v>
      </c>
      <c r="F508" s="145">
        <v>2.0069873934680623E-2</v>
      </c>
      <c r="G508" s="145">
        <v>5.0402554659628675E-4</v>
      </c>
      <c r="H508" s="517">
        <v>2.0000010000000008E-3</v>
      </c>
      <c r="I508" s="517">
        <v>1.5750005000000004E-2</v>
      </c>
      <c r="J508" s="148">
        <v>5.4730088918806662E-4</v>
      </c>
      <c r="K508" s="518">
        <v>2.0601128692324519E-5</v>
      </c>
      <c r="L508" s="519">
        <v>2.153261811111304E-5</v>
      </c>
    </row>
    <row r="509" spans="1:12" ht="15.5" x14ac:dyDescent="0.35">
      <c r="A509" s="143" t="s">
        <v>843</v>
      </c>
      <c r="B509" s="229">
        <v>2047</v>
      </c>
      <c r="C509" s="514" t="s">
        <v>1425</v>
      </c>
      <c r="D509" s="515">
        <v>2.5940957141126774E-2</v>
      </c>
      <c r="E509" s="516">
        <v>2.0268101822753918E-3</v>
      </c>
      <c r="F509" s="145">
        <v>1.9840973285725594E-2</v>
      </c>
      <c r="G509" s="145">
        <v>4.9438535466337643E-4</v>
      </c>
      <c r="H509" s="517">
        <v>2.0000009999999999E-3</v>
      </c>
      <c r="I509" s="517">
        <v>1.5750005000000001E-2</v>
      </c>
      <c r="J509" s="148">
        <v>5.3683746174200972E-4</v>
      </c>
      <c r="K509" s="518">
        <v>2.0091344001032007E-5</v>
      </c>
      <c r="L509" s="519">
        <v>2.099978780420854E-5</v>
      </c>
    </row>
    <row r="510" spans="1:12" ht="15.5" x14ac:dyDescent="0.35">
      <c r="A510" s="143" t="s">
        <v>843</v>
      </c>
      <c r="B510" s="229">
        <v>2048</v>
      </c>
      <c r="C510" s="514" t="s">
        <v>1426</v>
      </c>
      <c r="D510" s="515">
        <v>2.5901366257952849E-2</v>
      </c>
      <c r="E510" s="516">
        <v>1.9786609410603357E-3</v>
      </c>
      <c r="F510" s="145">
        <v>1.9637781681135853E-2</v>
      </c>
      <c r="G510" s="145">
        <v>4.861703765384653E-4</v>
      </c>
      <c r="H510" s="517">
        <v>2.0000009999999999E-3</v>
      </c>
      <c r="I510" s="517">
        <v>1.5750005000000001E-2</v>
      </c>
      <c r="J510" s="148">
        <v>5.2792398901231304E-4</v>
      </c>
      <c r="K510" s="518">
        <v>1.9591223421263118E-5</v>
      </c>
      <c r="L510" s="519">
        <v>2.0477053360676901E-5</v>
      </c>
    </row>
    <row r="511" spans="1:12" ht="15.5" x14ac:dyDescent="0.35">
      <c r="A511" s="143" t="s">
        <v>843</v>
      </c>
      <c r="B511" s="229">
        <v>2049</v>
      </c>
      <c r="C511" s="514" t="s">
        <v>1427</v>
      </c>
      <c r="D511" s="515">
        <v>2.5867143177464941E-2</v>
      </c>
      <c r="E511" s="516">
        <v>1.9604661167860952E-3</v>
      </c>
      <c r="F511" s="145">
        <v>1.9634448431352938E-2</v>
      </c>
      <c r="G511" s="145">
        <v>4.80964744811078E-4</v>
      </c>
      <c r="H511" s="517">
        <v>2.0000009999999995E-3</v>
      </c>
      <c r="I511" s="517">
        <v>1.5750005000000001E-2</v>
      </c>
      <c r="J511" s="148">
        <v>5.2227861254814138E-4</v>
      </c>
      <c r="K511" s="518">
        <v>1.9214857628866043E-5</v>
      </c>
      <c r="L511" s="519">
        <v>2.0083670624900532E-5</v>
      </c>
    </row>
    <row r="512" spans="1:12" ht="15.5" x14ac:dyDescent="0.35">
      <c r="A512" s="143" t="s">
        <v>843</v>
      </c>
      <c r="B512" s="229">
        <v>2050</v>
      </c>
      <c r="C512" s="514" t="s">
        <v>1428</v>
      </c>
      <c r="D512" s="515">
        <v>2.5841203004543564E-2</v>
      </c>
      <c r="E512" s="516">
        <v>1.945462482489657E-3</v>
      </c>
      <c r="F512" s="145">
        <v>1.9632426815444678E-2</v>
      </c>
      <c r="G512" s="145">
        <v>4.7664529949581675E-4</v>
      </c>
      <c r="H512" s="517">
        <v>2.0000009999999999E-3</v>
      </c>
      <c r="I512" s="517">
        <v>1.5750005000000004E-2</v>
      </c>
      <c r="J512" s="148">
        <v>5.1759669685854889E-4</v>
      </c>
      <c r="K512" s="518">
        <v>1.8841889178475124E-5</v>
      </c>
      <c r="L512" s="519">
        <v>1.9693834180068783E-5</v>
      </c>
    </row>
    <row r="513" spans="1:12" ht="15.5" x14ac:dyDescent="0.35">
      <c r="A513" s="143" t="s">
        <v>846</v>
      </c>
      <c r="B513" s="229">
        <v>2015</v>
      </c>
      <c r="C513" s="514" t="s">
        <v>847</v>
      </c>
      <c r="D513" s="515">
        <v>4.4954161586069658E-2</v>
      </c>
      <c r="E513" s="516">
        <v>6.0730515353263154E-2</v>
      </c>
      <c r="F513" s="145">
        <v>0.23241274934016637</v>
      </c>
      <c r="G513" s="145">
        <v>1.8673017387496717E-3</v>
      </c>
      <c r="H513" s="517">
        <v>2.0000009999999999E-3</v>
      </c>
      <c r="I513" s="517">
        <v>1.5750005000000001E-2</v>
      </c>
      <c r="J513" s="148">
        <v>2.0183008116992887E-3</v>
      </c>
      <c r="K513" s="518">
        <v>1.5866984199197206E-4</v>
      </c>
      <c r="L513" s="519">
        <v>1.6584418668910353E-4</v>
      </c>
    </row>
    <row r="514" spans="1:12" ht="15.5" x14ac:dyDescent="0.35">
      <c r="A514" s="143" t="s">
        <v>846</v>
      </c>
      <c r="B514" s="229">
        <v>2016</v>
      </c>
      <c r="C514" s="514" t="s">
        <v>848</v>
      </c>
      <c r="D514" s="515">
        <v>4.4224118215636439E-2</v>
      </c>
      <c r="E514" s="516">
        <v>5.1020582762372403E-2</v>
      </c>
      <c r="F514" s="145">
        <v>0.2020832517745095</v>
      </c>
      <c r="G514" s="145">
        <v>1.7530469087029704E-3</v>
      </c>
      <c r="H514" s="517">
        <v>2.0000009999999999E-3</v>
      </c>
      <c r="I514" s="517">
        <v>1.5750005000000001E-2</v>
      </c>
      <c r="J514" s="148">
        <v>1.8966321332611437E-3</v>
      </c>
      <c r="K514" s="518">
        <v>1.3633640120770728E-4</v>
      </c>
      <c r="L514" s="519">
        <v>1.4250092945915116E-4</v>
      </c>
    </row>
    <row r="515" spans="1:12" ht="15.5" x14ac:dyDescent="0.35">
      <c r="A515" s="143" t="s">
        <v>846</v>
      </c>
      <c r="B515" s="229">
        <v>2017</v>
      </c>
      <c r="C515" s="514" t="s">
        <v>1429</v>
      </c>
      <c r="D515" s="515">
        <v>4.3313937610580659E-2</v>
      </c>
      <c r="E515" s="516">
        <v>4.2370041181370131E-2</v>
      </c>
      <c r="F515" s="145">
        <v>0.17288591047209373</v>
      </c>
      <c r="G515" s="145">
        <v>1.6725670196235667E-3</v>
      </c>
      <c r="H515" s="517">
        <v>2.0000009999999999E-3</v>
      </c>
      <c r="I515" s="517">
        <v>1.5750004999999997E-2</v>
      </c>
      <c r="J515" s="148">
        <v>1.8109103550135112E-3</v>
      </c>
      <c r="K515" s="518">
        <v>1.2397564088278195E-4</v>
      </c>
      <c r="L515" s="519">
        <v>1.2958127002082333E-4</v>
      </c>
    </row>
    <row r="516" spans="1:12" ht="15.5" x14ac:dyDescent="0.35">
      <c r="A516" s="143" t="s">
        <v>846</v>
      </c>
      <c r="B516" s="229">
        <v>2018</v>
      </c>
      <c r="C516" s="514" t="s">
        <v>1430</v>
      </c>
      <c r="D516" s="515">
        <v>4.2331739557551151E-2</v>
      </c>
      <c r="E516" s="516">
        <v>3.4745264573829142E-2</v>
      </c>
      <c r="F516" s="145">
        <v>0.14739393711852461</v>
      </c>
      <c r="G516" s="145">
        <v>1.6190380166358996E-3</v>
      </c>
      <c r="H516" s="517">
        <v>2.0000010000000004E-3</v>
      </c>
      <c r="I516" s="517">
        <v>1.5750005000000004E-2</v>
      </c>
      <c r="J516" s="148">
        <v>1.7542591464455185E-3</v>
      </c>
      <c r="K516" s="518">
        <v>1.1365219895861712E-4</v>
      </c>
      <c r="L516" s="519">
        <v>1.1879104998418909E-4</v>
      </c>
    </row>
    <row r="517" spans="1:12" ht="15.5" x14ac:dyDescent="0.35">
      <c r="A517" s="143" t="s">
        <v>846</v>
      </c>
      <c r="B517" s="229">
        <v>2019</v>
      </c>
      <c r="C517" s="514" t="s">
        <v>1431</v>
      </c>
      <c r="D517" s="515">
        <v>4.1282876260973211E-2</v>
      </c>
      <c r="E517" s="516">
        <v>2.8872536181809971E-2</v>
      </c>
      <c r="F517" s="145">
        <v>0.12627183738068315</v>
      </c>
      <c r="G517" s="145">
        <v>1.5834872643611185E-3</v>
      </c>
      <c r="H517" s="517">
        <v>2.0000010000000004E-3</v>
      </c>
      <c r="I517" s="517">
        <v>1.5750005000000001E-2</v>
      </c>
      <c r="J517" s="148">
        <v>1.7167835506832442E-3</v>
      </c>
      <c r="K517" s="518">
        <v>1.0276889645826334E-4</v>
      </c>
      <c r="L517" s="519">
        <v>1.0741564857447397E-4</v>
      </c>
    </row>
    <row r="518" spans="1:12" ht="15.5" x14ac:dyDescent="0.35">
      <c r="A518" s="143" t="s">
        <v>846</v>
      </c>
      <c r="B518" s="229">
        <v>2020</v>
      </c>
      <c r="C518" s="514" t="s">
        <v>1432</v>
      </c>
      <c r="D518" s="515">
        <v>4.0188329613321076E-2</v>
      </c>
      <c r="E518" s="516">
        <v>2.4540573517753128E-2</v>
      </c>
      <c r="F518" s="145">
        <v>0.1090408670791372</v>
      </c>
      <c r="G518" s="145">
        <v>1.5257831408159288E-3</v>
      </c>
      <c r="H518" s="517">
        <v>2.0000009999999999E-3</v>
      </c>
      <c r="I518" s="517">
        <v>1.5750005000000001E-2</v>
      </c>
      <c r="J518" s="148">
        <v>1.6545344946232686E-3</v>
      </c>
      <c r="K518" s="518">
        <v>9.667751482387412E-5</v>
      </c>
      <c r="L518" s="519">
        <v>1.0104884503749766E-4</v>
      </c>
    </row>
    <row r="519" spans="1:12" ht="15.5" x14ac:dyDescent="0.35">
      <c r="A519" s="143" t="s">
        <v>846</v>
      </c>
      <c r="B519" s="229">
        <v>2021</v>
      </c>
      <c r="C519" s="514" t="s">
        <v>1433</v>
      </c>
      <c r="D519" s="515">
        <v>3.9057916460824182E-2</v>
      </c>
      <c r="E519" s="516">
        <v>2.0787390726750392E-2</v>
      </c>
      <c r="F519" s="145">
        <v>9.3592233602200731E-2</v>
      </c>
      <c r="G519" s="145">
        <v>1.4359487929405512E-3</v>
      </c>
      <c r="H519" s="517">
        <v>2.0000010000000004E-3</v>
      </c>
      <c r="I519" s="517">
        <v>1.5750005000000004E-2</v>
      </c>
      <c r="J519" s="148">
        <v>1.5574074822810239E-3</v>
      </c>
      <c r="K519" s="518">
        <v>8.9073995973520744E-5</v>
      </c>
      <c r="L519" s="519">
        <v>9.3101528581429808E-5</v>
      </c>
    </row>
    <row r="520" spans="1:12" ht="15.5" x14ac:dyDescent="0.35">
      <c r="A520" s="143" t="s">
        <v>846</v>
      </c>
      <c r="B520" s="229">
        <v>2022</v>
      </c>
      <c r="C520" s="514" t="s">
        <v>1434</v>
      </c>
      <c r="D520" s="515">
        <v>3.7924742609594567E-2</v>
      </c>
      <c r="E520" s="516">
        <v>1.6953554496013611E-2</v>
      </c>
      <c r="F520" s="145">
        <v>7.9825721448155487E-2</v>
      </c>
      <c r="G520" s="145">
        <v>1.3453081634548802E-3</v>
      </c>
      <c r="H520" s="517">
        <v>2.0000009999999999E-3</v>
      </c>
      <c r="I520" s="517">
        <v>1.5750005000000001E-2</v>
      </c>
      <c r="J520" s="148">
        <v>1.4595020626597911E-3</v>
      </c>
      <c r="K520" s="518">
        <v>8.2282578095821331E-5</v>
      </c>
      <c r="L520" s="519">
        <v>8.600303197989815E-5</v>
      </c>
    </row>
    <row r="521" spans="1:12" ht="15.5" x14ac:dyDescent="0.35">
      <c r="A521" s="143" t="s">
        <v>846</v>
      </c>
      <c r="B521" s="229">
        <v>2023</v>
      </c>
      <c r="C521" s="514" t="s">
        <v>1435</v>
      </c>
      <c r="D521" s="515">
        <v>3.6789516339283658E-2</v>
      </c>
      <c r="E521" s="516">
        <v>1.4526382958285559E-2</v>
      </c>
      <c r="F521" s="145">
        <v>6.9301090612424551E-2</v>
      </c>
      <c r="G521" s="145">
        <v>1.2657807391542228E-3</v>
      </c>
      <c r="H521" s="517">
        <v>2.0000009999999999E-3</v>
      </c>
      <c r="I521" s="517">
        <v>1.5750004999999997E-2</v>
      </c>
      <c r="J521" s="148">
        <v>1.373391134911482E-3</v>
      </c>
      <c r="K521" s="518">
        <v>7.4885695338868704E-5</v>
      </c>
      <c r="L521" s="519">
        <v>7.8271688852403162E-5</v>
      </c>
    </row>
    <row r="522" spans="1:12" ht="15.5" x14ac:dyDescent="0.35">
      <c r="A522" s="143" t="s">
        <v>846</v>
      </c>
      <c r="B522" s="229">
        <v>2024</v>
      </c>
      <c r="C522" s="514" t="s">
        <v>1436</v>
      </c>
      <c r="D522" s="515">
        <v>3.5662029208617219E-2</v>
      </c>
      <c r="E522" s="516">
        <v>1.2698391132642387E-2</v>
      </c>
      <c r="F522" s="145">
        <v>6.0726953787383679E-2</v>
      </c>
      <c r="G522" s="145">
        <v>1.2146736112563096E-3</v>
      </c>
      <c r="H522" s="517">
        <v>2.0000009999999999E-3</v>
      </c>
      <c r="I522" s="517">
        <v>1.5750004999999997E-2</v>
      </c>
      <c r="J522" s="148">
        <v>1.3182721510399003E-3</v>
      </c>
      <c r="K522" s="518">
        <v>6.535818210912641E-5</v>
      </c>
      <c r="L522" s="519">
        <v>6.8313385377268882E-5</v>
      </c>
    </row>
    <row r="523" spans="1:12" ht="15.5" x14ac:dyDescent="0.35">
      <c r="A523" s="143" t="s">
        <v>846</v>
      </c>
      <c r="B523" s="229">
        <v>2025</v>
      </c>
      <c r="C523" s="514" t="s">
        <v>1437</v>
      </c>
      <c r="D523" s="515">
        <v>3.455123448255186E-2</v>
      </c>
      <c r="E523" s="516">
        <v>1.1063854913714791E-2</v>
      </c>
      <c r="F523" s="145">
        <v>5.3777337094616948E-2</v>
      </c>
      <c r="G523" s="145">
        <v>1.1578152399669779E-3</v>
      </c>
      <c r="H523" s="517">
        <v>2.0000009999999999E-3</v>
      </c>
      <c r="I523" s="517">
        <v>1.5750005000000001E-2</v>
      </c>
      <c r="J523" s="148">
        <v>1.2567353011969885E-3</v>
      </c>
      <c r="K523" s="518">
        <v>5.8815734521093192E-5</v>
      </c>
      <c r="L523" s="519">
        <v>6.1475125126963116E-5</v>
      </c>
    </row>
    <row r="524" spans="1:12" ht="15.5" x14ac:dyDescent="0.35">
      <c r="A524" s="143" t="s">
        <v>846</v>
      </c>
      <c r="B524" s="229">
        <v>2026</v>
      </c>
      <c r="C524" s="514" t="s">
        <v>1438</v>
      </c>
      <c r="D524" s="515">
        <v>3.3515555400238366E-2</v>
      </c>
      <c r="E524" s="516">
        <v>9.7506093290698915E-3</v>
      </c>
      <c r="F524" s="145">
        <v>4.8230345763073591E-2</v>
      </c>
      <c r="G524" s="145">
        <v>1.1029734758864255E-3</v>
      </c>
      <c r="H524" s="517">
        <v>2.0000009999999999E-3</v>
      </c>
      <c r="I524" s="517">
        <v>1.5750004999999997E-2</v>
      </c>
      <c r="J524" s="148">
        <v>1.1973875410712877E-3</v>
      </c>
      <c r="K524" s="518">
        <v>5.1816553397911019E-5</v>
      </c>
      <c r="L524" s="519">
        <v>5.4159466535341237E-5</v>
      </c>
    </row>
    <row r="525" spans="1:12" ht="15.5" x14ac:dyDescent="0.35">
      <c r="A525" s="143" t="s">
        <v>846</v>
      </c>
      <c r="B525" s="229">
        <v>2027</v>
      </c>
      <c r="C525" s="514" t="s">
        <v>1439</v>
      </c>
      <c r="D525" s="515">
        <v>3.2547951125945482E-2</v>
      </c>
      <c r="E525" s="516">
        <v>8.642074914867643E-3</v>
      </c>
      <c r="F525" s="145">
        <v>4.3555491994845152E-2</v>
      </c>
      <c r="G525" s="145">
        <v>1.0400572299610472E-3</v>
      </c>
      <c r="H525" s="517">
        <v>2.0000009999999999E-3</v>
      </c>
      <c r="I525" s="517">
        <v>1.5750005000000001E-2</v>
      </c>
      <c r="J525" s="148">
        <v>1.1293428037596146E-3</v>
      </c>
      <c r="K525" s="518">
        <v>4.2817144976760469E-5</v>
      </c>
      <c r="L525" s="519">
        <v>4.4753145488544453E-5</v>
      </c>
    </row>
    <row r="526" spans="1:12" ht="15.5" x14ac:dyDescent="0.35">
      <c r="A526" s="143" t="s">
        <v>846</v>
      </c>
      <c r="B526" s="229">
        <v>2028</v>
      </c>
      <c r="C526" s="514" t="s">
        <v>1440</v>
      </c>
      <c r="D526" s="515">
        <v>3.1655826287280607E-2</v>
      </c>
      <c r="E526" s="516">
        <v>7.7255236248117906E-3</v>
      </c>
      <c r="F526" s="145">
        <v>3.9662407283778282E-2</v>
      </c>
      <c r="G526" s="145">
        <v>9.7414490747623915E-4</v>
      </c>
      <c r="H526" s="517">
        <v>2.0000009999999999E-3</v>
      </c>
      <c r="I526" s="517">
        <v>1.5750004999999997E-2</v>
      </c>
      <c r="J526" s="148">
        <v>1.057936348627524E-3</v>
      </c>
      <c r="K526" s="518">
        <v>3.6236173503327547E-5</v>
      </c>
      <c r="L526" s="519">
        <v>3.7874616673258306E-5</v>
      </c>
    </row>
    <row r="527" spans="1:12" ht="15.5" x14ac:dyDescent="0.35">
      <c r="A527" s="143" t="s">
        <v>846</v>
      </c>
      <c r="B527" s="229">
        <v>2029</v>
      </c>
      <c r="C527" s="514" t="s">
        <v>1441</v>
      </c>
      <c r="D527" s="515">
        <v>3.0840042519757215E-2</v>
      </c>
      <c r="E527" s="516">
        <v>6.8795996345358294E-3</v>
      </c>
      <c r="F527" s="145">
        <v>3.6134807733666757E-2</v>
      </c>
      <c r="G527" s="145">
        <v>9.1167693607360539E-4</v>
      </c>
      <c r="H527" s="517">
        <v>2.0000009999999999E-3</v>
      </c>
      <c r="I527" s="517">
        <v>1.5750005000000001E-2</v>
      </c>
      <c r="J527" s="148">
        <v>9.9017848372940937E-4</v>
      </c>
      <c r="K527" s="518">
        <v>3.1939069198486168E-5</v>
      </c>
      <c r="L527" s="519">
        <v>3.3383217087917015E-5</v>
      </c>
    </row>
    <row r="528" spans="1:12" ht="15.5" x14ac:dyDescent="0.35">
      <c r="A528" s="143" t="s">
        <v>846</v>
      </c>
      <c r="B528" s="229">
        <v>2030</v>
      </c>
      <c r="C528" s="514" t="s">
        <v>1442</v>
      </c>
      <c r="D528" s="515">
        <v>3.0094175785352464E-2</v>
      </c>
      <c r="E528" s="516">
        <v>6.189025532190604E-3</v>
      </c>
      <c r="F528" s="145">
        <v>3.3216749343089415E-2</v>
      </c>
      <c r="G528" s="145">
        <v>8.5357857363484765E-4</v>
      </c>
      <c r="H528" s="517">
        <v>2.0000009999999995E-3</v>
      </c>
      <c r="I528" s="517">
        <v>1.5750005000000001E-2</v>
      </c>
      <c r="J528" s="148">
        <v>9.2714906847857258E-4</v>
      </c>
      <c r="K528" s="518">
        <v>2.819760145380427E-5</v>
      </c>
      <c r="L528" s="519">
        <v>2.9472567944079402E-5</v>
      </c>
    </row>
    <row r="529" spans="1:12" ht="15.5" x14ac:dyDescent="0.35">
      <c r="A529" s="143" t="s">
        <v>846</v>
      </c>
      <c r="B529" s="229">
        <v>2031</v>
      </c>
      <c r="C529" s="514" t="s">
        <v>1443</v>
      </c>
      <c r="D529" s="515">
        <v>2.9417189310794789E-2</v>
      </c>
      <c r="E529" s="516">
        <v>5.6319146524710607E-3</v>
      </c>
      <c r="F529" s="145">
        <v>3.0721589922886761E-2</v>
      </c>
      <c r="G529" s="145">
        <v>8.0746314419159651E-4</v>
      </c>
      <c r="H529" s="517">
        <v>2.0000009999999999E-3</v>
      </c>
      <c r="I529" s="517">
        <v>1.5750005000000001E-2</v>
      </c>
      <c r="J529" s="148">
        <v>8.7705828767295924E-4</v>
      </c>
      <c r="K529" s="518">
        <v>2.669604002836077E-5</v>
      </c>
      <c r="L529" s="519">
        <v>2.7903113441703778E-5</v>
      </c>
    </row>
    <row r="530" spans="1:12" ht="15.5" x14ac:dyDescent="0.35">
      <c r="A530" s="143" t="s">
        <v>846</v>
      </c>
      <c r="B530" s="229">
        <v>2032</v>
      </c>
      <c r="C530" s="514" t="s">
        <v>1444</v>
      </c>
      <c r="D530" s="515">
        <v>2.8804917494529791E-2</v>
      </c>
      <c r="E530" s="516">
        <v>5.1057400610576616E-3</v>
      </c>
      <c r="F530" s="145">
        <v>2.8611832041228705E-2</v>
      </c>
      <c r="G530" s="145">
        <v>7.5812142968403775E-4</v>
      </c>
      <c r="H530" s="517">
        <v>2.0000009999999999E-3</v>
      </c>
      <c r="I530" s="517">
        <v>1.5750005000000001E-2</v>
      </c>
      <c r="J530" s="148">
        <v>8.2348420677691577E-4</v>
      </c>
      <c r="K530" s="518">
        <v>2.4604282222409373E-5</v>
      </c>
      <c r="L530" s="519">
        <v>2.5716774722701985E-5</v>
      </c>
    </row>
    <row r="531" spans="1:12" ht="15.5" x14ac:dyDescent="0.35">
      <c r="A531" s="143" t="s">
        <v>846</v>
      </c>
      <c r="B531" s="229">
        <v>2033</v>
      </c>
      <c r="C531" s="514" t="s">
        <v>1445</v>
      </c>
      <c r="D531" s="515">
        <v>2.8256539560945051E-2</v>
      </c>
      <c r="E531" s="516">
        <v>4.6493354707806585E-3</v>
      </c>
      <c r="F531" s="145">
        <v>2.6852226412583929E-2</v>
      </c>
      <c r="G531" s="145">
        <v>7.1323704969670099E-4</v>
      </c>
      <c r="H531" s="517">
        <v>2.0000010000000004E-3</v>
      </c>
      <c r="I531" s="517">
        <v>1.5750005000000004E-2</v>
      </c>
      <c r="J531" s="148">
        <v>7.747145354169506E-4</v>
      </c>
      <c r="K531" s="518">
        <v>2.3506803194228739E-5</v>
      </c>
      <c r="L531" s="519">
        <v>2.4569680890891014E-5</v>
      </c>
    </row>
    <row r="532" spans="1:12" ht="15.5" x14ac:dyDescent="0.35">
      <c r="A532" s="143" t="s">
        <v>846</v>
      </c>
      <c r="B532" s="229">
        <v>2034</v>
      </c>
      <c r="C532" s="514" t="s">
        <v>1446</v>
      </c>
      <c r="D532" s="515">
        <v>2.7762896537750555E-2</v>
      </c>
      <c r="E532" s="516">
        <v>4.2299587373989681E-3</v>
      </c>
      <c r="F532" s="145">
        <v>2.5306050958599186E-2</v>
      </c>
      <c r="G532" s="145">
        <v>6.7094532425652988E-4</v>
      </c>
      <c r="H532" s="517">
        <v>2.0000009999999995E-3</v>
      </c>
      <c r="I532" s="517">
        <v>1.5750005000000001E-2</v>
      </c>
      <c r="J532" s="148">
        <v>7.2876954193836245E-4</v>
      </c>
      <c r="K532" s="518">
        <v>2.2298296369503197E-5</v>
      </c>
      <c r="L532" s="519">
        <v>2.3306525394001224E-5</v>
      </c>
    </row>
    <row r="533" spans="1:12" ht="15.5" x14ac:dyDescent="0.35">
      <c r="A533" s="143" t="s">
        <v>846</v>
      </c>
      <c r="B533" s="229">
        <v>2035</v>
      </c>
      <c r="C533" s="514" t="s">
        <v>1447</v>
      </c>
      <c r="D533" s="515">
        <v>2.7325004472615773E-2</v>
      </c>
      <c r="E533" s="516">
        <v>3.8642181469048329E-3</v>
      </c>
      <c r="F533" s="145">
        <v>2.4046078164632213E-2</v>
      </c>
      <c r="G533" s="145">
        <v>6.3229002947408038E-4</v>
      </c>
      <c r="H533" s="517">
        <v>2.0000009999999999E-3</v>
      </c>
      <c r="I533" s="517">
        <v>1.5750004999999997E-2</v>
      </c>
      <c r="J533" s="148">
        <v>6.8677173339128279E-4</v>
      </c>
      <c r="K533" s="518">
        <v>2.1272038773851425E-5</v>
      </c>
      <c r="L533" s="519">
        <v>2.2233861903317782E-5</v>
      </c>
    </row>
    <row r="534" spans="1:12" ht="15.5" x14ac:dyDescent="0.35">
      <c r="A534" s="143" t="s">
        <v>846</v>
      </c>
      <c r="B534" s="229">
        <v>2036</v>
      </c>
      <c r="C534" s="514" t="s">
        <v>1448</v>
      </c>
      <c r="D534" s="515">
        <v>2.6935863608386647E-2</v>
      </c>
      <c r="E534" s="516">
        <v>3.5380623609553206E-3</v>
      </c>
      <c r="F534" s="145">
        <v>2.2950281319537441E-2</v>
      </c>
      <c r="G534" s="145">
        <v>5.9887170144592094E-4</v>
      </c>
      <c r="H534" s="517">
        <v>2.0000009999999999E-3</v>
      </c>
      <c r="I534" s="517">
        <v>1.5750005000000001E-2</v>
      </c>
      <c r="J534" s="148">
        <v>6.5046853253973276E-4</v>
      </c>
      <c r="K534" s="518">
        <v>2.0267980354859742E-5</v>
      </c>
      <c r="L534" s="519">
        <v>2.1184405955341363E-5</v>
      </c>
    </row>
    <row r="535" spans="1:12" ht="15.5" x14ac:dyDescent="0.35">
      <c r="A535" s="143" t="s">
        <v>846</v>
      </c>
      <c r="B535" s="229">
        <v>2037</v>
      </c>
      <c r="C535" s="514" t="s">
        <v>1449</v>
      </c>
      <c r="D535" s="515">
        <v>2.6596298277494053E-2</v>
      </c>
      <c r="E535" s="516">
        <v>3.2634117934081052E-3</v>
      </c>
      <c r="F535" s="145">
        <v>2.2065020830640898E-2</v>
      </c>
      <c r="G535" s="145">
        <v>5.6895232684276223E-4</v>
      </c>
      <c r="H535" s="517">
        <v>2.0000009999999999E-3</v>
      </c>
      <c r="I535" s="517">
        <v>1.5750005000000001E-2</v>
      </c>
      <c r="J535" s="148">
        <v>6.1796943735182176E-4</v>
      </c>
      <c r="K535" s="518">
        <v>1.9296239145141759E-5</v>
      </c>
      <c r="L535" s="519">
        <v>2.0168725570924812E-5</v>
      </c>
    </row>
    <row r="536" spans="1:12" ht="15.5" x14ac:dyDescent="0.35">
      <c r="A536" s="143" t="s">
        <v>846</v>
      </c>
      <c r="B536" s="229">
        <v>2038</v>
      </c>
      <c r="C536" s="514" t="s">
        <v>1450</v>
      </c>
      <c r="D536" s="515">
        <v>2.6299066055913173E-2</v>
      </c>
      <c r="E536" s="516">
        <v>3.0105036672596524E-3</v>
      </c>
      <c r="F536" s="145">
        <v>2.1250938699664056E-2</v>
      </c>
      <c r="G536" s="145">
        <v>5.4220170656272583E-4</v>
      </c>
      <c r="H536" s="517">
        <v>2.0000009999999995E-3</v>
      </c>
      <c r="I536" s="517">
        <v>1.5750005000000001E-2</v>
      </c>
      <c r="J536" s="148">
        <v>5.889065234132106E-4</v>
      </c>
      <c r="K536" s="518">
        <v>1.858564540337815E-5</v>
      </c>
      <c r="L536" s="519">
        <v>1.9426002016545324E-5</v>
      </c>
    </row>
    <row r="537" spans="1:12" ht="15.5" x14ac:dyDescent="0.35">
      <c r="A537" s="143" t="s">
        <v>846</v>
      </c>
      <c r="B537" s="229">
        <v>2039</v>
      </c>
      <c r="C537" s="514" t="s">
        <v>1451</v>
      </c>
      <c r="D537" s="515">
        <v>2.6040443542187184E-2</v>
      </c>
      <c r="E537" s="516">
        <v>2.7590344969387836E-3</v>
      </c>
      <c r="F537" s="145">
        <v>2.0430113716349105E-2</v>
      </c>
      <c r="G537" s="145">
        <v>5.1804823611896369E-4</v>
      </c>
      <c r="H537" s="517">
        <v>2.0000009999999999E-3</v>
      </c>
      <c r="I537" s="517">
        <v>1.5750005000000001E-2</v>
      </c>
      <c r="J537" s="148">
        <v>5.626629077290972E-4</v>
      </c>
      <c r="K537" s="518">
        <v>1.7980099912068409E-5</v>
      </c>
      <c r="L537" s="519">
        <v>1.8793078245883444E-5</v>
      </c>
    </row>
    <row r="538" spans="1:12" ht="15.5" x14ac:dyDescent="0.35">
      <c r="A538" s="143" t="s">
        <v>846</v>
      </c>
      <c r="B538" s="229">
        <v>2040</v>
      </c>
      <c r="C538" s="514" t="s">
        <v>1452</v>
      </c>
      <c r="D538" s="515">
        <v>2.5817027994562831E-2</v>
      </c>
      <c r="E538" s="516">
        <v>2.5383983226620944E-3</v>
      </c>
      <c r="F538" s="145">
        <v>1.9767231328459253E-2</v>
      </c>
      <c r="G538" s="145">
        <v>4.9683672957585889E-4</v>
      </c>
      <c r="H538" s="517">
        <v>2.0000010000000004E-3</v>
      </c>
      <c r="I538" s="517">
        <v>1.5750005000000004E-2</v>
      </c>
      <c r="J538" s="148">
        <v>5.3961588416102262E-4</v>
      </c>
      <c r="K538" s="518">
        <v>1.7456117196216999E-5</v>
      </c>
      <c r="L538" s="519">
        <v>1.82453997208307E-5</v>
      </c>
    </row>
    <row r="539" spans="1:12" ht="15.5" x14ac:dyDescent="0.35">
      <c r="A539" s="143" t="s">
        <v>846</v>
      </c>
      <c r="B539" s="229">
        <v>2041</v>
      </c>
      <c r="C539" s="514" t="s">
        <v>1453</v>
      </c>
      <c r="D539" s="515">
        <v>2.562572244899013E-2</v>
      </c>
      <c r="E539" s="516">
        <v>2.3662182445433385E-3</v>
      </c>
      <c r="F539" s="145">
        <v>1.9242343662540677E-2</v>
      </c>
      <c r="G539" s="145">
        <v>4.8065962181148379E-4</v>
      </c>
      <c r="H539" s="517">
        <v>2.0000009999999999E-3</v>
      </c>
      <c r="I539" s="517">
        <v>1.5750005000000001E-2</v>
      </c>
      <c r="J539" s="148">
        <v>5.2204013007196533E-4</v>
      </c>
      <c r="K539" s="518">
        <v>1.7015946721450731E-5</v>
      </c>
      <c r="L539" s="519">
        <v>1.7785334545918698E-5</v>
      </c>
    </row>
    <row r="540" spans="1:12" ht="15.5" x14ac:dyDescent="0.35">
      <c r="A540" s="143" t="s">
        <v>846</v>
      </c>
      <c r="B540" s="229">
        <v>2042</v>
      </c>
      <c r="C540" s="514" t="s">
        <v>1454</v>
      </c>
      <c r="D540" s="515">
        <v>2.5458925804892851E-2</v>
      </c>
      <c r="E540" s="516">
        <v>2.2158439875610597E-3</v>
      </c>
      <c r="F540" s="145">
        <v>1.8752888140863282E-2</v>
      </c>
      <c r="G540" s="145">
        <v>4.6675344603157407E-4</v>
      </c>
      <c r="H540" s="517">
        <v>2.0000009999999999E-3</v>
      </c>
      <c r="I540" s="517">
        <v>1.5750005000000001E-2</v>
      </c>
      <c r="J540" s="148">
        <v>5.0693072776995774E-4</v>
      </c>
      <c r="K540" s="518">
        <v>1.6666102487963706E-5</v>
      </c>
      <c r="L540" s="519">
        <v>1.7419669390093032E-5</v>
      </c>
    </row>
    <row r="541" spans="1:12" ht="15.5" x14ac:dyDescent="0.35">
      <c r="A541" s="143" t="s">
        <v>846</v>
      </c>
      <c r="B541" s="229">
        <v>2043</v>
      </c>
      <c r="C541" s="514" t="s">
        <v>1455</v>
      </c>
      <c r="D541" s="515">
        <v>2.5317944406784219E-2</v>
      </c>
      <c r="E541" s="516">
        <v>2.1020696116384402E-3</v>
      </c>
      <c r="F541" s="145">
        <v>1.8385112044512472E-2</v>
      </c>
      <c r="G541" s="145">
        <v>4.5492145664283271E-4</v>
      </c>
      <c r="H541" s="517">
        <v>2.0000009999999999E-3</v>
      </c>
      <c r="I541" s="517">
        <v>1.5750005000000001E-2</v>
      </c>
      <c r="J541" s="148">
        <v>4.9407477284284229E-4</v>
      </c>
      <c r="K541" s="518">
        <v>1.6372794551165271E-5</v>
      </c>
      <c r="L541" s="519">
        <v>1.7113099351582466E-5</v>
      </c>
    </row>
    <row r="542" spans="1:12" ht="15.5" x14ac:dyDescent="0.35">
      <c r="A542" s="143" t="s">
        <v>846</v>
      </c>
      <c r="B542" s="229">
        <v>2044</v>
      </c>
      <c r="C542" s="514" t="s">
        <v>1456</v>
      </c>
      <c r="D542" s="515">
        <v>2.5197600164286949E-2</v>
      </c>
      <c r="E542" s="516">
        <v>2.0217773102304474E-3</v>
      </c>
      <c r="F542" s="145">
        <v>1.8109760048699904E-2</v>
      </c>
      <c r="G542" s="145">
        <v>4.4489152199915976E-4</v>
      </c>
      <c r="H542" s="517">
        <v>2.0000010000000004E-3</v>
      </c>
      <c r="I542" s="517">
        <v>1.5750005000000001E-2</v>
      </c>
      <c r="J542" s="148">
        <v>4.8317631803537807E-4</v>
      </c>
      <c r="K542" s="518">
        <v>1.6131392357876148E-5</v>
      </c>
      <c r="L542" s="519">
        <v>1.6860788179048999E-5</v>
      </c>
    </row>
    <row r="543" spans="1:12" ht="15.5" x14ac:dyDescent="0.35">
      <c r="A543" s="143" t="s">
        <v>846</v>
      </c>
      <c r="B543" s="229">
        <v>2045</v>
      </c>
      <c r="C543" s="514" t="s">
        <v>1457</v>
      </c>
      <c r="D543" s="515">
        <v>2.5091056620139926E-2</v>
      </c>
      <c r="E543" s="516">
        <v>1.9697188091839807E-3</v>
      </c>
      <c r="F543" s="145">
        <v>1.7923377253517735E-2</v>
      </c>
      <c r="G543" s="145">
        <v>4.3637529810966653E-4</v>
      </c>
      <c r="H543" s="517">
        <v>2.0000009999999995E-3</v>
      </c>
      <c r="I543" s="517">
        <v>1.5750005000000001E-2</v>
      </c>
      <c r="J543" s="148">
        <v>4.7392198563426038E-4</v>
      </c>
      <c r="K543" s="518">
        <v>1.5948902936386674E-5</v>
      </c>
      <c r="L543" s="519">
        <v>1.6670035444996189E-5</v>
      </c>
    </row>
    <row r="544" spans="1:12" ht="15.5" x14ac:dyDescent="0.35">
      <c r="A544" s="143" t="s">
        <v>846</v>
      </c>
      <c r="B544" s="229">
        <v>2046</v>
      </c>
      <c r="C544" s="514" t="s">
        <v>1458</v>
      </c>
      <c r="D544" s="515">
        <v>2.5001184906249183E-2</v>
      </c>
      <c r="E544" s="516">
        <v>1.9242271935541479E-3</v>
      </c>
      <c r="F544" s="145">
        <v>1.7767330135351669E-2</v>
      </c>
      <c r="G544" s="145">
        <v>4.292689220622015E-4</v>
      </c>
      <c r="H544" s="517">
        <v>2.0000009999999999E-3</v>
      </c>
      <c r="I544" s="517">
        <v>1.5750004999999997E-2</v>
      </c>
      <c r="J544" s="148">
        <v>4.661992841116463E-4</v>
      </c>
      <c r="K544" s="518">
        <v>1.5809778789914692E-5</v>
      </c>
      <c r="L544" s="519">
        <v>1.6524626115462221E-5</v>
      </c>
    </row>
    <row r="545" spans="1:12" ht="15.5" x14ac:dyDescent="0.35">
      <c r="A545" s="143" t="s">
        <v>846</v>
      </c>
      <c r="B545" s="229">
        <v>2047</v>
      </c>
      <c r="C545" s="514" t="s">
        <v>1459</v>
      </c>
      <c r="D545" s="515">
        <v>2.4923349657527141E-2</v>
      </c>
      <c r="E545" s="516">
        <v>1.8847067595719573E-3</v>
      </c>
      <c r="F545" s="145">
        <v>1.7627129111409786E-2</v>
      </c>
      <c r="G545" s="145">
        <v>4.2339239774714276E-4</v>
      </c>
      <c r="H545" s="517">
        <v>2.0000009999999999E-3</v>
      </c>
      <c r="I545" s="517">
        <v>1.5750005000000004E-2</v>
      </c>
      <c r="J545" s="148">
        <v>4.5981331905201853E-4</v>
      </c>
      <c r="K545" s="518">
        <v>1.5684795399163672E-5</v>
      </c>
      <c r="L545" s="519">
        <v>1.6393994463086119E-5</v>
      </c>
    </row>
    <row r="546" spans="1:12" ht="15.5" x14ac:dyDescent="0.35">
      <c r="A546" s="143" t="s">
        <v>846</v>
      </c>
      <c r="B546" s="229">
        <v>2048</v>
      </c>
      <c r="C546" s="514" t="s">
        <v>1460</v>
      </c>
      <c r="D546" s="515">
        <v>2.4856161268373245E-2</v>
      </c>
      <c r="E546" s="516">
        <v>1.8521512402040706E-3</v>
      </c>
      <c r="F546" s="145">
        <v>1.7508222691922651E-2</v>
      </c>
      <c r="G546" s="145">
        <v>4.1852048144064416E-4</v>
      </c>
      <c r="H546" s="517">
        <v>2.0000009999999999E-3</v>
      </c>
      <c r="I546" s="517">
        <v>1.5750004999999997E-2</v>
      </c>
      <c r="J546" s="148">
        <v>4.5451839467379994E-4</v>
      </c>
      <c r="K546" s="518">
        <v>1.5586633730550116E-5</v>
      </c>
      <c r="L546" s="519">
        <v>1.6291383575141383E-5</v>
      </c>
    </row>
    <row r="547" spans="1:12" ht="15.5" x14ac:dyDescent="0.35">
      <c r="A547" s="143" t="s">
        <v>846</v>
      </c>
      <c r="B547" s="229">
        <v>2049</v>
      </c>
      <c r="C547" s="514" t="s">
        <v>1461</v>
      </c>
      <c r="D547" s="515">
        <v>2.4797779721737225E-2</v>
      </c>
      <c r="E547" s="516">
        <v>1.8407162710477765E-3</v>
      </c>
      <c r="F547" s="145">
        <v>1.7513277452317802E-2</v>
      </c>
      <c r="G547" s="145">
        <v>4.1554163313692029E-4</v>
      </c>
      <c r="H547" s="517">
        <v>2.0000009999999995E-3</v>
      </c>
      <c r="I547" s="517">
        <v>1.5750005000000001E-2</v>
      </c>
      <c r="J547" s="148">
        <v>4.5128157355908281E-4</v>
      </c>
      <c r="K547" s="518">
        <v>1.5515239578447623E-5</v>
      </c>
      <c r="L547" s="519">
        <v>1.6216770029473482E-5</v>
      </c>
    </row>
    <row r="548" spans="1:12" ht="15.5" x14ac:dyDescent="0.35">
      <c r="A548" s="143" t="s">
        <v>846</v>
      </c>
      <c r="B548" s="229">
        <v>2050</v>
      </c>
      <c r="C548" s="514" t="s">
        <v>1462</v>
      </c>
      <c r="D548" s="515">
        <v>2.474915254022499E-2</v>
      </c>
      <c r="E548" s="516">
        <v>1.8315027037639721E-3</v>
      </c>
      <c r="F548" s="145">
        <v>1.7519445688468138E-2</v>
      </c>
      <c r="G548" s="145">
        <v>4.131325928353473E-4</v>
      </c>
      <c r="H548" s="517">
        <v>2.0000009999999995E-3</v>
      </c>
      <c r="I548" s="517">
        <v>1.5750005000000001E-2</v>
      </c>
      <c r="J548" s="148">
        <v>4.4866528850405057E-4</v>
      </c>
      <c r="K548" s="518">
        <v>1.5428444009992939E-5</v>
      </c>
      <c r="L548" s="519">
        <v>1.612604681080979E-5</v>
      </c>
    </row>
    <row r="549" spans="1:12" ht="15.5" x14ac:dyDescent="0.35">
      <c r="A549" s="143" t="s">
        <v>849</v>
      </c>
      <c r="B549" s="229">
        <v>2015</v>
      </c>
      <c r="C549" s="514" t="s">
        <v>850</v>
      </c>
      <c r="D549" s="515">
        <v>4.4910058915821428E-2</v>
      </c>
      <c r="E549" s="516">
        <v>6.6771265129325325E-2</v>
      </c>
      <c r="F549" s="145">
        <v>0.24134228051761683</v>
      </c>
      <c r="G549" s="145">
        <v>2.2357624854988252E-3</v>
      </c>
      <c r="H549" s="517">
        <v>2.0000009999999999E-3</v>
      </c>
      <c r="I549" s="517">
        <v>1.5750005000000004E-2</v>
      </c>
      <c r="J549" s="148">
        <v>2.4185036643411088E-3</v>
      </c>
      <c r="K549" s="518">
        <v>1.8011402784216801E-4</v>
      </c>
      <c r="L549" s="519">
        <v>1.8825798652035596E-4</v>
      </c>
    </row>
    <row r="550" spans="1:12" ht="15.5" x14ac:dyDescent="0.35">
      <c r="A550" s="143" t="s">
        <v>849</v>
      </c>
      <c r="B550" s="229">
        <v>2016</v>
      </c>
      <c r="C550" s="514" t="s">
        <v>851</v>
      </c>
      <c r="D550" s="515">
        <v>4.4009307383031201E-2</v>
      </c>
      <c r="E550" s="516">
        <v>5.5663391918373557E-2</v>
      </c>
      <c r="F550" s="145">
        <v>0.20696264186163513</v>
      </c>
      <c r="G550" s="145">
        <v>2.0837977245318044E-3</v>
      </c>
      <c r="H550" s="517">
        <v>2.0000009999999995E-3</v>
      </c>
      <c r="I550" s="517">
        <v>1.5750005000000001E-2</v>
      </c>
      <c r="J550" s="148">
        <v>2.2559582346478595E-3</v>
      </c>
      <c r="K550" s="518">
        <v>1.5204409606360772E-4</v>
      </c>
      <c r="L550" s="519">
        <v>1.589188538311952E-4</v>
      </c>
    </row>
    <row r="551" spans="1:12" ht="15.5" x14ac:dyDescent="0.35">
      <c r="A551" s="143" t="s">
        <v>849</v>
      </c>
      <c r="B551" s="229">
        <v>2017</v>
      </c>
      <c r="C551" s="514" t="s">
        <v>1463</v>
      </c>
      <c r="D551" s="515">
        <v>4.2940667805164354E-2</v>
      </c>
      <c r="E551" s="516">
        <v>4.6640618197928106E-2</v>
      </c>
      <c r="F551" s="145">
        <v>0.17778049794713305</v>
      </c>
      <c r="G551" s="145">
        <v>1.9996641522086003E-3</v>
      </c>
      <c r="H551" s="517">
        <v>2.0000009999999999E-3</v>
      </c>
      <c r="I551" s="517">
        <v>1.5750005000000001E-2</v>
      </c>
      <c r="J551" s="148">
        <v>2.1661520911130726E-3</v>
      </c>
      <c r="K551" s="518">
        <v>1.3906706423879816E-4</v>
      </c>
      <c r="L551" s="519">
        <v>1.4535505707518847E-4</v>
      </c>
    </row>
    <row r="552" spans="1:12" ht="15.5" x14ac:dyDescent="0.35">
      <c r="A552" s="143" t="s">
        <v>849</v>
      </c>
      <c r="B552" s="229">
        <v>2018</v>
      </c>
      <c r="C552" s="514" t="s">
        <v>1464</v>
      </c>
      <c r="D552" s="515">
        <v>4.1799389631859023E-2</v>
      </c>
      <c r="E552" s="516">
        <v>3.8803304484275367E-2</v>
      </c>
      <c r="F552" s="145">
        <v>0.15229477267592353</v>
      </c>
      <c r="G552" s="145">
        <v>1.9488920049438711E-3</v>
      </c>
      <c r="H552" s="517">
        <v>2.0000009999999999E-3</v>
      </c>
      <c r="I552" s="517">
        <v>1.5750005000000001E-2</v>
      </c>
      <c r="J552" s="148">
        <v>2.1123394125671545E-3</v>
      </c>
      <c r="K552" s="518">
        <v>1.2817863141932487E-4</v>
      </c>
      <c r="L552" s="519">
        <v>1.3397429688134712E-4</v>
      </c>
    </row>
    <row r="553" spans="1:12" ht="15.5" x14ac:dyDescent="0.35">
      <c r="A553" s="143" t="s">
        <v>849</v>
      </c>
      <c r="B553" s="229">
        <v>2019</v>
      </c>
      <c r="C553" s="514" t="s">
        <v>1465</v>
      </c>
      <c r="D553" s="515">
        <v>4.0582927516268179E-2</v>
      </c>
      <c r="E553" s="516">
        <v>3.2092854540565617E-2</v>
      </c>
      <c r="F553" s="145">
        <v>0.13045801110970817</v>
      </c>
      <c r="G553" s="145">
        <v>1.9091336322524001E-3</v>
      </c>
      <c r="H553" s="517">
        <v>2.0000009999999999E-3</v>
      </c>
      <c r="I553" s="517">
        <v>1.5750005000000004E-2</v>
      </c>
      <c r="J553" s="148">
        <v>2.0702553759293597E-3</v>
      </c>
      <c r="K553" s="518">
        <v>1.1890475753755926E-4</v>
      </c>
      <c r="L553" s="519">
        <v>1.2428110650930714E-4</v>
      </c>
    </row>
    <row r="554" spans="1:12" ht="15.5" x14ac:dyDescent="0.35">
      <c r="A554" s="143" t="s">
        <v>849</v>
      </c>
      <c r="B554" s="229">
        <v>2020</v>
      </c>
      <c r="C554" s="514" t="s">
        <v>1466</v>
      </c>
      <c r="D554" s="515">
        <v>3.940269829370615E-2</v>
      </c>
      <c r="E554" s="516">
        <v>2.7132635817818426E-2</v>
      </c>
      <c r="F554" s="145">
        <v>0.11230479615893117</v>
      </c>
      <c r="G554" s="145">
        <v>1.8407620550364775E-3</v>
      </c>
      <c r="H554" s="517">
        <v>2.0000010000000004E-3</v>
      </c>
      <c r="I554" s="517">
        <v>1.5750005000000001E-2</v>
      </c>
      <c r="J554" s="148">
        <v>1.9965373405475234E-3</v>
      </c>
      <c r="K554" s="518">
        <v>1.1098576114742156E-4</v>
      </c>
      <c r="L554" s="519">
        <v>1.160040465231324E-4</v>
      </c>
    </row>
    <row r="555" spans="1:12" ht="15.5" x14ac:dyDescent="0.35">
      <c r="A555" s="143" t="s">
        <v>849</v>
      </c>
      <c r="B555" s="229">
        <v>2021</v>
      </c>
      <c r="C555" s="514" t="s">
        <v>1467</v>
      </c>
      <c r="D555" s="515">
        <v>3.8181444696907665E-2</v>
      </c>
      <c r="E555" s="516">
        <v>2.2938061370115115E-2</v>
      </c>
      <c r="F555" s="145">
        <v>9.6480699209709975E-2</v>
      </c>
      <c r="G555" s="145">
        <v>1.7319637123372914E-3</v>
      </c>
      <c r="H555" s="517">
        <v>2.0000009999999999E-3</v>
      </c>
      <c r="I555" s="517">
        <v>1.5750004999999997E-2</v>
      </c>
      <c r="J555" s="148">
        <v>1.8788207331107629E-3</v>
      </c>
      <c r="K555" s="518">
        <v>1.0230660194570176E-4</v>
      </c>
      <c r="L555" s="519">
        <v>1.0693245182515243E-4</v>
      </c>
    </row>
    <row r="556" spans="1:12" ht="15.5" x14ac:dyDescent="0.35">
      <c r="A556" s="143" t="s">
        <v>849</v>
      </c>
      <c r="B556" s="229">
        <v>2022</v>
      </c>
      <c r="C556" s="514" t="s">
        <v>1468</v>
      </c>
      <c r="D556" s="515">
        <v>3.7003583569108614E-2</v>
      </c>
      <c r="E556" s="516">
        <v>1.8747227438821248E-2</v>
      </c>
      <c r="F556" s="145">
        <v>8.2433027575578313E-2</v>
      </c>
      <c r="G556" s="145">
        <v>1.6274767336056386E-3</v>
      </c>
      <c r="H556" s="517">
        <v>2.0000010000000004E-3</v>
      </c>
      <c r="I556" s="517">
        <v>1.5750005000000004E-2</v>
      </c>
      <c r="J556" s="148">
        <v>1.7659950260356726E-3</v>
      </c>
      <c r="K556" s="518">
        <v>9.2137429820891175E-5</v>
      </c>
      <c r="L556" s="519">
        <v>9.6303477619139188E-5</v>
      </c>
    </row>
    <row r="557" spans="1:12" ht="15.5" x14ac:dyDescent="0.35">
      <c r="A557" s="143" t="s">
        <v>849</v>
      </c>
      <c r="B557" s="229">
        <v>2023</v>
      </c>
      <c r="C557" s="514" t="s">
        <v>1469</v>
      </c>
      <c r="D557" s="515">
        <v>3.5841969582415395E-2</v>
      </c>
      <c r="E557" s="516">
        <v>1.6146830033039638E-2</v>
      </c>
      <c r="F557" s="145">
        <v>7.1698047485987459E-2</v>
      </c>
      <c r="G557" s="145">
        <v>1.5373309258210452E-3</v>
      </c>
      <c r="H557" s="517">
        <v>2.0000009999999999E-3</v>
      </c>
      <c r="I557" s="517">
        <v>1.5750005000000001E-2</v>
      </c>
      <c r="J557" s="148">
        <v>1.6684352325654162E-3</v>
      </c>
      <c r="K557" s="518">
        <v>8.2087154139167645E-5</v>
      </c>
      <c r="L557" s="519">
        <v>8.5798765981921643E-5</v>
      </c>
    </row>
    <row r="558" spans="1:12" ht="15.5" x14ac:dyDescent="0.35">
      <c r="A558" s="143" t="s">
        <v>849</v>
      </c>
      <c r="B558" s="229">
        <v>2024</v>
      </c>
      <c r="C558" s="514" t="s">
        <v>1470</v>
      </c>
      <c r="D558" s="515">
        <v>3.481866276510779E-2</v>
      </c>
      <c r="E558" s="516">
        <v>1.3910910678417912E-2</v>
      </c>
      <c r="F558" s="145">
        <v>6.2621012107439797E-2</v>
      </c>
      <c r="G558" s="145">
        <v>1.4553253164622641E-3</v>
      </c>
      <c r="H558" s="517">
        <v>2.0000009999999999E-3</v>
      </c>
      <c r="I558" s="517">
        <v>1.5750005000000001E-2</v>
      </c>
      <c r="J558" s="148">
        <v>1.5797765500801392E-3</v>
      </c>
      <c r="K558" s="518">
        <v>7.0893028517305352E-5</v>
      </c>
      <c r="L558" s="519">
        <v>7.409849968761562E-5</v>
      </c>
    </row>
    <row r="559" spans="1:12" ht="15.5" x14ac:dyDescent="0.35">
      <c r="A559" s="143" t="s">
        <v>849</v>
      </c>
      <c r="B559" s="229">
        <v>2025</v>
      </c>
      <c r="C559" s="514" t="s">
        <v>1471</v>
      </c>
      <c r="D559" s="515">
        <v>3.3694036065851925E-2</v>
      </c>
      <c r="E559" s="516">
        <v>1.2160673387448064E-2</v>
      </c>
      <c r="F559" s="145">
        <v>5.548735651521073E-2</v>
      </c>
      <c r="G559" s="145">
        <v>1.3931602071564175E-3</v>
      </c>
      <c r="H559" s="517">
        <v>2.0000009999999999E-3</v>
      </c>
      <c r="I559" s="517">
        <v>1.5750005000000001E-2</v>
      </c>
      <c r="J559" s="148">
        <v>1.5123925206571235E-3</v>
      </c>
      <c r="K559" s="518">
        <v>6.5973935595471783E-5</v>
      </c>
      <c r="L559" s="519">
        <v>6.8956985143515953E-5</v>
      </c>
    </row>
    <row r="560" spans="1:12" ht="15.5" x14ac:dyDescent="0.35">
      <c r="A560" s="143" t="s">
        <v>849</v>
      </c>
      <c r="B560" s="229">
        <v>2026</v>
      </c>
      <c r="C560" s="514" t="s">
        <v>1472</v>
      </c>
      <c r="D560" s="515">
        <v>3.267728448764444E-2</v>
      </c>
      <c r="E560" s="516">
        <v>1.0775110458195706E-2</v>
      </c>
      <c r="F560" s="145">
        <v>4.9820760816589413E-2</v>
      </c>
      <c r="G560" s="145">
        <v>1.3288493356728099E-3</v>
      </c>
      <c r="H560" s="517">
        <v>2.0000009999999999E-3</v>
      </c>
      <c r="I560" s="517">
        <v>1.5750005000000001E-2</v>
      </c>
      <c r="J560" s="148">
        <v>1.442759436934516E-3</v>
      </c>
      <c r="K560" s="518">
        <v>5.8633505088266038E-5</v>
      </c>
      <c r="L560" s="519">
        <v>6.1284649289241098E-5</v>
      </c>
    </row>
    <row r="561" spans="1:12" ht="15.5" x14ac:dyDescent="0.35">
      <c r="A561" s="143" t="s">
        <v>849</v>
      </c>
      <c r="B561" s="229">
        <v>2027</v>
      </c>
      <c r="C561" s="514" t="s">
        <v>1473</v>
      </c>
      <c r="D561" s="515">
        <v>3.1755208958063864E-2</v>
      </c>
      <c r="E561" s="516">
        <v>9.5544117122263444E-3</v>
      </c>
      <c r="F561" s="145">
        <v>4.4932042857599067E-2</v>
      </c>
      <c r="G561" s="145">
        <v>1.2516582385686281E-3</v>
      </c>
      <c r="H561" s="517">
        <v>2.0000010000000004E-3</v>
      </c>
      <c r="I561" s="517">
        <v>1.5750005000000001E-2</v>
      </c>
      <c r="J561" s="148">
        <v>1.35930504463665E-3</v>
      </c>
      <c r="K561" s="518">
        <v>4.6890410844892781E-5</v>
      </c>
      <c r="L561" s="519">
        <v>4.9010590706442358E-5</v>
      </c>
    </row>
    <row r="562" spans="1:12" ht="15.5" x14ac:dyDescent="0.35">
      <c r="A562" s="143" t="s">
        <v>849</v>
      </c>
      <c r="B562" s="229">
        <v>2028</v>
      </c>
      <c r="C562" s="514" t="s">
        <v>1474</v>
      </c>
      <c r="D562" s="515">
        <v>3.0929282014513608E-2</v>
      </c>
      <c r="E562" s="516">
        <v>8.5314080817178537E-3</v>
      </c>
      <c r="F562" s="145">
        <v>4.0864362782659425E-2</v>
      </c>
      <c r="G562" s="145">
        <v>1.173353847742395E-3</v>
      </c>
      <c r="H562" s="517">
        <v>2.0000010000000004E-3</v>
      </c>
      <c r="I562" s="517">
        <v>1.5750005000000004E-2</v>
      </c>
      <c r="J562" s="148">
        <v>1.2743940141434213E-3</v>
      </c>
      <c r="K562" s="518">
        <v>4.0939367469057667E-5</v>
      </c>
      <c r="L562" s="519">
        <v>4.2790465757385684E-5</v>
      </c>
    </row>
    <row r="563" spans="1:12" ht="15.5" x14ac:dyDescent="0.35">
      <c r="A563" s="143" t="s">
        <v>849</v>
      </c>
      <c r="B563" s="229">
        <v>2029</v>
      </c>
      <c r="C563" s="514" t="s">
        <v>1475</v>
      </c>
      <c r="D563" s="515">
        <v>3.0187065693256344E-2</v>
      </c>
      <c r="E563" s="516">
        <v>7.6075169266982797E-3</v>
      </c>
      <c r="F563" s="145">
        <v>3.7280588161381266E-2</v>
      </c>
      <c r="G563" s="145">
        <v>1.1000073466392725E-3</v>
      </c>
      <c r="H563" s="517">
        <v>2.0000009999999999E-3</v>
      </c>
      <c r="I563" s="517">
        <v>1.5750005000000001E-2</v>
      </c>
      <c r="J563" s="148">
        <v>1.1947658524255899E-3</v>
      </c>
      <c r="K563" s="518">
        <v>3.75770058968166E-5</v>
      </c>
      <c r="L563" s="519">
        <v>3.927606985171337E-5</v>
      </c>
    </row>
    <row r="564" spans="1:12" ht="15.5" x14ac:dyDescent="0.35">
      <c r="A564" s="143" t="s">
        <v>849</v>
      </c>
      <c r="B564" s="229">
        <v>2030</v>
      </c>
      <c r="C564" s="514" t="s">
        <v>1476</v>
      </c>
      <c r="D564" s="515">
        <v>2.9525438991993062E-2</v>
      </c>
      <c r="E564" s="516">
        <v>6.8589345524034647E-3</v>
      </c>
      <c r="F564" s="145">
        <v>3.4359686913972703E-2</v>
      </c>
      <c r="G564" s="145">
        <v>1.0295097526621469E-3</v>
      </c>
      <c r="H564" s="517">
        <v>2.0000010000000004E-3</v>
      </c>
      <c r="I564" s="517">
        <v>1.5750005000000004E-2</v>
      </c>
      <c r="J564" s="148">
        <v>1.1183254102937377E-3</v>
      </c>
      <c r="K564" s="518">
        <v>3.2103883129915321E-5</v>
      </c>
      <c r="L564" s="519">
        <v>3.3555479419268688E-5</v>
      </c>
    </row>
    <row r="565" spans="1:12" ht="15.5" x14ac:dyDescent="0.35">
      <c r="A565" s="143" t="s">
        <v>849</v>
      </c>
      <c r="B565" s="229">
        <v>2031</v>
      </c>
      <c r="C565" s="514" t="s">
        <v>1477</v>
      </c>
      <c r="D565" s="515">
        <v>2.8942593644927111E-2</v>
      </c>
      <c r="E565" s="516">
        <v>6.1965386338242454E-3</v>
      </c>
      <c r="F565" s="145">
        <v>3.1810533256547334E-2</v>
      </c>
      <c r="G565" s="145">
        <v>9.6628635550047109E-4</v>
      </c>
      <c r="H565" s="517">
        <v>2.0000010000000004E-3</v>
      </c>
      <c r="I565" s="517">
        <v>1.5750005000000004E-2</v>
      </c>
      <c r="J565" s="148">
        <v>1.0496416717634249E-3</v>
      </c>
      <c r="K565" s="518">
        <v>3.0278642825261161E-5</v>
      </c>
      <c r="L565" s="519">
        <v>3.1647708189000407E-5</v>
      </c>
    </row>
    <row r="566" spans="1:12" ht="15.5" x14ac:dyDescent="0.35">
      <c r="A566" s="143" t="s">
        <v>849</v>
      </c>
      <c r="B566" s="229">
        <v>2032</v>
      </c>
      <c r="C566" s="514" t="s">
        <v>1478</v>
      </c>
      <c r="D566" s="515">
        <v>2.842120803830574E-2</v>
      </c>
      <c r="E566" s="516">
        <v>5.6157656167935251E-3</v>
      </c>
      <c r="F566" s="145">
        <v>2.9661764920896554E-2</v>
      </c>
      <c r="G566" s="145">
        <v>9.0748147653523556E-4</v>
      </c>
      <c r="H566" s="517">
        <v>2.0000010000000004E-3</v>
      </c>
      <c r="I566" s="517">
        <v>1.5750005000000001E-2</v>
      </c>
      <c r="J566" s="148">
        <v>9.857576408673031E-4</v>
      </c>
      <c r="K566" s="518">
        <v>2.8573773870791984E-5</v>
      </c>
      <c r="L566" s="519">
        <v>2.9865750145175807E-5</v>
      </c>
    </row>
    <row r="567" spans="1:12" ht="15.5" x14ac:dyDescent="0.35">
      <c r="A567" s="143" t="s">
        <v>849</v>
      </c>
      <c r="B567" s="229">
        <v>2033</v>
      </c>
      <c r="C567" s="514" t="s">
        <v>1479</v>
      </c>
      <c r="D567" s="515">
        <v>2.796071074773581E-2</v>
      </c>
      <c r="E567" s="516">
        <v>5.09762649775193E-3</v>
      </c>
      <c r="F567" s="145">
        <v>2.7792083719734306E-2</v>
      </c>
      <c r="G567" s="145">
        <v>8.5242396832704804E-4</v>
      </c>
      <c r="H567" s="517">
        <v>2.0000009999999999E-3</v>
      </c>
      <c r="I567" s="517">
        <v>1.5750005000000001E-2</v>
      </c>
      <c r="J567" s="148">
        <v>9.2595608216033466E-4</v>
      </c>
      <c r="K567" s="518">
        <v>2.6716727199903596E-5</v>
      </c>
      <c r="L567" s="519">
        <v>2.7924744750795172E-5</v>
      </c>
    </row>
    <row r="568" spans="1:12" ht="15.5" x14ac:dyDescent="0.35">
      <c r="A568" s="143" t="s">
        <v>849</v>
      </c>
      <c r="B568" s="229">
        <v>2034</v>
      </c>
      <c r="C568" s="514" t="s">
        <v>1480</v>
      </c>
      <c r="D568" s="515">
        <v>2.7553758219677017E-2</v>
      </c>
      <c r="E568" s="516">
        <v>4.6354843861806487E-3</v>
      </c>
      <c r="F568" s="145">
        <v>2.6194583603023323E-2</v>
      </c>
      <c r="G568" s="145">
        <v>8.0185094631845145E-4</v>
      </c>
      <c r="H568" s="517">
        <v>2.0000009999999999E-3</v>
      </c>
      <c r="I568" s="517">
        <v>1.5750004999999997E-2</v>
      </c>
      <c r="J568" s="148">
        <v>8.7101349328448023E-4</v>
      </c>
      <c r="K568" s="518">
        <v>2.5316594216365274E-5</v>
      </c>
      <c r="L568" s="519">
        <v>2.6461296778374397E-5</v>
      </c>
    </row>
    <row r="569" spans="1:12" ht="15.5" x14ac:dyDescent="0.35">
      <c r="A569" s="143" t="s">
        <v>849</v>
      </c>
      <c r="B569" s="229">
        <v>2035</v>
      </c>
      <c r="C569" s="514" t="s">
        <v>1481</v>
      </c>
      <c r="D569" s="515">
        <v>2.7198079155944653E-2</v>
      </c>
      <c r="E569" s="516">
        <v>4.236601488455601E-3</v>
      </c>
      <c r="F569" s="145">
        <v>2.4895918006108426E-2</v>
      </c>
      <c r="G569" s="145">
        <v>7.5588731547209583E-4</v>
      </c>
      <c r="H569" s="517">
        <v>2.0000009999999999E-3</v>
      </c>
      <c r="I569" s="517">
        <v>1.5750005000000001E-2</v>
      </c>
      <c r="J569" s="148">
        <v>8.2107822467143406E-4</v>
      </c>
      <c r="K569" s="518">
        <v>2.4037293063321085E-5</v>
      </c>
      <c r="L569" s="519">
        <v>2.512415129798439E-5</v>
      </c>
    </row>
    <row r="570" spans="1:12" ht="15.5" x14ac:dyDescent="0.35">
      <c r="A570" s="143" t="s">
        <v>849</v>
      </c>
      <c r="B570" s="229">
        <v>2036</v>
      </c>
      <c r="C570" s="514" t="s">
        <v>1482</v>
      </c>
      <c r="D570" s="515">
        <v>2.6887956300590342E-2</v>
      </c>
      <c r="E570" s="516">
        <v>3.8869314992732579E-3</v>
      </c>
      <c r="F570" s="145">
        <v>2.3788944901489403E-2</v>
      </c>
      <c r="G570" s="145">
        <v>7.1594668419116875E-4</v>
      </c>
      <c r="H570" s="517">
        <v>2.0000009999999999E-3</v>
      </c>
      <c r="I570" s="517">
        <v>1.5750005000000001E-2</v>
      </c>
      <c r="J570" s="148">
        <v>7.7770212712697671E-4</v>
      </c>
      <c r="K570" s="518">
        <v>2.2544514886746862E-5</v>
      </c>
      <c r="L570" s="519">
        <v>2.3563878726794709E-5</v>
      </c>
    </row>
    <row r="571" spans="1:12" ht="15.5" x14ac:dyDescent="0.35">
      <c r="A571" s="143" t="s">
        <v>849</v>
      </c>
      <c r="B571" s="229">
        <v>2037</v>
      </c>
      <c r="C571" s="514" t="s">
        <v>1483</v>
      </c>
      <c r="D571" s="515">
        <v>2.6620767785752068E-2</v>
      </c>
      <c r="E571" s="516">
        <v>3.588681483388399E-3</v>
      </c>
      <c r="F571" s="145">
        <v>2.2877435643377679E-2</v>
      </c>
      <c r="G571" s="145">
        <v>6.8062448150553142E-4</v>
      </c>
      <c r="H571" s="517">
        <v>2.0000010000000004E-3</v>
      </c>
      <c r="I571" s="517">
        <v>1.5750005000000004E-2</v>
      </c>
      <c r="J571" s="148">
        <v>7.3933327442797785E-4</v>
      </c>
      <c r="K571" s="518">
        <v>2.1429320182140483E-5</v>
      </c>
      <c r="L571" s="519">
        <v>2.2398258789543954E-5</v>
      </c>
    </row>
    <row r="572" spans="1:12" ht="15.5" x14ac:dyDescent="0.35">
      <c r="A572" s="143" t="s">
        <v>849</v>
      </c>
      <c r="B572" s="229">
        <v>2038</v>
      </c>
      <c r="C572" s="514" t="s">
        <v>1484</v>
      </c>
      <c r="D572" s="515">
        <v>2.6391699557713352E-2</v>
      </c>
      <c r="E572" s="516">
        <v>3.3107050625839165E-3</v>
      </c>
      <c r="F572" s="145">
        <v>2.2022107853410078E-2</v>
      </c>
      <c r="G572" s="145">
        <v>6.4910547422758393E-4</v>
      </c>
      <c r="H572" s="517">
        <v>2.0000009999999999E-3</v>
      </c>
      <c r="I572" s="517">
        <v>1.5750005000000001E-2</v>
      </c>
      <c r="J572" s="148">
        <v>7.0508924676537061E-4</v>
      </c>
      <c r="K572" s="518">
        <v>2.0582464310917758E-5</v>
      </c>
      <c r="L572" s="519">
        <v>2.1513110583415843E-5</v>
      </c>
    </row>
    <row r="573" spans="1:12" ht="15.5" x14ac:dyDescent="0.35">
      <c r="A573" s="143" t="s">
        <v>849</v>
      </c>
      <c r="B573" s="229">
        <v>2039</v>
      </c>
      <c r="C573" s="514" t="s">
        <v>1485</v>
      </c>
      <c r="D573" s="515">
        <v>2.6194448340740282E-2</v>
      </c>
      <c r="E573" s="516">
        <v>3.0523424006139352E-3</v>
      </c>
      <c r="F573" s="145">
        <v>2.1231699701464556E-2</v>
      </c>
      <c r="G573" s="145">
        <v>6.2101814648804834E-4</v>
      </c>
      <c r="H573" s="517">
        <v>2.0000009999999999E-3</v>
      </c>
      <c r="I573" s="517">
        <v>1.5750005000000004E-2</v>
      </c>
      <c r="J573" s="148">
        <v>6.7457634454317033E-4</v>
      </c>
      <c r="K573" s="518">
        <v>1.9772862487549021E-5</v>
      </c>
      <c r="L573" s="519">
        <v>2.0666904405853842E-5</v>
      </c>
    </row>
    <row r="574" spans="1:12" ht="15.5" x14ac:dyDescent="0.35">
      <c r="A574" s="143" t="s">
        <v>849</v>
      </c>
      <c r="B574" s="229">
        <v>2040</v>
      </c>
      <c r="C574" s="514" t="s">
        <v>1486</v>
      </c>
      <c r="D574" s="515">
        <v>2.6027624511081367E-2</v>
      </c>
      <c r="E574" s="516">
        <v>2.8298044843590091E-3</v>
      </c>
      <c r="F574" s="145">
        <v>2.0604702246459428E-2</v>
      </c>
      <c r="G574" s="145">
        <v>5.9662919371825508E-4</v>
      </c>
      <c r="H574" s="517">
        <v>2.0000009999999999E-3</v>
      </c>
      <c r="I574" s="517">
        <v>1.5750005000000001E-2</v>
      </c>
      <c r="J574" s="148">
        <v>6.4807569719574235E-4</v>
      </c>
      <c r="K574" s="518">
        <v>1.9191355462023317E-5</v>
      </c>
      <c r="L574" s="519">
        <v>2.0059101590925206E-5</v>
      </c>
    </row>
    <row r="575" spans="1:12" ht="15.5" x14ac:dyDescent="0.35">
      <c r="A575" s="143" t="s">
        <v>849</v>
      </c>
      <c r="B575" s="229">
        <v>2041</v>
      </c>
      <c r="C575" s="514" t="s">
        <v>1487</v>
      </c>
      <c r="D575" s="515">
        <v>2.5888497391480789E-2</v>
      </c>
      <c r="E575" s="516">
        <v>2.6534782051845841E-3</v>
      </c>
      <c r="F575" s="145">
        <v>2.0084770555800012E-2</v>
      </c>
      <c r="G575" s="145">
        <v>5.7764476241576755E-4</v>
      </c>
      <c r="H575" s="517">
        <v>2.0000010000000008E-3</v>
      </c>
      <c r="I575" s="517">
        <v>1.5750005000000008E-2</v>
      </c>
      <c r="J575" s="148">
        <v>6.2744849380142126E-4</v>
      </c>
      <c r="K575" s="518">
        <v>1.8703999660928157E-5</v>
      </c>
      <c r="L575" s="519">
        <v>1.954971432686531E-5</v>
      </c>
    </row>
    <row r="576" spans="1:12" ht="15.5" x14ac:dyDescent="0.35">
      <c r="A576" s="143" t="s">
        <v>849</v>
      </c>
      <c r="B576" s="229">
        <v>2042</v>
      </c>
      <c r="C576" s="514" t="s">
        <v>1488</v>
      </c>
      <c r="D576" s="515">
        <v>2.576999186921889E-2</v>
      </c>
      <c r="E576" s="516">
        <v>2.5035184571928571E-3</v>
      </c>
      <c r="F576" s="145">
        <v>1.9617490673592954E-2</v>
      </c>
      <c r="G576" s="145">
        <v>5.6134496491543344E-4</v>
      </c>
      <c r="H576" s="517">
        <v>2.0000010000000004E-3</v>
      </c>
      <c r="I576" s="517">
        <v>1.5750005000000001E-2</v>
      </c>
      <c r="J576" s="148">
        <v>6.0973997737530665E-4</v>
      </c>
      <c r="K576" s="518">
        <v>1.826114837798078E-5</v>
      </c>
      <c r="L576" s="519">
        <v>1.9086842783300033E-5</v>
      </c>
    </row>
    <row r="577" spans="1:12" ht="15.5" x14ac:dyDescent="0.35">
      <c r="A577" s="143" t="s">
        <v>849</v>
      </c>
      <c r="B577" s="229">
        <v>2043</v>
      </c>
      <c r="C577" s="514" t="s">
        <v>1489</v>
      </c>
      <c r="D577" s="515">
        <v>2.5671726079641237E-2</v>
      </c>
      <c r="E577" s="516">
        <v>2.3932866588813333E-3</v>
      </c>
      <c r="F577" s="145">
        <v>1.9281453423870255E-2</v>
      </c>
      <c r="G577" s="145">
        <v>5.4757556914063557E-4</v>
      </c>
      <c r="H577" s="517">
        <v>2.0000010000000004E-3</v>
      </c>
      <c r="I577" s="517">
        <v>1.5750005000000004E-2</v>
      </c>
      <c r="J577" s="148">
        <v>5.94778202588922E-4</v>
      </c>
      <c r="K577" s="518">
        <v>1.7934244796771105E-5</v>
      </c>
      <c r="L577" s="519">
        <v>1.874514951404712E-5</v>
      </c>
    </row>
    <row r="578" spans="1:12" ht="15.5" x14ac:dyDescent="0.35">
      <c r="A578" s="143" t="s">
        <v>849</v>
      </c>
      <c r="B578" s="229">
        <v>2044</v>
      </c>
      <c r="C578" s="514" t="s">
        <v>1490</v>
      </c>
      <c r="D578" s="515">
        <v>2.5589105912158145E-2</v>
      </c>
      <c r="E578" s="516">
        <v>2.3082445648702089E-3</v>
      </c>
      <c r="F578" s="145">
        <v>1.8999930757744279E-2</v>
      </c>
      <c r="G578" s="145">
        <v>5.3582366757711907E-4</v>
      </c>
      <c r="H578" s="517">
        <v>2.0000009999999995E-3</v>
      </c>
      <c r="I578" s="517">
        <v>1.5750004999999997E-2</v>
      </c>
      <c r="J578" s="148">
        <v>5.8200929164186677E-4</v>
      </c>
      <c r="K578" s="518">
        <v>1.7645278456840175E-5</v>
      </c>
      <c r="L578" s="519">
        <v>1.8443117472422214E-5</v>
      </c>
    </row>
    <row r="579" spans="1:12" ht="15.5" x14ac:dyDescent="0.35">
      <c r="A579" s="143" t="s">
        <v>849</v>
      </c>
      <c r="B579" s="229">
        <v>2045</v>
      </c>
      <c r="C579" s="514" t="s">
        <v>1491</v>
      </c>
      <c r="D579" s="515">
        <v>2.5516748834490861E-2</v>
      </c>
      <c r="E579" s="516">
        <v>2.2515671472086328E-3</v>
      </c>
      <c r="F579" s="145">
        <v>1.8813642351525276E-2</v>
      </c>
      <c r="G579" s="145">
        <v>5.2588581396720052E-4</v>
      </c>
      <c r="H579" s="517">
        <v>2.0000009999999995E-3</v>
      </c>
      <c r="I579" s="517">
        <v>1.5750004999999997E-2</v>
      </c>
      <c r="J579" s="148">
        <v>5.7121108267957311E-4</v>
      </c>
      <c r="K579" s="518">
        <v>1.7408656894527292E-5</v>
      </c>
      <c r="L579" s="519">
        <v>1.81957945280888E-5</v>
      </c>
    </row>
    <row r="580" spans="1:12" ht="15.5" x14ac:dyDescent="0.35">
      <c r="A580" s="143" t="s">
        <v>849</v>
      </c>
      <c r="B580" s="229">
        <v>2046</v>
      </c>
      <c r="C580" s="514" t="s">
        <v>1492</v>
      </c>
      <c r="D580" s="515">
        <v>2.545496153780397E-2</v>
      </c>
      <c r="E580" s="516">
        <v>2.201973875604678E-3</v>
      </c>
      <c r="F580" s="145">
        <v>1.8660376447988163E-2</v>
      </c>
      <c r="G580" s="145">
        <v>5.1754792799183792E-4</v>
      </c>
      <c r="H580" s="517">
        <v>2.0000009999999999E-3</v>
      </c>
      <c r="I580" s="517">
        <v>1.5750005000000001E-2</v>
      </c>
      <c r="J580" s="148">
        <v>5.6215098045721149E-4</v>
      </c>
      <c r="K580" s="518">
        <v>1.7218169459325932E-5</v>
      </c>
      <c r="L580" s="519">
        <v>1.7996697834077102E-5</v>
      </c>
    </row>
    <row r="581" spans="1:12" ht="15.5" x14ac:dyDescent="0.35">
      <c r="A581" s="143" t="s">
        <v>849</v>
      </c>
      <c r="B581" s="229">
        <v>2047</v>
      </c>
      <c r="C581" s="514" t="s">
        <v>1493</v>
      </c>
      <c r="D581" s="515">
        <v>2.5403612392744385E-2</v>
      </c>
      <c r="E581" s="516">
        <v>2.15845756198351E-3</v>
      </c>
      <c r="F581" s="145">
        <v>1.8520858857591867E-2</v>
      </c>
      <c r="G581" s="145">
        <v>5.1059681506401887E-4</v>
      </c>
      <c r="H581" s="517">
        <v>2.0000009999999999E-3</v>
      </c>
      <c r="I581" s="517">
        <v>1.5750005000000001E-2</v>
      </c>
      <c r="J581" s="148">
        <v>5.5459871586812032E-4</v>
      </c>
      <c r="K581" s="518">
        <v>1.7036635918517904E-5</v>
      </c>
      <c r="L581" s="519">
        <v>1.7806960292864926E-5</v>
      </c>
    </row>
    <row r="582" spans="1:12" ht="15.5" x14ac:dyDescent="0.35">
      <c r="A582" s="143" t="s">
        <v>849</v>
      </c>
      <c r="B582" s="229">
        <v>2048</v>
      </c>
      <c r="C582" s="514" t="s">
        <v>1494</v>
      </c>
      <c r="D582" s="515">
        <v>2.5359750526905301E-2</v>
      </c>
      <c r="E582" s="516">
        <v>2.1232343913728589E-3</v>
      </c>
      <c r="F582" s="145">
        <v>1.8405126347056672E-2</v>
      </c>
      <c r="G582" s="145">
        <v>5.0483535890011734E-4</v>
      </c>
      <c r="H582" s="517">
        <v>2.0000010000000004E-3</v>
      </c>
      <c r="I582" s="517">
        <v>1.5750005000000001E-2</v>
      </c>
      <c r="J582" s="148">
        <v>5.4833785780492126E-4</v>
      </c>
      <c r="K582" s="518">
        <v>1.690399762716762E-5</v>
      </c>
      <c r="L582" s="519">
        <v>1.7668324362283836E-5</v>
      </c>
    </row>
    <row r="583" spans="1:12" ht="15.5" x14ac:dyDescent="0.35">
      <c r="A583" s="143" t="s">
        <v>849</v>
      </c>
      <c r="B583" s="229">
        <v>2049</v>
      </c>
      <c r="C583" s="514" t="s">
        <v>1495</v>
      </c>
      <c r="D583" s="515">
        <v>2.5322430960726321E-2</v>
      </c>
      <c r="E583" s="516">
        <v>2.1100087547949774E-3</v>
      </c>
      <c r="F583" s="145">
        <v>1.8408073978831735E-2</v>
      </c>
      <c r="G583" s="145">
        <v>5.0117505924788359E-4</v>
      </c>
      <c r="H583" s="517">
        <v>2.0000009999999999E-3</v>
      </c>
      <c r="I583" s="517">
        <v>1.5750005000000001E-2</v>
      </c>
      <c r="J583" s="148">
        <v>5.4436219562874481E-4</v>
      </c>
      <c r="K583" s="518">
        <v>1.6786680204097788E-5</v>
      </c>
      <c r="L583" s="519">
        <v>1.7545704999497036E-5</v>
      </c>
    </row>
    <row r="584" spans="1:12" ht="15.5" x14ac:dyDescent="0.35">
      <c r="A584" s="143" t="s">
        <v>849</v>
      </c>
      <c r="B584" s="229">
        <v>2050</v>
      </c>
      <c r="C584" s="514" t="s">
        <v>1496</v>
      </c>
      <c r="D584" s="515">
        <v>2.5290902411371646E-2</v>
      </c>
      <c r="E584" s="516">
        <v>2.099592177410515E-3</v>
      </c>
      <c r="F584" s="145">
        <v>1.8414347418950729E-2</v>
      </c>
      <c r="G584" s="145">
        <v>4.9821630935280357E-4</v>
      </c>
      <c r="H584" s="517">
        <v>2.0000009999999999E-3</v>
      </c>
      <c r="I584" s="517">
        <v>1.5750005000000004E-2</v>
      </c>
      <c r="J584" s="148">
        <v>5.4114878867824725E-4</v>
      </c>
      <c r="K584" s="518">
        <v>1.6681097487411947E-5</v>
      </c>
      <c r="L584" s="519">
        <v>1.7435344899084819E-5</v>
      </c>
    </row>
    <row r="585" spans="1:12" ht="15.5" x14ac:dyDescent="0.35">
      <c r="A585" s="143" t="s">
        <v>852</v>
      </c>
      <c r="B585" s="229">
        <v>2015</v>
      </c>
      <c r="C585" s="514" t="s">
        <v>853</v>
      </c>
      <c r="D585" s="515">
        <v>4.6173859106487719E-2</v>
      </c>
      <c r="E585" s="516">
        <v>5.7314373081462672E-2</v>
      </c>
      <c r="F585" s="145">
        <v>0.20782370826667551</v>
      </c>
      <c r="G585" s="145">
        <v>1.9298384369336942E-3</v>
      </c>
      <c r="H585" s="517">
        <v>2.0000009999999999E-3</v>
      </c>
      <c r="I585" s="517">
        <v>1.5750005000000001E-2</v>
      </c>
      <c r="J585" s="148">
        <v>2.087821201083132E-3</v>
      </c>
      <c r="K585" s="518">
        <v>1.4145805214500231E-4</v>
      </c>
      <c r="L585" s="519">
        <v>1.4785415755058287E-4</v>
      </c>
    </row>
    <row r="586" spans="1:12" ht="15.5" x14ac:dyDescent="0.35">
      <c r="A586" s="143" t="s">
        <v>852</v>
      </c>
      <c r="B586" s="229">
        <v>2016</v>
      </c>
      <c r="C586" s="514" t="s">
        <v>854</v>
      </c>
      <c r="D586" s="515">
        <v>4.5240167385160332E-2</v>
      </c>
      <c r="E586" s="516">
        <v>4.7573582821684959E-2</v>
      </c>
      <c r="F586" s="145">
        <v>0.17892626751064761</v>
      </c>
      <c r="G586" s="145">
        <v>1.8275120208023803E-3</v>
      </c>
      <c r="H586" s="517">
        <v>2.0000009999999995E-3</v>
      </c>
      <c r="I586" s="517">
        <v>1.5750004999999997E-2</v>
      </c>
      <c r="J586" s="148">
        <v>1.9790436336154294E-3</v>
      </c>
      <c r="K586" s="518">
        <v>1.1877029325096639E-4</v>
      </c>
      <c r="L586" s="519">
        <v>1.241405583592057E-4</v>
      </c>
    </row>
    <row r="587" spans="1:12" ht="15.5" x14ac:dyDescent="0.35">
      <c r="A587" s="143" t="s">
        <v>852</v>
      </c>
      <c r="B587" s="229">
        <v>2017</v>
      </c>
      <c r="C587" s="514" t="s">
        <v>1497</v>
      </c>
      <c r="D587" s="515">
        <v>4.4143885951880811E-2</v>
      </c>
      <c r="E587" s="516">
        <v>3.9101600438366163E-2</v>
      </c>
      <c r="F587" s="145">
        <v>0.15216560642740057</v>
      </c>
      <c r="G587" s="145">
        <v>1.7690851264251265E-3</v>
      </c>
      <c r="H587" s="517">
        <v>2.0000009999999999E-3</v>
      </c>
      <c r="I587" s="517">
        <v>1.5750005000000001E-2</v>
      </c>
      <c r="J587" s="148">
        <v>1.9171077137492005E-3</v>
      </c>
      <c r="K587" s="518">
        <v>1.0902092171103285E-4</v>
      </c>
      <c r="L587" s="519">
        <v>1.1395036456040083E-4</v>
      </c>
    </row>
    <row r="588" spans="1:12" ht="15.5" x14ac:dyDescent="0.35">
      <c r="A588" s="143" t="s">
        <v>852</v>
      </c>
      <c r="B588" s="229">
        <v>2018</v>
      </c>
      <c r="C588" s="514" t="s">
        <v>1498</v>
      </c>
      <c r="D588" s="515">
        <v>4.3014333764387742E-2</v>
      </c>
      <c r="E588" s="516">
        <v>3.1837358632479239E-2</v>
      </c>
      <c r="F588" s="145">
        <v>0.12908557615447014</v>
      </c>
      <c r="G588" s="145">
        <v>1.7392199730364615E-3</v>
      </c>
      <c r="H588" s="517">
        <v>2.0000009999999999E-3</v>
      </c>
      <c r="I588" s="517">
        <v>1.5750005000000001E-2</v>
      </c>
      <c r="J588" s="148">
        <v>1.8859465244071747E-3</v>
      </c>
      <c r="K588" s="518">
        <v>1.0088786152852011E-4</v>
      </c>
      <c r="L588" s="519">
        <v>1.054495618774909E-4</v>
      </c>
    </row>
    <row r="589" spans="1:12" ht="15.5" x14ac:dyDescent="0.35">
      <c r="A589" s="143" t="s">
        <v>852</v>
      </c>
      <c r="B589" s="229">
        <v>2019</v>
      </c>
      <c r="C589" s="514" t="s">
        <v>1499</v>
      </c>
      <c r="D589" s="515">
        <v>4.1845048228764579E-2</v>
      </c>
      <c r="E589" s="516">
        <v>2.6008765368824554E-2</v>
      </c>
      <c r="F589" s="145">
        <v>0.10991907564166037</v>
      </c>
      <c r="G589" s="145">
        <v>1.7241124324257474E-3</v>
      </c>
      <c r="H589" s="517">
        <v>2.0000009999999995E-3</v>
      </c>
      <c r="I589" s="517">
        <v>1.5750005000000001E-2</v>
      </c>
      <c r="J589" s="148">
        <v>1.8705330545242432E-3</v>
      </c>
      <c r="K589" s="518">
        <v>9.3206749703165747E-5</v>
      </c>
      <c r="L589" s="519">
        <v>9.7421145682573468E-5</v>
      </c>
    </row>
    <row r="590" spans="1:12" ht="15.5" x14ac:dyDescent="0.35">
      <c r="A590" s="143" t="s">
        <v>852</v>
      </c>
      <c r="B590" s="229">
        <v>2020</v>
      </c>
      <c r="C590" s="514" t="s">
        <v>1500</v>
      </c>
      <c r="D590" s="515">
        <v>4.0655325178511552E-2</v>
      </c>
      <c r="E590" s="516">
        <v>2.1854220626653965E-2</v>
      </c>
      <c r="F590" s="145">
        <v>9.4256350492536181E-2</v>
      </c>
      <c r="G590" s="145">
        <v>1.6822609299205992E-3</v>
      </c>
      <c r="H590" s="517">
        <v>2.0000009999999999E-3</v>
      </c>
      <c r="I590" s="517">
        <v>1.5750005000000001E-2</v>
      </c>
      <c r="J590" s="148">
        <v>1.825523444160959E-3</v>
      </c>
      <c r="K590" s="518">
        <v>8.6834179804424756E-5</v>
      </c>
      <c r="L590" s="519">
        <v>9.0760433765944379E-5</v>
      </c>
    </row>
    <row r="591" spans="1:12" ht="15.5" x14ac:dyDescent="0.35">
      <c r="A591" s="143" t="s">
        <v>852</v>
      </c>
      <c r="B591" s="229">
        <v>2021</v>
      </c>
      <c r="C591" s="514" t="s">
        <v>1501</v>
      </c>
      <c r="D591" s="515">
        <v>3.9447252237294998E-2</v>
      </c>
      <c r="E591" s="516">
        <v>1.8653773520109468E-2</v>
      </c>
      <c r="F591" s="145">
        <v>8.1151216123875172E-2</v>
      </c>
      <c r="G591" s="145">
        <v>1.6051523861234317E-3</v>
      </c>
      <c r="H591" s="517">
        <v>2.0000009999999999E-3</v>
      </c>
      <c r="I591" s="517">
        <v>1.5750004999999997E-2</v>
      </c>
      <c r="J591" s="148">
        <v>1.7420426817645997E-3</v>
      </c>
      <c r="K591" s="518">
        <v>8.0910282927658999E-5</v>
      </c>
      <c r="L591" s="519">
        <v>8.4568683601625482E-5</v>
      </c>
    </row>
    <row r="592" spans="1:12" ht="15.5" x14ac:dyDescent="0.35">
      <c r="A592" s="143" t="s">
        <v>852</v>
      </c>
      <c r="B592" s="229">
        <v>2022</v>
      </c>
      <c r="C592" s="514" t="s">
        <v>1502</v>
      </c>
      <c r="D592" s="515">
        <v>3.8252735186182253E-2</v>
      </c>
      <c r="E592" s="516">
        <v>1.5611351919558682E-2</v>
      </c>
      <c r="F592" s="145">
        <v>6.9816590251018815E-2</v>
      </c>
      <c r="G592" s="145">
        <v>1.5245760926764032E-3</v>
      </c>
      <c r="H592" s="517">
        <v>2.0000009999999999E-3</v>
      </c>
      <c r="I592" s="517">
        <v>1.5750005000000001E-2</v>
      </c>
      <c r="J592" s="148">
        <v>1.6548613875895289E-3</v>
      </c>
      <c r="K592" s="518">
        <v>7.4986291418647436E-5</v>
      </c>
      <c r="L592" s="519">
        <v>7.8376841475294687E-5</v>
      </c>
    </row>
    <row r="593" spans="1:12" ht="15.5" x14ac:dyDescent="0.35">
      <c r="A593" s="143" t="s">
        <v>852</v>
      </c>
      <c r="B593" s="229">
        <v>2023</v>
      </c>
      <c r="C593" s="514" t="s">
        <v>1503</v>
      </c>
      <c r="D593" s="515">
        <v>3.7073463965205243E-2</v>
      </c>
      <c r="E593" s="516">
        <v>1.3498354804591111E-2</v>
      </c>
      <c r="F593" s="145">
        <v>6.081520617528282E-2</v>
      </c>
      <c r="G593" s="145">
        <v>1.4509130694740587E-3</v>
      </c>
      <c r="H593" s="517">
        <v>2.0000010000000004E-3</v>
      </c>
      <c r="I593" s="517">
        <v>1.5750005000000004E-2</v>
      </c>
      <c r="J593" s="148">
        <v>1.5750561026350788E-3</v>
      </c>
      <c r="K593" s="518">
        <v>6.8414024027496856E-5</v>
      </c>
      <c r="L593" s="519">
        <v>7.1507404224002786E-5</v>
      </c>
    </row>
    <row r="594" spans="1:12" ht="15.5" x14ac:dyDescent="0.35">
      <c r="A594" s="143" t="s">
        <v>852</v>
      </c>
      <c r="B594" s="229">
        <v>2024</v>
      </c>
      <c r="C594" s="514" t="s">
        <v>1504</v>
      </c>
      <c r="D594" s="515">
        <v>3.5909377109826002E-2</v>
      </c>
      <c r="E594" s="516">
        <v>1.172958011205249E-2</v>
      </c>
      <c r="F594" s="145">
        <v>5.3298938459593714E-2</v>
      </c>
      <c r="G594" s="145">
        <v>1.3877232266475282E-3</v>
      </c>
      <c r="H594" s="517">
        <v>2.0000009999999995E-3</v>
      </c>
      <c r="I594" s="517">
        <v>1.5750004999999997E-2</v>
      </c>
      <c r="J594" s="148">
        <v>1.5066618829588491E-3</v>
      </c>
      <c r="K594" s="518">
        <v>6.1371942864735945E-5</v>
      </c>
      <c r="L594" s="519">
        <v>6.4146909151240909E-5</v>
      </c>
    </row>
    <row r="595" spans="1:12" ht="15.5" x14ac:dyDescent="0.35">
      <c r="A595" s="143" t="s">
        <v>852</v>
      </c>
      <c r="B595" s="229">
        <v>2025</v>
      </c>
      <c r="C595" s="514" t="s">
        <v>1505</v>
      </c>
      <c r="D595" s="515">
        <v>3.4764553677108068E-2</v>
      </c>
      <c r="E595" s="516">
        <v>1.0263117801625051E-2</v>
      </c>
      <c r="F595" s="145">
        <v>4.7233448589531872E-2</v>
      </c>
      <c r="G595" s="145">
        <v>1.3313122835848987E-3</v>
      </c>
      <c r="H595" s="517">
        <v>2.0000009999999999E-3</v>
      </c>
      <c r="I595" s="517">
        <v>1.5750005000000001E-2</v>
      </c>
      <c r="J595" s="148">
        <v>1.4455724379504914E-3</v>
      </c>
      <c r="K595" s="518">
        <v>5.5445935734285225E-5</v>
      </c>
      <c r="L595" s="519">
        <v>5.7952953643395883E-5</v>
      </c>
    </row>
    <row r="596" spans="1:12" ht="15.5" x14ac:dyDescent="0.35">
      <c r="A596" s="143" t="s">
        <v>852</v>
      </c>
      <c r="B596" s="229">
        <v>2026</v>
      </c>
      <c r="C596" s="514" t="s">
        <v>1506</v>
      </c>
      <c r="D596" s="515">
        <v>3.372870213703847E-2</v>
      </c>
      <c r="E596" s="516">
        <v>9.0091472939196667E-3</v>
      </c>
      <c r="F596" s="145">
        <v>4.2282570596375788E-2</v>
      </c>
      <c r="G596" s="145">
        <v>1.2662150239308128E-3</v>
      </c>
      <c r="H596" s="517">
        <v>2.0000009999999999E-3</v>
      </c>
      <c r="I596" s="517">
        <v>1.5750005000000001E-2</v>
      </c>
      <c r="J596" s="148">
        <v>1.3750062509725863E-3</v>
      </c>
      <c r="K596" s="518">
        <v>4.9965604427509108E-5</v>
      </c>
      <c r="L596" s="519">
        <v>5.2224824058223629E-5</v>
      </c>
    </row>
    <row r="597" spans="1:12" ht="15.5" x14ac:dyDescent="0.35">
      <c r="A597" s="143" t="s">
        <v>852</v>
      </c>
      <c r="B597" s="229">
        <v>2027</v>
      </c>
      <c r="C597" s="514" t="s">
        <v>1507</v>
      </c>
      <c r="D597" s="515">
        <v>3.2783187781119466E-2</v>
      </c>
      <c r="E597" s="516">
        <v>7.9954459282991584E-3</v>
      </c>
      <c r="F597" s="145">
        <v>3.8205671811749553E-2</v>
      </c>
      <c r="G597" s="145">
        <v>1.2000178722287994E-3</v>
      </c>
      <c r="H597" s="517">
        <v>2.0000009999999999E-3</v>
      </c>
      <c r="I597" s="517">
        <v>1.5750005000000001E-2</v>
      </c>
      <c r="J597" s="148">
        <v>1.3032961561420451E-3</v>
      </c>
      <c r="K597" s="518">
        <v>4.3259482960035761E-5</v>
      </c>
      <c r="L597" s="519">
        <v>4.521549086042895E-5</v>
      </c>
    </row>
    <row r="598" spans="1:12" ht="15.5" x14ac:dyDescent="0.35">
      <c r="A598" s="143" t="s">
        <v>852</v>
      </c>
      <c r="B598" s="229">
        <v>2028</v>
      </c>
      <c r="C598" s="514" t="s">
        <v>1508</v>
      </c>
      <c r="D598" s="515">
        <v>3.1932337574947595E-2</v>
      </c>
      <c r="E598" s="516">
        <v>7.1607603864243773E-3</v>
      </c>
      <c r="F598" s="145">
        <v>3.4870670577742298E-2</v>
      </c>
      <c r="G598" s="145">
        <v>1.1280679696019553E-3</v>
      </c>
      <c r="H598" s="517">
        <v>2.0000009999999999E-3</v>
      </c>
      <c r="I598" s="517">
        <v>1.5750005000000001E-2</v>
      </c>
      <c r="J598" s="148">
        <v>1.2252647469218874E-3</v>
      </c>
      <c r="K598" s="518">
        <v>3.8035512719283565E-5</v>
      </c>
      <c r="L598" s="519">
        <v>3.975530892093333E-5</v>
      </c>
    </row>
    <row r="599" spans="1:12" ht="15.5" x14ac:dyDescent="0.35">
      <c r="A599" s="143" t="s">
        <v>852</v>
      </c>
      <c r="B599" s="229">
        <v>2029</v>
      </c>
      <c r="C599" s="514" t="s">
        <v>1509</v>
      </c>
      <c r="D599" s="515">
        <v>3.116599239061478E-2</v>
      </c>
      <c r="E599" s="516">
        <v>6.4263648816727916E-3</v>
      </c>
      <c r="F599" s="145">
        <v>3.2023372250708337E-2</v>
      </c>
      <c r="G599" s="145">
        <v>1.0583934010939477E-3</v>
      </c>
      <c r="H599" s="517">
        <v>2.0000009999999999E-3</v>
      </c>
      <c r="I599" s="517">
        <v>1.5750005000000001E-2</v>
      </c>
      <c r="J599" s="148">
        <v>1.1496669313031257E-3</v>
      </c>
      <c r="K599" s="518">
        <v>3.380582256853458E-5</v>
      </c>
      <c r="L599" s="519">
        <v>3.5334367240107008E-5</v>
      </c>
    </row>
    <row r="600" spans="1:12" ht="15.5" x14ac:dyDescent="0.35">
      <c r="A600" s="143" t="s">
        <v>852</v>
      </c>
      <c r="B600" s="229">
        <v>2030</v>
      </c>
      <c r="C600" s="514" t="s">
        <v>1510</v>
      </c>
      <c r="D600" s="515">
        <v>3.0481888143877443E-2</v>
      </c>
      <c r="E600" s="516">
        <v>5.8197723500885068E-3</v>
      </c>
      <c r="F600" s="145">
        <v>2.970194388081291E-2</v>
      </c>
      <c r="G600" s="145">
        <v>9.9330291444537874E-4</v>
      </c>
      <c r="H600" s="517">
        <v>2.0000009999999999E-3</v>
      </c>
      <c r="I600" s="517">
        <v>1.5750005000000001E-2</v>
      </c>
      <c r="J600" s="148">
        <v>1.0790070303675922E-3</v>
      </c>
      <c r="K600" s="518">
        <v>3.0688170776755884E-5</v>
      </c>
      <c r="L600" s="519">
        <v>3.2075760865974331E-5</v>
      </c>
    </row>
    <row r="601" spans="1:12" ht="15.5" x14ac:dyDescent="0.35">
      <c r="A601" s="143" t="s">
        <v>852</v>
      </c>
      <c r="B601" s="229">
        <v>2031</v>
      </c>
      <c r="C601" s="514" t="s">
        <v>1511</v>
      </c>
      <c r="D601" s="515">
        <v>2.9872580674170389E-2</v>
      </c>
      <c r="E601" s="516">
        <v>5.2914678198975424E-3</v>
      </c>
      <c r="F601" s="145">
        <v>2.7725013593409124E-2</v>
      </c>
      <c r="G601" s="145">
        <v>9.3300422631867916E-4</v>
      </c>
      <c r="H601" s="517">
        <v>2.0000009999999999E-3</v>
      </c>
      <c r="I601" s="517">
        <v>1.5750005000000001E-2</v>
      </c>
      <c r="J601" s="148">
        <v>1.0135023234445649E-3</v>
      </c>
      <c r="K601" s="518">
        <v>2.8902377877039665E-5</v>
      </c>
      <c r="L601" s="519">
        <v>3.0209212040225437E-5</v>
      </c>
    </row>
    <row r="602" spans="1:12" ht="15.5" x14ac:dyDescent="0.35">
      <c r="A602" s="143" t="s">
        <v>852</v>
      </c>
      <c r="B602" s="229">
        <v>2032</v>
      </c>
      <c r="C602" s="514" t="s">
        <v>1512</v>
      </c>
      <c r="D602" s="515">
        <v>2.9331358150009052E-2</v>
      </c>
      <c r="E602" s="516">
        <v>4.8323998223533575E-3</v>
      </c>
      <c r="F602" s="145">
        <v>2.6082788787780684E-2</v>
      </c>
      <c r="G602" s="145">
        <v>8.7651312909620745E-4</v>
      </c>
      <c r="H602" s="517">
        <v>2.0000010000000004E-3</v>
      </c>
      <c r="I602" s="517">
        <v>1.5750005000000004E-2</v>
      </c>
      <c r="J602" s="148">
        <v>9.5214768663996773E-4</v>
      </c>
      <c r="K602" s="518">
        <v>2.6911271321789726E-5</v>
      </c>
      <c r="L602" s="519">
        <v>2.8128075040173418E-5</v>
      </c>
    </row>
    <row r="603" spans="1:12" ht="15.5" x14ac:dyDescent="0.35">
      <c r="A603" s="143" t="s">
        <v>852</v>
      </c>
      <c r="B603" s="229">
        <v>2033</v>
      </c>
      <c r="C603" s="514" t="s">
        <v>1513</v>
      </c>
      <c r="D603" s="515">
        <v>2.8853277807047842E-2</v>
      </c>
      <c r="E603" s="516">
        <v>4.43337777425519E-3</v>
      </c>
      <c r="F603" s="145">
        <v>2.4709700300378033E-2</v>
      </c>
      <c r="G603" s="145">
        <v>8.2473966741652429E-4</v>
      </c>
      <c r="H603" s="517">
        <v>2.0000009999999999E-3</v>
      </c>
      <c r="I603" s="517">
        <v>1.5750005000000001E-2</v>
      </c>
      <c r="J603" s="148">
        <v>8.9589996251705512E-4</v>
      </c>
      <c r="K603" s="518">
        <v>2.5485885894353292E-5</v>
      </c>
      <c r="L603" s="519">
        <v>2.6638246786078777E-5</v>
      </c>
    </row>
    <row r="604" spans="1:12" ht="15.5" x14ac:dyDescent="0.35">
      <c r="A604" s="143" t="s">
        <v>852</v>
      </c>
      <c r="B604" s="229">
        <v>2034</v>
      </c>
      <c r="C604" s="514" t="s">
        <v>1514</v>
      </c>
      <c r="D604" s="515">
        <v>2.8433362834839004E-2</v>
      </c>
      <c r="E604" s="516">
        <v>4.0772400967726179E-3</v>
      </c>
      <c r="F604" s="145">
        <v>2.3547738161344544E-2</v>
      </c>
      <c r="G604" s="145">
        <v>7.769638949950841E-4</v>
      </c>
      <c r="H604" s="517">
        <v>2.0000009999999999E-3</v>
      </c>
      <c r="I604" s="517">
        <v>1.5750004999999997E-2</v>
      </c>
      <c r="J604" s="148">
        <v>8.4399415114898226E-4</v>
      </c>
      <c r="K604" s="518">
        <v>2.4176150978301381E-5</v>
      </c>
      <c r="L604" s="519">
        <v>2.5269291486859452E-5</v>
      </c>
    </row>
    <row r="605" spans="1:12" ht="15.5" x14ac:dyDescent="0.35">
      <c r="A605" s="143" t="s">
        <v>852</v>
      </c>
      <c r="B605" s="229">
        <v>2035</v>
      </c>
      <c r="C605" s="514" t="s">
        <v>1515</v>
      </c>
      <c r="D605" s="515">
        <v>2.8068034955929435E-2</v>
      </c>
      <c r="E605" s="516">
        <v>3.7634908642483877E-3</v>
      </c>
      <c r="F605" s="145">
        <v>2.2581808852282163E-2</v>
      </c>
      <c r="G605" s="145">
        <v>7.3331020065770425E-4</v>
      </c>
      <c r="H605" s="517">
        <v>2.0000010000000004E-3</v>
      </c>
      <c r="I605" s="517">
        <v>1.5750005000000004E-2</v>
      </c>
      <c r="J605" s="148">
        <v>7.965690388939831E-4</v>
      </c>
      <c r="K605" s="518">
        <v>2.2950032548645954E-5</v>
      </c>
      <c r="L605" s="519">
        <v>2.3987729133957736E-5</v>
      </c>
    </row>
    <row r="606" spans="1:12" ht="15.5" x14ac:dyDescent="0.35">
      <c r="A606" s="143" t="s">
        <v>852</v>
      </c>
      <c r="B606" s="229">
        <v>2036</v>
      </c>
      <c r="C606" s="514" t="s">
        <v>1516</v>
      </c>
      <c r="D606" s="515">
        <v>2.7751530806022488E-2</v>
      </c>
      <c r="E606" s="516">
        <v>3.4816414304789703E-3</v>
      </c>
      <c r="F606" s="145">
        <v>2.1745599250031427E-2</v>
      </c>
      <c r="G606" s="145">
        <v>6.9515639493797636E-4</v>
      </c>
      <c r="H606" s="517">
        <v>2.0000009999999999E-3</v>
      </c>
      <c r="I606" s="517">
        <v>1.5750004999999997E-2</v>
      </c>
      <c r="J606" s="148">
        <v>7.5511592336835421E-4</v>
      </c>
      <c r="K606" s="518">
        <v>2.1938210372031826E-5</v>
      </c>
      <c r="L606" s="519">
        <v>2.2930151692717665E-5</v>
      </c>
    </row>
    <row r="607" spans="1:12" ht="15.5" x14ac:dyDescent="0.35">
      <c r="A607" s="143" t="s">
        <v>852</v>
      </c>
      <c r="B607" s="229">
        <v>2037</v>
      </c>
      <c r="C607" s="514" t="s">
        <v>1517</v>
      </c>
      <c r="D607" s="515">
        <v>2.7480194532913314E-2</v>
      </c>
      <c r="E607" s="516">
        <v>3.2431739607796254E-3</v>
      </c>
      <c r="F607" s="145">
        <v>2.1075799354266324E-2</v>
      </c>
      <c r="G607" s="145">
        <v>6.6126769729622358E-4</v>
      </c>
      <c r="H607" s="517">
        <v>2.0000009999999999E-3</v>
      </c>
      <c r="I607" s="517">
        <v>1.5750005000000001E-2</v>
      </c>
      <c r="J607" s="148">
        <v>7.1829705917548961E-4</v>
      </c>
      <c r="K607" s="518">
        <v>2.1044209536446053E-5</v>
      </c>
      <c r="L607" s="519">
        <v>2.1995733255944155E-5</v>
      </c>
    </row>
    <row r="608" spans="1:12" ht="15.5" x14ac:dyDescent="0.35">
      <c r="A608" s="143" t="s">
        <v>852</v>
      </c>
      <c r="B608" s="229">
        <v>2038</v>
      </c>
      <c r="C608" s="514" t="s">
        <v>1518</v>
      </c>
      <c r="D608" s="515">
        <v>2.7248336537949173E-2</v>
      </c>
      <c r="E608" s="516">
        <v>3.0311243346259954E-3</v>
      </c>
      <c r="F608" s="145">
        <v>2.0488225830820977E-2</v>
      </c>
      <c r="G608" s="145">
        <v>6.3122543882653058E-4</v>
      </c>
      <c r="H608" s="517">
        <v>2.0000010000000004E-3</v>
      </c>
      <c r="I608" s="517">
        <v>1.5750005000000001E-2</v>
      </c>
      <c r="J608" s="148">
        <v>6.8565654441558464E-4</v>
      </c>
      <c r="K608" s="518">
        <v>2.0255022802118926E-5</v>
      </c>
      <c r="L608" s="519">
        <v>2.117086308912588E-5</v>
      </c>
    </row>
    <row r="609" spans="1:12" ht="15.5" x14ac:dyDescent="0.35">
      <c r="A609" s="143" t="s">
        <v>852</v>
      </c>
      <c r="B609" s="229">
        <v>2039</v>
      </c>
      <c r="C609" s="514" t="s">
        <v>1519</v>
      </c>
      <c r="D609" s="515">
        <v>2.7051595797642557E-2</v>
      </c>
      <c r="E609" s="516">
        <v>2.8271261867051961E-3</v>
      </c>
      <c r="F609" s="145">
        <v>1.9924466098923732E-2</v>
      </c>
      <c r="G609" s="145">
        <v>6.0459450449103637E-4</v>
      </c>
      <c r="H609" s="517">
        <v>2.0000009999999999E-3</v>
      </c>
      <c r="I609" s="517">
        <v>1.5750005000000004E-2</v>
      </c>
      <c r="J609" s="148">
        <v>6.5672194290716346E-4</v>
      </c>
      <c r="K609" s="518">
        <v>1.9580098740765427E-5</v>
      </c>
      <c r="L609" s="519">
        <v>2.0465420023115099E-5</v>
      </c>
    </row>
    <row r="610" spans="1:12" ht="15.5" x14ac:dyDescent="0.35">
      <c r="A610" s="143" t="s">
        <v>852</v>
      </c>
      <c r="B610" s="229">
        <v>2040</v>
      </c>
      <c r="C610" s="514" t="s">
        <v>1520</v>
      </c>
      <c r="D610" s="515">
        <v>2.6885358402145017E-2</v>
      </c>
      <c r="E610" s="516">
        <v>2.6499229736296143E-3</v>
      </c>
      <c r="F610" s="145">
        <v>1.9469559836563038E-2</v>
      </c>
      <c r="G610" s="145">
        <v>5.8150159158490324E-4</v>
      </c>
      <c r="H610" s="517">
        <v>2.0000009999999995E-3</v>
      </c>
      <c r="I610" s="517">
        <v>1.5750005000000001E-2</v>
      </c>
      <c r="J610" s="148">
        <v>6.3163064287637886E-4</v>
      </c>
      <c r="K610" s="518">
        <v>1.8993679712020351E-5</v>
      </c>
      <c r="L610" s="519">
        <v>1.9852484915250284E-5</v>
      </c>
    </row>
    <row r="611" spans="1:12" ht="15.5" x14ac:dyDescent="0.35">
      <c r="A611" s="143" t="s">
        <v>852</v>
      </c>
      <c r="B611" s="229">
        <v>2041</v>
      </c>
      <c r="C611" s="514" t="s">
        <v>1521</v>
      </c>
      <c r="D611" s="515">
        <v>2.6746663643007981E-2</v>
      </c>
      <c r="E611" s="516">
        <v>2.5135309498997877E-3</v>
      </c>
      <c r="F611" s="145">
        <v>1.9114605792029556E-2</v>
      </c>
      <c r="G611" s="145">
        <v>5.6333762024259222E-4</v>
      </c>
      <c r="H611" s="517">
        <v>2.0000010000000004E-3</v>
      </c>
      <c r="I611" s="517">
        <v>1.5750005000000004E-2</v>
      </c>
      <c r="J611" s="148">
        <v>6.1189692389538425E-4</v>
      </c>
      <c r="K611" s="518">
        <v>1.8512370727318908E-5</v>
      </c>
      <c r="L611" s="519">
        <v>1.9349411266240549E-5</v>
      </c>
    </row>
    <row r="612" spans="1:12" ht="15.5" x14ac:dyDescent="0.35">
      <c r="A612" s="143" t="s">
        <v>852</v>
      </c>
      <c r="B612" s="229">
        <v>2042</v>
      </c>
      <c r="C612" s="514" t="s">
        <v>1522</v>
      </c>
      <c r="D612" s="515">
        <v>2.662987514462202E-2</v>
      </c>
      <c r="E612" s="516">
        <v>2.3968373661498138E-3</v>
      </c>
      <c r="F612" s="145">
        <v>1.8786931934772873E-2</v>
      </c>
      <c r="G612" s="145">
        <v>5.479145891978223E-4</v>
      </c>
      <c r="H612" s="517">
        <v>2.0000009999999999E-3</v>
      </c>
      <c r="I612" s="517">
        <v>1.5750004999999997E-2</v>
      </c>
      <c r="J612" s="148">
        <v>5.9513940177879259E-4</v>
      </c>
      <c r="K612" s="518">
        <v>1.8121827875265335E-5</v>
      </c>
      <c r="L612" s="519">
        <v>1.8941221443431792E-5</v>
      </c>
    </row>
    <row r="613" spans="1:12" ht="15.5" x14ac:dyDescent="0.35">
      <c r="A613" s="143" t="s">
        <v>852</v>
      </c>
      <c r="B613" s="229">
        <v>2043</v>
      </c>
      <c r="C613" s="514" t="s">
        <v>1523</v>
      </c>
      <c r="D613" s="515">
        <v>2.6533174423407649E-2</v>
      </c>
      <c r="E613" s="516">
        <v>2.3076899416553357E-3</v>
      </c>
      <c r="F613" s="145">
        <v>1.8543033304448786E-2</v>
      </c>
      <c r="G613" s="145">
        <v>5.3496765865454921E-4</v>
      </c>
      <c r="H613" s="517">
        <v>2.0000009999999999E-3</v>
      </c>
      <c r="I613" s="517">
        <v>1.5750005000000001E-2</v>
      </c>
      <c r="J613" s="148">
        <v>5.8107135309076253E-4</v>
      </c>
      <c r="K613" s="518">
        <v>1.7818951952467613E-5</v>
      </c>
      <c r="L613" s="519">
        <v>1.8624644401168426E-5</v>
      </c>
    </row>
    <row r="614" spans="1:12" ht="15.5" x14ac:dyDescent="0.35">
      <c r="A614" s="143" t="s">
        <v>852</v>
      </c>
      <c r="B614" s="229">
        <v>2044</v>
      </c>
      <c r="C614" s="514" t="s">
        <v>1524</v>
      </c>
      <c r="D614" s="515">
        <v>2.6451029941279479E-2</v>
      </c>
      <c r="E614" s="516">
        <v>2.2414345163810053E-3</v>
      </c>
      <c r="F614" s="145">
        <v>1.8354530204417404E-2</v>
      </c>
      <c r="G614" s="145">
        <v>5.2410776750209205E-4</v>
      </c>
      <c r="H614" s="517">
        <v>2.0000009999999999E-3</v>
      </c>
      <c r="I614" s="517">
        <v>1.5750005000000004E-2</v>
      </c>
      <c r="J614" s="148">
        <v>5.6927007837286958E-4</v>
      </c>
      <c r="K614" s="518">
        <v>1.7573248892035538E-5</v>
      </c>
      <c r="L614" s="519">
        <v>1.8367833296773884E-5</v>
      </c>
    </row>
    <row r="615" spans="1:12" ht="15.5" x14ac:dyDescent="0.35">
      <c r="A615" s="143" t="s">
        <v>852</v>
      </c>
      <c r="B615" s="229">
        <v>2045</v>
      </c>
      <c r="C615" s="514" t="s">
        <v>1525</v>
      </c>
      <c r="D615" s="515">
        <v>2.6381447143056656E-2</v>
      </c>
      <c r="E615" s="516">
        <v>2.1956010776711101E-3</v>
      </c>
      <c r="F615" s="145">
        <v>1.8226631018038297E-2</v>
      </c>
      <c r="G615" s="145">
        <v>5.1499017748875861E-4</v>
      </c>
      <c r="H615" s="517">
        <v>2.0000009999999999E-3</v>
      </c>
      <c r="I615" s="517">
        <v>1.5750005000000001E-2</v>
      </c>
      <c r="J615" s="148">
        <v>5.5936200646312202E-4</v>
      </c>
      <c r="K615" s="518">
        <v>1.7382882700400434E-5</v>
      </c>
      <c r="L615" s="519">
        <v>1.8168860459224932E-5</v>
      </c>
    </row>
    <row r="616" spans="1:12" ht="15.5" x14ac:dyDescent="0.35">
      <c r="A616" s="143" t="s">
        <v>852</v>
      </c>
      <c r="B616" s="229">
        <v>2046</v>
      </c>
      <c r="C616" s="514" t="s">
        <v>1526</v>
      </c>
      <c r="D616" s="515">
        <v>2.6322878138192861E-2</v>
      </c>
      <c r="E616" s="516">
        <v>2.1551705413774347E-3</v>
      </c>
      <c r="F616" s="145">
        <v>1.8119751952695589E-2</v>
      </c>
      <c r="G616" s="145">
        <v>5.0741001115071471E-4</v>
      </c>
      <c r="H616" s="517">
        <v>2.0000009999999999E-3</v>
      </c>
      <c r="I616" s="517">
        <v>1.5750005000000001E-2</v>
      </c>
      <c r="J616" s="148">
        <v>5.5112411414837202E-4</v>
      </c>
      <c r="K616" s="518">
        <v>1.7230558423585831E-5</v>
      </c>
      <c r="L616" s="519">
        <v>1.8009651960758556E-5</v>
      </c>
    </row>
    <row r="617" spans="1:12" ht="15.5" x14ac:dyDescent="0.35">
      <c r="A617" s="143" t="s">
        <v>852</v>
      </c>
      <c r="B617" s="229">
        <v>2047</v>
      </c>
      <c r="C617" s="514" t="s">
        <v>1527</v>
      </c>
      <c r="D617" s="515">
        <v>2.6274055725440632E-2</v>
      </c>
      <c r="E617" s="516">
        <v>2.119938856658306E-3</v>
      </c>
      <c r="F617" s="145">
        <v>1.8022114405090512E-2</v>
      </c>
      <c r="G617" s="145">
        <v>5.0119623751027791E-4</v>
      </c>
      <c r="H617" s="517">
        <v>2.0000009999999995E-3</v>
      </c>
      <c r="I617" s="517">
        <v>1.5750004999999997E-2</v>
      </c>
      <c r="J617" s="148">
        <v>5.4437147300575705E-4</v>
      </c>
      <c r="K617" s="518">
        <v>1.7109064144001866E-5</v>
      </c>
      <c r="L617" s="519">
        <v>1.7882661618949103E-5</v>
      </c>
    </row>
    <row r="618" spans="1:12" ht="15.5" x14ac:dyDescent="0.35">
      <c r="A618" s="143" t="s">
        <v>852</v>
      </c>
      <c r="B618" s="229">
        <v>2048</v>
      </c>
      <c r="C618" s="514" t="s">
        <v>1528</v>
      </c>
      <c r="D618" s="515">
        <v>2.6233112735966568E-2</v>
      </c>
      <c r="E618" s="516">
        <v>2.0911525051617095E-3</v>
      </c>
      <c r="F618" s="145">
        <v>1.7939956996032215E-2</v>
      </c>
      <c r="G618" s="145">
        <v>4.9609606798768635E-4</v>
      </c>
      <c r="H618" s="517">
        <v>2.0000009999999999E-3</v>
      </c>
      <c r="I618" s="517">
        <v>1.5750005000000001E-2</v>
      </c>
      <c r="J618" s="148">
        <v>5.3882913845632431E-4</v>
      </c>
      <c r="K618" s="518">
        <v>1.7008090650798859E-5</v>
      </c>
      <c r="L618" s="519">
        <v>1.7777127819513369E-5</v>
      </c>
    </row>
    <row r="619" spans="1:12" ht="15.5" x14ac:dyDescent="0.35">
      <c r="A619" s="143" t="s">
        <v>852</v>
      </c>
      <c r="B619" s="229">
        <v>2049</v>
      </c>
      <c r="C619" s="514" t="s">
        <v>1529</v>
      </c>
      <c r="D619" s="515">
        <v>2.6198571894860068E-2</v>
      </c>
      <c r="E619" s="516">
        <v>2.0800109751800289E-3</v>
      </c>
      <c r="F619" s="145">
        <v>1.7946829822531558E-2</v>
      </c>
      <c r="G619" s="145">
        <v>4.9279063809612412E-4</v>
      </c>
      <c r="H619" s="517">
        <v>2.0000009999999999E-3</v>
      </c>
      <c r="I619" s="517">
        <v>1.5750005000000001E-2</v>
      </c>
      <c r="J619" s="148">
        <v>5.3523756052091618E-4</v>
      </c>
      <c r="K619" s="518">
        <v>1.6936452632730018E-5</v>
      </c>
      <c r="L619" s="519">
        <v>1.7702235657837961E-5</v>
      </c>
    </row>
    <row r="620" spans="1:12" ht="15.5" x14ac:dyDescent="0.35">
      <c r="A620" s="143" t="s">
        <v>852</v>
      </c>
      <c r="B620" s="229">
        <v>2050</v>
      </c>
      <c r="C620" s="514" t="s">
        <v>1530</v>
      </c>
      <c r="D620" s="515">
        <v>2.617187567761441E-2</v>
      </c>
      <c r="E620" s="516">
        <v>2.0711145286535157E-3</v>
      </c>
      <c r="F620" s="145">
        <v>1.7954785891999971E-2</v>
      </c>
      <c r="G620" s="145">
        <v>4.9015515236389769E-4</v>
      </c>
      <c r="H620" s="517">
        <v>2.0000010000000004E-3</v>
      </c>
      <c r="I620" s="517">
        <v>1.5750005000000001E-2</v>
      </c>
      <c r="J620" s="148">
        <v>5.3237384491509475E-4</v>
      </c>
      <c r="K620" s="518">
        <v>1.6861805648397038E-5</v>
      </c>
      <c r="L620" s="519">
        <v>1.7624222198201119E-5</v>
      </c>
    </row>
    <row r="621" spans="1:12" ht="15.5" x14ac:dyDescent="0.35">
      <c r="A621" s="143" t="s">
        <v>855</v>
      </c>
      <c r="B621" s="229">
        <v>2015</v>
      </c>
      <c r="C621" s="514" t="s">
        <v>856</v>
      </c>
      <c r="D621" s="515">
        <v>4.6492624076667689E-2</v>
      </c>
      <c r="E621" s="516">
        <v>5.2176538330863116E-2</v>
      </c>
      <c r="F621" s="145">
        <v>0.20323454919065867</v>
      </c>
      <c r="G621" s="145">
        <v>1.7652243064413481E-3</v>
      </c>
      <c r="H621" s="517">
        <v>2.0000010000000004E-3</v>
      </c>
      <c r="I621" s="517">
        <v>1.5750005000000001E-2</v>
      </c>
      <c r="J621" s="148">
        <v>1.9104291726211289E-3</v>
      </c>
      <c r="K621" s="518">
        <v>1.2231492974284572E-4</v>
      </c>
      <c r="L621" s="519">
        <v>1.2784547055166504E-4</v>
      </c>
    </row>
    <row r="622" spans="1:12" ht="15.5" x14ac:dyDescent="0.35">
      <c r="A622" s="143" t="s">
        <v>855</v>
      </c>
      <c r="B622" s="229">
        <v>2016</v>
      </c>
      <c r="C622" s="514" t="s">
        <v>857</v>
      </c>
      <c r="D622" s="515">
        <v>4.5560585311375232E-2</v>
      </c>
      <c r="E622" s="516">
        <v>4.3031376520088163E-2</v>
      </c>
      <c r="F622" s="145">
        <v>0.17227229401040212</v>
      </c>
      <c r="G622" s="145">
        <v>1.662444915130581E-3</v>
      </c>
      <c r="H622" s="517">
        <v>2.0000009999999999E-3</v>
      </c>
      <c r="I622" s="517">
        <v>1.5750005000000001E-2</v>
      </c>
      <c r="J622" s="148">
        <v>1.8004707815555882E-3</v>
      </c>
      <c r="K622" s="518">
        <v>1.0872805197937819E-4</v>
      </c>
      <c r="L622" s="519">
        <v>1.1364425031986538E-4</v>
      </c>
    </row>
    <row r="623" spans="1:12" ht="15.5" x14ac:dyDescent="0.35">
      <c r="A623" s="143" t="s">
        <v>855</v>
      </c>
      <c r="B623" s="229">
        <v>2017</v>
      </c>
      <c r="C623" s="514" t="s">
        <v>1531</v>
      </c>
      <c r="D623" s="515">
        <v>4.4496010290990914E-2</v>
      </c>
      <c r="E623" s="516">
        <v>3.5204011202057184E-2</v>
      </c>
      <c r="F623" s="145">
        <v>0.14554318358523879</v>
      </c>
      <c r="G623" s="145">
        <v>1.600655769920281E-3</v>
      </c>
      <c r="H623" s="517">
        <v>2.0000009999999999E-3</v>
      </c>
      <c r="I623" s="517">
        <v>1.5750005000000001E-2</v>
      </c>
      <c r="J623" s="148">
        <v>1.73475107007044E-3</v>
      </c>
      <c r="K623" s="518">
        <v>9.8249920400772335E-5</v>
      </c>
      <c r="L623" s="519">
        <v>1.0269234749752531E-4</v>
      </c>
    </row>
    <row r="624" spans="1:12" ht="15.5" x14ac:dyDescent="0.35">
      <c r="A624" s="143" t="s">
        <v>855</v>
      </c>
      <c r="B624" s="229">
        <v>2018</v>
      </c>
      <c r="C624" s="514" t="s">
        <v>1532</v>
      </c>
      <c r="D624" s="515">
        <v>4.3301149697606185E-2</v>
      </c>
      <c r="E624" s="516">
        <v>2.8382927065754206E-2</v>
      </c>
      <c r="F624" s="145">
        <v>0.12202722717043625</v>
      </c>
      <c r="G624" s="145">
        <v>1.5612900524293921E-3</v>
      </c>
      <c r="H624" s="517">
        <v>2.0000009999999999E-3</v>
      </c>
      <c r="I624" s="517">
        <v>1.5750005000000001E-2</v>
      </c>
      <c r="J624" s="148">
        <v>1.693151807094483E-3</v>
      </c>
      <c r="K624" s="518">
        <v>8.9752985370977227E-5</v>
      </c>
      <c r="L624" s="519">
        <v>9.3811216405927805E-5</v>
      </c>
    </row>
    <row r="625" spans="1:12" ht="15.5" x14ac:dyDescent="0.35">
      <c r="A625" s="143" t="s">
        <v>855</v>
      </c>
      <c r="B625" s="229">
        <v>2019</v>
      </c>
      <c r="C625" s="514" t="s">
        <v>1533</v>
      </c>
      <c r="D625" s="515">
        <v>4.2119313543075521E-2</v>
      </c>
      <c r="E625" s="516">
        <v>2.3062372562177538E-2</v>
      </c>
      <c r="F625" s="145">
        <v>0.10318355841428278</v>
      </c>
      <c r="G625" s="145">
        <v>1.5424644779296526E-3</v>
      </c>
      <c r="H625" s="517">
        <v>2.0000010000000004E-3</v>
      </c>
      <c r="I625" s="517">
        <v>1.5750005000000001E-2</v>
      </c>
      <c r="J625" s="148">
        <v>1.6736670745012853E-3</v>
      </c>
      <c r="K625" s="518">
        <v>8.0100800930591959E-5</v>
      </c>
      <c r="L625" s="519">
        <v>8.372260261508241E-5</v>
      </c>
    </row>
    <row r="626" spans="1:12" ht="15.5" x14ac:dyDescent="0.35">
      <c r="A626" s="143" t="s">
        <v>855</v>
      </c>
      <c r="B626" s="229">
        <v>2020</v>
      </c>
      <c r="C626" s="514" t="s">
        <v>1534</v>
      </c>
      <c r="D626" s="515">
        <v>4.0914550191442106E-2</v>
      </c>
      <c r="E626" s="516">
        <v>1.9089883806946994E-2</v>
      </c>
      <c r="F626" s="145">
        <v>8.7772301803375349E-2</v>
      </c>
      <c r="G626" s="145">
        <v>1.5042775504696012E-3</v>
      </c>
      <c r="H626" s="517">
        <v>2.0000009999999999E-3</v>
      </c>
      <c r="I626" s="517">
        <v>1.5750005000000001E-2</v>
      </c>
      <c r="J626" s="148">
        <v>1.6325473898035326E-3</v>
      </c>
      <c r="K626" s="518">
        <v>7.5819552353473222E-5</v>
      </c>
      <c r="L626" s="519">
        <v>7.9247777566401453E-5</v>
      </c>
    </row>
    <row r="627" spans="1:12" ht="15.5" x14ac:dyDescent="0.35">
      <c r="A627" s="143" t="s">
        <v>855</v>
      </c>
      <c r="B627" s="229">
        <v>2021</v>
      </c>
      <c r="C627" s="514" t="s">
        <v>1535</v>
      </c>
      <c r="D627" s="515">
        <v>3.9680985066997833E-2</v>
      </c>
      <c r="E627" s="516">
        <v>1.6330472313131485E-2</v>
      </c>
      <c r="F627" s="145">
        <v>7.5282392979342333E-2</v>
      </c>
      <c r="G627" s="145">
        <v>1.4475872361892101E-3</v>
      </c>
      <c r="H627" s="517">
        <v>2.0000009999999995E-3</v>
      </c>
      <c r="I627" s="517">
        <v>1.5750004999999997E-2</v>
      </c>
      <c r="J627" s="148">
        <v>1.5711972683953026E-3</v>
      </c>
      <c r="K627" s="518">
        <v>7.0928175294873177E-5</v>
      </c>
      <c r="L627" s="519">
        <v>7.4135232643576923E-5</v>
      </c>
    </row>
    <row r="628" spans="1:12" ht="15.5" x14ac:dyDescent="0.35">
      <c r="A628" s="143" t="s">
        <v>855</v>
      </c>
      <c r="B628" s="229">
        <v>2022</v>
      </c>
      <c r="C628" s="514" t="s">
        <v>1536</v>
      </c>
      <c r="D628" s="515">
        <v>3.847261603400904E-2</v>
      </c>
      <c r="E628" s="516">
        <v>1.3786627436049439E-2</v>
      </c>
      <c r="F628" s="145">
        <v>6.4806823706403352E-2</v>
      </c>
      <c r="G628" s="145">
        <v>1.3778771005614051E-3</v>
      </c>
      <c r="H628" s="517">
        <v>2.0000009999999999E-3</v>
      </c>
      <c r="I628" s="517">
        <v>1.5750005000000001E-2</v>
      </c>
      <c r="J628" s="148">
        <v>1.4957018575635569E-3</v>
      </c>
      <c r="K628" s="518">
        <v>6.611072396454012E-5</v>
      </c>
      <c r="L628" s="519">
        <v>6.9099955889476741E-5</v>
      </c>
    </row>
    <row r="629" spans="1:12" ht="15.5" x14ac:dyDescent="0.35">
      <c r="A629" s="143" t="s">
        <v>855</v>
      </c>
      <c r="B629" s="229">
        <v>2023</v>
      </c>
      <c r="C629" s="514" t="s">
        <v>1537</v>
      </c>
      <c r="D629" s="515">
        <v>3.7271777458914718E-2</v>
      </c>
      <c r="E629" s="516">
        <v>1.1855290642769059E-2</v>
      </c>
      <c r="F629" s="145">
        <v>5.6263164253321077E-2</v>
      </c>
      <c r="G629" s="145">
        <v>1.3137858425311987E-3</v>
      </c>
      <c r="H629" s="517">
        <v>2.0000009999999999E-3</v>
      </c>
      <c r="I629" s="517">
        <v>1.5750005000000001E-2</v>
      </c>
      <c r="J629" s="148">
        <v>1.4262167644969507E-3</v>
      </c>
      <c r="K629" s="518">
        <v>6.1626283950705148E-5</v>
      </c>
      <c r="L629" s="519">
        <v>6.4412747856611334E-5</v>
      </c>
    </row>
    <row r="630" spans="1:12" ht="15.5" x14ac:dyDescent="0.35">
      <c r="A630" s="143" t="s">
        <v>855</v>
      </c>
      <c r="B630" s="229">
        <v>2024</v>
      </c>
      <c r="C630" s="514" t="s">
        <v>1538</v>
      </c>
      <c r="D630" s="515">
        <v>3.6092465010091432E-2</v>
      </c>
      <c r="E630" s="516">
        <v>1.030805123923473E-2</v>
      </c>
      <c r="F630" s="145">
        <v>4.9308892237376112E-2</v>
      </c>
      <c r="G630" s="145">
        <v>1.2607179177026339E-3</v>
      </c>
      <c r="H630" s="517">
        <v>2.0000009999999995E-3</v>
      </c>
      <c r="I630" s="517">
        <v>1.5750005000000001E-2</v>
      </c>
      <c r="J630" s="148">
        <v>1.3688164390403361E-3</v>
      </c>
      <c r="K630" s="518">
        <v>5.4731927122489649E-5</v>
      </c>
      <c r="L630" s="519">
        <v>5.7206660836815419E-5</v>
      </c>
    </row>
    <row r="631" spans="1:12" ht="15.5" x14ac:dyDescent="0.35">
      <c r="A631" s="143" t="s">
        <v>855</v>
      </c>
      <c r="B631" s="229">
        <v>2025</v>
      </c>
      <c r="C631" s="514" t="s">
        <v>1539</v>
      </c>
      <c r="D631" s="515">
        <v>3.4918445626815155E-2</v>
      </c>
      <c r="E631" s="516">
        <v>9.001318613551558E-3</v>
      </c>
      <c r="F631" s="145">
        <v>4.3699811454680521E-2</v>
      </c>
      <c r="G631" s="145">
        <v>1.2113968905627112E-3</v>
      </c>
      <c r="H631" s="517">
        <v>2.0000010000000004E-3</v>
      </c>
      <c r="I631" s="517">
        <v>1.5750005000000001E-2</v>
      </c>
      <c r="J631" s="148">
        <v>1.3153802733920717E-3</v>
      </c>
      <c r="K631" s="518">
        <v>5.0111479075487602E-5</v>
      </c>
      <c r="L631" s="519">
        <v>5.2377298516945806E-5</v>
      </c>
    </row>
    <row r="632" spans="1:12" ht="15.5" x14ac:dyDescent="0.35">
      <c r="A632" s="143" t="s">
        <v>855</v>
      </c>
      <c r="B632" s="229">
        <v>2026</v>
      </c>
      <c r="C632" s="514" t="s">
        <v>1540</v>
      </c>
      <c r="D632" s="515">
        <v>3.3771569974212372E-2</v>
      </c>
      <c r="E632" s="516">
        <v>8.1445092200642076E-3</v>
      </c>
      <c r="F632" s="145">
        <v>3.9351592341693165E-2</v>
      </c>
      <c r="G632" s="145">
        <v>1.1900677636140257E-3</v>
      </c>
      <c r="H632" s="517">
        <v>2.0000010000000004E-3</v>
      </c>
      <c r="I632" s="517">
        <v>1.5750005000000001E-2</v>
      </c>
      <c r="J632" s="148">
        <v>1.2923398318999753E-3</v>
      </c>
      <c r="K632" s="518">
        <v>4.6415756081558455E-5</v>
      </c>
      <c r="L632" s="519">
        <v>4.8514475421947819E-5</v>
      </c>
    </row>
    <row r="633" spans="1:12" ht="15.5" x14ac:dyDescent="0.35">
      <c r="A633" s="143" t="s">
        <v>855</v>
      </c>
      <c r="B633" s="229">
        <v>2027</v>
      </c>
      <c r="C633" s="514" t="s">
        <v>1541</v>
      </c>
      <c r="D633" s="515">
        <v>3.2789708198724503E-2</v>
      </c>
      <c r="E633" s="516">
        <v>7.2233047288741189E-3</v>
      </c>
      <c r="F633" s="145">
        <v>3.562266316009538E-2</v>
      </c>
      <c r="G633" s="145">
        <v>1.1278197481193598E-3</v>
      </c>
      <c r="H633" s="517">
        <v>2.0000010000000004E-3</v>
      </c>
      <c r="I633" s="517">
        <v>1.5750005000000004E-2</v>
      </c>
      <c r="J633" s="148">
        <v>1.2249224061431812E-3</v>
      </c>
      <c r="K633" s="518">
        <v>3.9741417664391372E-5</v>
      </c>
      <c r="L633" s="519">
        <v>4.1538352241731064E-5</v>
      </c>
    </row>
    <row r="634" spans="1:12" ht="15.5" x14ac:dyDescent="0.35">
      <c r="A634" s="143" t="s">
        <v>855</v>
      </c>
      <c r="B634" s="229">
        <v>2028</v>
      </c>
      <c r="C634" s="514" t="s">
        <v>1542</v>
      </c>
      <c r="D634" s="515">
        <v>3.1905036443451655E-2</v>
      </c>
      <c r="E634" s="516">
        <v>6.4695501952302141E-3</v>
      </c>
      <c r="F634" s="145">
        <v>3.2604515566965017E-2</v>
      </c>
      <c r="G634" s="145">
        <v>1.0593563209606129E-3</v>
      </c>
      <c r="H634" s="517">
        <v>2.0000009999999995E-3</v>
      </c>
      <c r="I634" s="517">
        <v>1.5750004999999997E-2</v>
      </c>
      <c r="J634" s="148">
        <v>1.1507162206454546E-3</v>
      </c>
      <c r="K634" s="518">
        <v>3.374915836189975E-5</v>
      </c>
      <c r="L634" s="519">
        <v>3.5275149459954324E-5</v>
      </c>
    </row>
    <row r="635" spans="1:12" ht="15.5" x14ac:dyDescent="0.35">
      <c r="A635" s="143" t="s">
        <v>855</v>
      </c>
      <c r="B635" s="229">
        <v>2029</v>
      </c>
      <c r="C635" s="514" t="s">
        <v>1543</v>
      </c>
      <c r="D635" s="515">
        <v>3.1110369205089868E-2</v>
      </c>
      <c r="E635" s="516">
        <v>5.8152330566375214E-3</v>
      </c>
      <c r="F635" s="145">
        <v>3.0065486191657539E-2</v>
      </c>
      <c r="G635" s="145">
        <v>9.9422052612844515E-4</v>
      </c>
      <c r="H635" s="517">
        <v>2.0000010000000004E-3</v>
      </c>
      <c r="I635" s="517">
        <v>1.5750005000000001E-2</v>
      </c>
      <c r="J635" s="148">
        <v>1.080024274845997E-3</v>
      </c>
      <c r="K635" s="518">
        <v>3.0234916615158967E-5</v>
      </c>
      <c r="L635" s="519">
        <v>3.1602005446196364E-5</v>
      </c>
    </row>
    <row r="636" spans="1:12" ht="15.5" x14ac:dyDescent="0.35">
      <c r="A636" s="143" t="s">
        <v>855</v>
      </c>
      <c r="B636" s="229">
        <v>2030</v>
      </c>
      <c r="C636" s="514" t="s">
        <v>1544</v>
      </c>
      <c r="D636" s="515">
        <v>3.0400866590488664E-2</v>
      </c>
      <c r="E636" s="516">
        <v>5.2693119100469792E-3</v>
      </c>
      <c r="F636" s="145">
        <v>2.79817446249385E-2</v>
      </c>
      <c r="G636" s="145">
        <v>9.3303019895946246E-4</v>
      </c>
      <c r="H636" s="517">
        <v>2.0000009999999999E-3</v>
      </c>
      <c r="I636" s="517">
        <v>1.5750005000000004E-2</v>
      </c>
      <c r="J636" s="148">
        <v>1.0135756972719581E-3</v>
      </c>
      <c r="K636" s="518">
        <v>2.7838595325301107E-5</v>
      </c>
      <c r="L636" s="519">
        <v>2.909733327869839E-5</v>
      </c>
    </row>
    <row r="637" spans="1:12" ht="15.5" x14ac:dyDescent="0.35">
      <c r="A637" s="143" t="s">
        <v>855</v>
      </c>
      <c r="B637" s="229">
        <v>2031</v>
      </c>
      <c r="C637" s="514" t="s">
        <v>1545</v>
      </c>
      <c r="D637" s="515">
        <v>2.9770584318237009E-2</v>
      </c>
      <c r="E637" s="516">
        <v>4.7878865709908925E-3</v>
      </c>
      <c r="F637" s="145">
        <v>2.6176224552658375E-2</v>
      </c>
      <c r="G637" s="145">
        <v>8.7533389005182429E-4</v>
      </c>
      <c r="H637" s="517">
        <v>2.0000009999999999E-3</v>
      </c>
      <c r="I637" s="517">
        <v>1.5750005000000001E-2</v>
      </c>
      <c r="J637" s="148">
        <v>9.5089828307287389E-4</v>
      </c>
      <c r="K637" s="518">
        <v>2.6128204779461215E-5</v>
      </c>
      <c r="L637" s="519">
        <v>2.7309603062928421E-5</v>
      </c>
    </row>
    <row r="638" spans="1:12" ht="15.5" x14ac:dyDescent="0.35">
      <c r="A638" s="143" t="s">
        <v>855</v>
      </c>
      <c r="B638" s="229">
        <v>2032</v>
      </c>
      <c r="C638" s="514" t="s">
        <v>1546</v>
      </c>
      <c r="D638" s="515">
        <v>2.921311011076045E-2</v>
      </c>
      <c r="E638" s="516">
        <v>4.3738089133093646E-3</v>
      </c>
      <c r="F638" s="145">
        <v>2.4691458130417593E-2</v>
      </c>
      <c r="G638" s="145">
        <v>8.2157818382369617E-4</v>
      </c>
      <c r="H638" s="517">
        <v>2.0000009999999999E-3</v>
      </c>
      <c r="I638" s="517">
        <v>1.5750005000000001E-2</v>
      </c>
      <c r="J638" s="148">
        <v>8.9250320753090978E-4</v>
      </c>
      <c r="K638" s="518">
        <v>2.4496776052231643E-5</v>
      </c>
      <c r="L638" s="519">
        <v>2.560441362086994E-5</v>
      </c>
    </row>
    <row r="639" spans="1:12" ht="15.5" x14ac:dyDescent="0.35">
      <c r="A639" s="143" t="s">
        <v>855</v>
      </c>
      <c r="B639" s="229">
        <v>2033</v>
      </c>
      <c r="C639" s="514" t="s">
        <v>1547</v>
      </c>
      <c r="D639" s="515">
        <v>2.8722799920238965E-2</v>
      </c>
      <c r="E639" s="516">
        <v>4.0074524706806306E-3</v>
      </c>
      <c r="F639" s="145">
        <v>2.3421948970495543E-2</v>
      </c>
      <c r="G639" s="145">
        <v>7.7185441193906433E-4</v>
      </c>
      <c r="H639" s="517">
        <v>2.0000009999999999E-3</v>
      </c>
      <c r="I639" s="517">
        <v>1.5750004999999997E-2</v>
      </c>
      <c r="J639" s="148">
        <v>8.3847464845235287E-4</v>
      </c>
      <c r="K639" s="518">
        <v>2.3303163445883435E-5</v>
      </c>
      <c r="L639" s="519">
        <v>2.4356831324405689E-5</v>
      </c>
    </row>
    <row r="640" spans="1:12" ht="15.5" x14ac:dyDescent="0.35">
      <c r="A640" s="143" t="s">
        <v>855</v>
      </c>
      <c r="B640" s="229">
        <v>2034</v>
      </c>
      <c r="C640" s="514" t="s">
        <v>1548</v>
      </c>
      <c r="D640" s="515">
        <v>2.8293215327476605E-2</v>
      </c>
      <c r="E640" s="516">
        <v>3.6839657413652986E-3</v>
      </c>
      <c r="F640" s="145">
        <v>2.236287624512541E-2</v>
      </c>
      <c r="G640" s="145">
        <v>7.2604746203180405E-4</v>
      </c>
      <c r="H640" s="517">
        <v>2.0000010000000004E-3</v>
      </c>
      <c r="I640" s="517">
        <v>1.5750005000000004E-2</v>
      </c>
      <c r="J640" s="148">
        <v>7.8870256501266628E-4</v>
      </c>
      <c r="K640" s="518">
        <v>2.21942674524665E-5</v>
      </c>
      <c r="L640" s="519">
        <v>2.3197792417268096E-5</v>
      </c>
    </row>
    <row r="641" spans="1:12" ht="15.5" x14ac:dyDescent="0.35">
      <c r="A641" s="143" t="s">
        <v>855</v>
      </c>
      <c r="B641" s="229">
        <v>2035</v>
      </c>
      <c r="C641" s="514" t="s">
        <v>1549</v>
      </c>
      <c r="D641" s="515">
        <v>2.79199055932693E-2</v>
      </c>
      <c r="E641" s="516">
        <v>3.3970110826223119E-3</v>
      </c>
      <c r="F641" s="145">
        <v>2.1472881965793725E-2</v>
      </c>
      <c r="G641" s="145">
        <v>6.8415870999066232E-4</v>
      </c>
      <c r="H641" s="517">
        <v>2.0000009999999995E-3</v>
      </c>
      <c r="I641" s="517">
        <v>1.5750005000000001E-2</v>
      </c>
      <c r="J641" s="148">
        <v>7.4318974443131889E-4</v>
      </c>
      <c r="K641" s="518">
        <v>2.1127769241288763E-5</v>
      </c>
      <c r="L641" s="519">
        <v>2.2083070943550993E-5</v>
      </c>
    </row>
    <row r="642" spans="1:12" ht="15.5" x14ac:dyDescent="0.35">
      <c r="A642" s="143" t="s">
        <v>855</v>
      </c>
      <c r="B642" s="229">
        <v>2036</v>
      </c>
      <c r="C642" s="514" t="s">
        <v>1550</v>
      </c>
      <c r="D642" s="515">
        <v>2.7596518019298293E-2</v>
      </c>
      <c r="E642" s="516">
        <v>3.1444833160897156E-3</v>
      </c>
      <c r="F642" s="145">
        <v>2.0725271476611126E-2</v>
      </c>
      <c r="G642" s="145">
        <v>6.4762041881732935E-4</v>
      </c>
      <c r="H642" s="517">
        <v>2.0000009999999999E-3</v>
      </c>
      <c r="I642" s="517">
        <v>1.5750005000000001E-2</v>
      </c>
      <c r="J642" s="148">
        <v>7.0348957407905335E-4</v>
      </c>
      <c r="K642" s="518">
        <v>2.0221565816179143E-5</v>
      </c>
      <c r="L642" s="519">
        <v>2.1135892962244543E-5</v>
      </c>
    </row>
    <row r="643" spans="1:12" ht="15.5" x14ac:dyDescent="0.35">
      <c r="A643" s="143" t="s">
        <v>855</v>
      </c>
      <c r="B643" s="229">
        <v>2037</v>
      </c>
      <c r="C643" s="514" t="s">
        <v>1551</v>
      </c>
      <c r="D643" s="515">
        <v>2.7319991279570625E-2</v>
      </c>
      <c r="E643" s="516">
        <v>2.930723198053228E-3</v>
      </c>
      <c r="F643" s="145">
        <v>2.0124258701878468E-2</v>
      </c>
      <c r="G643" s="145">
        <v>6.1528695555716621E-4</v>
      </c>
      <c r="H643" s="517">
        <v>2.0000009999999999E-3</v>
      </c>
      <c r="I643" s="517">
        <v>1.5750005000000001E-2</v>
      </c>
      <c r="J643" s="148">
        <v>6.6835771592577457E-4</v>
      </c>
      <c r="K643" s="518">
        <v>1.941957265943294E-5</v>
      </c>
      <c r="L643" s="519">
        <v>2.0297644243823883E-5</v>
      </c>
    </row>
    <row r="644" spans="1:12" ht="15.5" x14ac:dyDescent="0.35">
      <c r="A644" s="143" t="s">
        <v>855</v>
      </c>
      <c r="B644" s="229">
        <v>2038</v>
      </c>
      <c r="C644" s="514" t="s">
        <v>1552</v>
      </c>
      <c r="D644" s="515">
        <v>2.7085546668355453E-2</v>
      </c>
      <c r="E644" s="516">
        <v>2.7375901465301398E-3</v>
      </c>
      <c r="F644" s="145">
        <v>1.9581724237762919E-2</v>
      </c>
      <c r="G644" s="145">
        <v>5.8672322184584349E-4</v>
      </c>
      <c r="H644" s="517">
        <v>2.0000009999999999E-3</v>
      </c>
      <c r="I644" s="517">
        <v>1.5750005000000001E-2</v>
      </c>
      <c r="J644" s="148">
        <v>6.3732226399674846E-4</v>
      </c>
      <c r="K644" s="518">
        <v>1.8723247408977667E-5</v>
      </c>
      <c r="L644" s="519">
        <v>1.956982908981234E-5</v>
      </c>
    </row>
    <row r="645" spans="1:12" ht="15.5" x14ac:dyDescent="0.35">
      <c r="A645" s="143" t="s">
        <v>855</v>
      </c>
      <c r="B645" s="229">
        <v>2039</v>
      </c>
      <c r="C645" s="514" t="s">
        <v>1553</v>
      </c>
      <c r="D645" s="515">
        <v>2.6886970342228204E-2</v>
      </c>
      <c r="E645" s="516">
        <v>2.558269120830388E-3</v>
      </c>
      <c r="F645" s="145">
        <v>1.9079748025034097E-2</v>
      </c>
      <c r="G645" s="145">
        <v>5.6163098334036901E-4</v>
      </c>
      <c r="H645" s="517">
        <v>2.0000010000000008E-3</v>
      </c>
      <c r="I645" s="517">
        <v>1.5750005000000004E-2</v>
      </c>
      <c r="J645" s="148">
        <v>6.1005625127107045E-4</v>
      </c>
      <c r="K645" s="518">
        <v>1.8145340257760207E-5</v>
      </c>
      <c r="L645" s="519">
        <v>1.8965792288859681E-5</v>
      </c>
    </row>
    <row r="646" spans="1:12" ht="15.5" x14ac:dyDescent="0.35">
      <c r="A646" s="143" t="s">
        <v>855</v>
      </c>
      <c r="B646" s="229">
        <v>2040</v>
      </c>
      <c r="C646" s="514" t="s">
        <v>1554</v>
      </c>
      <c r="D646" s="515">
        <v>2.6720825879205427E-2</v>
      </c>
      <c r="E646" s="516">
        <v>2.4079445370120325E-3</v>
      </c>
      <c r="F646" s="145">
        <v>1.8702919232931978E-2</v>
      </c>
      <c r="G646" s="145">
        <v>5.4010477471623508E-4</v>
      </c>
      <c r="H646" s="517">
        <v>2.0000009999999999E-3</v>
      </c>
      <c r="I646" s="517">
        <v>1.5750005000000001E-2</v>
      </c>
      <c r="J646" s="148">
        <v>5.8666506460440158E-4</v>
      </c>
      <c r="K646" s="518">
        <v>1.7657666085927199E-5</v>
      </c>
      <c r="L646" s="519">
        <v>1.8456063280771439E-5</v>
      </c>
    </row>
    <row r="647" spans="1:12" ht="15.5" x14ac:dyDescent="0.35">
      <c r="A647" s="143" t="s">
        <v>855</v>
      </c>
      <c r="B647" s="229">
        <v>2041</v>
      </c>
      <c r="C647" s="514" t="s">
        <v>1555</v>
      </c>
      <c r="D647" s="515">
        <v>2.6583730888652179E-2</v>
      </c>
      <c r="E647" s="516">
        <v>2.2906818946535632E-3</v>
      </c>
      <c r="F647" s="145">
        <v>1.840574431318406E-2</v>
      </c>
      <c r="G647" s="145">
        <v>5.2302771725097586E-4</v>
      </c>
      <c r="H647" s="517">
        <v>2.0000009999999995E-3</v>
      </c>
      <c r="I647" s="517">
        <v>1.5750005000000001E-2</v>
      </c>
      <c r="J647" s="148">
        <v>5.6810903499186012E-4</v>
      </c>
      <c r="K647" s="518">
        <v>1.7254571078813329E-5</v>
      </c>
      <c r="L647" s="519">
        <v>1.8034749207022932E-5</v>
      </c>
    </row>
    <row r="648" spans="1:12" ht="15.5" x14ac:dyDescent="0.35">
      <c r="A648" s="143" t="s">
        <v>855</v>
      </c>
      <c r="B648" s="229">
        <v>2042</v>
      </c>
      <c r="C648" s="514" t="s">
        <v>1556</v>
      </c>
      <c r="D648" s="515">
        <v>2.6469455994576459E-2</v>
      </c>
      <c r="E648" s="516">
        <v>2.1894192595076755E-3</v>
      </c>
      <c r="F648" s="145">
        <v>1.8128589347792833E-2</v>
      </c>
      <c r="G648" s="145">
        <v>5.0862670171693866E-4</v>
      </c>
      <c r="H648" s="517">
        <v>2.0000010000000004E-3</v>
      </c>
      <c r="I648" s="517">
        <v>1.5750005000000001E-2</v>
      </c>
      <c r="J648" s="148">
        <v>5.5246079603053983E-4</v>
      </c>
      <c r="K648" s="518">
        <v>1.6928456226552005E-5</v>
      </c>
      <c r="L648" s="519">
        <v>1.7693880297609063E-5</v>
      </c>
    </row>
    <row r="649" spans="1:12" ht="15.5" x14ac:dyDescent="0.35">
      <c r="A649" s="143" t="s">
        <v>855</v>
      </c>
      <c r="B649" s="229">
        <v>2043</v>
      </c>
      <c r="C649" s="514" t="s">
        <v>1557</v>
      </c>
      <c r="D649" s="515">
        <v>2.6375614418662555E-2</v>
      </c>
      <c r="E649" s="516">
        <v>2.1140797252592941E-3</v>
      </c>
      <c r="F649" s="145">
        <v>1.7928723809247819E-2</v>
      </c>
      <c r="G649" s="145">
        <v>4.9665158107596466E-4</v>
      </c>
      <c r="H649" s="517">
        <v>2.0000009999999999E-3</v>
      </c>
      <c r="I649" s="517">
        <v>1.5750005000000001E-2</v>
      </c>
      <c r="J649" s="148">
        <v>5.3944771965592987E-4</v>
      </c>
      <c r="K649" s="518">
        <v>1.6668977554838798E-5</v>
      </c>
      <c r="L649" s="519">
        <v>1.7422671237591613E-5</v>
      </c>
    </row>
    <row r="650" spans="1:12" ht="15.5" x14ac:dyDescent="0.35">
      <c r="A650" s="143" t="s">
        <v>855</v>
      </c>
      <c r="B650" s="229">
        <v>2044</v>
      </c>
      <c r="C650" s="514" t="s">
        <v>1558</v>
      </c>
      <c r="D650" s="515">
        <v>2.6297779710830325E-2</v>
      </c>
      <c r="E650" s="516">
        <v>2.0602692798317476E-3</v>
      </c>
      <c r="F650" s="145">
        <v>1.7784722280076801E-2</v>
      </c>
      <c r="G650" s="145">
        <v>4.867411227813624E-4</v>
      </c>
      <c r="H650" s="517">
        <v>2.0000009999999995E-3</v>
      </c>
      <c r="I650" s="517">
        <v>1.5750004999999997E-2</v>
      </c>
      <c r="J650" s="148">
        <v>5.2867807198348513E-4</v>
      </c>
      <c r="K650" s="518">
        <v>1.6464180048857781E-5</v>
      </c>
      <c r="L650" s="519">
        <v>1.7208621541064407E-5</v>
      </c>
    </row>
    <row r="651" spans="1:12" ht="15.5" x14ac:dyDescent="0.35">
      <c r="A651" s="143" t="s">
        <v>855</v>
      </c>
      <c r="B651" s="229">
        <v>2045</v>
      </c>
      <c r="C651" s="514" t="s">
        <v>1559</v>
      </c>
      <c r="D651" s="515">
        <v>2.6231834384487698E-2</v>
      </c>
      <c r="E651" s="516">
        <v>2.0228431070081704E-3</v>
      </c>
      <c r="F651" s="145">
        <v>1.7685981292494411E-2</v>
      </c>
      <c r="G651" s="145">
        <v>4.7848434937049515E-4</v>
      </c>
      <c r="H651" s="517">
        <v>2.0000009999999995E-3</v>
      </c>
      <c r="I651" s="517">
        <v>1.5750005000000001E-2</v>
      </c>
      <c r="J651" s="148">
        <v>5.1970439164939863E-4</v>
      </c>
      <c r="K651" s="518">
        <v>1.6308871078825906E-5</v>
      </c>
      <c r="L651" s="519">
        <v>1.7046288272361218E-5</v>
      </c>
    </row>
    <row r="652" spans="1:12" ht="15.5" x14ac:dyDescent="0.35">
      <c r="A652" s="143" t="s">
        <v>855</v>
      </c>
      <c r="B652" s="229">
        <v>2046</v>
      </c>
      <c r="C652" s="514" t="s">
        <v>1560</v>
      </c>
      <c r="D652" s="515">
        <v>2.6176468306922419E-2</v>
      </c>
      <c r="E652" s="516">
        <v>1.9910866999066131E-3</v>
      </c>
      <c r="F652" s="145">
        <v>1.7606302981393859E-2</v>
      </c>
      <c r="G652" s="145">
        <v>4.7168870560182182E-4</v>
      </c>
      <c r="H652" s="517">
        <v>2.0000009999999999E-3</v>
      </c>
      <c r="I652" s="517">
        <v>1.5750005000000004E-2</v>
      </c>
      <c r="J652" s="148">
        <v>5.1231856392414306E-4</v>
      </c>
      <c r="K652" s="518">
        <v>1.6188065728034552E-5</v>
      </c>
      <c r="L652" s="519">
        <v>1.6920020107603754E-5</v>
      </c>
    </row>
    <row r="653" spans="1:12" ht="15.5" x14ac:dyDescent="0.35">
      <c r="A653" s="143" t="s">
        <v>855</v>
      </c>
      <c r="B653" s="229">
        <v>2047</v>
      </c>
      <c r="C653" s="514" t="s">
        <v>1561</v>
      </c>
      <c r="D653" s="515">
        <v>2.6130779481926117E-2</v>
      </c>
      <c r="E653" s="516">
        <v>1.9636126383454494E-3</v>
      </c>
      <c r="F653" s="145">
        <v>1.7532933256047312E-2</v>
      </c>
      <c r="G653" s="145">
        <v>4.6614162863934229E-4</v>
      </c>
      <c r="H653" s="517">
        <v>2.0000009999999995E-3</v>
      </c>
      <c r="I653" s="517">
        <v>1.5750005000000001E-2</v>
      </c>
      <c r="J653" s="148">
        <v>5.0628947057879061E-4</v>
      </c>
      <c r="K653" s="518">
        <v>1.609162470139831E-5</v>
      </c>
      <c r="L653" s="519">
        <v>1.6819209853065771E-5</v>
      </c>
    </row>
    <row r="654" spans="1:12" ht="15.5" x14ac:dyDescent="0.35">
      <c r="A654" s="143" t="s">
        <v>855</v>
      </c>
      <c r="B654" s="229">
        <v>2048</v>
      </c>
      <c r="C654" s="514" t="s">
        <v>1562</v>
      </c>
      <c r="D654" s="515">
        <v>2.6092659062215983E-2</v>
      </c>
      <c r="E654" s="516">
        <v>1.9410051266640453E-3</v>
      </c>
      <c r="F654" s="145">
        <v>1.7469667007060249E-2</v>
      </c>
      <c r="G654" s="145">
        <v>4.6162753441468535E-4</v>
      </c>
      <c r="H654" s="517">
        <v>2.0000010000000004E-3</v>
      </c>
      <c r="I654" s="517">
        <v>1.5750005000000001E-2</v>
      </c>
      <c r="J654" s="148">
        <v>5.0138356088971E-4</v>
      </c>
      <c r="K654" s="518">
        <v>1.601153719216594E-5</v>
      </c>
      <c r="L654" s="519">
        <v>1.6735502344182515E-5</v>
      </c>
    </row>
    <row r="655" spans="1:12" ht="15.5" x14ac:dyDescent="0.35">
      <c r="A655" s="143" t="s">
        <v>855</v>
      </c>
      <c r="B655" s="229">
        <v>2049</v>
      </c>
      <c r="C655" s="514" t="s">
        <v>1563</v>
      </c>
      <c r="D655" s="515">
        <v>2.6060533807241049E-2</v>
      </c>
      <c r="E655" s="516">
        <v>1.9319762610507589E-3</v>
      </c>
      <c r="F655" s="145">
        <v>1.7479825148862652E-2</v>
      </c>
      <c r="G655" s="145">
        <v>4.5862021521653179E-4</v>
      </c>
      <c r="H655" s="517">
        <v>2.0000010000000008E-3</v>
      </c>
      <c r="I655" s="517">
        <v>1.5750005000000004E-2</v>
      </c>
      <c r="J655" s="148">
        <v>4.981148834885728E-4</v>
      </c>
      <c r="K655" s="518">
        <v>1.5963815883310707E-5</v>
      </c>
      <c r="L655" s="519">
        <v>1.6685636246779749E-5</v>
      </c>
    </row>
    <row r="656" spans="1:12" ht="15.5" x14ac:dyDescent="0.35">
      <c r="A656" s="143" t="s">
        <v>855</v>
      </c>
      <c r="B656" s="229">
        <v>2050</v>
      </c>
      <c r="C656" s="514" t="s">
        <v>1564</v>
      </c>
      <c r="D656" s="515">
        <v>2.6034006549869239E-2</v>
      </c>
      <c r="E656" s="516">
        <v>1.9247691788204682E-3</v>
      </c>
      <c r="F656" s="145">
        <v>1.7490451340198828E-2</v>
      </c>
      <c r="G656" s="145">
        <v>4.5624690891477168E-4</v>
      </c>
      <c r="H656" s="517">
        <v>2.0000010000000004E-3</v>
      </c>
      <c r="I656" s="517">
        <v>1.5750005000000004E-2</v>
      </c>
      <c r="J656" s="148">
        <v>4.9553522477535693E-4</v>
      </c>
      <c r="K656" s="518">
        <v>1.5920969988645053E-5</v>
      </c>
      <c r="L656" s="519">
        <v>1.6640842070541778E-5</v>
      </c>
    </row>
    <row r="657" spans="1:12" ht="15.5" x14ac:dyDescent="0.35">
      <c r="A657" s="143" t="s">
        <v>860</v>
      </c>
      <c r="B657" s="229">
        <v>2015</v>
      </c>
      <c r="C657" s="514" t="s">
        <v>861</v>
      </c>
      <c r="D657" s="515">
        <v>4.4987240366483716E-2</v>
      </c>
      <c r="E657" s="516">
        <v>0.11034545692089665</v>
      </c>
      <c r="F657" s="145">
        <v>0.38564736023974716</v>
      </c>
      <c r="G657" s="145">
        <v>3.4129200540828518E-3</v>
      </c>
      <c r="H657" s="517">
        <v>2.0000009999999999E-3</v>
      </c>
      <c r="I657" s="517">
        <v>1.5750004999999997E-2</v>
      </c>
      <c r="J657" s="148">
        <v>3.6854779703821066E-3</v>
      </c>
      <c r="K657" s="518">
        <v>3.8668613684514211E-4</v>
      </c>
      <c r="L657" s="519">
        <v>4.0417036623893081E-4</v>
      </c>
    </row>
    <row r="658" spans="1:12" ht="15.5" x14ac:dyDescent="0.35">
      <c r="A658" s="143" t="s">
        <v>860</v>
      </c>
      <c r="B658" s="229">
        <v>2016</v>
      </c>
      <c r="C658" s="514" t="s">
        <v>862</v>
      </c>
      <c r="D658" s="515">
        <v>4.4013257144242812E-2</v>
      </c>
      <c r="E658" s="516">
        <v>9.2288804486030801E-2</v>
      </c>
      <c r="F658" s="145">
        <v>0.33705688978211684</v>
      </c>
      <c r="G658" s="145">
        <v>3.0770692415801144E-3</v>
      </c>
      <c r="H658" s="517">
        <v>2.0000009999999999E-3</v>
      </c>
      <c r="I658" s="517">
        <v>1.5750004999999997E-2</v>
      </c>
      <c r="J658" s="148">
        <v>3.324807471883713E-3</v>
      </c>
      <c r="K658" s="518">
        <v>3.5249188521333208E-4</v>
      </c>
      <c r="L658" s="519">
        <v>3.6843000520161024E-4</v>
      </c>
    </row>
    <row r="659" spans="1:12" ht="15.5" x14ac:dyDescent="0.35">
      <c r="A659" s="143" t="s">
        <v>860</v>
      </c>
      <c r="B659" s="229">
        <v>2017</v>
      </c>
      <c r="C659" s="514" t="s">
        <v>1565</v>
      </c>
      <c r="D659" s="515">
        <v>4.2922385110155815E-2</v>
      </c>
      <c r="E659" s="516">
        <v>7.7762139161947547E-2</v>
      </c>
      <c r="F659" s="145">
        <v>0.29419677150470941</v>
      </c>
      <c r="G659" s="145">
        <v>2.8348820905975147E-3</v>
      </c>
      <c r="H659" s="517">
        <v>2.0000009999999995E-3</v>
      </c>
      <c r="I659" s="517">
        <v>1.5750005000000001E-2</v>
      </c>
      <c r="J659" s="148">
        <v>3.0650859137531989E-3</v>
      </c>
      <c r="K659" s="518">
        <v>3.1845403388937489E-4</v>
      </c>
      <c r="L659" s="519">
        <v>3.3285311188790745E-4</v>
      </c>
    </row>
    <row r="660" spans="1:12" ht="15.5" x14ac:dyDescent="0.35">
      <c r="A660" s="143" t="s">
        <v>860</v>
      </c>
      <c r="B660" s="229">
        <v>2018</v>
      </c>
      <c r="C660" s="514" t="s">
        <v>1566</v>
      </c>
      <c r="D660" s="515">
        <v>4.1660679882424882E-2</v>
      </c>
      <c r="E660" s="516">
        <v>6.4758277185625018E-2</v>
      </c>
      <c r="F660" s="145">
        <v>0.25507259040595714</v>
      </c>
      <c r="G660" s="145">
        <v>2.6410684682171481E-3</v>
      </c>
      <c r="H660" s="517">
        <v>2.0000010000000004E-3</v>
      </c>
      <c r="I660" s="517">
        <v>1.5750005000000001E-2</v>
      </c>
      <c r="J660" s="148">
        <v>2.8573392465140166E-3</v>
      </c>
      <c r="K660" s="518">
        <v>2.9103782020166962E-4</v>
      </c>
      <c r="L660" s="519">
        <v>3.041972610038182E-4</v>
      </c>
    </row>
    <row r="661" spans="1:12" ht="15.5" x14ac:dyDescent="0.35">
      <c r="A661" s="143" t="s">
        <v>860</v>
      </c>
      <c r="B661" s="229">
        <v>2019</v>
      </c>
      <c r="C661" s="514" t="s">
        <v>1567</v>
      </c>
      <c r="D661" s="515">
        <v>4.0478321146678049E-2</v>
      </c>
      <c r="E661" s="516">
        <v>5.4182150525871581E-2</v>
      </c>
      <c r="F661" s="145">
        <v>0.22117956962015825</v>
      </c>
      <c r="G661" s="145">
        <v>2.4862070027206517E-3</v>
      </c>
      <c r="H661" s="517">
        <v>2.0000009999999995E-3</v>
      </c>
      <c r="I661" s="517">
        <v>1.5750005000000001E-2</v>
      </c>
      <c r="J661" s="148">
        <v>2.6911888496935145E-3</v>
      </c>
      <c r="K661" s="518">
        <v>2.6677125732222517E-4</v>
      </c>
      <c r="L661" s="519">
        <v>2.7883347161207804E-4</v>
      </c>
    </row>
    <row r="662" spans="1:12" ht="15.5" x14ac:dyDescent="0.35">
      <c r="A662" s="143" t="s">
        <v>860</v>
      </c>
      <c r="B662" s="229">
        <v>2020</v>
      </c>
      <c r="C662" s="514" t="s">
        <v>1568</v>
      </c>
      <c r="D662" s="515">
        <v>3.9281051582270209E-2</v>
      </c>
      <c r="E662" s="516">
        <v>4.653262600679231E-2</v>
      </c>
      <c r="F662" s="145">
        <v>0.19237744962056558</v>
      </c>
      <c r="G662" s="145">
        <v>2.3406763597311636E-3</v>
      </c>
      <c r="H662" s="517">
        <v>2.0000009999999999E-3</v>
      </c>
      <c r="I662" s="517">
        <v>1.5750005000000001E-2</v>
      </c>
      <c r="J662" s="148">
        <v>2.5343350112307867E-3</v>
      </c>
      <c r="K662" s="518">
        <v>2.4264435990940819E-4</v>
      </c>
      <c r="L662" s="519">
        <v>2.5361566122851856E-4</v>
      </c>
    </row>
    <row r="663" spans="1:12" ht="15.5" x14ac:dyDescent="0.35">
      <c r="A663" s="143" t="s">
        <v>860</v>
      </c>
      <c r="B663" s="229">
        <v>2021</v>
      </c>
      <c r="C663" s="514" t="s">
        <v>1569</v>
      </c>
      <c r="D663" s="515">
        <v>3.8158043494671542E-2</v>
      </c>
      <c r="E663" s="516">
        <v>3.9668755876973584E-2</v>
      </c>
      <c r="F663" s="145">
        <v>0.16603151751677511</v>
      </c>
      <c r="G663" s="145">
        <v>2.1710028347145648E-3</v>
      </c>
      <c r="H663" s="517">
        <v>2.0000009999999999E-3</v>
      </c>
      <c r="I663" s="517">
        <v>1.5750005000000001E-2</v>
      </c>
      <c r="J663" s="148">
        <v>2.3512734382510575E-3</v>
      </c>
      <c r="K663" s="518">
        <v>2.1657249764863649E-4</v>
      </c>
      <c r="L663" s="519">
        <v>2.2636494229923241E-4</v>
      </c>
    </row>
    <row r="664" spans="1:12" ht="15.5" x14ac:dyDescent="0.35">
      <c r="A664" s="143" t="s">
        <v>860</v>
      </c>
      <c r="B664" s="229">
        <v>2022</v>
      </c>
      <c r="C664" s="514" t="s">
        <v>1570</v>
      </c>
      <c r="D664" s="515">
        <v>3.6977442012967592E-2</v>
      </c>
      <c r="E664" s="516">
        <v>3.3254495311038093E-2</v>
      </c>
      <c r="F664" s="145">
        <v>0.14285685047129815</v>
      </c>
      <c r="G664" s="145">
        <v>2.0114973319942954E-3</v>
      </c>
      <c r="H664" s="517">
        <v>2.0000009999999995E-3</v>
      </c>
      <c r="I664" s="517">
        <v>1.5750004999999997E-2</v>
      </c>
      <c r="J664" s="148">
        <v>2.1792146739127308E-3</v>
      </c>
      <c r="K664" s="518">
        <v>1.9370020201151404E-4</v>
      </c>
      <c r="L664" s="519">
        <v>2.0245847138639116E-4</v>
      </c>
    </row>
    <row r="665" spans="1:12" ht="15.5" x14ac:dyDescent="0.35">
      <c r="A665" s="143" t="s">
        <v>860</v>
      </c>
      <c r="B665" s="229">
        <v>2023</v>
      </c>
      <c r="C665" s="514" t="s">
        <v>1571</v>
      </c>
      <c r="D665" s="515">
        <v>3.5809072518921632E-2</v>
      </c>
      <c r="E665" s="516">
        <v>2.8606638131973582E-2</v>
      </c>
      <c r="F665" s="145">
        <v>0.12377029630644588</v>
      </c>
      <c r="G665" s="145">
        <v>1.8687169349906035E-3</v>
      </c>
      <c r="H665" s="517">
        <v>2.0000009999999995E-3</v>
      </c>
      <c r="I665" s="517">
        <v>1.5750005000000001E-2</v>
      </c>
      <c r="J665" s="148">
        <v>2.0249271998858372E-3</v>
      </c>
      <c r="K665" s="518">
        <v>1.7256233077782328E-4</v>
      </c>
      <c r="L665" s="519">
        <v>1.8036483241762365E-4</v>
      </c>
    </row>
    <row r="666" spans="1:12" ht="15.5" x14ac:dyDescent="0.35">
      <c r="A666" s="143" t="s">
        <v>860</v>
      </c>
      <c r="B666" s="229">
        <v>2024</v>
      </c>
      <c r="C666" s="514" t="s">
        <v>1572</v>
      </c>
      <c r="D666" s="515">
        <v>3.469838019129378E-2</v>
      </c>
      <c r="E666" s="516">
        <v>2.4468051299471043E-2</v>
      </c>
      <c r="F666" s="145">
        <v>0.1070509663362426</v>
      </c>
      <c r="G666" s="145">
        <v>1.7321373748332945E-3</v>
      </c>
      <c r="H666" s="517">
        <v>2.0000009999999999E-3</v>
      </c>
      <c r="I666" s="517">
        <v>1.5750005000000001E-2</v>
      </c>
      <c r="J666" s="148">
        <v>1.8775433555149375E-3</v>
      </c>
      <c r="K666" s="518">
        <v>1.4817779059702731E-4</v>
      </c>
      <c r="L666" s="519">
        <v>1.5487773430242593E-4</v>
      </c>
    </row>
    <row r="667" spans="1:12" ht="15.5" x14ac:dyDescent="0.35">
      <c r="A667" s="143" t="s">
        <v>860</v>
      </c>
      <c r="B667" s="229">
        <v>2025</v>
      </c>
      <c r="C667" s="514" t="s">
        <v>1573</v>
      </c>
      <c r="D667" s="515">
        <v>3.3570136699187604E-2</v>
      </c>
      <c r="E667" s="516">
        <v>2.1263317322509363E-2</v>
      </c>
      <c r="F667" s="145">
        <v>9.3773456650606685E-2</v>
      </c>
      <c r="G667" s="145">
        <v>1.6308878294301371E-3</v>
      </c>
      <c r="H667" s="517">
        <v>2.0000009999999999E-3</v>
      </c>
      <c r="I667" s="517">
        <v>1.5750005000000001E-2</v>
      </c>
      <c r="J667" s="148">
        <v>1.7681482110863957E-3</v>
      </c>
      <c r="K667" s="518">
        <v>1.3187480762090316E-4</v>
      </c>
      <c r="L667" s="519">
        <v>1.3783760194613115E-4</v>
      </c>
    </row>
    <row r="668" spans="1:12" ht="15.5" x14ac:dyDescent="0.35">
      <c r="A668" s="143" t="s">
        <v>860</v>
      </c>
      <c r="B668" s="229">
        <v>2026</v>
      </c>
      <c r="C668" s="514" t="s">
        <v>1574</v>
      </c>
      <c r="D668" s="515">
        <v>3.2661576755987499E-2</v>
      </c>
      <c r="E668" s="516">
        <v>1.8649231715995904E-2</v>
      </c>
      <c r="F668" s="145">
        <v>8.2943361689030506E-2</v>
      </c>
      <c r="G668" s="145">
        <v>1.5432062428175134E-3</v>
      </c>
      <c r="H668" s="517">
        <v>2.0000009999999995E-3</v>
      </c>
      <c r="I668" s="517">
        <v>1.5750005000000001E-2</v>
      </c>
      <c r="J668" s="148">
        <v>1.6734591805369983E-3</v>
      </c>
      <c r="K668" s="518">
        <v>1.1603697993930776E-4</v>
      </c>
      <c r="L668" s="519">
        <v>1.2128365681812738E-4</v>
      </c>
    </row>
    <row r="669" spans="1:12" ht="15.5" x14ac:dyDescent="0.35">
      <c r="A669" s="143" t="s">
        <v>860</v>
      </c>
      <c r="B669" s="229">
        <v>2027</v>
      </c>
      <c r="C669" s="514" t="s">
        <v>1575</v>
      </c>
      <c r="D669" s="515">
        <v>3.1718491318388303E-2</v>
      </c>
      <c r="E669" s="516">
        <v>1.6388299465370272E-2</v>
      </c>
      <c r="F669" s="145">
        <v>7.3582199631963496E-2</v>
      </c>
      <c r="G669" s="145">
        <v>1.4456265716766927E-3</v>
      </c>
      <c r="H669" s="517">
        <v>2.0000010000000004E-3</v>
      </c>
      <c r="I669" s="517">
        <v>1.5750005000000001E-2</v>
      </c>
      <c r="J669" s="148">
        <v>1.5683685673349966E-3</v>
      </c>
      <c r="K669" s="518">
        <v>9.1615232025894953E-5</v>
      </c>
      <c r="L669" s="519">
        <v>9.5757667971382117E-5</v>
      </c>
    </row>
    <row r="670" spans="1:12" ht="15.5" x14ac:dyDescent="0.35">
      <c r="A670" s="143" t="s">
        <v>860</v>
      </c>
      <c r="B670" s="229">
        <v>2028</v>
      </c>
      <c r="C670" s="514" t="s">
        <v>1576</v>
      </c>
      <c r="D670" s="515">
        <v>3.0871202861946074E-2</v>
      </c>
      <c r="E670" s="516">
        <v>1.4495529689036521E-2</v>
      </c>
      <c r="F670" s="145">
        <v>6.5711432760283711E-2</v>
      </c>
      <c r="G670" s="145">
        <v>1.351936201460573E-3</v>
      </c>
      <c r="H670" s="517">
        <v>2.0000009999999999E-3</v>
      </c>
      <c r="I670" s="517">
        <v>1.5750005000000001E-2</v>
      </c>
      <c r="J670" s="148">
        <v>1.4672579870893998E-3</v>
      </c>
      <c r="K670" s="518">
        <v>7.3055018594973649E-5</v>
      </c>
      <c r="L670" s="519">
        <v>7.6358238549699908E-5</v>
      </c>
    </row>
    <row r="671" spans="1:12" ht="15.5" x14ac:dyDescent="0.35">
      <c r="A671" s="143" t="s">
        <v>860</v>
      </c>
      <c r="B671" s="229">
        <v>2029</v>
      </c>
      <c r="C671" s="514" t="s">
        <v>1577</v>
      </c>
      <c r="D671" s="515">
        <v>3.0111417864603664E-2</v>
      </c>
      <c r="E671" s="516">
        <v>1.2768020673656984E-2</v>
      </c>
      <c r="F671" s="145">
        <v>5.866405439036082E-2</v>
      </c>
      <c r="G671" s="145">
        <v>1.2669189086669686E-3</v>
      </c>
      <c r="H671" s="517">
        <v>2.0000009999999995E-3</v>
      </c>
      <c r="I671" s="517">
        <v>1.5750004999999997E-2</v>
      </c>
      <c r="J671" s="148">
        <v>1.375199404695275E-3</v>
      </c>
      <c r="K671" s="518">
        <v>6.350201302536913E-5</v>
      </c>
      <c r="L671" s="519">
        <v>6.637328690051193E-5</v>
      </c>
    </row>
    <row r="672" spans="1:12" ht="15.5" x14ac:dyDescent="0.35">
      <c r="A672" s="143" t="s">
        <v>860</v>
      </c>
      <c r="B672" s="229">
        <v>2030</v>
      </c>
      <c r="C672" s="514" t="s">
        <v>1578</v>
      </c>
      <c r="D672" s="515">
        <v>2.9433519853820804E-2</v>
      </c>
      <c r="E672" s="516">
        <v>1.1308152005358977E-2</v>
      </c>
      <c r="F672" s="145">
        <v>5.2678770566263355E-2</v>
      </c>
      <c r="G672" s="145">
        <v>1.1820406222192888E-3</v>
      </c>
      <c r="H672" s="517">
        <v>2.0000009999999999E-3</v>
      </c>
      <c r="I672" s="517">
        <v>1.5750005000000001E-2</v>
      </c>
      <c r="J672" s="148">
        <v>1.2834051604119553E-3</v>
      </c>
      <c r="K672" s="518">
        <v>5.1244475451146728E-5</v>
      </c>
      <c r="L672" s="519">
        <v>5.3561521262453792E-5</v>
      </c>
    </row>
    <row r="673" spans="1:12" ht="15.5" x14ac:dyDescent="0.35">
      <c r="A673" s="143" t="s">
        <v>860</v>
      </c>
      <c r="B673" s="229">
        <v>2031</v>
      </c>
      <c r="C673" s="514" t="s">
        <v>1579</v>
      </c>
      <c r="D673" s="515">
        <v>2.8831773228661831E-2</v>
      </c>
      <c r="E673" s="516">
        <v>1.0000676087731622E-2</v>
      </c>
      <c r="F673" s="145">
        <v>4.7395371527778368E-2</v>
      </c>
      <c r="G673" s="145">
        <v>1.1069789115038908E-3</v>
      </c>
      <c r="H673" s="517">
        <v>2.0000009999999995E-3</v>
      </c>
      <c r="I673" s="517">
        <v>1.5750005000000004E-2</v>
      </c>
      <c r="J673" s="148">
        <v>1.201958669647146E-3</v>
      </c>
      <c r="K673" s="518">
        <v>4.6764525528504545E-5</v>
      </c>
      <c r="L673" s="519">
        <v>4.8879001855725288E-5</v>
      </c>
    </row>
    <row r="674" spans="1:12" ht="15.5" x14ac:dyDescent="0.35">
      <c r="A674" s="143" t="s">
        <v>860</v>
      </c>
      <c r="B674" s="229">
        <v>2032</v>
      </c>
      <c r="C674" s="514" t="s">
        <v>1580</v>
      </c>
      <c r="D674" s="515">
        <v>2.8299617984139606E-2</v>
      </c>
      <c r="E674" s="516">
        <v>8.8762797374188507E-3</v>
      </c>
      <c r="F674" s="145">
        <v>4.2958351361818532E-2</v>
      </c>
      <c r="G674" s="145">
        <v>1.036698997072639E-3</v>
      </c>
      <c r="H674" s="517">
        <v>2.0000010000000004E-3</v>
      </c>
      <c r="I674" s="517">
        <v>1.5750004999999997E-2</v>
      </c>
      <c r="J674" s="148">
        <v>1.1257391427409195E-3</v>
      </c>
      <c r="K674" s="518">
        <v>4.1669078170192958E-5</v>
      </c>
      <c r="L674" s="519">
        <v>4.355317310300454E-5</v>
      </c>
    </row>
    <row r="675" spans="1:12" ht="15.5" x14ac:dyDescent="0.35">
      <c r="A675" s="143" t="s">
        <v>860</v>
      </c>
      <c r="B675" s="229">
        <v>2033</v>
      </c>
      <c r="C675" s="514" t="s">
        <v>1581</v>
      </c>
      <c r="D675" s="515">
        <v>2.7831043945843886E-2</v>
      </c>
      <c r="E675" s="516">
        <v>7.9138445997114538E-3</v>
      </c>
      <c r="F675" s="145">
        <v>3.9259406373635737E-2</v>
      </c>
      <c r="G675" s="145">
        <v>9.7335999932627378E-4</v>
      </c>
      <c r="H675" s="517">
        <v>2.0000009999999999E-3</v>
      </c>
      <c r="I675" s="517">
        <v>1.5750005000000001E-2</v>
      </c>
      <c r="J675" s="148">
        <v>1.0569662001772308E-3</v>
      </c>
      <c r="K675" s="518">
        <v>3.8975120988014351E-5</v>
      </c>
      <c r="L675" s="519">
        <v>4.0737400025575883E-5</v>
      </c>
    </row>
    <row r="676" spans="1:12" ht="15.5" x14ac:dyDescent="0.35">
      <c r="A676" s="143" t="s">
        <v>860</v>
      </c>
      <c r="B676" s="229">
        <v>2034</v>
      </c>
      <c r="C676" s="514" t="s">
        <v>1582</v>
      </c>
      <c r="D676" s="515">
        <v>2.7420601888785825E-2</v>
      </c>
      <c r="E676" s="516">
        <v>7.0546850322664592E-3</v>
      </c>
      <c r="F676" s="145">
        <v>3.6077869209636911E-2</v>
      </c>
      <c r="G676" s="145">
        <v>9.1325130284788177E-4</v>
      </c>
      <c r="H676" s="517">
        <v>2.0000009999999999E-3</v>
      </c>
      <c r="I676" s="517">
        <v>1.5750005000000004E-2</v>
      </c>
      <c r="J676" s="148">
        <v>9.9169679397022813E-4</v>
      </c>
      <c r="K676" s="518">
        <v>3.6507000823029742E-5</v>
      </c>
      <c r="L676" s="519">
        <v>3.8157679687157259E-5</v>
      </c>
    </row>
    <row r="677" spans="1:12" ht="15.5" x14ac:dyDescent="0.35">
      <c r="A677" s="143" t="s">
        <v>860</v>
      </c>
      <c r="B677" s="229">
        <v>2035</v>
      </c>
      <c r="C677" s="514" t="s">
        <v>1583</v>
      </c>
      <c r="D677" s="515">
        <v>2.7064190141331705E-2</v>
      </c>
      <c r="E677" s="516">
        <v>6.2885541828545813E-3</v>
      </c>
      <c r="F677" s="145">
        <v>3.3358248171946193E-2</v>
      </c>
      <c r="G677" s="145">
        <v>8.5610291016150646E-4</v>
      </c>
      <c r="H677" s="517">
        <v>2.0000009999999995E-3</v>
      </c>
      <c r="I677" s="517">
        <v>1.5750005000000001E-2</v>
      </c>
      <c r="J677" s="148">
        <v>9.2965035592925663E-4</v>
      </c>
      <c r="K677" s="518">
        <v>3.3979978534318056E-5</v>
      </c>
      <c r="L677" s="519">
        <v>3.551640135870837E-5</v>
      </c>
    </row>
    <row r="678" spans="1:12" ht="15.5" x14ac:dyDescent="0.35">
      <c r="A678" s="143" t="s">
        <v>860</v>
      </c>
      <c r="B678" s="229">
        <v>2036</v>
      </c>
      <c r="C678" s="514" t="s">
        <v>1584</v>
      </c>
      <c r="D678" s="515">
        <v>2.6756798555615365E-2</v>
      </c>
      <c r="E678" s="516">
        <v>5.6103288047372217E-3</v>
      </c>
      <c r="F678" s="145">
        <v>3.1016530390894255E-2</v>
      </c>
      <c r="G678" s="145">
        <v>8.0680209445627301E-4</v>
      </c>
      <c r="H678" s="517">
        <v>2.0000010000000004E-3</v>
      </c>
      <c r="I678" s="517">
        <v>1.5750005000000001E-2</v>
      </c>
      <c r="J678" s="148">
        <v>8.7615709259228813E-4</v>
      </c>
      <c r="K678" s="518">
        <v>3.1001372464974773E-5</v>
      </c>
      <c r="L678" s="519">
        <v>3.240312024695502E-5</v>
      </c>
    </row>
    <row r="679" spans="1:12" ht="15.5" x14ac:dyDescent="0.35">
      <c r="A679" s="143" t="s">
        <v>860</v>
      </c>
      <c r="B679" s="229">
        <v>2037</v>
      </c>
      <c r="C679" s="514" t="s">
        <v>1585</v>
      </c>
      <c r="D679" s="515">
        <v>2.6494888759578117E-2</v>
      </c>
      <c r="E679" s="516">
        <v>5.022532486114669E-3</v>
      </c>
      <c r="F679" s="145">
        <v>2.9032459091482794E-2</v>
      </c>
      <c r="G679" s="145">
        <v>7.6272416344175004E-4</v>
      </c>
      <c r="H679" s="517">
        <v>2.0000009999999991E-3</v>
      </c>
      <c r="I679" s="517">
        <v>1.5750004999999994E-2</v>
      </c>
      <c r="J679" s="148">
        <v>8.2829316754774588E-4</v>
      </c>
      <c r="K679" s="518">
        <v>2.9240346920809203E-5</v>
      </c>
      <c r="L679" s="519">
        <v>3.0562456020641567E-5</v>
      </c>
    </row>
    <row r="680" spans="1:12" ht="15.5" x14ac:dyDescent="0.35">
      <c r="A680" s="143" t="s">
        <v>860</v>
      </c>
      <c r="B680" s="229">
        <v>2038</v>
      </c>
      <c r="C680" s="514" t="s">
        <v>1586</v>
      </c>
      <c r="D680" s="515">
        <v>2.6273375762652366E-2</v>
      </c>
      <c r="E680" s="516">
        <v>4.492592769837875E-3</v>
      </c>
      <c r="F680" s="145">
        <v>2.7252028015112489E-2</v>
      </c>
      <c r="G680" s="145">
        <v>7.2213079898976581E-4</v>
      </c>
      <c r="H680" s="517">
        <v>2.0000009999999995E-3</v>
      </c>
      <c r="I680" s="517">
        <v>1.5750004999999997E-2</v>
      </c>
      <c r="J680" s="148">
        <v>7.8421350555180297E-4</v>
      </c>
      <c r="K680" s="518">
        <v>2.7603629393352702E-5</v>
      </c>
      <c r="L680" s="519">
        <v>2.8851743599443053E-5</v>
      </c>
    </row>
    <row r="681" spans="1:12" ht="15.5" x14ac:dyDescent="0.35">
      <c r="A681" s="143" t="s">
        <v>860</v>
      </c>
      <c r="B681" s="229">
        <v>2039</v>
      </c>
      <c r="C681" s="514" t="s">
        <v>1587</v>
      </c>
      <c r="D681" s="515">
        <v>2.6086744790410937E-2</v>
      </c>
      <c r="E681" s="516">
        <v>3.9911366084009218E-3</v>
      </c>
      <c r="F681" s="145">
        <v>2.5590101254147065E-2</v>
      </c>
      <c r="G681" s="145">
        <v>6.8459262215912677E-4</v>
      </c>
      <c r="H681" s="517">
        <v>2.0000009999999999E-3</v>
      </c>
      <c r="I681" s="517">
        <v>1.5750005000000001E-2</v>
      </c>
      <c r="J681" s="148">
        <v>7.4344591817892798E-4</v>
      </c>
      <c r="K681" s="518">
        <v>2.6212738385843197E-5</v>
      </c>
      <c r="L681" s="519">
        <v>2.7397959699614356E-5</v>
      </c>
    </row>
    <row r="682" spans="1:12" ht="15.5" x14ac:dyDescent="0.35">
      <c r="A682" s="143" t="s">
        <v>860</v>
      </c>
      <c r="B682" s="229">
        <v>2040</v>
      </c>
      <c r="C682" s="514" t="s">
        <v>1588</v>
      </c>
      <c r="D682" s="515">
        <v>2.5931375132545894E-2</v>
      </c>
      <c r="E682" s="516">
        <v>3.5278472586677133E-3</v>
      </c>
      <c r="F682" s="145">
        <v>2.4138967282400201E-2</v>
      </c>
      <c r="G682" s="145">
        <v>6.4983239368568597E-4</v>
      </c>
      <c r="H682" s="517">
        <v>2.0000010000000004E-3</v>
      </c>
      <c r="I682" s="517">
        <v>1.5750004999999997E-2</v>
      </c>
      <c r="J682" s="148">
        <v>7.0569499425376481E-4</v>
      </c>
      <c r="K682" s="518">
        <v>2.4949487817628483E-5</v>
      </c>
      <c r="L682" s="519">
        <v>2.607758696291539E-5</v>
      </c>
    </row>
    <row r="683" spans="1:12" ht="15.5" x14ac:dyDescent="0.35">
      <c r="A683" s="143" t="s">
        <v>860</v>
      </c>
      <c r="B683" s="229">
        <v>2041</v>
      </c>
      <c r="C683" s="514" t="s">
        <v>1589</v>
      </c>
      <c r="D683" s="515">
        <v>2.5803954379730328E-2</v>
      </c>
      <c r="E683" s="516">
        <v>3.1639819403020686E-3</v>
      </c>
      <c r="F683" s="145">
        <v>2.297643650495566E-2</v>
      </c>
      <c r="G683" s="145">
        <v>6.2408032661651167E-4</v>
      </c>
      <c r="H683" s="517">
        <v>2.0000009999999995E-3</v>
      </c>
      <c r="I683" s="517">
        <v>1.5750005000000001E-2</v>
      </c>
      <c r="J683" s="148">
        <v>6.7773436473312319E-4</v>
      </c>
      <c r="K683" s="518">
        <v>2.3839771061393743E-5</v>
      </c>
      <c r="L683" s="519">
        <v>2.4917704557795043E-5</v>
      </c>
    </row>
    <row r="684" spans="1:12" ht="15.5" x14ac:dyDescent="0.35">
      <c r="A684" s="143" t="s">
        <v>860</v>
      </c>
      <c r="B684" s="229">
        <v>2042</v>
      </c>
      <c r="C684" s="514" t="s">
        <v>1590</v>
      </c>
      <c r="D684" s="515">
        <v>2.5697837509102622E-2</v>
      </c>
      <c r="E684" s="516">
        <v>2.852834830918445E-3</v>
      </c>
      <c r="F684" s="145">
        <v>2.1945404006048906E-2</v>
      </c>
      <c r="G684" s="145">
        <v>6.0125164733086818E-4</v>
      </c>
      <c r="H684" s="517">
        <v>2.0000009999999999E-3</v>
      </c>
      <c r="I684" s="517">
        <v>1.5750005000000001E-2</v>
      </c>
      <c r="J684" s="148">
        <v>6.5294239658966399E-4</v>
      </c>
      <c r="K684" s="518">
        <v>2.2973222024707073E-5</v>
      </c>
      <c r="L684" s="519">
        <v>2.4011967926837498E-5</v>
      </c>
    </row>
    <row r="685" spans="1:12" ht="15.5" x14ac:dyDescent="0.35">
      <c r="A685" s="143" t="s">
        <v>860</v>
      </c>
      <c r="B685" s="229">
        <v>2043</v>
      </c>
      <c r="C685" s="514" t="s">
        <v>1591</v>
      </c>
      <c r="D685" s="515">
        <v>2.5611525704342348E-2</v>
      </c>
      <c r="E685" s="516">
        <v>2.6229025167512961E-3</v>
      </c>
      <c r="F685" s="145">
        <v>2.1179045241115513E-2</v>
      </c>
      <c r="G685" s="145">
        <v>5.8108919436356422E-4</v>
      </c>
      <c r="H685" s="517">
        <v>2.0000009999999995E-3</v>
      </c>
      <c r="I685" s="517">
        <v>1.5750005000000001E-2</v>
      </c>
      <c r="J685" s="148">
        <v>6.3104923115392549E-4</v>
      </c>
      <c r="K685" s="518">
        <v>2.2137097636084081E-5</v>
      </c>
      <c r="L685" s="519">
        <v>2.3138038980953967E-5</v>
      </c>
    </row>
    <row r="686" spans="1:12" ht="15.5" x14ac:dyDescent="0.35">
      <c r="A686" s="143" t="s">
        <v>860</v>
      </c>
      <c r="B686" s="229">
        <v>2044</v>
      </c>
      <c r="C686" s="514" t="s">
        <v>1592</v>
      </c>
      <c r="D686" s="515">
        <v>2.5540867232455033E-2</v>
      </c>
      <c r="E686" s="516">
        <v>2.4614546795078312E-3</v>
      </c>
      <c r="F686" s="145">
        <v>2.0614499647943606E-2</v>
      </c>
      <c r="G686" s="145">
        <v>5.6349125557525926E-4</v>
      </c>
      <c r="H686" s="517">
        <v>2.0000010000000004E-3</v>
      </c>
      <c r="I686" s="517">
        <v>1.5750005000000001E-2</v>
      </c>
      <c r="J686" s="148">
        <v>6.1193693518590679E-4</v>
      </c>
      <c r="K686" s="518">
        <v>2.1498289641547373E-5</v>
      </c>
      <c r="L686" s="519">
        <v>2.2470338878655992E-5</v>
      </c>
    </row>
    <row r="687" spans="1:12" ht="15.5" x14ac:dyDescent="0.35">
      <c r="A687" s="143" t="s">
        <v>860</v>
      </c>
      <c r="B687" s="229">
        <v>2045</v>
      </c>
      <c r="C687" s="514" t="s">
        <v>1593</v>
      </c>
      <c r="D687" s="515">
        <v>2.5481685060313796E-2</v>
      </c>
      <c r="E687" s="516">
        <v>2.3634936693237101E-3</v>
      </c>
      <c r="F687" s="145">
        <v>2.0263450696421846E-2</v>
      </c>
      <c r="G687" s="145">
        <v>5.4815553351913527E-4</v>
      </c>
      <c r="H687" s="517">
        <v>2.0000009999999999E-3</v>
      </c>
      <c r="I687" s="517">
        <v>1.5750005000000001E-2</v>
      </c>
      <c r="J687" s="148">
        <v>5.9528191537095386E-4</v>
      </c>
      <c r="K687" s="518">
        <v>2.0938724975750096E-5</v>
      </c>
      <c r="L687" s="519">
        <v>2.1885491258517391E-5</v>
      </c>
    </row>
    <row r="688" spans="1:12" ht="15.5" x14ac:dyDescent="0.35">
      <c r="A688" s="143" t="s">
        <v>860</v>
      </c>
      <c r="B688" s="229">
        <v>2046</v>
      </c>
      <c r="C688" s="514" t="s">
        <v>1594</v>
      </c>
      <c r="D688" s="515">
        <v>2.543212029089394E-2</v>
      </c>
      <c r="E688" s="516">
        <v>2.2800087072842264E-3</v>
      </c>
      <c r="F688" s="145">
        <v>1.9984760279902921E-2</v>
      </c>
      <c r="G688" s="145">
        <v>5.3485106558324883E-4</v>
      </c>
      <c r="H688" s="517">
        <v>2.0000009999999995E-3</v>
      </c>
      <c r="I688" s="517">
        <v>1.5750005000000001E-2</v>
      </c>
      <c r="J688" s="148">
        <v>5.8083295043070461E-4</v>
      </c>
      <c r="K688" s="518">
        <v>2.0434873401129843E-5</v>
      </c>
      <c r="L688" s="519">
        <v>2.1358848928260501E-5</v>
      </c>
    </row>
    <row r="689" spans="1:12" ht="15.5" x14ac:dyDescent="0.35">
      <c r="A689" s="143" t="s">
        <v>860</v>
      </c>
      <c r="B689" s="229">
        <v>2047</v>
      </c>
      <c r="C689" s="514" t="s">
        <v>1595</v>
      </c>
      <c r="D689" s="515">
        <v>2.5391628726022696E-2</v>
      </c>
      <c r="E689" s="516">
        <v>2.209408173940709E-3</v>
      </c>
      <c r="F689" s="145">
        <v>1.9746514912527477E-2</v>
      </c>
      <c r="G689" s="145">
        <v>5.2346966098801664E-4</v>
      </c>
      <c r="H689" s="517">
        <v>2.0000009999999999E-3</v>
      </c>
      <c r="I689" s="517">
        <v>1.5750005000000001E-2</v>
      </c>
      <c r="J689" s="148">
        <v>5.6847612232894835E-4</v>
      </c>
      <c r="K689" s="518">
        <v>1.9936431463212912E-5</v>
      </c>
      <c r="L689" s="519">
        <v>2.0837867675067446E-5</v>
      </c>
    </row>
    <row r="690" spans="1:12" ht="15.5" x14ac:dyDescent="0.35">
      <c r="A690" s="143" t="s">
        <v>860</v>
      </c>
      <c r="B690" s="229">
        <v>2048</v>
      </c>
      <c r="C690" s="514" t="s">
        <v>1596</v>
      </c>
      <c r="D690" s="515">
        <v>2.5357994144857718E-2</v>
      </c>
      <c r="E690" s="516">
        <v>2.1516480596406361E-3</v>
      </c>
      <c r="F690" s="145">
        <v>1.9548994815239959E-2</v>
      </c>
      <c r="G690" s="145">
        <v>5.1374459621891788E-4</v>
      </c>
      <c r="H690" s="517">
        <v>2.0000010000000004E-3</v>
      </c>
      <c r="I690" s="517">
        <v>1.5750005000000004E-2</v>
      </c>
      <c r="J690" s="148">
        <v>5.5791807300862488E-4</v>
      </c>
      <c r="K690" s="518">
        <v>1.9486667065863971E-5</v>
      </c>
      <c r="L690" s="519">
        <v>2.0367765835865569E-5</v>
      </c>
    </row>
    <row r="691" spans="1:12" ht="15.5" x14ac:dyDescent="0.35">
      <c r="A691" s="143" t="s">
        <v>860</v>
      </c>
      <c r="B691" s="229">
        <v>2049</v>
      </c>
      <c r="C691" s="514" t="s">
        <v>1597</v>
      </c>
      <c r="D691" s="515">
        <v>2.5330299051632501E-2</v>
      </c>
      <c r="E691" s="516">
        <v>2.1293419447348497E-3</v>
      </c>
      <c r="F691" s="145">
        <v>1.9546139245215893E-2</v>
      </c>
      <c r="G691" s="145">
        <v>5.075755647178863E-4</v>
      </c>
      <c r="H691" s="517">
        <v>2.0000010000000004E-3</v>
      </c>
      <c r="I691" s="517">
        <v>1.5750005000000004E-2</v>
      </c>
      <c r="J691" s="148">
        <v>5.5122483952646105E-4</v>
      </c>
      <c r="K691" s="518">
        <v>1.9108963312578693E-5</v>
      </c>
      <c r="L691" s="519">
        <v>1.9972985309665395E-5</v>
      </c>
    </row>
    <row r="692" spans="1:12" ht="15.5" x14ac:dyDescent="0.35">
      <c r="A692" s="143" t="s">
        <v>860</v>
      </c>
      <c r="B692" s="229">
        <v>2050</v>
      </c>
      <c r="C692" s="514" t="s">
        <v>1598</v>
      </c>
      <c r="D692" s="515">
        <v>2.5307573276428501E-2</v>
      </c>
      <c r="E692" s="516">
        <v>2.1111140626241861E-3</v>
      </c>
      <c r="F692" s="145">
        <v>1.955000065983974E-2</v>
      </c>
      <c r="G692" s="145">
        <v>5.0255070390466193E-4</v>
      </c>
      <c r="H692" s="517">
        <v>2.0000009999999999E-3</v>
      </c>
      <c r="I692" s="517">
        <v>1.5750005000000001E-2</v>
      </c>
      <c r="J692" s="148">
        <v>5.4577048665086154E-4</v>
      </c>
      <c r="K692" s="518">
        <v>1.8861974333918649E-5</v>
      </c>
      <c r="L692" s="519">
        <v>1.9714827876729879E-5</v>
      </c>
    </row>
    <row r="693" spans="1:12" ht="15.5" x14ac:dyDescent="0.35">
      <c r="A693" s="143" t="s">
        <v>863</v>
      </c>
      <c r="B693" s="229">
        <v>2015</v>
      </c>
      <c r="C693" s="514" t="s">
        <v>864</v>
      </c>
      <c r="D693" s="515">
        <v>4.668893344851871E-2</v>
      </c>
      <c r="E693" s="516">
        <v>8.8083385948952306E-2</v>
      </c>
      <c r="F693" s="145">
        <v>0.29533831108346431</v>
      </c>
      <c r="G693" s="145">
        <v>2.7382920546250218E-3</v>
      </c>
      <c r="H693" s="517">
        <v>2.0000009999999995E-3</v>
      </c>
      <c r="I693" s="517">
        <v>1.5750005000000001E-2</v>
      </c>
      <c r="J693" s="148">
        <v>2.9614005355307173E-3</v>
      </c>
      <c r="K693" s="518">
        <v>2.0861900760792834E-4</v>
      </c>
      <c r="L693" s="519">
        <v>2.1805183202593768E-4</v>
      </c>
    </row>
    <row r="694" spans="1:12" ht="15.5" x14ac:dyDescent="0.35">
      <c r="A694" s="143" t="s">
        <v>863</v>
      </c>
      <c r="B694" s="229">
        <v>2016</v>
      </c>
      <c r="C694" s="514" t="s">
        <v>865</v>
      </c>
      <c r="D694" s="515">
        <v>4.5966730444446414E-2</v>
      </c>
      <c r="E694" s="516">
        <v>7.4899276778258875E-2</v>
      </c>
      <c r="F694" s="145">
        <v>0.25767028176242218</v>
      </c>
      <c r="G694" s="145">
        <v>2.5714295796670224E-3</v>
      </c>
      <c r="H694" s="517">
        <v>2.0000009999999999E-3</v>
      </c>
      <c r="I694" s="517">
        <v>1.5750005000000001E-2</v>
      </c>
      <c r="J694" s="148">
        <v>2.7821837043930202E-3</v>
      </c>
      <c r="K694" s="518">
        <v>1.9838850999087134E-4</v>
      </c>
      <c r="L694" s="519">
        <v>2.0735875750748015E-4</v>
      </c>
    </row>
    <row r="695" spans="1:12" ht="15.5" x14ac:dyDescent="0.35">
      <c r="A695" s="143" t="s">
        <v>863</v>
      </c>
      <c r="B695" s="229">
        <v>2017</v>
      </c>
      <c r="C695" s="514" t="s">
        <v>1599</v>
      </c>
      <c r="D695" s="515">
        <v>4.4966527932950896E-2</v>
      </c>
      <c r="E695" s="516">
        <v>6.2671307503341198E-2</v>
      </c>
      <c r="F695" s="145">
        <v>0.22198335080780546</v>
      </c>
      <c r="G695" s="145">
        <v>2.4378494599137279E-3</v>
      </c>
      <c r="H695" s="517">
        <v>2.0000009999999999E-3</v>
      </c>
      <c r="I695" s="517">
        <v>1.5750005000000001E-2</v>
      </c>
      <c r="J695" s="148">
        <v>2.6392798987050544E-3</v>
      </c>
      <c r="K695" s="518">
        <v>1.8158519521811913E-4</v>
      </c>
      <c r="L695" s="519">
        <v>1.8979566990216725E-4</v>
      </c>
    </row>
    <row r="696" spans="1:12" ht="15.5" x14ac:dyDescent="0.35">
      <c r="A696" s="143" t="s">
        <v>863</v>
      </c>
      <c r="B696" s="229">
        <v>2018</v>
      </c>
      <c r="C696" s="514" t="s">
        <v>1600</v>
      </c>
      <c r="D696" s="515">
        <v>4.3913566369142891E-2</v>
      </c>
      <c r="E696" s="516">
        <v>5.1896486889788103E-2</v>
      </c>
      <c r="F696" s="145">
        <v>0.19038573132026268</v>
      </c>
      <c r="G696" s="145">
        <v>2.3464406086266885E-3</v>
      </c>
      <c r="H696" s="517">
        <v>2.0000009999999999E-3</v>
      </c>
      <c r="I696" s="517">
        <v>1.5750005000000001E-2</v>
      </c>
      <c r="J696" s="148">
        <v>2.5418947391090993E-3</v>
      </c>
      <c r="K696" s="518">
        <v>1.6674251015712834E-4</v>
      </c>
      <c r="L696" s="519">
        <v>1.7428186187466664E-4</v>
      </c>
    </row>
    <row r="697" spans="1:12" ht="15.5" x14ac:dyDescent="0.35">
      <c r="A697" s="143" t="s">
        <v>863</v>
      </c>
      <c r="B697" s="229">
        <v>2019</v>
      </c>
      <c r="C697" s="514" t="s">
        <v>1601</v>
      </c>
      <c r="D697" s="515">
        <v>4.2803768225796859E-2</v>
      </c>
      <c r="E697" s="516">
        <v>4.2138821495391998E-2</v>
      </c>
      <c r="F697" s="145">
        <v>0.16274389692743199</v>
      </c>
      <c r="G697" s="145">
        <v>2.2704111644922466E-3</v>
      </c>
      <c r="H697" s="517">
        <v>2.0000009999999995E-3</v>
      </c>
      <c r="I697" s="517">
        <v>1.5750005000000001E-2</v>
      </c>
      <c r="J697" s="148">
        <v>2.4610792673859902E-3</v>
      </c>
      <c r="K697" s="518">
        <v>1.5325355814512555E-4</v>
      </c>
      <c r="L697" s="519">
        <v>1.601830054149867E-4</v>
      </c>
    </row>
    <row r="698" spans="1:12" ht="15.5" x14ac:dyDescent="0.35">
      <c r="A698" s="143" t="s">
        <v>863</v>
      </c>
      <c r="B698" s="229">
        <v>2020</v>
      </c>
      <c r="C698" s="514" t="s">
        <v>1602</v>
      </c>
      <c r="D698" s="515">
        <v>4.1657173674127225E-2</v>
      </c>
      <c r="E698" s="516">
        <v>3.5609621884741073E-2</v>
      </c>
      <c r="F698" s="145">
        <v>0.14026986118170431</v>
      </c>
      <c r="G698" s="145">
        <v>2.178293570851233E-3</v>
      </c>
      <c r="H698" s="517">
        <v>2.0000009999999999E-3</v>
      </c>
      <c r="I698" s="517">
        <v>1.5750005000000001E-2</v>
      </c>
      <c r="J698" s="148">
        <v>2.361914801910908E-3</v>
      </c>
      <c r="K698" s="518">
        <v>1.3955277947546527E-4</v>
      </c>
      <c r="L698" s="519">
        <v>1.4586273275836919E-4</v>
      </c>
    </row>
    <row r="699" spans="1:12" ht="15.5" x14ac:dyDescent="0.35">
      <c r="A699" s="143" t="s">
        <v>863</v>
      </c>
      <c r="B699" s="229">
        <v>2021</v>
      </c>
      <c r="C699" s="514" t="s">
        <v>1603</v>
      </c>
      <c r="D699" s="515">
        <v>4.0468158472177884E-2</v>
      </c>
      <c r="E699" s="516">
        <v>2.9912477611673614E-2</v>
      </c>
      <c r="F699" s="145">
        <v>0.12046340471643469</v>
      </c>
      <c r="G699" s="145">
        <v>2.0502992971498943E-3</v>
      </c>
      <c r="H699" s="517">
        <v>2.0000009999999999E-3</v>
      </c>
      <c r="I699" s="517">
        <v>1.5750005000000001E-2</v>
      </c>
      <c r="J699" s="148">
        <v>2.2236313260549441E-3</v>
      </c>
      <c r="K699" s="518">
        <v>1.2734433569323462E-4</v>
      </c>
      <c r="L699" s="519">
        <v>1.33102282479908E-4</v>
      </c>
    </row>
    <row r="700" spans="1:12" ht="15.5" x14ac:dyDescent="0.35">
      <c r="A700" s="143" t="s">
        <v>863</v>
      </c>
      <c r="B700" s="229">
        <v>2022</v>
      </c>
      <c r="C700" s="514" t="s">
        <v>1604</v>
      </c>
      <c r="D700" s="515">
        <v>3.9276484107051396E-2</v>
      </c>
      <c r="E700" s="516">
        <v>2.377466979528112E-2</v>
      </c>
      <c r="F700" s="145">
        <v>0.10229536956010224</v>
      </c>
      <c r="G700" s="145">
        <v>1.9240300347504039E-3</v>
      </c>
      <c r="H700" s="517">
        <v>2.0000009999999995E-3</v>
      </c>
      <c r="I700" s="517">
        <v>1.5750004999999997E-2</v>
      </c>
      <c r="J700" s="148">
        <v>2.0874303668479304E-3</v>
      </c>
      <c r="K700" s="518">
        <v>1.1637938392073681E-4</v>
      </c>
      <c r="L700" s="519">
        <v>1.2164154414425871E-4</v>
      </c>
    </row>
    <row r="701" spans="1:12" ht="15.5" x14ac:dyDescent="0.35">
      <c r="A701" s="143" t="s">
        <v>863</v>
      </c>
      <c r="B701" s="229">
        <v>2023</v>
      </c>
      <c r="C701" s="514" t="s">
        <v>1605</v>
      </c>
      <c r="D701" s="515">
        <v>3.8085136472733663E-2</v>
      </c>
      <c r="E701" s="516">
        <v>2.0482160829515574E-2</v>
      </c>
      <c r="F701" s="145">
        <v>8.8932923454869348E-2</v>
      </c>
      <c r="G701" s="145">
        <v>1.8180772106784228E-3</v>
      </c>
      <c r="H701" s="517">
        <v>2.0000009999999995E-3</v>
      </c>
      <c r="I701" s="517">
        <v>1.5750005000000001E-2</v>
      </c>
      <c r="J701" s="148">
        <v>1.9726974139440434E-3</v>
      </c>
      <c r="K701" s="518">
        <v>1.064209712631605E-4</v>
      </c>
      <c r="L701" s="519">
        <v>1.112328538354581E-4</v>
      </c>
    </row>
    <row r="702" spans="1:12" ht="15.5" x14ac:dyDescent="0.35">
      <c r="A702" s="143" t="s">
        <v>863</v>
      </c>
      <c r="B702" s="229">
        <v>2024</v>
      </c>
      <c r="C702" s="514" t="s">
        <v>1606</v>
      </c>
      <c r="D702" s="515">
        <v>3.6898957474878959E-2</v>
      </c>
      <c r="E702" s="516">
        <v>1.7582333218139689E-2</v>
      </c>
      <c r="F702" s="145">
        <v>7.743426041608735E-2</v>
      </c>
      <c r="G702" s="145">
        <v>1.7216295486159933E-3</v>
      </c>
      <c r="H702" s="517">
        <v>2.0000009999999999E-3</v>
      </c>
      <c r="I702" s="517">
        <v>1.5750005000000004E-2</v>
      </c>
      <c r="J702" s="148">
        <v>1.8682683904230699E-3</v>
      </c>
      <c r="K702" s="518">
        <v>9.7470008121041139E-5</v>
      </c>
      <c r="L702" s="519">
        <v>1.0187717085159938E-4</v>
      </c>
    </row>
    <row r="703" spans="1:12" ht="15.5" x14ac:dyDescent="0.35">
      <c r="A703" s="143" t="s">
        <v>863</v>
      </c>
      <c r="B703" s="229">
        <v>2025</v>
      </c>
      <c r="C703" s="514" t="s">
        <v>1607</v>
      </c>
      <c r="D703" s="515">
        <v>3.5736206438020654E-2</v>
      </c>
      <c r="E703" s="516">
        <v>1.5384355580195234E-2</v>
      </c>
      <c r="F703" s="145">
        <v>6.8559203033745922E-2</v>
      </c>
      <c r="G703" s="145">
        <v>1.6452747856281955E-3</v>
      </c>
      <c r="H703" s="517">
        <v>2.0000009999999995E-3</v>
      </c>
      <c r="I703" s="517">
        <v>1.5750004999999997E-2</v>
      </c>
      <c r="J703" s="148">
        <v>1.7856255635360053E-3</v>
      </c>
      <c r="K703" s="518">
        <v>8.8660001868926354E-5</v>
      </c>
      <c r="L703" s="519">
        <v>9.266881657390592E-5</v>
      </c>
    </row>
    <row r="704" spans="1:12" ht="15.5" x14ac:dyDescent="0.35">
      <c r="A704" s="143" t="s">
        <v>863</v>
      </c>
      <c r="B704" s="229">
        <v>2026</v>
      </c>
      <c r="C704" s="514" t="s">
        <v>1608</v>
      </c>
      <c r="D704" s="515">
        <v>3.4653797013700277E-2</v>
      </c>
      <c r="E704" s="516">
        <v>1.3612611589199939E-2</v>
      </c>
      <c r="F704" s="145">
        <v>6.1447739675333596E-2</v>
      </c>
      <c r="G704" s="145">
        <v>1.5696748798459017E-3</v>
      </c>
      <c r="H704" s="517">
        <v>2.0000009999999995E-3</v>
      </c>
      <c r="I704" s="517">
        <v>1.5750004999999997E-2</v>
      </c>
      <c r="J704" s="148">
        <v>1.7038380026117232E-3</v>
      </c>
      <c r="K704" s="518">
        <v>7.8474784244818264E-5</v>
      </c>
      <c r="L704" s="519">
        <v>8.2023060943221671E-5</v>
      </c>
    </row>
    <row r="705" spans="1:12" ht="15.5" x14ac:dyDescent="0.35">
      <c r="A705" s="143" t="s">
        <v>863</v>
      </c>
      <c r="B705" s="229">
        <v>2027</v>
      </c>
      <c r="C705" s="514" t="s">
        <v>1609</v>
      </c>
      <c r="D705" s="515">
        <v>3.3639430621981235E-2</v>
      </c>
      <c r="E705" s="516">
        <v>1.2090865900194292E-2</v>
      </c>
      <c r="F705" s="145">
        <v>5.5385817610828149E-2</v>
      </c>
      <c r="G705" s="145">
        <v>1.4855204747751644E-3</v>
      </c>
      <c r="H705" s="517">
        <v>2.0000010000000004E-3</v>
      </c>
      <c r="I705" s="517">
        <v>1.5750005000000004E-2</v>
      </c>
      <c r="J705" s="148">
        <v>1.6127766025549682E-3</v>
      </c>
      <c r="K705" s="518">
        <v>6.755741181331437E-5</v>
      </c>
      <c r="L705" s="519">
        <v>7.0612051719508322E-5</v>
      </c>
    </row>
    <row r="706" spans="1:12" ht="15.5" x14ac:dyDescent="0.35">
      <c r="A706" s="143" t="s">
        <v>863</v>
      </c>
      <c r="B706" s="229">
        <v>2028</v>
      </c>
      <c r="C706" s="514" t="s">
        <v>1610</v>
      </c>
      <c r="D706" s="515">
        <v>3.2704440951291422E-2</v>
      </c>
      <c r="E706" s="516">
        <v>1.0792551620032925E-2</v>
      </c>
      <c r="F706" s="145">
        <v>5.0259083476255025E-2</v>
      </c>
      <c r="G706" s="145">
        <v>1.3947551696311296E-3</v>
      </c>
      <c r="H706" s="517">
        <v>2.0000010000000004E-3</v>
      </c>
      <c r="I706" s="517">
        <v>1.5750005000000004E-2</v>
      </c>
      <c r="J706" s="148">
        <v>1.5144847531055618E-3</v>
      </c>
      <c r="K706" s="518">
        <v>5.7553688013323664E-5</v>
      </c>
      <c r="L706" s="519">
        <v>6.0156014639544918E-5</v>
      </c>
    </row>
    <row r="707" spans="1:12" ht="15.5" x14ac:dyDescent="0.35">
      <c r="A707" s="143" t="s">
        <v>863</v>
      </c>
      <c r="B707" s="229">
        <v>2029</v>
      </c>
      <c r="C707" s="514" t="s">
        <v>1611</v>
      </c>
      <c r="D707" s="515">
        <v>3.1843411179529102E-2</v>
      </c>
      <c r="E707" s="516">
        <v>9.6145435564545332E-3</v>
      </c>
      <c r="F707" s="145">
        <v>4.57456440987127E-2</v>
      </c>
      <c r="G707" s="145">
        <v>1.3082620525172162E-3</v>
      </c>
      <c r="H707" s="517">
        <v>2.0000009999999999E-3</v>
      </c>
      <c r="I707" s="517">
        <v>1.5750005000000001E-2</v>
      </c>
      <c r="J707" s="148">
        <v>1.4207211077067777E-3</v>
      </c>
      <c r="K707" s="518">
        <v>5.0353139852404509E-5</v>
      </c>
      <c r="L707" s="519">
        <v>5.2629889064683595E-5</v>
      </c>
    </row>
    <row r="708" spans="1:12" ht="15.5" x14ac:dyDescent="0.35">
      <c r="A708" s="143" t="s">
        <v>863</v>
      </c>
      <c r="B708" s="229">
        <v>2030</v>
      </c>
      <c r="C708" s="514" t="s">
        <v>1612</v>
      </c>
      <c r="D708" s="515">
        <v>3.1056306985539232E-2</v>
      </c>
      <c r="E708" s="516">
        <v>8.6477813864720143E-3</v>
      </c>
      <c r="F708" s="145">
        <v>4.1925577072530619E-2</v>
      </c>
      <c r="G708" s="145">
        <v>1.2248539794348519E-3</v>
      </c>
      <c r="H708" s="517">
        <v>2.0000009999999999E-3</v>
      </c>
      <c r="I708" s="517">
        <v>1.5750005000000001E-2</v>
      </c>
      <c r="J708" s="148">
        <v>1.3303436054074266E-3</v>
      </c>
      <c r="K708" s="518">
        <v>4.2409567889114111E-5</v>
      </c>
      <c r="L708" s="519">
        <v>4.4327138191060982E-5</v>
      </c>
    </row>
    <row r="709" spans="1:12" ht="15.5" x14ac:dyDescent="0.35">
      <c r="A709" s="143" t="s">
        <v>863</v>
      </c>
      <c r="B709" s="229">
        <v>2031</v>
      </c>
      <c r="C709" s="514" t="s">
        <v>1613</v>
      </c>
      <c r="D709" s="515">
        <v>3.033997980748656E-2</v>
      </c>
      <c r="E709" s="516">
        <v>7.8036133430469121E-3</v>
      </c>
      <c r="F709" s="145">
        <v>3.8652384231890782E-2</v>
      </c>
      <c r="G709" s="145">
        <v>1.149793294626882E-3</v>
      </c>
      <c r="H709" s="517">
        <v>2.0000010000000004E-3</v>
      </c>
      <c r="I709" s="517">
        <v>1.5750005000000001E-2</v>
      </c>
      <c r="J709" s="148">
        <v>1.2488643235761406E-3</v>
      </c>
      <c r="K709" s="518">
        <v>3.8717157644088473E-5</v>
      </c>
      <c r="L709" s="519">
        <v>4.0467776302495801E-5</v>
      </c>
    </row>
    <row r="710" spans="1:12" ht="15.5" x14ac:dyDescent="0.35">
      <c r="A710" s="143" t="s">
        <v>863</v>
      </c>
      <c r="B710" s="229">
        <v>2032</v>
      </c>
      <c r="C710" s="514" t="s">
        <v>1614</v>
      </c>
      <c r="D710" s="515">
        <v>2.9693268791241043E-2</v>
      </c>
      <c r="E710" s="516">
        <v>7.0583946170027553E-3</v>
      </c>
      <c r="F710" s="145">
        <v>3.5840912561378828E-2</v>
      </c>
      <c r="G710" s="145">
        <v>1.0802937396697985E-3</v>
      </c>
      <c r="H710" s="517">
        <v>2.0000010000000004E-3</v>
      </c>
      <c r="I710" s="517">
        <v>1.5750005000000001E-2</v>
      </c>
      <c r="J710" s="148">
        <v>1.1733834007941202E-3</v>
      </c>
      <c r="K710" s="518">
        <v>3.6217729188092519E-5</v>
      </c>
      <c r="L710" s="519">
        <v>3.7855329874329725E-5</v>
      </c>
    </row>
    <row r="711" spans="1:12" ht="15.5" x14ac:dyDescent="0.35">
      <c r="A711" s="143" t="s">
        <v>863</v>
      </c>
      <c r="B711" s="229">
        <v>2033</v>
      </c>
      <c r="C711" s="514" t="s">
        <v>1615</v>
      </c>
      <c r="D711" s="515">
        <v>2.9111302636992877E-2</v>
      </c>
      <c r="E711" s="516">
        <v>6.3904069940803922E-3</v>
      </c>
      <c r="F711" s="145">
        <v>3.3411577171469614E-2</v>
      </c>
      <c r="G711" s="145">
        <v>1.0149223307705678E-3</v>
      </c>
      <c r="H711" s="517">
        <v>2.0000009999999999E-3</v>
      </c>
      <c r="I711" s="517">
        <v>1.5750004999999997E-2</v>
      </c>
      <c r="J711" s="148">
        <v>1.1023810463449241E-3</v>
      </c>
      <c r="K711" s="518">
        <v>3.3980545810383642E-5</v>
      </c>
      <c r="L711" s="519">
        <v>3.5516989918880107E-5</v>
      </c>
    </row>
    <row r="712" spans="1:12" ht="15.5" x14ac:dyDescent="0.35">
      <c r="A712" s="143" t="s">
        <v>863</v>
      </c>
      <c r="B712" s="229">
        <v>2034</v>
      </c>
      <c r="C712" s="514" t="s">
        <v>1616</v>
      </c>
      <c r="D712" s="515">
        <v>2.8587603582451982E-2</v>
      </c>
      <c r="E712" s="516">
        <v>5.7734986780039769E-3</v>
      </c>
      <c r="F712" s="145">
        <v>3.1248824738125045E-2</v>
      </c>
      <c r="G712" s="145">
        <v>9.5335619189545833E-4</v>
      </c>
      <c r="H712" s="517">
        <v>2.0000009999999999E-3</v>
      </c>
      <c r="I712" s="517">
        <v>1.5750005000000001E-2</v>
      </c>
      <c r="J712" s="148">
        <v>1.0355086699976295E-3</v>
      </c>
      <c r="K712" s="518">
        <v>3.1943900781779919E-5</v>
      </c>
      <c r="L712" s="519">
        <v>3.3388256580559892E-5</v>
      </c>
    </row>
    <row r="713" spans="1:12" ht="15.5" x14ac:dyDescent="0.35">
      <c r="A713" s="143" t="s">
        <v>863</v>
      </c>
      <c r="B713" s="229">
        <v>2035</v>
      </c>
      <c r="C713" s="514" t="s">
        <v>1617</v>
      </c>
      <c r="D713" s="515">
        <v>2.8118895349779904E-2</v>
      </c>
      <c r="E713" s="516">
        <v>5.2401227825073123E-3</v>
      </c>
      <c r="F713" s="145">
        <v>2.9469465100346034E-2</v>
      </c>
      <c r="G713" s="145">
        <v>8.9708995569384232E-4</v>
      </c>
      <c r="H713" s="517">
        <v>2.0000009999999999E-3</v>
      </c>
      <c r="I713" s="517">
        <v>1.5750004999999997E-2</v>
      </c>
      <c r="J713" s="148">
        <v>9.7439141260366056E-4</v>
      </c>
      <c r="K713" s="518">
        <v>3.0113227337846035E-5</v>
      </c>
      <c r="L713" s="519">
        <v>3.1474810971419132E-5</v>
      </c>
    </row>
    <row r="714" spans="1:12" ht="15.5" x14ac:dyDescent="0.35">
      <c r="A714" s="143" t="s">
        <v>863</v>
      </c>
      <c r="B714" s="229">
        <v>2036</v>
      </c>
      <c r="C714" s="514" t="s">
        <v>1618</v>
      </c>
      <c r="D714" s="515">
        <v>2.7702070867173478E-2</v>
      </c>
      <c r="E714" s="516">
        <v>4.7764808110646456E-3</v>
      </c>
      <c r="F714" s="145">
        <v>2.7972378537744733E-2</v>
      </c>
      <c r="G714" s="145">
        <v>8.4890922392852732E-4</v>
      </c>
      <c r="H714" s="517">
        <v>2.0000009999999999E-3</v>
      </c>
      <c r="I714" s="517">
        <v>1.5750005000000001E-2</v>
      </c>
      <c r="J714" s="148">
        <v>9.220589547379737E-4</v>
      </c>
      <c r="K714" s="518">
        <v>2.8492091657570718E-5</v>
      </c>
      <c r="L714" s="519">
        <v>2.9780374077378485E-5</v>
      </c>
    </row>
    <row r="715" spans="1:12" ht="15.5" x14ac:dyDescent="0.35">
      <c r="A715" s="143" t="s">
        <v>863</v>
      </c>
      <c r="B715" s="229">
        <v>2037</v>
      </c>
      <c r="C715" s="514" t="s">
        <v>1619</v>
      </c>
      <c r="D715" s="515">
        <v>2.7334378757929621E-2</v>
      </c>
      <c r="E715" s="516">
        <v>4.3629123570056135E-3</v>
      </c>
      <c r="F715" s="145">
        <v>2.6674294392532955E-2</v>
      </c>
      <c r="G715" s="145">
        <v>8.0538092543393626E-4</v>
      </c>
      <c r="H715" s="517">
        <v>2.0000009999999999E-3</v>
      </c>
      <c r="I715" s="517">
        <v>1.5750005000000001E-2</v>
      </c>
      <c r="J715" s="148">
        <v>8.7477820763254841E-4</v>
      </c>
      <c r="K715" s="518">
        <v>2.7072676017030966E-5</v>
      </c>
      <c r="L715" s="519">
        <v>2.8296779673229517E-5</v>
      </c>
    </row>
    <row r="716" spans="1:12" ht="15.5" x14ac:dyDescent="0.35">
      <c r="A716" s="143" t="s">
        <v>863</v>
      </c>
      <c r="B716" s="229">
        <v>2038</v>
      </c>
      <c r="C716" s="514" t="s">
        <v>1620</v>
      </c>
      <c r="D716" s="515">
        <v>2.701251637872891E-2</v>
      </c>
      <c r="E716" s="516">
        <v>3.9871520496096253E-3</v>
      </c>
      <c r="F716" s="145">
        <v>2.5497796841329315E-2</v>
      </c>
      <c r="G716" s="145">
        <v>7.6619704216019898E-4</v>
      </c>
      <c r="H716" s="517">
        <v>2.0000009999999999E-3</v>
      </c>
      <c r="I716" s="517">
        <v>1.5750005000000001E-2</v>
      </c>
      <c r="J716" s="148">
        <v>8.3221349513538912E-4</v>
      </c>
      <c r="K716" s="518">
        <v>2.5845419115761045E-5</v>
      </c>
      <c r="L716" s="519">
        <v>2.7014030482882033E-5</v>
      </c>
    </row>
    <row r="717" spans="1:12" ht="15.5" x14ac:dyDescent="0.35">
      <c r="A717" s="143" t="s">
        <v>863</v>
      </c>
      <c r="B717" s="229">
        <v>2039</v>
      </c>
      <c r="C717" s="514" t="s">
        <v>1621</v>
      </c>
      <c r="D717" s="515">
        <v>2.6728685558433808E-2</v>
      </c>
      <c r="E717" s="516">
        <v>3.6299283969279937E-3</v>
      </c>
      <c r="F717" s="145">
        <v>2.4369540754317475E-2</v>
      </c>
      <c r="G717" s="145">
        <v>7.3092660666763205E-4</v>
      </c>
      <c r="H717" s="517">
        <v>2.0000010000000004E-3</v>
      </c>
      <c r="I717" s="517">
        <v>1.5750005000000004E-2</v>
      </c>
      <c r="J717" s="148">
        <v>7.9389900364746789E-4</v>
      </c>
      <c r="K717" s="518">
        <v>2.4789011093841404E-5</v>
      </c>
      <c r="L717" s="519">
        <v>2.5909853940782248E-5</v>
      </c>
    </row>
    <row r="718" spans="1:12" ht="15.5" x14ac:dyDescent="0.35">
      <c r="A718" s="143" t="s">
        <v>863</v>
      </c>
      <c r="B718" s="229">
        <v>2040</v>
      </c>
      <c r="C718" s="514" t="s">
        <v>1622</v>
      </c>
      <c r="D718" s="515">
        <v>2.6479980898145097E-2</v>
      </c>
      <c r="E718" s="516">
        <v>3.319696184103914E-3</v>
      </c>
      <c r="F718" s="145">
        <v>2.3447802054417242E-2</v>
      </c>
      <c r="G718" s="145">
        <v>6.9962472831365313E-4</v>
      </c>
      <c r="H718" s="517">
        <v>2.0000009999999999E-3</v>
      </c>
      <c r="I718" s="517">
        <v>1.5750005000000001E-2</v>
      </c>
      <c r="J718" s="148">
        <v>7.5989694322218951E-4</v>
      </c>
      <c r="K718" s="518">
        <v>2.38152477401516E-5</v>
      </c>
      <c r="L718" s="519">
        <v>2.4892070454388361E-5</v>
      </c>
    </row>
    <row r="719" spans="1:12" ht="15.5" x14ac:dyDescent="0.35">
      <c r="A719" s="143" t="s">
        <v>863</v>
      </c>
      <c r="B719" s="229">
        <v>2041</v>
      </c>
      <c r="C719" s="514" t="s">
        <v>1623</v>
      </c>
      <c r="D719" s="515">
        <v>2.626656672048696E-2</v>
      </c>
      <c r="E719" s="516">
        <v>3.0967958484991354E-3</v>
      </c>
      <c r="F719" s="145">
        <v>2.2748819406236832E-2</v>
      </c>
      <c r="G719" s="145">
        <v>6.7567263610132384E-4</v>
      </c>
      <c r="H719" s="517">
        <v>2.0000009999999995E-3</v>
      </c>
      <c r="I719" s="517">
        <v>1.5750004999999997E-2</v>
      </c>
      <c r="J719" s="148">
        <v>7.3387904904304534E-4</v>
      </c>
      <c r="K719" s="518">
        <v>2.3038638933602741E-5</v>
      </c>
      <c r="L719" s="519">
        <v>2.4080343071246037E-5</v>
      </c>
    </row>
    <row r="720" spans="1:12" ht="15.5" x14ac:dyDescent="0.35">
      <c r="A720" s="143" t="s">
        <v>863</v>
      </c>
      <c r="B720" s="229">
        <v>2042</v>
      </c>
      <c r="C720" s="514" t="s">
        <v>1624</v>
      </c>
      <c r="D720" s="515">
        <v>2.6079614237120984E-2</v>
      </c>
      <c r="E720" s="516">
        <v>2.9056059763142828E-3</v>
      </c>
      <c r="F720" s="145">
        <v>2.2114319290661384E-2</v>
      </c>
      <c r="G720" s="145">
        <v>6.5495116337968887E-4</v>
      </c>
      <c r="H720" s="517">
        <v>2.0000009999999999E-3</v>
      </c>
      <c r="I720" s="517">
        <v>1.5750005000000001E-2</v>
      </c>
      <c r="J720" s="148">
        <v>7.1137294156087608E-4</v>
      </c>
      <c r="K720" s="518">
        <v>2.2332971347878632E-5</v>
      </c>
      <c r="L720" s="519">
        <v>2.3342768349183033E-5</v>
      </c>
    </row>
    <row r="721" spans="1:12" ht="15.5" x14ac:dyDescent="0.35">
      <c r="A721" s="143" t="s">
        <v>863</v>
      </c>
      <c r="B721" s="229">
        <v>2043</v>
      </c>
      <c r="C721" s="514" t="s">
        <v>1625</v>
      </c>
      <c r="D721" s="515">
        <v>2.5918862663688005E-2</v>
      </c>
      <c r="E721" s="516">
        <v>2.7578255989018485E-3</v>
      </c>
      <c r="F721" s="145">
        <v>2.1619273375171666E-2</v>
      </c>
      <c r="G721" s="145">
        <v>6.3720935711752546E-4</v>
      </c>
      <c r="H721" s="517">
        <v>2.0000009999999999E-3</v>
      </c>
      <c r="I721" s="517">
        <v>1.5750004999999997E-2</v>
      </c>
      <c r="J721" s="148">
        <v>6.9210254624437612E-4</v>
      </c>
      <c r="K721" s="518">
        <v>2.1730998552323036E-5</v>
      </c>
      <c r="L721" s="519">
        <v>2.2713567852084295E-5</v>
      </c>
    </row>
    <row r="722" spans="1:12" ht="15.5" x14ac:dyDescent="0.35">
      <c r="A722" s="143" t="s">
        <v>863</v>
      </c>
      <c r="B722" s="229">
        <v>2044</v>
      </c>
      <c r="C722" s="514" t="s">
        <v>1626</v>
      </c>
      <c r="D722" s="515">
        <v>2.5779071361545849E-2</v>
      </c>
      <c r="E722" s="516">
        <v>2.6458498419595876E-3</v>
      </c>
      <c r="F722" s="145">
        <v>2.1226119798162579E-2</v>
      </c>
      <c r="G722" s="145">
        <v>6.2201443408029119E-4</v>
      </c>
      <c r="H722" s="517">
        <v>2.0000009999999999E-3</v>
      </c>
      <c r="I722" s="517">
        <v>1.5750005000000001E-2</v>
      </c>
      <c r="J722" s="148">
        <v>6.7560155741522938E-4</v>
      </c>
      <c r="K722" s="518">
        <v>2.1137967949760063E-5</v>
      </c>
      <c r="L722" s="519">
        <v>2.2093737803633235E-5</v>
      </c>
    </row>
    <row r="723" spans="1:12" ht="15.5" x14ac:dyDescent="0.35">
      <c r="A723" s="143" t="s">
        <v>863</v>
      </c>
      <c r="B723" s="229">
        <v>2045</v>
      </c>
      <c r="C723" s="514" t="s">
        <v>1627</v>
      </c>
      <c r="D723" s="515">
        <v>2.565568948902296E-2</v>
      </c>
      <c r="E723" s="516">
        <v>2.5689359393491259E-3</v>
      </c>
      <c r="F723" s="145">
        <v>2.0962364101272907E-2</v>
      </c>
      <c r="G723" s="145">
        <v>6.0921884653226553E-4</v>
      </c>
      <c r="H723" s="517">
        <v>2.0000009999999999E-3</v>
      </c>
      <c r="I723" s="517">
        <v>1.5750005000000001E-2</v>
      </c>
      <c r="J723" s="148">
        <v>6.6170099524635699E-4</v>
      </c>
      <c r="K723" s="518">
        <v>2.0768216317531818E-5</v>
      </c>
      <c r="L723" s="519">
        <v>2.1707256581486673E-5</v>
      </c>
    </row>
    <row r="724" spans="1:12" ht="15.5" x14ac:dyDescent="0.35">
      <c r="A724" s="143" t="s">
        <v>863</v>
      </c>
      <c r="B724" s="229">
        <v>2046</v>
      </c>
      <c r="C724" s="514" t="s">
        <v>1628</v>
      </c>
      <c r="D724" s="515">
        <v>2.554903101184141E-2</v>
      </c>
      <c r="E724" s="516">
        <v>2.502019890607009E-3</v>
      </c>
      <c r="F724" s="145">
        <v>2.0745571999295706E-2</v>
      </c>
      <c r="G724" s="145">
        <v>5.9833454476380639E-4</v>
      </c>
      <c r="H724" s="517">
        <v>2.0000009999999999E-3</v>
      </c>
      <c r="I724" s="517">
        <v>1.5750005000000001E-2</v>
      </c>
      <c r="J724" s="148">
        <v>6.4987973674441918E-4</v>
      </c>
      <c r="K724" s="518">
        <v>2.0382746163602265E-5</v>
      </c>
      <c r="L724" s="519">
        <v>2.1304366681649567E-5</v>
      </c>
    </row>
    <row r="725" spans="1:12" ht="15.5" x14ac:dyDescent="0.35">
      <c r="A725" s="143" t="s">
        <v>863</v>
      </c>
      <c r="B725" s="229">
        <v>2047</v>
      </c>
      <c r="C725" s="514" t="s">
        <v>1629</v>
      </c>
      <c r="D725" s="515">
        <v>2.5458681892080053E-2</v>
      </c>
      <c r="E725" s="516">
        <v>2.4444466041031758E-3</v>
      </c>
      <c r="F725" s="145">
        <v>2.0555187052785077E-2</v>
      </c>
      <c r="G725" s="145">
        <v>5.8930774548742186E-4</v>
      </c>
      <c r="H725" s="517">
        <v>2.0000009999999999E-3</v>
      </c>
      <c r="I725" s="517">
        <v>1.5750005000000001E-2</v>
      </c>
      <c r="J725" s="148">
        <v>6.4007415978931917E-4</v>
      </c>
      <c r="K725" s="518">
        <v>2.0105150313324862E-5</v>
      </c>
      <c r="L725" s="519">
        <v>2.1014220165647082E-5</v>
      </c>
    </row>
    <row r="726" spans="1:12" ht="15.5" x14ac:dyDescent="0.35">
      <c r="A726" s="143" t="s">
        <v>863</v>
      </c>
      <c r="B726" s="229">
        <v>2048</v>
      </c>
      <c r="C726" s="514" t="s">
        <v>1630</v>
      </c>
      <c r="D726" s="515">
        <v>2.5380780862566781E-2</v>
      </c>
      <c r="E726" s="516">
        <v>2.3997830634502871E-3</v>
      </c>
      <c r="F726" s="145">
        <v>2.0406744425416356E-2</v>
      </c>
      <c r="G726" s="145">
        <v>5.8178428378055104E-4</v>
      </c>
      <c r="H726" s="517">
        <v>2.0000009999999999E-3</v>
      </c>
      <c r="I726" s="517">
        <v>1.5750005000000001E-2</v>
      </c>
      <c r="J726" s="148">
        <v>6.3190417504293216E-4</v>
      </c>
      <c r="K726" s="518">
        <v>1.9802942797676837E-5</v>
      </c>
      <c r="L726" s="519">
        <v>2.0698346859845419E-5</v>
      </c>
    </row>
    <row r="727" spans="1:12" ht="15.5" x14ac:dyDescent="0.35">
      <c r="A727" s="143" t="s">
        <v>863</v>
      </c>
      <c r="B727" s="229">
        <v>2049</v>
      </c>
      <c r="C727" s="514" t="s">
        <v>1631</v>
      </c>
      <c r="D727" s="515">
        <v>2.531402189553824E-2</v>
      </c>
      <c r="E727" s="516">
        <v>2.3819531923921626E-3</v>
      </c>
      <c r="F727" s="145">
        <v>2.0402741977285831E-2</v>
      </c>
      <c r="G727" s="145">
        <v>5.7701514234092806E-4</v>
      </c>
      <c r="H727" s="517">
        <v>2.0000009999999999E-3</v>
      </c>
      <c r="I727" s="517">
        <v>1.5750005000000001E-2</v>
      </c>
      <c r="J727" s="148">
        <v>6.2672366984608153E-4</v>
      </c>
      <c r="K727" s="518">
        <v>1.966400171385314E-5</v>
      </c>
      <c r="L727" s="519">
        <v>2.05531279445278E-5</v>
      </c>
    </row>
    <row r="728" spans="1:12" ht="15.5" x14ac:dyDescent="0.35">
      <c r="A728" s="143" t="s">
        <v>863</v>
      </c>
      <c r="B728" s="229">
        <v>2050</v>
      </c>
      <c r="C728" s="514" t="s">
        <v>1632</v>
      </c>
      <c r="D728" s="515">
        <v>2.5257708837322423E-2</v>
      </c>
      <c r="E728" s="516">
        <v>2.3669393445150131E-3</v>
      </c>
      <c r="F728" s="145">
        <v>2.0396774672979495E-2</v>
      </c>
      <c r="G728" s="145">
        <v>5.7302181453530406E-4</v>
      </c>
      <c r="H728" s="517">
        <v>2.0000009999999999E-3</v>
      </c>
      <c r="I728" s="517">
        <v>1.5750005000000001E-2</v>
      </c>
      <c r="J728" s="148">
        <v>6.2239189609636955E-4</v>
      </c>
      <c r="K728" s="518">
        <v>1.9394936656707285E-5</v>
      </c>
      <c r="L728" s="519">
        <v>2.0271892347949337E-5</v>
      </c>
    </row>
    <row r="729" spans="1:12" ht="15.5" x14ac:dyDescent="0.35">
      <c r="A729" s="143" t="s">
        <v>866</v>
      </c>
      <c r="B729" s="229">
        <v>2015</v>
      </c>
      <c r="C729" s="514" t="s">
        <v>867</v>
      </c>
      <c r="D729" s="515">
        <v>4.8503685599487506E-2</v>
      </c>
      <c r="E729" s="516">
        <v>6.1540645287721088E-2</v>
      </c>
      <c r="F729" s="145">
        <v>0.19202224117996819</v>
      </c>
      <c r="G729" s="145">
        <v>2.3295758058548949E-3</v>
      </c>
      <c r="H729" s="517">
        <v>2.0000009999999995E-3</v>
      </c>
      <c r="I729" s="517">
        <v>1.5750005000000001E-2</v>
      </c>
      <c r="J729" s="148">
        <v>2.5222570495975439E-3</v>
      </c>
      <c r="K729" s="518">
        <v>1.6106423480193412E-4</v>
      </c>
      <c r="L729" s="519">
        <v>1.6834684348036722E-4</v>
      </c>
    </row>
    <row r="730" spans="1:12" ht="15.5" x14ac:dyDescent="0.35">
      <c r="A730" s="143" t="s">
        <v>866</v>
      </c>
      <c r="B730" s="229">
        <v>2016</v>
      </c>
      <c r="C730" s="514" t="s">
        <v>868</v>
      </c>
      <c r="D730" s="515">
        <v>4.7653032478837627E-2</v>
      </c>
      <c r="E730" s="516">
        <v>5.1071128782804356E-2</v>
      </c>
      <c r="F730" s="145">
        <v>0.16397634007414302</v>
      </c>
      <c r="G730" s="145">
        <v>2.2210465999850534E-3</v>
      </c>
      <c r="H730" s="517">
        <v>2.0000009999999999E-3</v>
      </c>
      <c r="I730" s="517">
        <v>1.5750005000000001E-2</v>
      </c>
      <c r="J730" s="148">
        <v>2.4067278090836651E-3</v>
      </c>
      <c r="K730" s="518">
        <v>1.3444365512909725E-4</v>
      </c>
      <c r="L730" s="519">
        <v>1.4052260043100859E-4</v>
      </c>
    </row>
    <row r="731" spans="1:12" ht="15.5" x14ac:dyDescent="0.35">
      <c r="A731" s="143" t="s">
        <v>866</v>
      </c>
      <c r="B731" s="229">
        <v>2017</v>
      </c>
      <c r="C731" s="514" t="s">
        <v>1633</v>
      </c>
      <c r="D731" s="515">
        <v>4.6557978417725923E-2</v>
      </c>
      <c r="E731" s="516">
        <v>4.2596974126531129E-2</v>
      </c>
      <c r="F731" s="145">
        <v>0.14002551623024262</v>
      </c>
      <c r="G731" s="145">
        <v>2.1675777141593557E-3</v>
      </c>
      <c r="H731" s="517">
        <v>2.0000009999999999E-3</v>
      </c>
      <c r="I731" s="517">
        <v>1.5750004999999997E-2</v>
      </c>
      <c r="J731" s="148">
        <v>2.3500761874023497E-3</v>
      </c>
      <c r="K731" s="518">
        <v>1.2205562599960966E-4</v>
      </c>
      <c r="L731" s="519">
        <v>1.2757443905288962E-4</v>
      </c>
    </row>
    <row r="732" spans="1:12" ht="15.5" x14ac:dyDescent="0.35">
      <c r="A732" s="143" t="s">
        <v>866</v>
      </c>
      <c r="B732" s="229">
        <v>2018</v>
      </c>
      <c r="C732" s="514" t="s">
        <v>1634</v>
      </c>
      <c r="D732" s="515">
        <v>4.5314774350880972E-2</v>
      </c>
      <c r="E732" s="516">
        <v>3.5143765725636586E-2</v>
      </c>
      <c r="F732" s="145">
        <v>0.11931739167294467</v>
      </c>
      <c r="G732" s="145">
        <v>2.1437415919344665E-3</v>
      </c>
      <c r="H732" s="517">
        <v>2.0000009999999999E-3</v>
      </c>
      <c r="I732" s="517">
        <v>1.5750005000000001E-2</v>
      </c>
      <c r="J732" s="148">
        <v>2.3254329002491371E-3</v>
      </c>
      <c r="K732" s="518">
        <v>1.1235452530759364E-4</v>
      </c>
      <c r="L732" s="519">
        <v>1.1743469803110881E-4</v>
      </c>
    </row>
    <row r="733" spans="1:12" ht="15.5" x14ac:dyDescent="0.35">
      <c r="A733" s="143" t="s">
        <v>866</v>
      </c>
      <c r="B733" s="229">
        <v>2019</v>
      </c>
      <c r="C733" s="514" t="s">
        <v>1635</v>
      </c>
      <c r="D733" s="515">
        <v>4.4001451237050376E-2</v>
      </c>
      <c r="E733" s="516">
        <v>2.8933740527882529E-2</v>
      </c>
      <c r="F733" s="145">
        <v>0.10187607839626685</v>
      </c>
      <c r="G733" s="145">
        <v>2.1084784685889727E-3</v>
      </c>
      <c r="H733" s="517">
        <v>2.0000009999999999E-3</v>
      </c>
      <c r="I733" s="517">
        <v>1.5750005000000001E-2</v>
      </c>
      <c r="J733" s="148">
        <v>2.2881053951607794E-3</v>
      </c>
      <c r="K733" s="518">
        <v>1.0274561555266013E-4</v>
      </c>
      <c r="L733" s="519">
        <v>1.0739131728536671E-4</v>
      </c>
    </row>
    <row r="734" spans="1:12" ht="15.5" x14ac:dyDescent="0.35">
      <c r="A734" s="143" t="s">
        <v>866</v>
      </c>
      <c r="B734" s="229">
        <v>2020</v>
      </c>
      <c r="C734" s="514" t="s">
        <v>1636</v>
      </c>
      <c r="D734" s="515">
        <v>4.2641992352269807E-2</v>
      </c>
      <c r="E734" s="516">
        <v>2.4488700065968615E-2</v>
      </c>
      <c r="F734" s="145">
        <v>8.7759615946653727E-2</v>
      </c>
      <c r="G734" s="145">
        <v>2.0309647836573249E-3</v>
      </c>
      <c r="H734" s="517">
        <v>2.0000009999999999E-3</v>
      </c>
      <c r="I734" s="517">
        <v>1.5750005000000001E-2</v>
      </c>
      <c r="J734" s="148">
        <v>2.2043499610895582E-3</v>
      </c>
      <c r="K734" s="518">
        <v>9.5393951382770456E-5</v>
      </c>
      <c r="L734" s="519">
        <v>9.9707243616208545E-5</v>
      </c>
    </row>
    <row r="735" spans="1:12" ht="15.5" x14ac:dyDescent="0.35">
      <c r="A735" s="143" t="s">
        <v>866</v>
      </c>
      <c r="B735" s="229">
        <v>2021</v>
      </c>
      <c r="C735" s="514" t="s">
        <v>1637</v>
      </c>
      <c r="D735" s="515">
        <v>4.124410278640283E-2</v>
      </c>
      <c r="E735" s="516">
        <v>2.1013649590586967E-2</v>
      </c>
      <c r="F735" s="145">
        <v>7.5984175026373543E-2</v>
      </c>
      <c r="G735" s="145">
        <v>1.9065018097643963E-3</v>
      </c>
      <c r="H735" s="517">
        <v>2.0000009999999995E-3</v>
      </c>
      <c r="I735" s="517">
        <v>1.5750005000000004E-2</v>
      </c>
      <c r="J735" s="148">
        <v>2.0695020254142822E-3</v>
      </c>
      <c r="K735" s="518">
        <v>8.6636739445979994E-5</v>
      </c>
      <c r="L735" s="519">
        <v>9.0554072653295449E-5</v>
      </c>
    </row>
    <row r="736" spans="1:12" ht="15.5" x14ac:dyDescent="0.35">
      <c r="A736" s="143" t="s">
        <v>866</v>
      </c>
      <c r="B736" s="229">
        <v>2022</v>
      </c>
      <c r="C736" s="514" t="s">
        <v>1638</v>
      </c>
      <c r="D736" s="515">
        <v>3.98542200518303E-2</v>
      </c>
      <c r="E736" s="516">
        <v>1.7663231236600452E-2</v>
      </c>
      <c r="F736" s="145">
        <v>6.5782881389947714E-2</v>
      </c>
      <c r="G736" s="145">
        <v>1.7927257949923966E-3</v>
      </c>
      <c r="H736" s="517">
        <v>2.0000009999999995E-3</v>
      </c>
      <c r="I736" s="517">
        <v>1.5750004999999997E-2</v>
      </c>
      <c r="J736" s="148">
        <v>1.9462989393529502E-3</v>
      </c>
      <c r="K736" s="518">
        <v>7.9305111743771449E-5</v>
      </c>
      <c r="L736" s="519">
        <v>8.2890934483484139E-5</v>
      </c>
    </row>
    <row r="737" spans="1:12" ht="15.5" x14ac:dyDescent="0.35">
      <c r="A737" s="143" t="s">
        <v>866</v>
      </c>
      <c r="B737" s="229">
        <v>2023</v>
      </c>
      <c r="C737" s="514" t="s">
        <v>1639</v>
      </c>
      <c r="D737" s="515">
        <v>3.847172281025564E-2</v>
      </c>
      <c r="E737" s="516">
        <v>1.5335617092422281E-2</v>
      </c>
      <c r="F737" s="145">
        <v>5.7695412938572339E-2</v>
      </c>
      <c r="G737" s="145">
        <v>1.7000057945690871E-3</v>
      </c>
      <c r="H737" s="517">
        <v>2.0000009999999999E-3</v>
      </c>
      <c r="I737" s="517">
        <v>1.5750005000000001E-2</v>
      </c>
      <c r="J737" s="148">
        <v>1.8458104855334824E-3</v>
      </c>
      <c r="K737" s="518">
        <v>7.193448393921366E-5</v>
      </c>
      <c r="L737" s="519">
        <v>7.5187037040001691E-5</v>
      </c>
    </row>
    <row r="738" spans="1:12" ht="15.5" x14ac:dyDescent="0.35">
      <c r="A738" s="143" t="s">
        <v>866</v>
      </c>
      <c r="B738" s="229">
        <v>2024</v>
      </c>
      <c r="C738" s="514" t="s">
        <v>1640</v>
      </c>
      <c r="D738" s="515">
        <v>3.7105420128651222E-2</v>
      </c>
      <c r="E738" s="516">
        <v>1.3544669511246046E-2</v>
      </c>
      <c r="F738" s="145">
        <v>5.1143092819782042E-2</v>
      </c>
      <c r="G738" s="145">
        <v>1.6424799860439581E-3</v>
      </c>
      <c r="H738" s="517">
        <v>2.0000010000000004E-3</v>
      </c>
      <c r="I738" s="517">
        <v>1.5750005000000001E-2</v>
      </c>
      <c r="J738" s="148">
        <v>1.783628180524669E-3</v>
      </c>
      <c r="K738" s="518">
        <v>6.3807272662536207E-5</v>
      </c>
      <c r="L738" s="519">
        <v>6.6692354019101812E-5</v>
      </c>
    </row>
    <row r="739" spans="1:12" ht="15.5" x14ac:dyDescent="0.35">
      <c r="A739" s="143" t="s">
        <v>866</v>
      </c>
      <c r="B739" s="229">
        <v>2025</v>
      </c>
      <c r="C739" s="514" t="s">
        <v>1641</v>
      </c>
      <c r="D739" s="515">
        <v>3.5777010420362042E-2</v>
      </c>
      <c r="E739" s="516">
        <v>1.1935363667850427E-2</v>
      </c>
      <c r="F739" s="145">
        <v>4.5773806768790719E-2</v>
      </c>
      <c r="G739" s="145">
        <v>1.5780487368722228E-3</v>
      </c>
      <c r="H739" s="517">
        <v>2.0000009999999999E-3</v>
      </c>
      <c r="I739" s="517">
        <v>1.5750005000000001E-2</v>
      </c>
      <c r="J739" s="148">
        <v>1.7138174094529165E-3</v>
      </c>
      <c r="K739" s="518">
        <v>5.7864945825957492E-5</v>
      </c>
      <c r="L739" s="519">
        <v>6.0481338805958494E-5</v>
      </c>
    </row>
    <row r="740" spans="1:12" ht="15.5" x14ac:dyDescent="0.35">
      <c r="A740" s="143" t="s">
        <v>866</v>
      </c>
      <c r="B740" s="229">
        <v>2026</v>
      </c>
      <c r="C740" s="514" t="s">
        <v>1642</v>
      </c>
      <c r="D740" s="515">
        <v>3.4550703849918846E-2</v>
      </c>
      <c r="E740" s="516">
        <v>1.061370146614422E-2</v>
      </c>
      <c r="F740" s="145">
        <v>4.1448871145806546E-2</v>
      </c>
      <c r="G740" s="145">
        <v>1.5071877539146984E-3</v>
      </c>
      <c r="H740" s="517">
        <v>2.0000009999999999E-3</v>
      </c>
      <c r="I740" s="517">
        <v>1.5750005000000001E-2</v>
      </c>
      <c r="J740" s="148">
        <v>1.6370176686017286E-3</v>
      </c>
      <c r="K740" s="518">
        <v>5.157705031210739E-5</v>
      </c>
      <c r="L740" s="519">
        <v>5.3909135545399383E-5</v>
      </c>
    </row>
    <row r="741" spans="1:12" ht="15.5" x14ac:dyDescent="0.35">
      <c r="A741" s="143" t="s">
        <v>866</v>
      </c>
      <c r="B741" s="229">
        <v>2027</v>
      </c>
      <c r="C741" s="514" t="s">
        <v>1643</v>
      </c>
      <c r="D741" s="515">
        <v>3.3414540761834748E-2</v>
      </c>
      <c r="E741" s="516">
        <v>9.4899754443498203E-3</v>
      </c>
      <c r="F741" s="145">
        <v>3.7809180410727235E-2</v>
      </c>
      <c r="G741" s="145">
        <v>1.4226831722241274E-3</v>
      </c>
      <c r="H741" s="517">
        <v>2.0000010000000004E-3</v>
      </c>
      <c r="I741" s="517">
        <v>1.5750005000000001E-2</v>
      </c>
      <c r="J741" s="148">
        <v>1.5454265415096558E-3</v>
      </c>
      <c r="K741" s="518">
        <v>4.4161678163037668E-5</v>
      </c>
      <c r="L741" s="519">
        <v>4.6158478622555869E-5</v>
      </c>
    </row>
    <row r="742" spans="1:12" ht="15.5" x14ac:dyDescent="0.35">
      <c r="A742" s="143" t="s">
        <v>866</v>
      </c>
      <c r="B742" s="229">
        <v>2028</v>
      </c>
      <c r="C742" s="514" t="s">
        <v>1644</v>
      </c>
      <c r="D742" s="515">
        <v>3.2377784089371683E-2</v>
      </c>
      <c r="E742" s="516">
        <v>8.5531707127153057E-3</v>
      </c>
      <c r="F742" s="145">
        <v>3.4789134360230962E-2</v>
      </c>
      <c r="G742" s="145">
        <v>1.3308143524967916E-3</v>
      </c>
      <c r="H742" s="517">
        <v>2.0000009999999999E-3</v>
      </c>
      <c r="I742" s="517">
        <v>1.5750005000000001E-2</v>
      </c>
      <c r="J742" s="148">
        <v>1.4457422231435074E-3</v>
      </c>
      <c r="K742" s="518">
        <v>3.8689216991953081E-5</v>
      </c>
      <c r="L742" s="519">
        <v>4.0438573318126793E-5</v>
      </c>
    </row>
    <row r="743" spans="1:12" ht="15.5" x14ac:dyDescent="0.35">
      <c r="A743" s="143" t="s">
        <v>866</v>
      </c>
      <c r="B743" s="229">
        <v>2029</v>
      </c>
      <c r="C743" s="514" t="s">
        <v>1645</v>
      </c>
      <c r="D743" s="515">
        <v>3.1435963417330758E-2</v>
      </c>
      <c r="E743" s="516">
        <v>7.7233729355957468E-3</v>
      </c>
      <c r="F743" s="145">
        <v>3.2171861991065837E-2</v>
      </c>
      <c r="G743" s="145">
        <v>1.2466216751123567E-3</v>
      </c>
      <c r="H743" s="517">
        <v>2.0000009999999999E-3</v>
      </c>
      <c r="I743" s="517">
        <v>1.5750005000000001E-2</v>
      </c>
      <c r="J743" s="148">
        <v>1.354341303487913E-3</v>
      </c>
      <c r="K743" s="518">
        <v>3.4765944952803651E-5</v>
      </c>
      <c r="L743" s="519">
        <v>3.6337910615566887E-5</v>
      </c>
    </row>
    <row r="744" spans="1:12" ht="15.5" x14ac:dyDescent="0.35">
      <c r="A744" s="143" t="s">
        <v>866</v>
      </c>
      <c r="B744" s="229">
        <v>2030</v>
      </c>
      <c r="C744" s="514" t="s">
        <v>1646</v>
      </c>
      <c r="D744" s="515">
        <v>3.0585910351927103E-2</v>
      </c>
      <c r="E744" s="516">
        <v>7.0216066534921715E-3</v>
      </c>
      <c r="F744" s="145">
        <v>2.9970533980638592E-2</v>
      </c>
      <c r="G744" s="145">
        <v>1.1699877476570066E-3</v>
      </c>
      <c r="H744" s="517">
        <v>2.0000009999999995E-3</v>
      </c>
      <c r="I744" s="517">
        <v>1.5750004999999997E-2</v>
      </c>
      <c r="J744" s="148">
        <v>1.2711270734426492E-3</v>
      </c>
      <c r="K744" s="518">
        <v>3.165023028652576E-5</v>
      </c>
      <c r="L744" s="519">
        <v>3.3081317214202101E-5</v>
      </c>
    </row>
    <row r="745" spans="1:12" ht="15.5" x14ac:dyDescent="0.35">
      <c r="A745" s="143" t="s">
        <v>866</v>
      </c>
      <c r="B745" s="229">
        <v>2031</v>
      </c>
      <c r="C745" s="514" t="s">
        <v>1647</v>
      </c>
      <c r="D745" s="515">
        <v>2.982382645626656E-2</v>
      </c>
      <c r="E745" s="516">
        <v>6.4320237026969859E-3</v>
      </c>
      <c r="F745" s="145">
        <v>2.8074049436448437E-2</v>
      </c>
      <c r="G745" s="145">
        <v>1.1057493258671773E-3</v>
      </c>
      <c r="H745" s="517">
        <v>2.0000009999999999E-3</v>
      </c>
      <c r="I745" s="517">
        <v>1.5750005000000004E-2</v>
      </c>
      <c r="J745" s="148">
        <v>1.2013319216274507E-3</v>
      </c>
      <c r="K745" s="518">
        <v>2.9997172964508236E-5</v>
      </c>
      <c r="L745" s="519">
        <v>3.1353513459518822E-5</v>
      </c>
    </row>
    <row r="746" spans="1:12" ht="15.5" x14ac:dyDescent="0.35">
      <c r="A746" s="143" t="s">
        <v>866</v>
      </c>
      <c r="B746" s="229">
        <v>2032</v>
      </c>
      <c r="C746" s="514" t="s">
        <v>1648</v>
      </c>
      <c r="D746" s="515">
        <v>2.9144267934031069E-2</v>
      </c>
      <c r="E746" s="516">
        <v>5.8888039551370395E-3</v>
      </c>
      <c r="F746" s="145">
        <v>2.6463152324097676E-2</v>
      </c>
      <c r="G746" s="145">
        <v>1.0407062664510142E-3</v>
      </c>
      <c r="H746" s="517">
        <v>2.0000009999999999E-3</v>
      </c>
      <c r="I746" s="517">
        <v>1.5750005000000004E-2</v>
      </c>
      <c r="J746" s="148">
        <v>1.1306692643126108E-3</v>
      </c>
      <c r="K746" s="518">
        <v>2.8169823462241342E-5</v>
      </c>
      <c r="L746" s="519">
        <v>2.9443534597242172E-5</v>
      </c>
    </row>
    <row r="747" spans="1:12" ht="15.5" x14ac:dyDescent="0.35">
      <c r="A747" s="143" t="s">
        <v>866</v>
      </c>
      <c r="B747" s="229">
        <v>2033</v>
      </c>
      <c r="C747" s="514" t="s">
        <v>1649</v>
      </c>
      <c r="D747" s="515">
        <v>2.8541412789950572E-2</v>
      </c>
      <c r="E747" s="516">
        <v>5.4109644122715813E-3</v>
      </c>
      <c r="F747" s="145">
        <v>2.5098949500426605E-2</v>
      </c>
      <c r="G747" s="145">
        <v>9.8106433095453615E-4</v>
      </c>
      <c r="H747" s="517">
        <v>2.0000009999999995E-3</v>
      </c>
      <c r="I747" s="517">
        <v>1.5750005000000001E-2</v>
      </c>
      <c r="J747" s="148">
        <v>1.0658500626485896E-3</v>
      </c>
      <c r="K747" s="518">
        <v>2.7064924800060635E-5</v>
      </c>
      <c r="L747" s="519">
        <v>2.8288675330683039E-5</v>
      </c>
    </row>
    <row r="748" spans="1:12" ht="15.5" x14ac:dyDescent="0.35">
      <c r="A748" s="143" t="s">
        <v>866</v>
      </c>
      <c r="B748" s="229">
        <v>2034</v>
      </c>
      <c r="C748" s="514" t="s">
        <v>1650</v>
      </c>
      <c r="D748" s="515">
        <v>2.8011364251962094E-2</v>
      </c>
      <c r="E748" s="516">
        <v>4.9749372068979359E-3</v>
      </c>
      <c r="F748" s="145">
        <v>2.3919193098156502E-2</v>
      </c>
      <c r="G748" s="145">
        <v>9.2544831845232792E-4</v>
      </c>
      <c r="H748" s="517">
        <v>2.0000009999999999E-3</v>
      </c>
      <c r="I748" s="517">
        <v>1.5750005000000001E-2</v>
      </c>
      <c r="J748" s="148">
        <v>1.0054054632278784E-3</v>
      </c>
      <c r="K748" s="518">
        <v>2.6045243249606424E-5</v>
      </c>
      <c r="L748" s="519">
        <v>2.7222888480417566E-5</v>
      </c>
    </row>
    <row r="749" spans="1:12" ht="15.5" x14ac:dyDescent="0.35">
      <c r="A749" s="143" t="s">
        <v>866</v>
      </c>
      <c r="B749" s="229">
        <v>2035</v>
      </c>
      <c r="C749" s="514" t="s">
        <v>1651</v>
      </c>
      <c r="D749" s="515">
        <v>2.7543511164560476E-2</v>
      </c>
      <c r="E749" s="516">
        <v>4.5942051172102307E-3</v>
      </c>
      <c r="F749" s="145">
        <v>2.2954186026549243E-2</v>
      </c>
      <c r="G749" s="145">
        <v>8.7457255565502362E-4</v>
      </c>
      <c r="H749" s="517">
        <v>2.0000009999999999E-3</v>
      </c>
      <c r="I749" s="517">
        <v>1.5750005000000001E-2</v>
      </c>
      <c r="J749" s="148">
        <v>9.5011426952469407E-4</v>
      </c>
      <c r="K749" s="518">
        <v>2.5089411102943205E-5</v>
      </c>
      <c r="L749" s="519">
        <v>2.6223842187599237E-5</v>
      </c>
    </row>
    <row r="750" spans="1:12" ht="15.5" x14ac:dyDescent="0.35">
      <c r="A750" s="143" t="s">
        <v>866</v>
      </c>
      <c r="B750" s="229">
        <v>2036</v>
      </c>
      <c r="C750" s="514" t="s">
        <v>1652</v>
      </c>
      <c r="D750" s="515">
        <v>2.7137306505712562E-2</v>
      </c>
      <c r="E750" s="516">
        <v>4.2503688835183072E-3</v>
      </c>
      <c r="F750" s="145">
        <v>2.2095631004341757E-2</v>
      </c>
      <c r="G750" s="145">
        <v>8.3021353246528519E-4</v>
      </c>
      <c r="H750" s="517">
        <v>2.0000009999999999E-3</v>
      </c>
      <c r="I750" s="517">
        <v>1.5750005000000001E-2</v>
      </c>
      <c r="J750" s="148">
        <v>9.019067576846126E-4</v>
      </c>
      <c r="K750" s="518">
        <v>2.4210972811582737E-5</v>
      </c>
      <c r="L750" s="519">
        <v>2.5305684708111325E-5</v>
      </c>
    </row>
    <row r="751" spans="1:12" ht="15.5" x14ac:dyDescent="0.35">
      <c r="A751" s="143" t="s">
        <v>866</v>
      </c>
      <c r="B751" s="229">
        <v>2037</v>
      </c>
      <c r="C751" s="514" t="s">
        <v>1653</v>
      </c>
      <c r="D751" s="515">
        <v>2.6785267990273507E-2</v>
      </c>
      <c r="E751" s="516">
        <v>3.9588672977101044E-3</v>
      </c>
      <c r="F751" s="145">
        <v>2.1398750446927614E-2</v>
      </c>
      <c r="G751" s="145">
        <v>7.9075558186522752E-4</v>
      </c>
      <c r="H751" s="517">
        <v>2.0000009999999999E-3</v>
      </c>
      <c r="I751" s="517">
        <v>1.5750005000000001E-2</v>
      </c>
      <c r="J751" s="148">
        <v>8.5902576216605295E-4</v>
      </c>
      <c r="K751" s="518">
        <v>2.3448298180733278E-5</v>
      </c>
      <c r="L751" s="519">
        <v>2.4508526493612772E-5</v>
      </c>
    </row>
    <row r="752" spans="1:12" ht="15.5" x14ac:dyDescent="0.35">
      <c r="A752" s="143" t="s">
        <v>866</v>
      </c>
      <c r="B752" s="229">
        <v>2038</v>
      </c>
      <c r="C752" s="514" t="s">
        <v>1654</v>
      </c>
      <c r="D752" s="515">
        <v>2.6483620440708035E-2</v>
      </c>
      <c r="E752" s="516">
        <v>3.6889017292203708E-3</v>
      </c>
      <c r="F752" s="145">
        <v>2.0750132943643737E-2</v>
      </c>
      <c r="G752" s="145">
        <v>7.556429780588989E-4</v>
      </c>
      <c r="H752" s="517">
        <v>2.0000009999999999E-3</v>
      </c>
      <c r="I752" s="517">
        <v>1.5750005000000001E-2</v>
      </c>
      <c r="J752" s="148">
        <v>8.2086458849247852E-4</v>
      </c>
      <c r="K752" s="518">
        <v>2.2805061459139125E-5</v>
      </c>
      <c r="L752" s="519">
        <v>2.3836202592492939E-5</v>
      </c>
    </row>
    <row r="753" spans="1:12" ht="15.5" x14ac:dyDescent="0.35">
      <c r="A753" s="143" t="s">
        <v>866</v>
      </c>
      <c r="B753" s="229">
        <v>2039</v>
      </c>
      <c r="C753" s="514" t="s">
        <v>1655</v>
      </c>
      <c r="D753" s="515">
        <v>2.6224615376855234E-2</v>
      </c>
      <c r="E753" s="516">
        <v>3.4334731471744569E-3</v>
      </c>
      <c r="F753" s="145">
        <v>2.0137635747925157E-2</v>
      </c>
      <c r="G753" s="145">
        <v>7.2459800910999457E-4</v>
      </c>
      <c r="H753" s="517">
        <v>2.0000009999999999E-3</v>
      </c>
      <c r="I753" s="517">
        <v>1.5750004999999997E-2</v>
      </c>
      <c r="J753" s="148">
        <v>7.8712343683751118E-4</v>
      </c>
      <c r="K753" s="518">
        <v>2.2249863021269679E-5</v>
      </c>
      <c r="L753" s="519">
        <v>2.3255898312022509E-5</v>
      </c>
    </row>
    <row r="754" spans="1:12" ht="15.5" x14ac:dyDescent="0.35">
      <c r="A754" s="143" t="s">
        <v>866</v>
      </c>
      <c r="B754" s="229">
        <v>2040</v>
      </c>
      <c r="C754" s="514" t="s">
        <v>1656</v>
      </c>
      <c r="D754" s="515">
        <v>2.6001346129407289E-2</v>
      </c>
      <c r="E754" s="516">
        <v>3.2008860203370944E-3</v>
      </c>
      <c r="F754" s="145">
        <v>1.9615194300473794E-2</v>
      </c>
      <c r="G754" s="145">
        <v>6.9740458195965407E-4</v>
      </c>
      <c r="H754" s="517">
        <v>2.0000009999999995E-3</v>
      </c>
      <c r="I754" s="517">
        <v>1.5750005000000001E-2</v>
      </c>
      <c r="J754" s="148">
        <v>7.5756938915286015E-4</v>
      </c>
      <c r="K754" s="518">
        <v>2.1762303469482615E-5</v>
      </c>
      <c r="L754" s="519">
        <v>2.2746303181285963E-5</v>
      </c>
    </row>
    <row r="755" spans="1:12" ht="15.5" x14ac:dyDescent="0.35">
      <c r="A755" s="143" t="s">
        <v>866</v>
      </c>
      <c r="B755" s="229">
        <v>2041</v>
      </c>
      <c r="C755" s="514" t="s">
        <v>1657</v>
      </c>
      <c r="D755" s="515">
        <v>2.5811031690103264E-2</v>
      </c>
      <c r="E755" s="516">
        <v>3.0220768324466839E-3</v>
      </c>
      <c r="F755" s="145">
        <v>1.9208135117695205E-2</v>
      </c>
      <c r="G755" s="145">
        <v>6.7650620435937947E-4</v>
      </c>
      <c r="H755" s="517">
        <v>2.0000010000000004E-3</v>
      </c>
      <c r="I755" s="517">
        <v>1.5750005000000001E-2</v>
      </c>
      <c r="J755" s="148">
        <v>7.3485679986518709E-4</v>
      </c>
      <c r="K755" s="518">
        <v>2.1357805675029668E-5</v>
      </c>
      <c r="L755" s="519">
        <v>2.2323513973653019E-5</v>
      </c>
    </row>
    <row r="756" spans="1:12" ht="15.5" x14ac:dyDescent="0.35">
      <c r="A756" s="143" t="s">
        <v>866</v>
      </c>
      <c r="B756" s="229">
        <v>2042</v>
      </c>
      <c r="C756" s="514" t="s">
        <v>1658</v>
      </c>
      <c r="D756" s="515">
        <v>2.5647271117649553E-2</v>
      </c>
      <c r="E756" s="516">
        <v>2.867533968304956E-3</v>
      </c>
      <c r="F756" s="145">
        <v>1.8826770821356469E-2</v>
      </c>
      <c r="G756" s="145">
        <v>6.5863309127787441E-4</v>
      </c>
      <c r="H756" s="517">
        <v>2.0000009999999999E-3</v>
      </c>
      <c r="I756" s="517">
        <v>1.5750005000000001E-2</v>
      </c>
      <c r="J756" s="148">
        <v>7.1543291855033215E-4</v>
      </c>
      <c r="K756" s="518">
        <v>2.1024343878298077E-5</v>
      </c>
      <c r="L756" s="519">
        <v>2.1974970665360545E-5</v>
      </c>
    </row>
    <row r="757" spans="1:12" ht="15.5" x14ac:dyDescent="0.35">
      <c r="A757" s="143" t="s">
        <v>866</v>
      </c>
      <c r="B757" s="229">
        <v>2043</v>
      </c>
      <c r="C757" s="514" t="s">
        <v>1659</v>
      </c>
      <c r="D757" s="515">
        <v>2.5508314093381106E-2</v>
      </c>
      <c r="E757" s="516">
        <v>2.7510454167641221E-3</v>
      </c>
      <c r="F757" s="145">
        <v>1.8540818345562048E-2</v>
      </c>
      <c r="G757" s="145">
        <v>6.4352661540902393E-4</v>
      </c>
      <c r="H757" s="517">
        <v>2.0000009999999999E-3</v>
      </c>
      <c r="I757" s="517">
        <v>1.5750005000000001E-2</v>
      </c>
      <c r="J757" s="148">
        <v>6.9901431377141074E-4</v>
      </c>
      <c r="K757" s="518">
        <v>2.0755229375910654E-5</v>
      </c>
      <c r="L757" s="519">
        <v>2.1693692415306587E-5</v>
      </c>
    </row>
    <row r="758" spans="1:12" ht="15.5" x14ac:dyDescent="0.35">
      <c r="A758" s="143" t="s">
        <v>866</v>
      </c>
      <c r="B758" s="229">
        <v>2044</v>
      </c>
      <c r="C758" s="514" t="s">
        <v>1660</v>
      </c>
      <c r="D758" s="515">
        <v>2.5388818349108687E-2</v>
      </c>
      <c r="E758" s="516">
        <v>2.6638899232415809E-3</v>
      </c>
      <c r="F758" s="145">
        <v>1.8308344775112371E-2</v>
      </c>
      <c r="G758" s="145">
        <v>6.3074839326760553E-4</v>
      </c>
      <c r="H758" s="517">
        <v>2.0000009999999995E-3</v>
      </c>
      <c r="I758" s="517">
        <v>1.5750005000000001E-2</v>
      </c>
      <c r="J758" s="148">
        <v>6.8512588610288039E-4</v>
      </c>
      <c r="K758" s="518">
        <v>2.05420546785983E-5</v>
      </c>
      <c r="L758" s="519">
        <v>2.1470880611121563E-5</v>
      </c>
    </row>
    <row r="759" spans="1:12" ht="15.5" x14ac:dyDescent="0.35">
      <c r="A759" s="143" t="s">
        <v>866</v>
      </c>
      <c r="B759" s="229">
        <v>2045</v>
      </c>
      <c r="C759" s="514" t="s">
        <v>1661</v>
      </c>
      <c r="D759" s="515">
        <v>2.5284175789512395E-2</v>
      </c>
      <c r="E759" s="516">
        <v>2.6060720216762737E-3</v>
      </c>
      <c r="F759" s="145">
        <v>1.8149421413973112E-2</v>
      </c>
      <c r="G759" s="145">
        <v>6.1996578513695533E-4</v>
      </c>
      <c r="H759" s="517">
        <v>2.0000009999999995E-3</v>
      </c>
      <c r="I759" s="517">
        <v>1.5750005000000001E-2</v>
      </c>
      <c r="J759" s="148">
        <v>6.7340582877226031E-4</v>
      </c>
      <c r="K759" s="518">
        <v>2.0376601805628195E-5</v>
      </c>
      <c r="L759" s="519">
        <v>2.1297932663605912E-5</v>
      </c>
    </row>
    <row r="760" spans="1:12" ht="15.5" x14ac:dyDescent="0.35">
      <c r="A760" s="143" t="s">
        <v>866</v>
      </c>
      <c r="B760" s="229">
        <v>2046</v>
      </c>
      <c r="C760" s="514" t="s">
        <v>1662</v>
      </c>
      <c r="D760" s="515">
        <v>2.5195597437427841E-2</v>
      </c>
      <c r="E760" s="516">
        <v>2.5566519354919938E-3</v>
      </c>
      <c r="F760" s="145">
        <v>1.8021782647104044E-2</v>
      </c>
      <c r="G760" s="145">
        <v>6.1103733260690462E-4</v>
      </c>
      <c r="H760" s="517">
        <v>2.0000009999999995E-3</v>
      </c>
      <c r="I760" s="517">
        <v>1.5750004999999997E-2</v>
      </c>
      <c r="J760" s="148">
        <v>6.6370133347387606E-4</v>
      </c>
      <c r="K760" s="518">
        <v>2.0247833042033891E-5</v>
      </c>
      <c r="L760" s="519">
        <v>2.1163344025382198E-5</v>
      </c>
    </row>
    <row r="761" spans="1:12" ht="15.5" x14ac:dyDescent="0.35">
      <c r="A761" s="143" t="s">
        <v>866</v>
      </c>
      <c r="B761" s="229">
        <v>2047</v>
      </c>
      <c r="C761" s="514" t="s">
        <v>1663</v>
      </c>
      <c r="D761" s="515">
        <v>2.5118979241161202E-2</v>
      </c>
      <c r="E761" s="516">
        <v>2.5108903008174716E-3</v>
      </c>
      <c r="F761" s="145">
        <v>1.7895495705093134E-2</v>
      </c>
      <c r="G761" s="145">
        <v>6.0362285973542982E-4</v>
      </c>
      <c r="H761" s="517">
        <v>2.0000009999999999E-3</v>
      </c>
      <c r="I761" s="517">
        <v>1.5750005000000001E-2</v>
      </c>
      <c r="J761" s="148">
        <v>6.5564188215490294E-4</v>
      </c>
      <c r="K761" s="518">
        <v>2.0145210469179493E-5</v>
      </c>
      <c r="L761" s="519">
        <v>2.105609023878742E-5</v>
      </c>
    </row>
    <row r="762" spans="1:12" ht="15.5" x14ac:dyDescent="0.35">
      <c r="A762" s="143" t="s">
        <v>866</v>
      </c>
      <c r="B762" s="229">
        <v>2048</v>
      </c>
      <c r="C762" s="514" t="s">
        <v>1664</v>
      </c>
      <c r="D762" s="515">
        <v>2.5054185331657285E-2</v>
      </c>
      <c r="E762" s="516">
        <v>2.4727575897574281E-3</v>
      </c>
      <c r="F762" s="145">
        <v>1.7785553001203724E-2</v>
      </c>
      <c r="G762" s="145">
        <v>5.9747178617952027E-4</v>
      </c>
      <c r="H762" s="517">
        <v>2.0000009999999995E-3</v>
      </c>
      <c r="I762" s="517">
        <v>1.5750005000000001E-2</v>
      </c>
      <c r="J762" s="148">
        <v>6.4895536690723495E-4</v>
      </c>
      <c r="K762" s="518">
        <v>2.0063073038322E-5</v>
      </c>
      <c r="L762" s="519">
        <v>2.0970231921997267E-5</v>
      </c>
    </row>
    <row r="763" spans="1:12" ht="15.5" x14ac:dyDescent="0.35">
      <c r="A763" s="143" t="s">
        <v>866</v>
      </c>
      <c r="B763" s="229">
        <v>2049</v>
      </c>
      <c r="C763" s="514" t="s">
        <v>1665</v>
      </c>
      <c r="D763" s="515">
        <v>2.4999074568809357E-2</v>
      </c>
      <c r="E763" s="516">
        <v>2.4596883123066313E-3</v>
      </c>
      <c r="F763" s="145">
        <v>1.7791883812928334E-2</v>
      </c>
      <c r="G763" s="145">
        <v>5.9365766398486951E-4</v>
      </c>
      <c r="H763" s="517">
        <v>2.0000009999999999E-3</v>
      </c>
      <c r="I763" s="517">
        <v>1.5750005000000004E-2</v>
      </c>
      <c r="J763" s="148">
        <v>6.4480951379877131E-4</v>
      </c>
      <c r="K763" s="518">
        <v>2.0001603803576948E-5</v>
      </c>
      <c r="L763" s="519">
        <v>2.090598986873267E-5</v>
      </c>
    </row>
    <row r="764" spans="1:12" ht="15.5" x14ac:dyDescent="0.35">
      <c r="A764" s="143" t="s">
        <v>866</v>
      </c>
      <c r="B764" s="229">
        <v>2050</v>
      </c>
      <c r="C764" s="514" t="s">
        <v>1666</v>
      </c>
      <c r="D764" s="515">
        <v>2.4951741051480861E-2</v>
      </c>
      <c r="E764" s="516">
        <v>2.4496298903093918E-3</v>
      </c>
      <c r="F764" s="145">
        <v>1.7801572448545383E-2</v>
      </c>
      <c r="G764" s="145">
        <v>5.9057800795926391E-4</v>
      </c>
      <c r="H764" s="517">
        <v>2.0000009999999999E-3</v>
      </c>
      <c r="I764" s="517">
        <v>1.5750005000000001E-2</v>
      </c>
      <c r="J764" s="148">
        <v>6.4146189388436688E-4</v>
      </c>
      <c r="K764" s="518">
        <v>1.994269243881112E-5</v>
      </c>
      <c r="L764" s="519">
        <v>2.0844416965264554E-5</v>
      </c>
    </row>
    <row r="765" spans="1:12" ht="15.5" x14ac:dyDescent="0.35">
      <c r="A765" s="143" t="s">
        <v>869</v>
      </c>
      <c r="B765" s="229">
        <v>2015</v>
      </c>
      <c r="C765" s="514" t="s">
        <v>870</v>
      </c>
      <c r="D765" s="515">
        <v>4.668893345012573E-2</v>
      </c>
      <c r="E765" s="516">
        <v>6.4810306968449319E-2</v>
      </c>
      <c r="F765" s="145">
        <v>0.23842694388214791</v>
      </c>
      <c r="G765" s="145">
        <v>2.1753557573097587E-3</v>
      </c>
      <c r="H765" s="517">
        <v>2.0000009999999995E-3</v>
      </c>
      <c r="I765" s="517">
        <v>1.5750005000000001E-2</v>
      </c>
      <c r="J765" s="148">
        <v>2.3555657154855857E-3</v>
      </c>
      <c r="K765" s="518">
        <v>1.5036956756574033E-4</v>
      </c>
      <c r="L765" s="519">
        <v>1.5716861466604672E-4</v>
      </c>
    </row>
    <row r="766" spans="1:12" ht="15.5" x14ac:dyDescent="0.35">
      <c r="A766" s="143" t="s">
        <v>869</v>
      </c>
      <c r="B766" s="229">
        <v>2016</v>
      </c>
      <c r="C766" s="514" t="s">
        <v>871</v>
      </c>
      <c r="D766" s="515">
        <v>4.5966730445185747E-2</v>
      </c>
      <c r="E766" s="516">
        <v>5.4125547779780896E-2</v>
      </c>
      <c r="F766" s="145">
        <v>0.20400606626168052</v>
      </c>
      <c r="G766" s="145">
        <v>2.0252259108205885E-3</v>
      </c>
      <c r="H766" s="517">
        <v>2.0000009999999995E-3</v>
      </c>
      <c r="I766" s="517">
        <v>1.5750005000000004E-2</v>
      </c>
      <c r="J766" s="148">
        <v>2.1943669553102733E-3</v>
      </c>
      <c r="K766" s="518">
        <v>1.3008553963457666E-4</v>
      </c>
      <c r="L766" s="519">
        <v>1.3596743089588369E-4</v>
      </c>
    </row>
    <row r="767" spans="1:12" ht="15.5" x14ac:dyDescent="0.35">
      <c r="A767" s="143" t="s">
        <v>869</v>
      </c>
      <c r="B767" s="229">
        <v>2017</v>
      </c>
      <c r="C767" s="514" t="s">
        <v>1667</v>
      </c>
      <c r="D767" s="515">
        <v>4.4966527934774528E-2</v>
      </c>
      <c r="E767" s="516">
        <v>4.4988576331307782E-2</v>
      </c>
      <c r="F767" s="145">
        <v>0.17350412462434986</v>
      </c>
      <c r="G767" s="145">
        <v>1.9301079794787057E-3</v>
      </c>
      <c r="H767" s="517">
        <v>2.0000009999999999E-3</v>
      </c>
      <c r="I767" s="517">
        <v>1.5750005000000004E-2</v>
      </c>
      <c r="J767" s="148">
        <v>2.0923747564376332E-3</v>
      </c>
      <c r="K767" s="518">
        <v>1.1776751434270123E-4</v>
      </c>
      <c r="L767" s="519">
        <v>1.2309243835958582E-4</v>
      </c>
    </row>
    <row r="768" spans="1:12" ht="15.5" x14ac:dyDescent="0.35">
      <c r="A768" s="143" t="s">
        <v>869</v>
      </c>
      <c r="B768" s="229">
        <v>2018</v>
      </c>
      <c r="C768" s="514" t="s">
        <v>1668</v>
      </c>
      <c r="D768" s="515">
        <v>4.3913566365152805E-2</v>
      </c>
      <c r="E768" s="516">
        <v>3.8786201657147967E-2</v>
      </c>
      <c r="F768" s="145">
        <v>0.1486353850227691</v>
      </c>
      <c r="G768" s="145">
        <v>1.9536462358412231E-3</v>
      </c>
      <c r="H768" s="517">
        <v>2.0000009999999999E-3</v>
      </c>
      <c r="I768" s="517">
        <v>1.5750004999999997E-2</v>
      </c>
      <c r="J768" s="148">
        <v>2.1189079014766964E-3</v>
      </c>
      <c r="K768" s="518">
        <v>1.1102976508157272E-4</v>
      </c>
      <c r="L768" s="519">
        <v>1.1605003452202439E-4</v>
      </c>
    </row>
    <row r="769" spans="1:12" ht="15.5" x14ac:dyDescent="0.35">
      <c r="A769" s="143" t="s">
        <v>869</v>
      </c>
      <c r="B769" s="229">
        <v>2019</v>
      </c>
      <c r="C769" s="514" t="s">
        <v>1669</v>
      </c>
      <c r="D769" s="515">
        <v>4.2803768231724444E-2</v>
      </c>
      <c r="E769" s="516">
        <v>3.2067719956144561E-2</v>
      </c>
      <c r="F769" s="145">
        <v>0.12589115443676488</v>
      </c>
      <c r="G769" s="145">
        <v>1.9177422059877874E-3</v>
      </c>
      <c r="H769" s="517">
        <v>2.0000009999999999E-3</v>
      </c>
      <c r="I769" s="517">
        <v>1.5750005000000001E-2</v>
      </c>
      <c r="J769" s="148">
        <v>2.0807519423045331E-3</v>
      </c>
      <c r="K769" s="518">
        <v>1.0214885242642831E-4</v>
      </c>
      <c r="L769" s="519">
        <v>1.0676756761035663E-4</v>
      </c>
    </row>
    <row r="770" spans="1:12" ht="15.5" x14ac:dyDescent="0.35">
      <c r="A770" s="143" t="s">
        <v>869</v>
      </c>
      <c r="B770" s="229">
        <v>2020</v>
      </c>
      <c r="C770" s="514" t="s">
        <v>1670</v>
      </c>
      <c r="D770" s="515">
        <v>4.1657173674756687E-2</v>
      </c>
      <c r="E770" s="516">
        <v>2.6702949944025684E-2</v>
      </c>
      <c r="F770" s="145">
        <v>0.10680382864071142</v>
      </c>
      <c r="G770" s="145">
        <v>1.8614919494510482E-3</v>
      </c>
      <c r="H770" s="517">
        <v>2.0000009999999999E-3</v>
      </c>
      <c r="I770" s="517">
        <v>1.5750005000000001E-2</v>
      </c>
      <c r="J770" s="148">
        <v>2.0201159168964054E-3</v>
      </c>
      <c r="K770" s="518">
        <v>9.5459036320786651E-5</v>
      </c>
      <c r="L770" s="519">
        <v>9.9775272661511559E-5</v>
      </c>
    </row>
    <row r="771" spans="1:12" ht="15.5" x14ac:dyDescent="0.35">
      <c r="A771" s="143" t="s">
        <v>869</v>
      </c>
      <c r="B771" s="229">
        <v>2021</v>
      </c>
      <c r="C771" s="514" t="s">
        <v>1671</v>
      </c>
      <c r="D771" s="515">
        <v>4.0468158473333189E-2</v>
      </c>
      <c r="E771" s="516">
        <v>2.2012447343897304E-2</v>
      </c>
      <c r="F771" s="145">
        <v>9.012913343715763E-2</v>
      </c>
      <c r="G771" s="145">
        <v>1.7380305499192959E-3</v>
      </c>
      <c r="H771" s="517">
        <v>2.0000009999999999E-3</v>
      </c>
      <c r="I771" s="517">
        <v>1.5750005000000004E-2</v>
      </c>
      <c r="J771" s="148">
        <v>1.886332776001241E-3</v>
      </c>
      <c r="K771" s="518">
        <v>8.7216480487054698E-5</v>
      </c>
      <c r="L771" s="519">
        <v>9.1160024805267989E-5</v>
      </c>
    </row>
    <row r="772" spans="1:12" ht="15.5" x14ac:dyDescent="0.35">
      <c r="A772" s="143" t="s">
        <v>869</v>
      </c>
      <c r="B772" s="229">
        <v>2022</v>
      </c>
      <c r="C772" s="514" t="s">
        <v>1672</v>
      </c>
      <c r="D772" s="515">
        <v>3.9276484103068006E-2</v>
      </c>
      <c r="E772" s="516">
        <v>1.8310537216844381E-2</v>
      </c>
      <c r="F772" s="145">
        <v>7.6685948555490879E-2</v>
      </c>
      <c r="G772" s="145">
        <v>1.6528253971895893E-3</v>
      </c>
      <c r="H772" s="517">
        <v>2.0000009999999999E-3</v>
      </c>
      <c r="I772" s="517">
        <v>1.5750005000000001E-2</v>
      </c>
      <c r="J772" s="148">
        <v>1.7941095234606567E-3</v>
      </c>
      <c r="K772" s="518">
        <v>8.0937727163535455E-5</v>
      </c>
      <c r="L772" s="519">
        <v>8.4597369333837144E-5</v>
      </c>
    </row>
    <row r="773" spans="1:12" ht="15.5" x14ac:dyDescent="0.35">
      <c r="A773" s="143" t="s">
        <v>869</v>
      </c>
      <c r="B773" s="229">
        <v>2023</v>
      </c>
      <c r="C773" s="514" t="s">
        <v>1673</v>
      </c>
      <c r="D773" s="515">
        <v>3.808513647581982E-2</v>
      </c>
      <c r="E773" s="516">
        <v>1.5621695269824253E-2</v>
      </c>
      <c r="F773" s="145">
        <v>6.5910727427660062E-2</v>
      </c>
      <c r="G773" s="145">
        <v>1.5744938585513419E-3</v>
      </c>
      <c r="H773" s="517">
        <v>2.0000010000000004E-3</v>
      </c>
      <c r="I773" s="517">
        <v>1.5750005000000001E-2</v>
      </c>
      <c r="J773" s="148">
        <v>1.7092349652327347E-3</v>
      </c>
      <c r="K773" s="518">
        <v>7.4067951407590454E-5</v>
      </c>
      <c r="L773" s="519">
        <v>7.7416973583023302E-5</v>
      </c>
    </row>
    <row r="774" spans="1:12" ht="15.5" x14ac:dyDescent="0.35">
      <c r="A774" s="143" t="s">
        <v>869</v>
      </c>
      <c r="B774" s="229">
        <v>2024</v>
      </c>
      <c r="C774" s="514" t="s">
        <v>1674</v>
      </c>
      <c r="D774" s="515">
        <v>3.6898957468890242E-2</v>
      </c>
      <c r="E774" s="516">
        <v>1.3975128170880728E-2</v>
      </c>
      <c r="F774" s="145">
        <v>5.767852665611832E-2</v>
      </c>
      <c r="G774" s="145">
        <v>1.5684515011673904E-3</v>
      </c>
      <c r="H774" s="517">
        <v>2.0000009999999999E-3</v>
      </c>
      <c r="I774" s="517">
        <v>1.5750004999999997E-2</v>
      </c>
      <c r="J774" s="148">
        <v>1.7029228278353161E-3</v>
      </c>
      <c r="K774" s="518">
        <v>6.8503326075519252E-5</v>
      </c>
      <c r="L774" s="519">
        <v>7.1600742033949523E-5</v>
      </c>
    </row>
    <row r="775" spans="1:12" ht="15.5" x14ac:dyDescent="0.35">
      <c r="A775" s="143" t="s">
        <v>869</v>
      </c>
      <c r="B775" s="229">
        <v>2025</v>
      </c>
      <c r="C775" s="514" t="s">
        <v>1675</v>
      </c>
      <c r="D775" s="515">
        <v>3.5736206437051429E-2</v>
      </c>
      <c r="E775" s="516">
        <v>1.2087836736984306E-2</v>
      </c>
      <c r="F775" s="145">
        <v>5.0504298515798351E-2</v>
      </c>
      <c r="G775" s="145">
        <v>1.506524800139936E-3</v>
      </c>
      <c r="H775" s="517">
        <v>2.0000009999999999E-3</v>
      </c>
      <c r="I775" s="517">
        <v>1.5750004999999997E-2</v>
      </c>
      <c r="J775" s="148">
        <v>1.6358053825310378E-3</v>
      </c>
      <c r="K775" s="518">
        <v>6.3152643553680162E-5</v>
      </c>
      <c r="L775" s="519">
        <v>6.6008122831489834E-5</v>
      </c>
    </row>
    <row r="776" spans="1:12" ht="15.5" x14ac:dyDescent="0.35">
      <c r="A776" s="143" t="s">
        <v>869</v>
      </c>
      <c r="B776" s="229">
        <v>2026</v>
      </c>
      <c r="C776" s="514" t="s">
        <v>1676</v>
      </c>
      <c r="D776" s="515">
        <v>3.4653797006237712E-2</v>
      </c>
      <c r="E776" s="516">
        <v>1.1101167292161179E-2</v>
      </c>
      <c r="F776" s="145">
        <v>4.5392092541600114E-2</v>
      </c>
      <c r="G776" s="145">
        <v>1.5177517617180883E-3</v>
      </c>
      <c r="H776" s="517">
        <v>2.0000010000000004E-3</v>
      </c>
      <c r="I776" s="517">
        <v>1.5750005000000004E-2</v>
      </c>
      <c r="J776" s="148">
        <v>1.64815193660207E-3</v>
      </c>
      <c r="K776" s="518">
        <v>5.9972282673941086E-5</v>
      </c>
      <c r="L776" s="519">
        <v>6.268396053094582E-5</v>
      </c>
    </row>
    <row r="777" spans="1:12" ht="15.5" x14ac:dyDescent="0.35">
      <c r="A777" s="143" t="s">
        <v>869</v>
      </c>
      <c r="B777" s="229">
        <v>2027</v>
      </c>
      <c r="C777" s="514" t="s">
        <v>1677</v>
      </c>
      <c r="D777" s="515">
        <v>3.3639430617360827E-2</v>
      </c>
      <c r="E777" s="516">
        <v>9.7463668157431564E-3</v>
      </c>
      <c r="F777" s="145">
        <v>4.0589803286121259E-2</v>
      </c>
      <c r="G777" s="145">
        <v>1.4408375259554833E-3</v>
      </c>
      <c r="H777" s="517">
        <v>2.0000010000000004E-3</v>
      </c>
      <c r="I777" s="517">
        <v>1.5750005000000004E-2</v>
      </c>
      <c r="J777" s="148">
        <v>1.5648380146914683E-3</v>
      </c>
      <c r="K777" s="518">
        <v>5.2016466212284E-5</v>
      </c>
      <c r="L777" s="519">
        <v>5.4368426015874303E-5</v>
      </c>
    </row>
    <row r="778" spans="1:12" ht="15.5" x14ac:dyDescent="0.35">
      <c r="A778" s="143" t="s">
        <v>869</v>
      </c>
      <c r="B778" s="229">
        <v>2028</v>
      </c>
      <c r="C778" s="514" t="s">
        <v>1678</v>
      </c>
      <c r="D778" s="515">
        <v>3.2704440956245348E-2</v>
      </c>
      <c r="E778" s="516">
        <v>8.6257282578081993E-3</v>
      </c>
      <c r="F778" s="145">
        <v>3.6690407552410841E-2</v>
      </c>
      <c r="G778" s="145">
        <v>1.3579341046811454E-3</v>
      </c>
      <c r="H778" s="517">
        <v>2.0000010000000004E-3</v>
      </c>
      <c r="I778" s="517">
        <v>1.5750005000000004E-2</v>
      </c>
      <c r="J778" s="148">
        <v>1.4749285111259076E-3</v>
      </c>
      <c r="K778" s="518">
        <v>4.5984157449607875E-5</v>
      </c>
      <c r="L778" s="519">
        <v>4.8063359170185859E-5</v>
      </c>
    </row>
    <row r="779" spans="1:12" ht="15.5" x14ac:dyDescent="0.35">
      <c r="A779" s="143" t="s">
        <v>869</v>
      </c>
      <c r="B779" s="229">
        <v>2029</v>
      </c>
      <c r="C779" s="514" t="s">
        <v>1679</v>
      </c>
      <c r="D779" s="515">
        <v>3.1843411180882325E-2</v>
      </c>
      <c r="E779" s="516">
        <v>7.6714858453330185E-3</v>
      </c>
      <c r="F779" s="145">
        <v>3.3465060348052973E-2</v>
      </c>
      <c r="G779" s="145">
        <v>1.2766180711302829E-3</v>
      </c>
      <c r="H779" s="517">
        <v>2.0000009999999999E-3</v>
      </c>
      <c r="I779" s="517">
        <v>1.5750005000000001E-2</v>
      </c>
      <c r="J779" s="148">
        <v>1.386723230022577E-3</v>
      </c>
      <c r="K779" s="518">
        <v>4.0482134078203838E-5</v>
      </c>
      <c r="L779" s="519">
        <v>4.2312559292832144E-5</v>
      </c>
    </row>
    <row r="780" spans="1:12" ht="15.5" x14ac:dyDescent="0.35">
      <c r="A780" s="143" t="s">
        <v>869</v>
      </c>
      <c r="B780" s="229">
        <v>2030</v>
      </c>
      <c r="C780" s="514" t="s">
        <v>1680</v>
      </c>
      <c r="D780" s="515">
        <v>3.1056306979371003E-2</v>
      </c>
      <c r="E780" s="516">
        <v>6.8885055391002077E-3</v>
      </c>
      <c r="F780" s="145">
        <v>3.0869260183668774E-2</v>
      </c>
      <c r="G780" s="145">
        <v>1.2001532165602834E-3</v>
      </c>
      <c r="H780" s="517">
        <v>2.0000009999999995E-3</v>
      </c>
      <c r="I780" s="517">
        <v>1.5750005000000001E-2</v>
      </c>
      <c r="J780" s="148">
        <v>1.3037185404267122E-3</v>
      </c>
      <c r="K780" s="518">
        <v>3.6755253854958257E-5</v>
      </c>
      <c r="L780" s="519">
        <v>3.8417158387266154E-5</v>
      </c>
    </row>
    <row r="781" spans="1:12" ht="15.5" x14ac:dyDescent="0.35">
      <c r="A781" s="143" t="s">
        <v>869</v>
      </c>
      <c r="B781" s="229">
        <v>2031</v>
      </c>
      <c r="C781" s="514" t="s">
        <v>1681</v>
      </c>
      <c r="D781" s="515">
        <v>3.0339979812408182E-2</v>
      </c>
      <c r="E781" s="516">
        <v>6.2107861215825429E-3</v>
      </c>
      <c r="F781" s="145">
        <v>2.8685066039795201E-2</v>
      </c>
      <c r="G781" s="145">
        <v>1.1276643247678183E-3</v>
      </c>
      <c r="H781" s="517">
        <v>2.0000009999999999E-3</v>
      </c>
      <c r="I781" s="517">
        <v>1.5750005000000001E-2</v>
      </c>
      <c r="J781" s="148">
        <v>1.2249871566098352E-3</v>
      </c>
      <c r="K781" s="518">
        <v>3.4223823633832856E-5</v>
      </c>
      <c r="L781" s="519">
        <v>3.5771272739450233E-5</v>
      </c>
    </row>
    <row r="782" spans="1:12" ht="15.5" x14ac:dyDescent="0.35">
      <c r="A782" s="143" t="s">
        <v>869</v>
      </c>
      <c r="B782" s="229">
        <v>2032</v>
      </c>
      <c r="C782" s="514" t="s">
        <v>1682</v>
      </c>
      <c r="D782" s="515">
        <v>2.9693268795930709E-2</v>
      </c>
      <c r="E782" s="516">
        <v>5.6370973145184666E-3</v>
      </c>
      <c r="F782" s="145">
        <v>2.6920879442433272E-2</v>
      </c>
      <c r="G782" s="145">
        <v>1.0596743209262986E-3</v>
      </c>
      <c r="H782" s="517">
        <v>2.0000009999999999E-3</v>
      </c>
      <c r="I782" s="517">
        <v>1.5750005000000001E-2</v>
      </c>
      <c r="J782" s="148">
        <v>1.1511367845582429E-3</v>
      </c>
      <c r="K782" s="518">
        <v>3.199770207840391E-5</v>
      </c>
      <c r="L782" s="519">
        <v>3.3444496350232813E-5</v>
      </c>
    </row>
    <row r="783" spans="1:12" ht="15.5" x14ac:dyDescent="0.35">
      <c r="A783" s="143" t="s">
        <v>869</v>
      </c>
      <c r="B783" s="229">
        <v>2033</v>
      </c>
      <c r="C783" s="514" t="s">
        <v>1683</v>
      </c>
      <c r="D783" s="515">
        <v>2.911130263206016E-2</v>
      </c>
      <c r="E783" s="516">
        <v>5.137595562324045E-3</v>
      </c>
      <c r="F783" s="145">
        <v>2.5449219268115032E-2</v>
      </c>
      <c r="G783" s="145">
        <v>9.9591763692475081E-4</v>
      </c>
      <c r="H783" s="517">
        <v>2.0000009999999995E-3</v>
      </c>
      <c r="I783" s="517">
        <v>1.5750004999999997E-2</v>
      </c>
      <c r="J783" s="148">
        <v>1.0818748995095459E-3</v>
      </c>
      <c r="K783" s="518">
        <v>3.0122427284500619E-5</v>
      </c>
      <c r="L783" s="519">
        <v>3.1484432807987345E-5</v>
      </c>
    </row>
    <row r="784" spans="1:12" ht="15.5" x14ac:dyDescent="0.35">
      <c r="A784" s="143" t="s">
        <v>869</v>
      </c>
      <c r="B784" s="229">
        <v>2034</v>
      </c>
      <c r="C784" s="514" t="s">
        <v>1684</v>
      </c>
      <c r="D784" s="515">
        <v>2.8587603587528505E-2</v>
      </c>
      <c r="E784" s="516">
        <v>4.7039669823280682E-3</v>
      </c>
      <c r="F784" s="145">
        <v>2.4245664458836576E-2</v>
      </c>
      <c r="G784" s="145">
        <v>9.3685887725397491E-4</v>
      </c>
      <c r="H784" s="517">
        <v>2.0000010000000004E-3</v>
      </c>
      <c r="I784" s="517">
        <v>1.5750005000000001E-2</v>
      </c>
      <c r="J784" s="148">
        <v>1.0177166776141066E-3</v>
      </c>
      <c r="K784" s="518">
        <v>2.8377990212944745E-5</v>
      </c>
      <c r="L784" s="519">
        <v>2.9661115793414021E-5</v>
      </c>
    </row>
    <row r="785" spans="1:12" ht="15.5" x14ac:dyDescent="0.35">
      <c r="A785" s="143" t="s">
        <v>869</v>
      </c>
      <c r="B785" s="229">
        <v>2035</v>
      </c>
      <c r="C785" s="514" t="s">
        <v>1685</v>
      </c>
      <c r="D785" s="515">
        <v>2.8118895346663102E-2</v>
      </c>
      <c r="E785" s="516">
        <v>4.3281158848252907E-3</v>
      </c>
      <c r="F785" s="145">
        <v>2.3264649576787859E-2</v>
      </c>
      <c r="G785" s="145">
        <v>8.8269441253617357E-4</v>
      </c>
      <c r="H785" s="517">
        <v>2.0000010000000004E-3</v>
      </c>
      <c r="I785" s="517">
        <v>1.5750005000000001E-2</v>
      </c>
      <c r="J785" s="148">
        <v>9.5887895782763798E-4</v>
      </c>
      <c r="K785" s="518">
        <v>2.6715889214899502E-5</v>
      </c>
      <c r="L785" s="519">
        <v>2.7923862367295991E-5</v>
      </c>
    </row>
    <row r="786" spans="1:12" ht="15.5" x14ac:dyDescent="0.35">
      <c r="A786" s="143" t="s">
        <v>869</v>
      </c>
      <c r="B786" s="229">
        <v>2036</v>
      </c>
      <c r="C786" s="514" t="s">
        <v>1686</v>
      </c>
      <c r="D786" s="515">
        <v>2.7702070869871708E-2</v>
      </c>
      <c r="E786" s="516">
        <v>4.0008722161409454E-3</v>
      </c>
      <c r="F786" s="145">
        <v>2.2450001581957507E-2</v>
      </c>
      <c r="G786" s="145">
        <v>8.3493735054674398E-4</v>
      </c>
      <c r="H786" s="517">
        <v>2.0000010000000004E-3</v>
      </c>
      <c r="I786" s="517">
        <v>1.5750005000000001E-2</v>
      </c>
      <c r="J786" s="148">
        <v>9.070002797823321E-4</v>
      </c>
      <c r="K786" s="518">
        <v>2.5260013135738528E-5</v>
      </c>
      <c r="L786" s="519">
        <v>2.6402161682423128E-5</v>
      </c>
    </row>
    <row r="787" spans="1:12" ht="15.5" x14ac:dyDescent="0.35">
      <c r="A787" s="143" t="s">
        <v>869</v>
      </c>
      <c r="B787" s="229">
        <v>2037</v>
      </c>
      <c r="C787" s="514" t="s">
        <v>1687</v>
      </c>
      <c r="D787" s="515">
        <v>2.7334378761807821E-2</v>
      </c>
      <c r="E787" s="516">
        <v>3.722682621218928E-3</v>
      </c>
      <c r="F787" s="145">
        <v>2.1798111988080248E-2</v>
      </c>
      <c r="G787" s="145">
        <v>7.9236407427074975E-4</v>
      </c>
      <c r="H787" s="517">
        <v>2.0000009999999995E-3</v>
      </c>
      <c r="I787" s="517">
        <v>1.5750005000000001E-2</v>
      </c>
      <c r="J787" s="148">
        <v>8.6075084852079169E-4</v>
      </c>
      <c r="K787" s="518">
        <v>2.4007244667087492E-5</v>
      </c>
      <c r="L787" s="519">
        <v>2.5092750167205986E-5</v>
      </c>
    </row>
    <row r="788" spans="1:12" ht="15.5" x14ac:dyDescent="0.35">
      <c r="A788" s="143" t="s">
        <v>869</v>
      </c>
      <c r="B788" s="229">
        <v>2038</v>
      </c>
      <c r="C788" s="514" t="s">
        <v>1688</v>
      </c>
      <c r="D788" s="515">
        <v>2.7012516374353372E-2</v>
      </c>
      <c r="E788" s="516">
        <v>3.4751369647538282E-3</v>
      </c>
      <c r="F788" s="145">
        <v>2.1229376642525017E-2</v>
      </c>
      <c r="G788" s="145">
        <v>7.5445157806299239E-4</v>
      </c>
      <c r="H788" s="517">
        <v>2.0000009999999999E-3</v>
      </c>
      <c r="I788" s="517">
        <v>1.5750005000000001E-2</v>
      </c>
      <c r="J788" s="148">
        <v>8.1956400938020435E-4</v>
      </c>
      <c r="K788" s="518">
        <v>2.290640966206192E-5</v>
      </c>
      <c r="L788" s="519">
        <v>2.3942138254643362E-5</v>
      </c>
    </row>
    <row r="789" spans="1:12" ht="15.5" x14ac:dyDescent="0.35">
      <c r="A789" s="143" t="s">
        <v>869</v>
      </c>
      <c r="B789" s="229">
        <v>2039</v>
      </c>
      <c r="C789" s="514" t="s">
        <v>1689</v>
      </c>
      <c r="D789" s="515">
        <v>2.67286855581312E-2</v>
      </c>
      <c r="E789" s="516">
        <v>3.2486193072155159E-3</v>
      </c>
      <c r="F789" s="145">
        <v>2.0713662089962011E-2</v>
      </c>
      <c r="G789" s="145">
        <v>7.2093613548527625E-4</v>
      </c>
      <c r="H789" s="517">
        <v>2.0000009999999999E-3</v>
      </c>
      <c r="I789" s="517">
        <v>1.5750005000000001E-2</v>
      </c>
      <c r="J789" s="148">
        <v>7.8315277632404797E-4</v>
      </c>
      <c r="K789" s="518">
        <v>2.1982470483962421E-5</v>
      </c>
      <c r="L789" s="519">
        <v>2.2976424610753664E-5</v>
      </c>
    </row>
    <row r="790" spans="1:12" ht="15.5" x14ac:dyDescent="0.35">
      <c r="A790" s="143" t="s">
        <v>869</v>
      </c>
      <c r="B790" s="229">
        <v>2040</v>
      </c>
      <c r="C790" s="514" t="s">
        <v>1690</v>
      </c>
      <c r="D790" s="515">
        <v>2.6479980898148306E-2</v>
      </c>
      <c r="E790" s="516">
        <v>3.0548700459009982E-3</v>
      </c>
      <c r="F790" s="145">
        <v>2.030519512953757E-2</v>
      </c>
      <c r="G790" s="145">
        <v>6.9182526924929004E-4</v>
      </c>
      <c r="H790" s="517">
        <v>2.0000009999999999E-3</v>
      </c>
      <c r="I790" s="517">
        <v>1.5750005000000001E-2</v>
      </c>
      <c r="J790" s="148">
        <v>7.5152508262820458E-4</v>
      </c>
      <c r="K790" s="518">
        <v>2.1201269574946556E-5</v>
      </c>
      <c r="L790" s="519">
        <v>2.2159892136261275E-5</v>
      </c>
    </row>
    <row r="791" spans="1:12" ht="15.5" x14ac:dyDescent="0.35">
      <c r="A791" s="143" t="s">
        <v>869</v>
      </c>
      <c r="B791" s="229">
        <v>2041</v>
      </c>
      <c r="C791" s="514" t="s">
        <v>1691</v>
      </c>
      <c r="D791" s="515">
        <v>2.6266566714942222E-2</v>
      </c>
      <c r="E791" s="516">
        <v>2.9105653139074742E-3</v>
      </c>
      <c r="F791" s="145">
        <v>2.000394744428137E-2</v>
      </c>
      <c r="G791" s="145">
        <v>6.6844806298653741E-4</v>
      </c>
      <c r="H791" s="517">
        <v>2.0000009999999999E-3</v>
      </c>
      <c r="I791" s="517">
        <v>1.5750005000000001E-2</v>
      </c>
      <c r="J791" s="148">
        <v>7.2612704935705492E-4</v>
      </c>
      <c r="K791" s="518">
        <v>2.055260776892875E-5</v>
      </c>
      <c r="L791" s="519">
        <v>2.1481906242642164E-5</v>
      </c>
    </row>
    <row r="792" spans="1:12" ht="15.5" x14ac:dyDescent="0.35">
      <c r="A792" s="143" t="s">
        <v>869</v>
      </c>
      <c r="B792" s="229">
        <v>2042</v>
      </c>
      <c r="C792" s="514" t="s">
        <v>1692</v>
      </c>
      <c r="D792" s="515">
        <v>2.6079614234030241E-2</v>
      </c>
      <c r="E792" s="516">
        <v>2.786912511687559E-3</v>
      </c>
      <c r="F792" s="145">
        <v>1.9727662322396092E-2</v>
      </c>
      <c r="G792" s="145">
        <v>6.4876729146075762E-4</v>
      </c>
      <c r="H792" s="517">
        <v>2.0000009999999995E-3</v>
      </c>
      <c r="I792" s="517">
        <v>1.5750005000000001E-2</v>
      </c>
      <c r="J792" s="148">
        <v>7.0474467804438473E-4</v>
      </c>
      <c r="K792" s="518">
        <v>2.0033635915043069E-5</v>
      </c>
      <c r="L792" s="519">
        <v>2.093946729957465E-5</v>
      </c>
    </row>
    <row r="793" spans="1:12" ht="15.5" x14ac:dyDescent="0.35">
      <c r="A793" s="143" t="s">
        <v>869</v>
      </c>
      <c r="B793" s="229">
        <v>2043</v>
      </c>
      <c r="C793" s="514" t="s">
        <v>1693</v>
      </c>
      <c r="D793" s="515">
        <v>2.5918862667900222E-2</v>
      </c>
      <c r="E793" s="516">
        <v>2.6945584562417303E-3</v>
      </c>
      <c r="F793" s="145">
        <v>1.9532707649114404E-2</v>
      </c>
      <c r="G793" s="145">
        <v>6.3240806370244793E-4</v>
      </c>
      <c r="H793" s="517">
        <v>2.0000009999999995E-3</v>
      </c>
      <c r="I793" s="517">
        <v>1.5750005000000004E-2</v>
      </c>
      <c r="J793" s="148">
        <v>6.8696935545333121E-4</v>
      </c>
      <c r="K793" s="518">
        <v>1.9628116691860814E-5</v>
      </c>
      <c r="L793" s="519">
        <v>2.0515613176281027E-5</v>
      </c>
    </row>
    <row r="794" spans="1:12" ht="15.5" x14ac:dyDescent="0.35">
      <c r="A794" s="143" t="s">
        <v>869</v>
      </c>
      <c r="B794" s="229">
        <v>2044</v>
      </c>
      <c r="C794" s="514" t="s">
        <v>1694</v>
      </c>
      <c r="D794" s="515">
        <v>2.5779071359820063E-2</v>
      </c>
      <c r="E794" s="516">
        <v>2.6234983845029401E-3</v>
      </c>
      <c r="F794" s="145">
        <v>1.9373534568924614E-2</v>
      </c>
      <c r="G794" s="145">
        <v>6.1882019725919147E-4</v>
      </c>
      <c r="H794" s="517">
        <v>2.0000009999999999E-3</v>
      </c>
      <c r="I794" s="517">
        <v>1.5750005000000001E-2</v>
      </c>
      <c r="J794" s="148">
        <v>6.7220506910278918E-4</v>
      </c>
      <c r="K794" s="518">
        <v>1.9306953369024338E-5</v>
      </c>
      <c r="L794" s="519">
        <v>2.0179925992688802E-5</v>
      </c>
    </row>
    <row r="795" spans="1:12" ht="15.5" x14ac:dyDescent="0.35">
      <c r="A795" s="143" t="s">
        <v>869</v>
      </c>
      <c r="B795" s="229">
        <v>2045</v>
      </c>
      <c r="C795" s="514" t="s">
        <v>1695</v>
      </c>
      <c r="D795" s="515">
        <v>2.5655689486685021E-2</v>
      </c>
      <c r="E795" s="516">
        <v>2.5738846425956839E-3</v>
      </c>
      <c r="F795" s="145">
        <v>1.9269332396033418E-2</v>
      </c>
      <c r="G795" s="145">
        <v>6.0764698767291621E-4</v>
      </c>
      <c r="H795" s="517">
        <v>2.0000009999999995E-3</v>
      </c>
      <c r="I795" s="517">
        <v>1.5750004999999997E-2</v>
      </c>
      <c r="J795" s="148">
        <v>6.600638874685713E-4</v>
      </c>
      <c r="K795" s="518">
        <v>1.9061585998423677E-5</v>
      </c>
      <c r="L795" s="519">
        <v>1.9923462880515498E-5</v>
      </c>
    </row>
    <row r="796" spans="1:12" ht="15.5" x14ac:dyDescent="0.35">
      <c r="A796" s="143" t="s">
        <v>869</v>
      </c>
      <c r="B796" s="229">
        <v>2046</v>
      </c>
      <c r="C796" s="514" t="s">
        <v>1696</v>
      </c>
      <c r="D796" s="515">
        <v>2.5549031008295833E-2</v>
      </c>
      <c r="E796" s="516">
        <v>2.5316588257543308E-3</v>
      </c>
      <c r="F796" s="145">
        <v>1.9184226510180334E-2</v>
      </c>
      <c r="G796" s="145">
        <v>5.9852855227350349E-4</v>
      </c>
      <c r="H796" s="517">
        <v>2.0000009999999995E-3</v>
      </c>
      <c r="I796" s="517">
        <v>1.5750005000000001E-2</v>
      </c>
      <c r="J796" s="148">
        <v>6.5015481918691026E-4</v>
      </c>
      <c r="K796" s="518">
        <v>1.887493270814965E-5</v>
      </c>
      <c r="L796" s="519">
        <v>1.9728378701358387E-5</v>
      </c>
    </row>
    <row r="797" spans="1:12" ht="15.5" x14ac:dyDescent="0.35">
      <c r="A797" s="143" t="s">
        <v>869</v>
      </c>
      <c r="B797" s="229">
        <v>2047</v>
      </c>
      <c r="C797" s="514" t="s">
        <v>1697</v>
      </c>
      <c r="D797" s="515">
        <v>2.5458681888545304E-2</v>
      </c>
      <c r="E797" s="516">
        <v>2.4960456980557648E-3</v>
      </c>
      <c r="F797" s="145">
        <v>1.9109079733722389E-2</v>
      </c>
      <c r="G797" s="145">
        <v>5.9117408539903472E-4</v>
      </c>
      <c r="H797" s="517">
        <v>2.0000009999999999E-3</v>
      </c>
      <c r="I797" s="517">
        <v>1.5750004999999997E-2</v>
      </c>
      <c r="J797" s="148">
        <v>6.4216180030069088E-4</v>
      </c>
      <c r="K797" s="518">
        <v>1.873154445374839E-5</v>
      </c>
      <c r="L797" s="519">
        <v>1.9578501280512431E-5</v>
      </c>
    </row>
    <row r="798" spans="1:12" ht="15.5" x14ac:dyDescent="0.35">
      <c r="A798" s="143" t="s">
        <v>869</v>
      </c>
      <c r="B798" s="229">
        <v>2048</v>
      </c>
      <c r="C798" s="514" t="s">
        <v>1698</v>
      </c>
      <c r="D798" s="515">
        <v>2.5380780863868437E-2</v>
      </c>
      <c r="E798" s="516">
        <v>2.4680846323371459E-3</v>
      </c>
      <c r="F798" s="145">
        <v>1.905011873265948E-2</v>
      </c>
      <c r="G798" s="145">
        <v>5.8524622365055629E-4</v>
      </c>
      <c r="H798" s="517">
        <v>2.0000010000000004E-3</v>
      </c>
      <c r="I798" s="517">
        <v>1.5750005000000001E-2</v>
      </c>
      <c r="J798" s="148">
        <v>6.3571987940017646E-4</v>
      </c>
      <c r="K798" s="518">
        <v>1.8614670371353868E-5</v>
      </c>
      <c r="L798" s="519">
        <v>1.9456347792348409E-5</v>
      </c>
    </row>
    <row r="799" spans="1:12" ht="15.5" x14ac:dyDescent="0.35">
      <c r="A799" s="143" t="s">
        <v>869</v>
      </c>
      <c r="B799" s="229">
        <v>2049</v>
      </c>
      <c r="C799" s="514" t="s">
        <v>1699</v>
      </c>
      <c r="D799" s="515">
        <v>2.5314021894502183E-2</v>
      </c>
      <c r="E799" s="516">
        <v>2.4564129903317279E-3</v>
      </c>
      <c r="F799" s="145">
        <v>1.906010955649769E-2</v>
      </c>
      <c r="G799" s="145">
        <v>5.8123111666233613E-4</v>
      </c>
      <c r="H799" s="517">
        <v>2.0000009999999999E-3</v>
      </c>
      <c r="I799" s="517">
        <v>1.5750005000000001E-2</v>
      </c>
      <c r="J799" s="148">
        <v>6.3135684096407986E-4</v>
      </c>
      <c r="K799" s="518">
        <v>1.8523615564440338E-5</v>
      </c>
      <c r="L799" s="519">
        <v>1.9361177419284484E-5</v>
      </c>
    </row>
    <row r="800" spans="1:12" ht="15.5" x14ac:dyDescent="0.35">
      <c r="A800" s="143" t="s">
        <v>869</v>
      </c>
      <c r="B800" s="229">
        <v>2050</v>
      </c>
      <c r="C800" s="514" t="s">
        <v>1700</v>
      </c>
      <c r="D800" s="515">
        <v>2.5257708833533819E-2</v>
      </c>
      <c r="E800" s="516">
        <v>2.4473697156053228E-3</v>
      </c>
      <c r="F800" s="145">
        <v>1.9070506367632779E-2</v>
      </c>
      <c r="G800" s="145">
        <v>5.7808957438940491E-4</v>
      </c>
      <c r="H800" s="517">
        <v>2.0000009999999999E-3</v>
      </c>
      <c r="I800" s="517">
        <v>1.5750005000000001E-2</v>
      </c>
      <c r="J800" s="148">
        <v>6.2794363718419869E-4</v>
      </c>
      <c r="K800" s="518">
        <v>1.8435697221862105E-5</v>
      </c>
      <c r="L800" s="519">
        <v>1.9269273945442639E-5</v>
      </c>
    </row>
    <row r="801" spans="1:12" ht="15.5" x14ac:dyDescent="0.35">
      <c r="A801" s="143" t="s">
        <v>872</v>
      </c>
      <c r="B801" s="229">
        <v>2015</v>
      </c>
      <c r="C801" s="514" t="s">
        <v>873</v>
      </c>
      <c r="D801" s="515">
        <v>4.7451955311692849E-2</v>
      </c>
      <c r="E801" s="516">
        <v>4.7714334188515603E-2</v>
      </c>
      <c r="F801" s="145">
        <v>0.18458951869043419</v>
      </c>
      <c r="G801" s="145">
        <v>1.9457266634474654E-3</v>
      </c>
      <c r="H801" s="517">
        <v>2.0000009999999999E-3</v>
      </c>
      <c r="I801" s="517">
        <v>1.5750005000000001E-2</v>
      </c>
      <c r="J801" s="148">
        <v>2.1006374158377937E-3</v>
      </c>
      <c r="K801" s="518">
        <v>2.8261385388869269E-4</v>
      </c>
      <c r="L801" s="519">
        <v>2.953923934134289E-4</v>
      </c>
    </row>
    <row r="802" spans="1:12" ht="15.5" x14ac:dyDescent="0.35">
      <c r="A802" s="143" t="s">
        <v>872</v>
      </c>
      <c r="B802" s="229">
        <v>2016</v>
      </c>
      <c r="C802" s="514" t="s">
        <v>874</v>
      </c>
      <c r="D802" s="515">
        <v>4.6531927323052606E-2</v>
      </c>
      <c r="E802" s="516">
        <v>3.8648278629794697E-2</v>
      </c>
      <c r="F802" s="145">
        <v>0.15696557700581215</v>
      </c>
      <c r="G802" s="145">
        <v>1.8274388964837406E-3</v>
      </c>
      <c r="H802" s="517">
        <v>2.0000009999999999E-3</v>
      </c>
      <c r="I802" s="517">
        <v>1.5750005000000004E-2</v>
      </c>
      <c r="J802" s="148">
        <v>1.9750450783943196E-3</v>
      </c>
      <c r="K802" s="518">
        <v>2.4400924698788783E-4</v>
      </c>
      <c r="L802" s="519">
        <v>2.5504226631028359E-4</v>
      </c>
    </row>
    <row r="803" spans="1:12" ht="15.5" x14ac:dyDescent="0.35">
      <c r="A803" s="143" t="s">
        <v>872</v>
      </c>
      <c r="B803" s="229">
        <v>2017</v>
      </c>
      <c r="C803" s="514" t="s">
        <v>1701</v>
      </c>
      <c r="D803" s="515">
        <v>4.5407774681680536E-2</v>
      </c>
      <c r="E803" s="516">
        <v>3.1988331840181627E-2</v>
      </c>
      <c r="F803" s="145">
        <v>0.13311670014118882</v>
      </c>
      <c r="G803" s="145">
        <v>1.7697634216863056E-3</v>
      </c>
      <c r="H803" s="517">
        <v>2.0000009999999999E-3</v>
      </c>
      <c r="I803" s="517">
        <v>1.5750005000000001E-2</v>
      </c>
      <c r="J803" s="148">
        <v>1.9140453654100367E-3</v>
      </c>
      <c r="K803" s="518">
        <v>2.2030092044183014E-4</v>
      </c>
      <c r="L803" s="519">
        <v>2.3026194130203683E-4</v>
      </c>
    </row>
    <row r="804" spans="1:12" ht="15.5" x14ac:dyDescent="0.35">
      <c r="A804" s="143" t="s">
        <v>872</v>
      </c>
      <c r="B804" s="229">
        <v>2018</v>
      </c>
      <c r="C804" s="514" t="s">
        <v>1702</v>
      </c>
      <c r="D804" s="515">
        <v>4.4244426852285225E-2</v>
      </c>
      <c r="E804" s="516">
        <v>2.6279678648076996E-2</v>
      </c>
      <c r="F804" s="145">
        <v>0.11268212668284248</v>
      </c>
      <c r="G804" s="145">
        <v>1.7435605714822009E-3</v>
      </c>
      <c r="H804" s="517">
        <v>2.0000010000000004E-3</v>
      </c>
      <c r="I804" s="517">
        <v>1.5750005000000004E-2</v>
      </c>
      <c r="J804" s="148">
        <v>1.8870143413514348E-3</v>
      </c>
      <c r="K804" s="518">
        <v>1.9974697730375509E-4</v>
      </c>
      <c r="L804" s="519">
        <v>2.0877864793452405E-4</v>
      </c>
    </row>
    <row r="805" spans="1:12" ht="15.5" x14ac:dyDescent="0.35">
      <c r="A805" s="143" t="s">
        <v>872</v>
      </c>
      <c r="B805" s="229">
        <v>2019</v>
      </c>
      <c r="C805" s="514" t="s">
        <v>1703</v>
      </c>
      <c r="D805" s="515">
        <v>4.3029144809358745E-2</v>
      </c>
      <c r="E805" s="516">
        <v>2.1618942573021598E-2</v>
      </c>
      <c r="F805" s="145">
        <v>9.5684323337691446E-2</v>
      </c>
      <c r="G805" s="145">
        <v>1.7258503174338463E-3</v>
      </c>
      <c r="H805" s="517">
        <v>2.0000009999999999E-3</v>
      </c>
      <c r="I805" s="517">
        <v>1.5750004999999997E-2</v>
      </c>
      <c r="J805" s="148">
        <v>1.8689890534473088E-3</v>
      </c>
      <c r="K805" s="518">
        <v>1.8058073082869941E-4</v>
      </c>
      <c r="L805" s="519">
        <v>1.8874578941278748E-4</v>
      </c>
    </row>
    <row r="806" spans="1:12" ht="15.5" x14ac:dyDescent="0.35">
      <c r="A806" s="143" t="s">
        <v>872</v>
      </c>
      <c r="B806" s="229">
        <v>2020</v>
      </c>
      <c r="C806" s="514" t="s">
        <v>1704</v>
      </c>
      <c r="D806" s="515">
        <v>4.1798375459887779E-2</v>
      </c>
      <c r="E806" s="516">
        <v>1.8223783270038048E-2</v>
      </c>
      <c r="F806" s="145">
        <v>8.1747752435512758E-2</v>
      </c>
      <c r="G806" s="145">
        <v>1.676341944105428E-3</v>
      </c>
      <c r="H806" s="517">
        <v>2.0000009999999999E-3</v>
      </c>
      <c r="I806" s="517">
        <v>1.5750005000000004E-2</v>
      </c>
      <c r="J806" s="148">
        <v>1.8159793264075218E-3</v>
      </c>
      <c r="K806" s="518">
        <v>1.6402626103891328E-4</v>
      </c>
      <c r="L806" s="519">
        <v>1.7144280697698502E-4</v>
      </c>
    </row>
    <row r="807" spans="1:12" ht="15.5" x14ac:dyDescent="0.35">
      <c r="A807" s="143" t="s">
        <v>872</v>
      </c>
      <c r="B807" s="229">
        <v>2021</v>
      </c>
      <c r="C807" s="514" t="s">
        <v>1705</v>
      </c>
      <c r="D807" s="515">
        <v>4.0549333660828954E-2</v>
      </c>
      <c r="E807" s="516">
        <v>1.5480512271375159E-2</v>
      </c>
      <c r="F807" s="145">
        <v>7.0174541327108722E-2</v>
      </c>
      <c r="G807" s="145">
        <v>1.5890485377715764E-3</v>
      </c>
      <c r="H807" s="517">
        <v>2.0000009999999999E-3</v>
      </c>
      <c r="I807" s="517">
        <v>1.5750005000000001E-2</v>
      </c>
      <c r="J807" s="148">
        <v>1.7217425554629216E-3</v>
      </c>
      <c r="K807" s="518">
        <v>1.4960628521954619E-4</v>
      </c>
      <c r="L807" s="519">
        <v>1.5637081800273572E-4</v>
      </c>
    </row>
    <row r="808" spans="1:12" ht="15.5" x14ac:dyDescent="0.35">
      <c r="A808" s="143" t="s">
        <v>872</v>
      </c>
      <c r="B808" s="229">
        <v>2022</v>
      </c>
      <c r="C808" s="514" t="s">
        <v>1706</v>
      </c>
      <c r="D808" s="515">
        <v>3.9307810596292556E-2</v>
      </c>
      <c r="E808" s="516">
        <v>1.3103203591843521E-2</v>
      </c>
      <c r="F808" s="145">
        <v>6.0620378056410087E-2</v>
      </c>
      <c r="G808" s="145">
        <v>1.5069353702273991E-3</v>
      </c>
      <c r="H808" s="517">
        <v>2.0000009999999999E-3</v>
      </c>
      <c r="I808" s="517">
        <v>1.5750005000000001E-2</v>
      </c>
      <c r="J808" s="148">
        <v>1.6331694689433664E-3</v>
      </c>
      <c r="K808" s="518">
        <v>1.3491287568812217E-4</v>
      </c>
      <c r="L808" s="519">
        <v>1.4101304281101547E-4</v>
      </c>
    </row>
    <row r="809" spans="1:12" ht="15.5" x14ac:dyDescent="0.35">
      <c r="A809" s="143" t="s">
        <v>872</v>
      </c>
      <c r="B809" s="229">
        <v>2023</v>
      </c>
      <c r="C809" s="514" t="s">
        <v>1707</v>
      </c>
      <c r="D809" s="515">
        <v>3.8089742555115054E-2</v>
      </c>
      <c r="E809" s="516">
        <v>1.1363186911112206E-2</v>
      </c>
      <c r="F809" s="145">
        <v>5.2985910264528389E-2</v>
      </c>
      <c r="G809" s="145">
        <v>1.4359333216621198E-3</v>
      </c>
      <c r="H809" s="517">
        <v>2.0000009999999999E-3</v>
      </c>
      <c r="I809" s="517">
        <v>1.5750005000000001E-2</v>
      </c>
      <c r="J809" s="148">
        <v>1.5565131238835766E-3</v>
      </c>
      <c r="K809" s="518">
        <v>1.2202794130755426E-4</v>
      </c>
      <c r="L809" s="519">
        <v>1.2754550994740964E-4</v>
      </c>
    </row>
    <row r="810" spans="1:12" ht="15.5" x14ac:dyDescent="0.35">
      <c r="A810" s="143" t="s">
        <v>872</v>
      </c>
      <c r="B810" s="229">
        <v>2024</v>
      </c>
      <c r="C810" s="514" t="s">
        <v>1708</v>
      </c>
      <c r="D810" s="515">
        <v>3.6886092506655456E-2</v>
      </c>
      <c r="E810" s="516">
        <v>9.8923846493498228E-3</v>
      </c>
      <c r="F810" s="145">
        <v>4.6676371457623156E-2</v>
      </c>
      <c r="G810" s="145">
        <v>1.3700975392900432E-3</v>
      </c>
      <c r="H810" s="517">
        <v>2.0000009999999999E-3</v>
      </c>
      <c r="I810" s="517">
        <v>1.5750005000000001E-2</v>
      </c>
      <c r="J810" s="148">
        <v>1.4855540845878238E-3</v>
      </c>
      <c r="K810" s="518">
        <v>1.0728746828961428E-4</v>
      </c>
      <c r="L810" s="519">
        <v>1.1213853907119139E-4</v>
      </c>
    </row>
    <row r="811" spans="1:12" ht="15.5" x14ac:dyDescent="0.35">
      <c r="A811" s="143" t="s">
        <v>872</v>
      </c>
      <c r="B811" s="229">
        <v>2025</v>
      </c>
      <c r="C811" s="514" t="s">
        <v>1709</v>
      </c>
      <c r="D811" s="515">
        <v>3.5709604707079859E-2</v>
      </c>
      <c r="E811" s="516">
        <v>8.6923251826231795E-3</v>
      </c>
      <c r="F811" s="145">
        <v>4.1604337654867471E-2</v>
      </c>
      <c r="G811" s="145">
        <v>1.3135754917415778E-3</v>
      </c>
      <c r="H811" s="517">
        <v>2.0000010000000004E-3</v>
      </c>
      <c r="I811" s="517">
        <v>1.5750005000000001E-2</v>
      </c>
      <c r="J811" s="148">
        <v>1.4246125532602365E-3</v>
      </c>
      <c r="K811" s="518">
        <v>9.4860393713123813E-5</v>
      </c>
      <c r="L811" s="519">
        <v>9.9149559223020019E-5</v>
      </c>
    </row>
    <row r="812" spans="1:12" ht="15.5" x14ac:dyDescent="0.35">
      <c r="A812" s="143" t="s">
        <v>872</v>
      </c>
      <c r="B812" s="229">
        <v>2026</v>
      </c>
      <c r="C812" s="514" t="s">
        <v>1710</v>
      </c>
      <c r="D812" s="515">
        <v>3.4635290046457087E-2</v>
      </c>
      <c r="E812" s="516">
        <v>7.7064697627571071E-3</v>
      </c>
      <c r="F812" s="145">
        <v>3.7535808786607103E-2</v>
      </c>
      <c r="G812" s="145">
        <v>1.2531065534087237E-3</v>
      </c>
      <c r="H812" s="517">
        <v>2.0000009999999995E-3</v>
      </c>
      <c r="I812" s="517">
        <v>1.5750005000000001E-2</v>
      </c>
      <c r="J812" s="148">
        <v>1.3593685707852527E-3</v>
      </c>
      <c r="K812" s="518">
        <v>8.2567621977763006E-5</v>
      </c>
      <c r="L812" s="519">
        <v>8.6300962781053853E-5</v>
      </c>
    </row>
    <row r="813" spans="1:12" ht="15.5" x14ac:dyDescent="0.35">
      <c r="A813" s="143" t="s">
        <v>872</v>
      </c>
      <c r="B813" s="229">
        <v>2027</v>
      </c>
      <c r="C813" s="514" t="s">
        <v>1711</v>
      </c>
      <c r="D813" s="515">
        <v>3.3648144353157099E-2</v>
      </c>
      <c r="E813" s="516">
        <v>6.8663494921064258E-3</v>
      </c>
      <c r="F813" s="145">
        <v>3.4141593783235495E-2</v>
      </c>
      <c r="G813" s="145">
        <v>1.1828802511979857E-3</v>
      </c>
      <c r="H813" s="517">
        <v>2.0000010000000004E-3</v>
      </c>
      <c r="I813" s="517">
        <v>1.5750005000000004E-2</v>
      </c>
      <c r="J813" s="148">
        <v>1.2835331873901421E-3</v>
      </c>
      <c r="K813" s="518">
        <v>6.9783102874566578E-5</v>
      </c>
      <c r="L813" s="519">
        <v>7.2938390517783257E-5</v>
      </c>
    </row>
    <row r="814" spans="1:12" ht="15.5" x14ac:dyDescent="0.35">
      <c r="A814" s="143" t="s">
        <v>872</v>
      </c>
      <c r="B814" s="229">
        <v>2028</v>
      </c>
      <c r="C814" s="514" t="s">
        <v>1712</v>
      </c>
      <c r="D814" s="515">
        <v>3.2752158668948927E-2</v>
      </c>
      <c r="E814" s="516">
        <v>6.165215415854095E-3</v>
      </c>
      <c r="F814" s="145">
        <v>3.1354723709401677E-2</v>
      </c>
      <c r="G814" s="145">
        <v>1.1056127777354346E-3</v>
      </c>
      <c r="H814" s="517">
        <v>2.0000009999999999E-3</v>
      </c>
      <c r="I814" s="517">
        <v>1.5750004999999997E-2</v>
      </c>
      <c r="J814" s="148">
        <v>1.1999990164362983E-3</v>
      </c>
      <c r="K814" s="518">
        <v>5.7957986362154871E-5</v>
      </c>
      <c r="L814" s="519">
        <v>6.0578591768227717E-5</v>
      </c>
    </row>
    <row r="815" spans="1:12" ht="15.5" x14ac:dyDescent="0.35">
      <c r="A815" s="143" t="s">
        <v>872</v>
      </c>
      <c r="B815" s="229">
        <v>2029</v>
      </c>
      <c r="C815" s="514" t="s">
        <v>1713</v>
      </c>
      <c r="D815" s="515">
        <v>3.1939442622845322E-2</v>
      </c>
      <c r="E815" s="516">
        <v>5.550563245646397E-3</v>
      </c>
      <c r="F815" s="145">
        <v>2.8990057585510671E-2</v>
      </c>
      <c r="G815" s="145">
        <v>1.0339430120740881E-3</v>
      </c>
      <c r="H815" s="517">
        <v>2.0000009999999999E-3</v>
      </c>
      <c r="I815" s="517">
        <v>1.5750005000000004E-2</v>
      </c>
      <c r="J815" s="148">
        <v>1.1223834833657114E-3</v>
      </c>
      <c r="K815" s="518">
        <v>5.0128835034205815E-5</v>
      </c>
      <c r="L815" s="519">
        <v>5.2395437106753356E-5</v>
      </c>
    </row>
    <row r="816" spans="1:12" ht="15.5" x14ac:dyDescent="0.35">
      <c r="A816" s="143" t="s">
        <v>872</v>
      </c>
      <c r="B816" s="229">
        <v>2030</v>
      </c>
      <c r="C816" s="514" t="s">
        <v>1714</v>
      </c>
      <c r="D816" s="515">
        <v>3.1205962569244561E-2</v>
      </c>
      <c r="E816" s="516">
        <v>5.0371185639490204E-3</v>
      </c>
      <c r="F816" s="145">
        <v>2.7061709577304114E-2</v>
      </c>
      <c r="G816" s="145">
        <v>9.6714363428609322E-4</v>
      </c>
      <c r="H816" s="517">
        <v>2.0000009999999999E-3</v>
      </c>
      <c r="I816" s="517">
        <v>1.5750005000000001E-2</v>
      </c>
      <c r="J816" s="148">
        <v>1.0500177098661811E-3</v>
      </c>
      <c r="K816" s="518">
        <v>4.3404578111003384E-5</v>
      </c>
      <c r="L816" s="519">
        <v>4.536713831937182E-5</v>
      </c>
    </row>
    <row r="817" spans="1:12" ht="15.5" x14ac:dyDescent="0.35">
      <c r="A817" s="143" t="s">
        <v>872</v>
      </c>
      <c r="B817" s="229">
        <v>2031</v>
      </c>
      <c r="C817" s="514" t="s">
        <v>1715</v>
      </c>
      <c r="D817" s="515">
        <v>3.0549417318750147E-2</v>
      </c>
      <c r="E817" s="516">
        <v>4.5811718125993691E-3</v>
      </c>
      <c r="F817" s="145">
        <v>2.5397437598036029E-2</v>
      </c>
      <c r="G817" s="145">
        <v>9.0597971023292868E-4</v>
      </c>
      <c r="H817" s="517">
        <v>2.0000010000000004E-3</v>
      </c>
      <c r="I817" s="517">
        <v>1.5750005000000001E-2</v>
      </c>
      <c r="J817" s="148">
        <v>9.8368105722490898E-4</v>
      </c>
      <c r="K817" s="518">
        <v>3.9050180063675268E-5</v>
      </c>
      <c r="L817" s="519">
        <v>4.0815853779777869E-5</v>
      </c>
    </row>
    <row r="818" spans="1:12" ht="15.5" x14ac:dyDescent="0.35">
      <c r="A818" s="143" t="s">
        <v>872</v>
      </c>
      <c r="B818" s="229">
        <v>2032</v>
      </c>
      <c r="C818" s="514" t="s">
        <v>1716</v>
      </c>
      <c r="D818" s="515">
        <v>2.9962512580299458E-2</v>
      </c>
      <c r="E818" s="516">
        <v>4.1886388879830896E-3</v>
      </c>
      <c r="F818" s="145">
        <v>2.4039332449041537E-2</v>
      </c>
      <c r="G818" s="145">
        <v>8.4866214229565619E-4</v>
      </c>
      <c r="H818" s="517">
        <v>2.0000009999999999E-3</v>
      </c>
      <c r="I818" s="517">
        <v>1.5750005000000004E-2</v>
      </c>
      <c r="J818" s="148">
        <v>9.2153734941514802E-4</v>
      </c>
      <c r="K818" s="518">
        <v>3.4445016865686487E-5</v>
      </c>
      <c r="L818" s="519">
        <v>3.6002466031573627E-5</v>
      </c>
    </row>
    <row r="819" spans="1:12" ht="15.5" x14ac:dyDescent="0.35">
      <c r="A819" s="143" t="s">
        <v>872</v>
      </c>
      <c r="B819" s="229">
        <v>2033</v>
      </c>
      <c r="C819" s="514" t="s">
        <v>1717</v>
      </c>
      <c r="D819" s="515">
        <v>2.9440144208439923E-2</v>
      </c>
      <c r="E819" s="516">
        <v>3.8496275724456928E-3</v>
      </c>
      <c r="F819" s="145">
        <v>2.2922689643659941E-2</v>
      </c>
      <c r="G819" s="145">
        <v>7.9716988179112007E-4</v>
      </c>
      <c r="H819" s="517">
        <v>2.0000009999999995E-3</v>
      </c>
      <c r="I819" s="517">
        <v>1.5750005000000001E-2</v>
      </c>
      <c r="J819" s="148">
        <v>8.6565200706632817E-4</v>
      </c>
      <c r="K819" s="518">
        <v>3.1689084042321822E-5</v>
      </c>
      <c r="L819" s="519">
        <v>3.3121923256606932E-5</v>
      </c>
    </row>
    <row r="820" spans="1:12" ht="15.5" x14ac:dyDescent="0.35">
      <c r="A820" s="143" t="s">
        <v>872</v>
      </c>
      <c r="B820" s="229">
        <v>2034</v>
      </c>
      <c r="C820" s="514" t="s">
        <v>1718</v>
      </c>
      <c r="D820" s="515">
        <v>2.897637207518439E-2</v>
      </c>
      <c r="E820" s="516">
        <v>3.551008513350429E-3</v>
      </c>
      <c r="F820" s="145">
        <v>2.1990386487825326E-2</v>
      </c>
      <c r="G820" s="145">
        <v>7.4984372618370706E-4</v>
      </c>
      <c r="H820" s="517">
        <v>2.0000009999999999E-3</v>
      </c>
      <c r="I820" s="517">
        <v>1.5750005000000004E-2</v>
      </c>
      <c r="J820" s="148">
        <v>8.142861272703027E-4</v>
      </c>
      <c r="K820" s="518">
        <v>2.9192202961794616E-5</v>
      </c>
      <c r="L820" s="519">
        <v>3.0512146039503626E-5</v>
      </c>
    </row>
    <row r="821" spans="1:12" ht="15.5" x14ac:dyDescent="0.35">
      <c r="A821" s="143" t="s">
        <v>872</v>
      </c>
      <c r="B821" s="229">
        <v>2035</v>
      </c>
      <c r="C821" s="514" t="s">
        <v>1719</v>
      </c>
      <c r="D821" s="515">
        <v>2.8569532938655291E-2</v>
      </c>
      <c r="E821" s="516">
        <v>3.2849412093768292E-3</v>
      </c>
      <c r="F821" s="145">
        <v>2.1205860198034474E-2</v>
      </c>
      <c r="G821" s="145">
        <v>7.0655461293779034E-4</v>
      </c>
      <c r="H821" s="517">
        <v>2.0000010000000004E-3</v>
      </c>
      <c r="I821" s="517">
        <v>1.5750005000000001E-2</v>
      </c>
      <c r="J821" s="148">
        <v>7.6729966338463654E-4</v>
      </c>
      <c r="K821" s="518">
        <v>2.6973706700415127E-5</v>
      </c>
      <c r="L821" s="519">
        <v>2.8193340874165133E-5</v>
      </c>
    </row>
    <row r="822" spans="1:12" ht="15.5" x14ac:dyDescent="0.35">
      <c r="A822" s="143" t="s">
        <v>872</v>
      </c>
      <c r="B822" s="229">
        <v>2036</v>
      </c>
      <c r="C822" s="514" t="s">
        <v>1720</v>
      </c>
      <c r="D822" s="515">
        <v>2.8214408575472086E-2</v>
      </c>
      <c r="E822" s="516">
        <v>3.0487804049461787E-3</v>
      </c>
      <c r="F822" s="145">
        <v>2.0538867860887482E-2</v>
      </c>
      <c r="G822" s="145">
        <v>6.6895108782912341E-4</v>
      </c>
      <c r="H822" s="517">
        <v>2.0000009999999991E-3</v>
      </c>
      <c r="I822" s="517">
        <v>1.5750005000000001E-2</v>
      </c>
      <c r="J822" s="148">
        <v>7.2648167235735508E-4</v>
      </c>
      <c r="K822" s="518">
        <v>2.5099152517810408E-5</v>
      </c>
      <c r="L822" s="519">
        <v>2.6234018851060781E-5</v>
      </c>
    </row>
    <row r="823" spans="1:12" ht="15.5" x14ac:dyDescent="0.35">
      <c r="A823" s="143" t="s">
        <v>872</v>
      </c>
      <c r="B823" s="229">
        <v>2037</v>
      </c>
      <c r="C823" s="514" t="s">
        <v>1721</v>
      </c>
      <c r="D823" s="515">
        <v>2.7905980284821472E-2</v>
      </c>
      <c r="E823" s="516">
        <v>2.8551377548480614E-3</v>
      </c>
      <c r="F823" s="145">
        <v>2.0026121477628101E-2</v>
      </c>
      <c r="G823" s="145">
        <v>6.3593725673513678E-4</v>
      </c>
      <c r="H823" s="517">
        <v>2.0000009999999999E-3</v>
      </c>
      <c r="I823" s="517">
        <v>1.5750005000000001E-2</v>
      </c>
      <c r="J823" s="148">
        <v>6.9064278219080257E-4</v>
      </c>
      <c r="K823" s="518">
        <v>2.3521294303250794E-5</v>
      </c>
      <c r="L823" s="519">
        <v>2.4584823888289579E-5</v>
      </c>
    </row>
    <row r="824" spans="1:12" ht="15.5" x14ac:dyDescent="0.35">
      <c r="A824" s="143" t="s">
        <v>872</v>
      </c>
      <c r="B824" s="229">
        <v>2038</v>
      </c>
      <c r="C824" s="514" t="s">
        <v>1722</v>
      </c>
      <c r="D824" s="515">
        <v>2.7641394816060316E-2</v>
      </c>
      <c r="E824" s="516">
        <v>2.6808909728511339E-3</v>
      </c>
      <c r="F824" s="145">
        <v>1.956857911575044E-2</v>
      </c>
      <c r="G824" s="145">
        <v>6.0695417083476077E-4</v>
      </c>
      <c r="H824" s="517">
        <v>2.0000009999999995E-3</v>
      </c>
      <c r="I824" s="517">
        <v>1.5750004999999997E-2</v>
      </c>
      <c r="J824" s="148">
        <v>6.5917578642435881E-4</v>
      </c>
      <c r="K824" s="518">
        <v>2.2232620098662444E-5</v>
      </c>
      <c r="L824" s="519">
        <v>2.3237879143032436E-5</v>
      </c>
    </row>
    <row r="825" spans="1:12" ht="15.5" x14ac:dyDescent="0.35">
      <c r="A825" s="143" t="s">
        <v>872</v>
      </c>
      <c r="B825" s="229">
        <v>2039</v>
      </c>
      <c r="C825" s="514" t="s">
        <v>1723</v>
      </c>
      <c r="D825" s="515">
        <v>2.7413836148095179E-2</v>
      </c>
      <c r="E825" s="516">
        <v>2.5200486811988465E-3</v>
      </c>
      <c r="F825" s="145">
        <v>1.9151912797406672E-2</v>
      </c>
      <c r="G825" s="145">
        <v>5.8166733653580791E-4</v>
      </c>
      <c r="H825" s="517">
        <v>2.0000009999999999E-3</v>
      </c>
      <c r="I825" s="517">
        <v>1.5750005000000001E-2</v>
      </c>
      <c r="J825" s="148">
        <v>6.3171899531530747E-4</v>
      </c>
      <c r="K825" s="518">
        <v>2.1182692670283993E-5</v>
      </c>
      <c r="L825" s="519">
        <v>2.2140484118846321E-5</v>
      </c>
    </row>
    <row r="826" spans="1:12" ht="15.5" x14ac:dyDescent="0.35">
      <c r="A826" s="143" t="s">
        <v>872</v>
      </c>
      <c r="B826" s="229">
        <v>2040</v>
      </c>
      <c r="C826" s="514" t="s">
        <v>1724</v>
      </c>
      <c r="D826" s="515">
        <v>2.7219801540967686E-2</v>
      </c>
      <c r="E826" s="516">
        <v>2.3707405216220976E-3</v>
      </c>
      <c r="F826" s="145">
        <v>1.8780386054207742E-2</v>
      </c>
      <c r="G826" s="145">
        <v>5.5964779761305105E-4</v>
      </c>
      <c r="H826" s="517">
        <v>2.0000009999999999E-3</v>
      </c>
      <c r="I826" s="517">
        <v>1.5750005000000001E-2</v>
      </c>
      <c r="J826" s="148">
        <v>6.0780894009597691E-4</v>
      </c>
      <c r="K826" s="518">
        <v>2.0276200381719197E-5</v>
      </c>
      <c r="L826" s="519">
        <v>2.1192992972053831E-5</v>
      </c>
    </row>
    <row r="827" spans="1:12" ht="15.5" x14ac:dyDescent="0.35">
      <c r="A827" s="143" t="s">
        <v>872</v>
      </c>
      <c r="B827" s="229">
        <v>2041</v>
      </c>
      <c r="C827" s="514" t="s">
        <v>1725</v>
      </c>
      <c r="D827" s="515">
        <v>2.7057686325652162E-2</v>
      </c>
      <c r="E827" s="516">
        <v>2.2522178095917473E-3</v>
      </c>
      <c r="F827" s="145">
        <v>1.8487028183084953E-2</v>
      </c>
      <c r="G827" s="145">
        <v>5.4238633996069421E-4</v>
      </c>
      <c r="H827" s="517">
        <v>2.0000009999999999E-3</v>
      </c>
      <c r="I827" s="517">
        <v>1.5750005000000004E-2</v>
      </c>
      <c r="J827" s="148">
        <v>5.890658564973528E-4</v>
      </c>
      <c r="K827" s="518">
        <v>1.9556772666454202E-5</v>
      </c>
      <c r="L827" s="519">
        <v>2.044103767797043E-5</v>
      </c>
    </row>
    <row r="828" spans="1:12" ht="15.5" x14ac:dyDescent="0.35">
      <c r="A828" s="143" t="s">
        <v>872</v>
      </c>
      <c r="B828" s="229">
        <v>2042</v>
      </c>
      <c r="C828" s="514" t="s">
        <v>1726</v>
      </c>
      <c r="D828" s="515">
        <v>2.6919921373698658E-2</v>
      </c>
      <c r="E828" s="516">
        <v>2.1507622020613278E-3</v>
      </c>
      <c r="F828" s="145">
        <v>1.8221016975754376E-2</v>
      </c>
      <c r="G828" s="145">
        <v>5.2781796000113141E-4</v>
      </c>
      <c r="H828" s="517">
        <v>2.0000009999999999E-3</v>
      </c>
      <c r="I828" s="517">
        <v>1.5750005000000001E-2</v>
      </c>
      <c r="J828" s="148">
        <v>5.7324584722658349E-4</v>
      </c>
      <c r="K828" s="518">
        <v>1.8976804068759944E-5</v>
      </c>
      <c r="L828" s="519">
        <v>1.9834854892750618E-5</v>
      </c>
    </row>
    <row r="829" spans="1:12" ht="15.5" x14ac:dyDescent="0.35">
      <c r="A829" s="143" t="s">
        <v>872</v>
      </c>
      <c r="B829" s="229">
        <v>2043</v>
      </c>
      <c r="C829" s="514" t="s">
        <v>1727</v>
      </c>
      <c r="D829" s="515">
        <v>2.6804017170014099E-2</v>
      </c>
      <c r="E829" s="516">
        <v>2.0754588376426463E-3</v>
      </c>
      <c r="F829" s="145">
        <v>1.803199312684153E-2</v>
      </c>
      <c r="G829" s="145">
        <v>5.1565937164310043E-4</v>
      </c>
      <c r="H829" s="517">
        <v>2.0000009999999999E-3</v>
      </c>
      <c r="I829" s="517">
        <v>1.5750005000000001E-2</v>
      </c>
      <c r="J829" s="148">
        <v>5.600432944360596E-4</v>
      </c>
      <c r="K829" s="518">
        <v>1.8494528397983547E-5</v>
      </c>
      <c r="L829" s="519">
        <v>1.9330773833074258E-5</v>
      </c>
    </row>
    <row r="830" spans="1:12" ht="15.5" x14ac:dyDescent="0.35">
      <c r="A830" s="143" t="s">
        <v>872</v>
      </c>
      <c r="B830" s="229">
        <v>2044</v>
      </c>
      <c r="C830" s="514" t="s">
        <v>1728</v>
      </c>
      <c r="D830" s="515">
        <v>2.6705579137599151E-2</v>
      </c>
      <c r="E830" s="516">
        <v>2.0214274243206065E-3</v>
      </c>
      <c r="F830" s="145">
        <v>1.7892065244574977E-2</v>
      </c>
      <c r="G830" s="145">
        <v>5.0554413977333789E-4</v>
      </c>
      <c r="H830" s="517">
        <v>2.0000009999999999E-3</v>
      </c>
      <c r="I830" s="517">
        <v>1.5750005000000001E-2</v>
      </c>
      <c r="J830" s="148">
        <v>5.4905818489100696E-4</v>
      </c>
      <c r="K830" s="518">
        <v>1.8107219138162512E-5</v>
      </c>
      <c r="L830" s="519">
        <v>1.8925948883958707E-5</v>
      </c>
    </row>
    <row r="831" spans="1:12" ht="15.5" x14ac:dyDescent="0.35">
      <c r="A831" s="143" t="s">
        <v>872</v>
      </c>
      <c r="B831" s="229">
        <v>2045</v>
      </c>
      <c r="C831" s="514" t="s">
        <v>1729</v>
      </c>
      <c r="D831" s="515">
        <v>2.6620871005001212E-2</v>
      </c>
      <c r="E831" s="516">
        <v>1.9863402162677464E-3</v>
      </c>
      <c r="F831" s="145">
        <v>1.78045136451352E-2</v>
      </c>
      <c r="G831" s="145">
        <v>4.971305411232503E-4</v>
      </c>
      <c r="H831" s="517">
        <v>2.0000009999999999E-3</v>
      </c>
      <c r="I831" s="517">
        <v>1.5750005000000001E-2</v>
      </c>
      <c r="J831" s="148">
        <v>5.3992040548738916E-4</v>
      </c>
      <c r="K831" s="518">
        <v>1.7808979020370669E-5</v>
      </c>
      <c r="L831" s="519">
        <v>1.8614224687775508E-5</v>
      </c>
    </row>
    <row r="832" spans="1:12" ht="15.5" x14ac:dyDescent="0.35">
      <c r="A832" s="143" t="s">
        <v>872</v>
      </c>
      <c r="B832" s="229">
        <v>2046</v>
      </c>
      <c r="C832" s="514" t="s">
        <v>1730</v>
      </c>
      <c r="D832" s="515">
        <v>2.6548577122694636E-2</v>
      </c>
      <c r="E832" s="516">
        <v>1.9569349653469344E-3</v>
      </c>
      <c r="F832" s="145">
        <v>1.7735892905707526E-2</v>
      </c>
      <c r="G832" s="145">
        <v>4.9021135328813816E-4</v>
      </c>
      <c r="H832" s="517">
        <v>2.0000009999999999E-3</v>
      </c>
      <c r="I832" s="517">
        <v>1.5750005000000001E-2</v>
      </c>
      <c r="J832" s="148">
        <v>5.3240594863091591E-4</v>
      </c>
      <c r="K832" s="518">
        <v>1.7562679973267866E-5</v>
      </c>
      <c r="L832" s="519">
        <v>1.8356786052074944E-5</v>
      </c>
    </row>
    <row r="833" spans="1:12" ht="15.5" x14ac:dyDescent="0.35">
      <c r="A833" s="143" t="s">
        <v>872</v>
      </c>
      <c r="B833" s="229">
        <v>2047</v>
      </c>
      <c r="C833" s="514" t="s">
        <v>1731</v>
      </c>
      <c r="D833" s="515">
        <v>2.6488438214874236E-2</v>
      </c>
      <c r="E833" s="516">
        <v>1.9311274343248312E-3</v>
      </c>
      <c r="F833" s="145">
        <v>1.7670575430704532E-2</v>
      </c>
      <c r="G833" s="145">
        <v>4.8452855696642222E-4</v>
      </c>
      <c r="H833" s="517">
        <v>2.0000009999999999E-3</v>
      </c>
      <c r="I833" s="517">
        <v>1.5750004999999997E-2</v>
      </c>
      <c r="J833" s="148">
        <v>5.2623403475704012E-4</v>
      </c>
      <c r="K833" s="518">
        <v>1.7347326096047387E-5</v>
      </c>
      <c r="L833" s="519">
        <v>1.8131698080114574E-5</v>
      </c>
    </row>
    <row r="834" spans="1:12" ht="15.5" x14ac:dyDescent="0.35">
      <c r="A834" s="143" t="s">
        <v>872</v>
      </c>
      <c r="B834" s="229">
        <v>2048</v>
      </c>
      <c r="C834" s="514" t="s">
        <v>1732</v>
      </c>
      <c r="D834" s="515">
        <v>2.6438911162368406E-2</v>
      </c>
      <c r="E834" s="516">
        <v>1.9105319463583569E-3</v>
      </c>
      <c r="F834" s="145">
        <v>1.7617908424869926E-2</v>
      </c>
      <c r="G834" s="145">
        <v>4.7986709876112675E-4</v>
      </c>
      <c r="H834" s="517">
        <v>2.0000009999999995E-3</v>
      </c>
      <c r="I834" s="517">
        <v>1.5750005000000001E-2</v>
      </c>
      <c r="J834" s="148">
        <v>5.2117264953888901E-4</v>
      </c>
      <c r="K834" s="518">
        <v>1.7149765999411133E-5</v>
      </c>
      <c r="L834" s="519">
        <v>1.7925204117608878E-5</v>
      </c>
    </row>
    <row r="835" spans="1:12" ht="15.5" x14ac:dyDescent="0.35">
      <c r="A835" s="143" t="s">
        <v>872</v>
      </c>
      <c r="B835" s="229">
        <v>2049</v>
      </c>
      <c r="C835" s="514" t="s">
        <v>1733</v>
      </c>
      <c r="D835" s="515">
        <v>2.6395388432582028E-2</v>
      </c>
      <c r="E835" s="516">
        <v>1.9017182865165632E-3</v>
      </c>
      <c r="F835" s="145">
        <v>1.7628915834994832E-2</v>
      </c>
      <c r="G835" s="145">
        <v>4.767306975620863E-4</v>
      </c>
      <c r="H835" s="517">
        <v>2.0000009999999995E-3</v>
      </c>
      <c r="I835" s="517">
        <v>1.5750005000000001E-2</v>
      </c>
      <c r="J835" s="148">
        <v>5.1776796378769476E-4</v>
      </c>
      <c r="K835" s="518">
        <v>1.7002410678845867E-5</v>
      </c>
      <c r="L835" s="519">
        <v>1.7771183293530717E-5</v>
      </c>
    </row>
    <row r="836" spans="1:12" ht="15.5" x14ac:dyDescent="0.35">
      <c r="A836" s="143" t="s">
        <v>872</v>
      </c>
      <c r="B836" s="229">
        <v>2050</v>
      </c>
      <c r="C836" s="514" t="s">
        <v>1734</v>
      </c>
      <c r="D836" s="515">
        <v>2.635846667865982E-2</v>
      </c>
      <c r="E836" s="516">
        <v>1.8946467915185485E-3</v>
      </c>
      <c r="F836" s="145">
        <v>1.7639391840598845E-2</v>
      </c>
      <c r="G836" s="145">
        <v>4.7421033456396564E-4</v>
      </c>
      <c r="H836" s="517">
        <v>2.0000009999999999E-3</v>
      </c>
      <c r="I836" s="517">
        <v>1.5750005000000001E-2</v>
      </c>
      <c r="J836" s="148">
        <v>5.15032704647772E-4</v>
      </c>
      <c r="K836" s="518">
        <v>1.6857788434016233E-5</v>
      </c>
      <c r="L836" s="519">
        <v>1.7620019870737055E-5</v>
      </c>
    </row>
    <row r="837" spans="1:12" ht="15.5" x14ac:dyDescent="0.35">
      <c r="A837" s="143" t="s">
        <v>875</v>
      </c>
      <c r="B837" s="229">
        <v>2015</v>
      </c>
      <c r="C837" s="514" t="s">
        <v>876</v>
      </c>
      <c r="D837" s="515">
        <v>4.4563902777398301E-2</v>
      </c>
      <c r="E837" s="516">
        <v>0.12046618627288873</v>
      </c>
      <c r="F837" s="145">
        <v>0.4143662454706572</v>
      </c>
      <c r="G837" s="145">
        <v>3.6883580655519719E-3</v>
      </c>
      <c r="H837" s="517">
        <v>2.0000009999999999E-3</v>
      </c>
      <c r="I837" s="517">
        <v>1.5750005000000004E-2</v>
      </c>
      <c r="J837" s="148">
        <v>3.9856066489470142E-3</v>
      </c>
      <c r="K837" s="518">
        <v>3.7431492246328609E-4</v>
      </c>
      <c r="L837" s="519">
        <v>3.9123978306780969E-4</v>
      </c>
    </row>
    <row r="838" spans="1:12" ht="15.5" x14ac:dyDescent="0.35">
      <c r="A838" s="143" t="s">
        <v>875</v>
      </c>
      <c r="B838" s="229">
        <v>2016</v>
      </c>
      <c r="C838" s="514" t="s">
        <v>877</v>
      </c>
      <c r="D838" s="515">
        <v>4.3625631500205715E-2</v>
      </c>
      <c r="E838" s="516">
        <v>0.10519976787944682</v>
      </c>
      <c r="F838" s="145">
        <v>0.3713383059876717</v>
      </c>
      <c r="G838" s="145">
        <v>3.3881335397795997E-3</v>
      </c>
      <c r="H838" s="517">
        <v>2.0000009999999999E-3</v>
      </c>
      <c r="I838" s="517">
        <v>1.5750005000000004E-2</v>
      </c>
      <c r="J838" s="148">
        <v>3.6626338074815619E-3</v>
      </c>
      <c r="K838" s="518">
        <v>3.4843379812382147E-4</v>
      </c>
      <c r="L838" s="519">
        <v>3.6418842760376456E-4</v>
      </c>
    </row>
    <row r="839" spans="1:12" ht="15.5" x14ac:dyDescent="0.35">
      <c r="A839" s="143" t="s">
        <v>875</v>
      </c>
      <c r="B839" s="229">
        <v>2017</v>
      </c>
      <c r="C839" s="514" t="s">
        <v>1735</v>
      </c>
      <c r="D839" s="515">
        <v>4.2637557440023378E-2</v>
      </c>
      <c r="E839" s="516">
        <v>9.2740564987670637E-2</v>
      </c>
      <c r="F839" s="145">
        <v>0.3330246293805037</v>
      </c>
      <c r="G839" s="145">
        <v>3.1780285286773448E-3</v>
      </c>
      <c r="H839" s="517">
        <v>2.0000009999999999E-3</v>
      </c>
      <c r="I839" s="517">
        <v>1.5750005000000001E-2</v>
      </c>
      <c r="J839" s="148">
        <v>3.4367504177007431E-3</v>
      </c>
      <c r="K839" s="518">
        <v>3.2507986594717956E-4</v>
      </c>
      <c r="L839" s="519">
        <v>3.3977852936988695E-4</v>
      </c>
    </row>
    <row r="840" spans="1:12" ht="15.5" x14ac:dyDescent="0.35">
      <c r="A840" s="143" t="s">
        <v>875</v>
      </c>
      <c r="B840" s="229">
        <v>2018</v>
      </c>
      <c r="C840" s="514" t="s">
        <v>1736</v>
      </c>
      <c r="D840" s="515">
        <v>4.1608189132656452E-2</v>
      </c>
      <c r="E840" s="516">
        <v>8.0611026101524638E-2</v>
      </c>
      <c r="F840" s="145">
        <v>0.29660150805642987</v>
      </c>
      <c r="G840" s="145">
        <v>3.0049685842842336E-3</v>
      </c>
      <c r="H840" s="517">
        <v>2.0000009999999999E-3</v>
      </c>
      <c r="I840" s="517">
        <v>1.5750005000000001E-2</v>
      </c>
      <c r="J840" s="148">
        <v>3.2510043479932254E-3</v>
      </c>
      <c r="K840" s="518">
        <v>3.0407867927257471E-4</v>
      </c>
      <c r="L840" s="519">
        <v>3.1782777108810251E-4</v>
      </c>
    </row>
    <row r="841" spans="1:12" ht="15.5" x14ac:dyDescent="0.35">
      <c r="A841" s="143" t="s">
        <v>875</v>
      </c>
      <c r="B841" s="229">
        <v>2019</v>
      </c>
      <c r="C841" s="514" t="s">
        <v>1737</v>
      </c>
      <c r="D841" s="515">
        <v>4.045262511472153E-2</v>
      </c>
      <c r="E841" s="516">
        <v>7.0556099399956579E-2</v>
      </c>
      <c r="F841" s="145">
        <v>0.26387597423754516</v>
      </c>
      <c r="G841" s="145">
        <v>2.8629206333900059E-3</v>
      </c>
      <c r="H841" s="517">
        <v>2.0000009999999995E-3</v>
      </c>
      <c r="I841" s="517">
        <v>1.5750005000000001E-2</v>
      </c>
      <c r="J841" s="148">
        <v>3.09841677227436E-3</v>
      </c>
      <c r="K841" s="518">
        <v>2.8359147333465145E-4</v>
      </c>
      <c r="L841" s="519">
        <v>2.9641422270812229E-4</v>
      </c>
    </row>
    <row r="842" spans="1:12" ht="15.5" x14ac:dyDescent="0.35">
      <c r="A842" s="143" t="s">
        <v>875</v>
      </c>
      <c r="B842" s="229">
        <v>2020</v>
      </c>
      <c r="C842" s="514" t="s">
        <v>1738</v>
      </c>
      <c r="D842" s="515">
        <v>3.9359449508563543E-2</v>
      </c>
      <c r="E842" s="516">
        <v>6.2095825776562176E-2</v>
      </c>
      <c r="F842" s="145">
        <v>0.23430511561263814</v>
      </c>
      <c r="G842" s="145">
        <v>2.7148375671089409E-3</v>
      </c>
      <c r="H842" s="517">
        <v>2.0000009999999999E-3</v>
      </c>
      <c r="I842" s="517">
        <v>1.5750005000000001E-2</v>
      </c>
      <c r="J842" s="148">
        <v>2.9387433084627165E-3</v>
      </c>
      <c r="K842" s="518">
        <v>2.639413692897951E-4</v>
      </c>
      <c r="L842" s="519">
        <v>2.7587563096647207E-4</v>
      </c>
    </row>
    <row r="843" spans="1:12" ht="15.5" x14ac:dyDescent="0.35">
      <c r="A843" s="143" t="s">
        <v>875</v>
      </c>
      <c r="B843" s="229">
        <v>2021</v>
      </c>
      <c r="C843" s="514" t="s">
        <v>1739</v>
      </c>
      <c r="D843" s="515">
        <v>3.8295439111986865E-2</v>
      </c>
      <c r="E843" s="516">
        <v>5.2559517999486403E-2</v>
      </c>
      <c r="F843" s="145">
        <v>0.20437640933046744</v>
      </c>
      <c r="G843" s="145">
        <v>2.5331937026618848E-3</v>
      </c>
      <c r="H843" s="517">
        <v>2.0000009999999999E-3</v>
      </c>
      <c r="I843" s="517">
        <v>1.5750004999999997E-2</v>
      </c>
      <c r="J843" s="148">
        <v>2.742973737348648E-3</v>
      </c>
      <c r="K843" s="518">
        <v>2.4457995887667487E-4</v>
      </c>
      <c r="L843" s="519">
        <v>2.5563877526697451E-4</v>
      </c>
    </row>
    <row r="844" spans="1:12" ht="15.5" x14ac:dyDescent="0.35">
      <c r="A844" s="143" t="s">
        <v>875</v>
      </c>
      <c r="B844" s="229">
        <v>2022</v>
      </c>
      <c r="C844" s="514" t="s">
        <v>1740</v>
      </c>
      <c r="D844" s="515">
        <v>3.7197716401528677E-2</v>
      </c>
      <c r="E844" s="516">
        <v>4.2271810229765623E-2</v>
      </c>
      <c r="F844" s="145">
        <v>0.17573816825298574</v>
      </c>
      <c r="G844" s="145">
        <v>2.3500252266137308E-3</v>
      </c>
      <c r="H844" s="517">
        <v>2.0000009999999999E-3</v>
      </c>
      <c r="I844" s="517">
        <v>1.5750005000000001E-2</v>
      </c>
      <c r="J844" s="148">
        <v>2.5458133361311299E-3</v>
      </c>
      <c r="K844" s="518">
        <v>2.2734889243050693E-4</v>
      </c>
      <c r="L844" s="519">
        <v>2.376286029087206E-4</v>
      </c>
    </row>
    <row r="845" spans="1:12" ht="15.5" x14ac:dyDescent="0.35">
      <c r="A845" s="143" t="s">
        <v>875</v>
      </c>
      <c r="B845" s="229">
        <v>2023</v>
      </c>
      <c r="C845" s="514" t="s">
        <v>1741</v>
      </c>
      <c r="D845" s="515">
        <v>3.6106437017603139E-2</v>
      </c>
      <c r="E845" s="516">
        <v>3.6817514924303879E-2</v>
      </c>
      <c r="F845" s="145">
        <v>0.1542873301285177</v>
      </c>
      <c r="G845" s="145">
        <v>2.1891434387088932E-3</v>
      </c>
      <c r="H845" s="517">
        <v>2.0000009999999999E-3</v>
      </c>
      <c r="I845" s="517">
        <v>1.5750004999999997E-2</v>
      </c>
      <c r="J845" s="148">
        <v>2.3716386895400628E-3</v>
      </c>
      <c r="K845" s="518">
        <v>2.1263630790687341E-4</v>
      </c>
      <c r="L845" s="519">
        <v>2.2225077755693844E-4</v>
      </c>
    </row>
    <row r="846" spans="1:12" ht="15.5" x14ac:dyDescent="0.35">
      <c r="A846" s="143" t="s">
        <v>875</v>
      </c>
      <c r="B846" s="229">
        <v>2024</v>
      </c>
      <c r="C846" s="514" t="s">
        <v>1742</v>
      </c>
      <c r="D846" s="515">
        <v>3.5194912063705661E-2</v>
      </c>
      <c r="E846" s="516">
        <v>3.1834953369452364E-2</v>
      </c>
      <c r="F846" s="145">
        <v>0.13497898704693706</v>
      </c>
      <c r="G846" s="145">
        <v>2.0206921344230657E-3</v>
      </c>
      <c r="H846" s="517">
        <v>2.0000010000000004E-3</v>
      </c>
      <c r="I846" s="517">
        <v>1.5750005000000001E-2</v>
      </c>
      <c r="J846" s="148">
        <v>2.1899857603555522E-3</v>
      </c>
      <c r="K846" s="518">
        <v>1.8048956156757536E-4</v>
      </c>
      <c r="L846" s="519">
        <v>1.8865050036941076E-4</v>
      </c>
    </row>
    <row r="847" spans="1:12" ht="15.5" x14ac:dyDescent="0.35">
      <c r="A847" s="143" t="s">
        <v>875</v>
      </c>
      <c r="B847" s="229">
        <v>2025</v>
      </c>
      <c r="C847" s="514" t="s">
        <v>1743</v>
      </c>
      <c r="D847" s="515">
        <v>3.4118100339907122E-2</v>
      </c>
      <c r="E847" s="516">
        <v>2.8131158442882782E-2</v>
      </c>
      <c r="F847" s="145">
        <v>0.11997096335300039</v>
      </c>
      <c r="G847" s="145">
        <v>1.9029689096482321E-3</v>
      </c>
      <c r="H847" s="517">
        <v>2.0000010000000004E-3</v>
      </c>
      <c r="I847" s="517">
        <v>1.5750005000000001E-2</v>
      </c>
      <c r="J847" s="148">
        <v>2.0629028085386017E-3</v>
      </c>
      <c r="K847" s="518">
        <v>1.5913683952508776E-4</v>
      </c>
      <c r="L847" s="519">
        <v>1.6633228985278399E-4</v>
      </c>
    </row>
    <row r="848" spans="1:12" ht="15.5" x14ac:dyDescent="0.35">
      <c r="A848" s="143" t="s">
        <v>875</v>
      </c>
      <c r="B848" s="229">
        <v>2026</v>
      </c>
      <c r="C848" s="514" t="s">
        <v>1744</v>
      </c>
      <c r="D848" s="515">
        <v>3.3166851915755392E-2</v>
      </c>
      <c r="E848" s="516">
        <v>2.5027060779180859E-2</v>
      </c>
      <c r="F848" s="145">
        <v>0.10742733542990468</v>
      </c>
      <c r="G848" s="145">
        <v>1.8064041323868822E-3</v>
      </c>
      <c r="H848" s="517">
        <v>2.0000009999999999E-3</v>
      </c>
      <c r="I848" s="517">
        <v>1.5750005000000001E-2</v>
      </c>
      <c r="J848" s="148">
        <v>1.958382484121798E-3</v>
      </c>
      <c r="K848" s="518">
        <v>1.4735744316266626E-4</v>
      </c>
      <c r="L848" s="519">
        <v>1.5402029605847151E-4</v>
      </c>
    </row>
    <row r="849" spans="1:12" ht="15.5" x14ac:dyDescent="0.35">
      <c r="A849" s="143" t="s">
        <v>875</v>
      </c>
      <c r="B849" s="229">
        <v>2027</v>
      </c>
      <c r="C849" s="514" t="s">
        <v>1745</v>
      </c>
      <c r="D849" s="515">
        <v>3.2317226797225679E-2</v>
      </c>
      <c r="E849" s="516">
        <v>2.2197850865054821E-2</v>
      </c>
      <c r="F849" s="145">
        <v>9.6089388578794357E-2</v>
      </c>
      <c r="G849" s="145">
        <v>1.6818436642385378E-3</v>
      </c>
      <c r="H849" s="517">
        <v>2.0000009999999999E-3</v>
      </c>
      <c r="I849" s="517">
        <v>1.5750005000000001E-2</v>
      </c>
      <c r="J849" s="148">
        <v>1.82440000512943E-3</v>
      </c>
      <c r="K849" s="518">
        <v>1.1229128431123304E-4</v>
      </c>
      <c r="L849" s="519">
        <v>1.173686043501221E-4</v>
      </c>
    </row>
    <row r="850" spans="1:12" ht="15.5" x14ac:dyDescent="0.35">
      <c r="A850" s="143" t="s">
        <v>875</v>
      </c>
      <c r="B850" s="229">
        <v>2028</v>
      </c>
      <c r="C850" s="514" t="s">
        <v>1746</v>
      </c>
      <c r="D850" s="515">
        <v>3.1561636215588371E-2</v>
      </c>
      <c r="E850" s="516">
        <v>1.9671385168601695E-2</v>
      </c>
      <c r="F850" s="145">
        <v>8.6073095609206354E-2</v>
      </c>
      <c r="G850" s="145">
        <v>1.56931101027892E-3</v>
      </c>
      <c r="H850" s="517">
        <v>2.0000009999999999E-3</v>
      </c>
      <c r="I850" s="517">
        <v>1.5750005000000004E-2</v>
      </c>
      <c r="J850" s="148">
        <v>1.7027422389666381E-3</v>
      </c>
      <c r="K850" s="518">
        <v>9.5033016939882598E-5</v>
      </c>
      <c r="L850" s="519">
        <v>9.9329990715219197E-5</v>
      </c>
    </row>
    <row r="851" spans="1:12" ht="15.5" x14ac:dyDescent="0.35">
      <c r="A851" s="143" t="s">
        <v>875</v>
      </c>
      <c r="B851" s="229">
        <v>2029</v>
      </c>
      <c r="C851" s="514" t="s">
        <v>1747</v>
      </c>
      <c r="D851" s="515">
        <v>3.0885975808232994E-2</v>
      </c>
      <c r="E851" s="516">
        <v>1.736832891740071E-2</v>
      </c>
      <c r="F851" s="145">
        <v>7.7048507145966103E-2</v>
      </c>
      <c r="G851" s="145">
        <v>1.4572106081010732E-3</v>
      </c>
      <c r="H851" s="517">
        <v>2.0000009999999995E-3</v>
      </c>
      <c r="I851" s="517">
        <v>1.5750004999999997E-2</v>
      </c>
      <c r="J851" s="148">
        <v>1.5816381366666073E-3</v>
      </c>
      <c r="K851" s="518">
        <v>7.5777719593174168E-5</v>
      </c>
      <c r="L851" s="519">
        <v>7.9204047450014562E-5</v>
      </c>
    </row>
    <row r="852" spans="1:12" ht="15.5" x14ac:dyDescent="0.35">
      <c r="A852" s="143" t="s">
        <v>875</v>
      </c>
      <c r="B852" s="229">
        <v>2030</v>
      </c>
      <c r="C852" s="514" t="s">
        <v>1748</v>
      </c>
      <c r="D852" s="515">
        <v>3.0283664593738598E-2</v>
      </c>
      <c r="E852" s="516">
        <v>1.538685834259574E-2</v>
      </c>
      <c r="F852" s="145">
        <v>6.9007321912664246E-2</v>
      </c>
      <c r="G852" s="145">
        <v>1.3518342069079744E-3</v>
      </c>
      <c r="H852" s="517">
        <v>2.0000009999999999E-3</v>
      </c>
      <c r="I852" s="517">
        <v>1.5750005000000001E-2</v>
      </c>
      <c r="J852" s="148">
        <v>1.4675449056641503E-3</v>
      </c>
      <c r="K852" s="518">
        <v>6.3667382630006684E-5</v>
      </c>
      <c r="L852" s="519">
        <v>6.6546147593893754E-5</v>
      </c>
    </row>
    <row r="853" spans="1:12" ht="15.5" x14ac:dyDescent="0.35">
      <c r="A853" s="143" t="s">
        <v>875</v>
      </c>
      <c r="B853" s="229">
        <v>2031</v>
      </c>
      <c r="C853" s="514" t="s">
        <v>1749</v>
      </c>
      <c r="D853" s="515">
        <v>2.978616665662856E-2</v>
      </c>
      <c r="E853" s="516">
        <v>1.360637841801475E-2</v>
      </c>
      <c r="F853" s="145">
        <v>6.182976695135841E-2</v>
      </c>
      <c r="G853" s="145">
        <v>1.2572440283205014E-3</v>
      </c>
      <c r="H853" s="517">
        <v>2.0000009999999999E-3</v>
      </c>
      <c r="I853" s="517">
        <v>1.5750005000000001E-2</v>
      </c>
      <c r="J853" s="148">
        <v>1.3648750209980672E-3</v>
      </c>
      <c r="K853" s="518">
        <v>5.881601044671727E-5</v>
      </c>
      <c r="L853" s="519">
        <v>6.1475405787089155E-5</v>
      </c>
    </row>
    <row r="854" spans="1:12" ht="15.5" x14ac:dyDescent="0.35">
      <c r="A854" s="143" t="s">
        <v>875</v>
      </c>
      <c r="B854" s="229">
        <v>2032</v>
      </c>
      <c r="C854" s="514" t="s">
        <v>1750</v>
      </c>
      <c r="D854" s="515">
        <v>2.9311059888377584E-2</v>
      </c>
      <c r="E854" s="516">
        <v>1.212620331867059E-2</v>
      </c>
      <c r="F854" s="145">
        <v>5.5990823544769773E-2</v>
      </c>
      <c r="G854" s="145">
        <v>1.1720718856005521E-3</v>
      </c>
      <c r="H854" s="517">
        <v>2.0000009999999999E-3</v>
      </c>
      <c r="I854" s="517">
        <v>1.5750005000000001E-2</v>
      </c>
      <c r="J854" s="148">
        <v>1.2724560922059151E-3</v>
      </c>
      <c r="K854" s="518">
        <v>5.3788956737696853E-5</v>
      </c>
      <c r="L854" s="519">
        <v>5.622105636751887E-5</v>
      </c>
    </row>
    <row r="855" spans="1:12" ht="15.5" x14ac:dyDescent="0.35">
      <c r="A855" s="143" t="s">
        <v>875</v>
      </c>
      <c r="B855" s="229">
        <v>2033</v>
      </c>
      <c r="C855" s="514" t="s">
        <v>1751</v>
      </c>
      <c r="D855" s="515">
        <v>2.8891494682379251E-2</v>
      </c>
      <c r="E855" s="516">
        <v>1.0720770782788169E-2</v>
      </c>
      <c r="F855" s="145">
        <v>5.0552071666875233E-2</v>
      </c>
      <c r="G855" s="145">
        <v>1.089833994760338E-3</v>
      </c>
      <c r="H855" s="517">
        <v>2.0000009999999999E-3</v>
      </c>
      <c r="I855" s="517">
        <v>1.5750005000000001E-2</v>
      </c>
      <c r="J855" s="148">
        <v>1.1831994854465985E-3</v>
      </c>
      <c r="K855" s="518">
        <v>4.9419898593404637E-5</v>
      </c>
      <c r="L855" s="519">
        <v>5.1654443331837736E-5</v>
      </c>
    </row>
    <row r="856" spans="1:12" ht="15.5" x14ac:dyDescent="0.35">
      <c r="A856" s="143" t="s">
        <v>875</v>
      </c>
      <c r="B856" s="229">
        <v>2034</v>
      </c>
      <c r="C856" s="514" t="s">
        <v>1752</v>
      </c>
      <c r="D856" s="515">
        <v>2.8521983865111931E-2</v>
      </c>
      <c r="E856" s="516">
        <v>9.4871067774584504E-3</v>
      </c>
      <c r="F856" s="145">
        <v>4.591597704769055E-2</v>
      </c>
      <c r="G856" s="145">
        <v>1.0150447357446574E-3</v>
      </c>
      <c r="H856" s="517">
        <v>2.0000009999999999E-3</v>
      </c>
      <c r="I856" s="517">
        <v>1.5750005000000004E-2</v>
      </c>
      <c r="J856" s="148">
        <v>1.1020123915483052E-3</v>
      </c>
      <c r="K856" s="518">
        <v>4.5810877806119598E-5</v>
      </c>
      <c r="L856" s="519">
        <v>4.7882238823800939E-5</v>
      </c>
    </row>
    <row r="857" spans="1:12" ht="15.5" x14ac:dyDescent="0.35">
      <c r="A857" s="143" t="s">
        <v>875</v>
      </c>
      <c r="B857" s="229">
        <v>2035</v>
      </c>
      <c r="C857" s="514" t="s">
        <v>1753</v>
      </c>
      <c r="D857" s="515">
        <v>2.8200281618089441E-2</v>
      </c>
      <c r="E857" s="516">
        <v>8.2911737651877072E-3</v>
      </c>
      <c r="F857" s="145">
        <v>4.1545597192291298E-2</v>
      </c>
      <c r="G857" s="145">
        <v>9.4238123573359546E-4</v>
      </c>
      <c r="H857" s="517">
        <v>2.0000009999999999E-3</v>
      </c>
      <c r="I857" s="517">
        <v>1.5750004999999997E-2</v>
      </c>
      <c r="J857" s="148">
        <v>1.0231248564862938E-3</v>
      </c>
      <c r="K857" s="518">
        <v>4.2498994898925104E-5</v>
      </c>
      <c r="L857" s="519">
        <v>4.4420606959421306E-5</v>
      </c>
    </row>
    <row r="858" spans="1:12" ht="15.5" x14ac:dyDescent="0.35">
      <c r="A858" s="143" t="s">
        <v>875</v>
      </c>
      <c r="B858" s="229">
        <v>2036</v>
      </c>
      <c r="C858" s="514" t="s">
        <v>1754</v>
      </c>
      <c r="D858" s="515">
        <v>2.7920965608378735E-2</v>
      </c>
      <c r="E858" s="516">
        <v>7.3746946655718886E-3</v>
      </c>
      <c r="F858" s="145">
        <v>3.8291114828407101E-2</v>
      </c>
      <c r="G858" s="145">
        <v>8.8522986236186808E-4</v>
      </c>
      <c r="H858" s="517">
        <v>2.0000009999999999E-3</v>
      </c>
      <c r="I858" s="517">
        <v>1.5750005000000004E-2</v>
      </c>
      <c r="J858" s="148">
        <v>9.6118324125949817E-4</v>
      </c>
      <c r="K858" s="518">
        <v>3.7393992669376507E-5</v>
      </c>
      <c r="L858" s="519">
        <v>3.908478930818759E-5</v>
      </c>
    </row>
    <row r="859" spans="1:12" ht="15.5" x14ac:dyDescent="0.35">
      <c r="A859" s="143" t="s">
        <v>875</v>
      </c>
      <c r="B859" s="229">
        <v>2037</v>
      </c>
      <c r="C859" s="514" t="s">
        <v>1755</v>
      </c>
      <c r="D859" s="515">
        <v>2.7681755230542209E-2</v>
      </c>
      <c r="E859" s="516">
        <v>6.494858975164529E-3</v>
      </c>
      <c r="F859" s="145">
        <v>3.5174608950076638E-2</v>
      </c>
      <c r="G859" s="145">
        <v>8.3412448903348992E-4</v>
      </c>
      <c r="H859" s="517">
        <v>2.0000009999999999E-3</v>
      </c>
      <c r="I859" s="517">
        <v>1.5750005000000001E-2</v>
      </c>
      <c r="J859" s="148">
        <v>9.0570740341047111E-4</v>
      </c>
      <c r="K859" s="518">
        <v>3.4905714705659372E-5</v>
      </c>
      <c r="L859" s="519">
        <v>3.6483996924253886E-5</v>
      </c>
    </row>
    <row r="860" spans="1:12" ht="15.5" x14ac:dyDescent="0.35">
      <c r="A860" s="143" t="s">
        <v>875</v>
      </c>
      <c r="B860" s="229">
        <v>2038</v>
      </c>
      <c r="C860" s="514" t="s">
        <v>1756</v>
      </c>
      <c r="D860" s="515">
        <v>2.7478209897706902E-2</v>
      </c>
      <c r="E860" s="516">
        <v>5.7166591482991037E-3</v>
      </c>
      <c r="F860" s="145">
        <v>3.2424504402681166E-2</v>
      </c>
      <c r="G860" s="145">
        <v>7.8807240191658531E-4</v>
      </c>
      <c r="H860" s="517">
        <v>2.0000009999999999E-3</v>
      </c>
      <c r="I860" s="517">
        <v>1.5750005000000001E-2</v>
      </c>
      <c r="J860" s="148">
        <v>8.5572490963413308E-4</v>
      </c>
      <c r="K860" s="518">
        <v>3.248378721269517E-5</v>
      </c>
      <c r="L860" s="519">
        <v>3.3952555587631859E-5</v>
      </c>
    </row>
    <row r="861" spans="1:12" ht="15.5" x14ac:dyDescent="0.35">
      <c r="A861" s="143" t="s">
        <v>875</v>
      </c>
      <c r="B861" s="229">
        <v>2039</v>
      </c>
      <c r="C861" s="514" t="s">
        <v>1757</v>
      </c>
      <c r="D861" s="515">
        <v>2.7305508320404428E-2</v>
      </c>
      <c r="E861" s="516">
        <v>4.9694114666869677E-3</v>
      </c>
      <c r="F861" s="145">
        <v>2.9805798588942434E-2</v>
      </c>
      <c r="G861" s="145">
        <v>7.4532432658596021E-4</v>
      </c>
      <c r="H861" s="517">
        <v>2.0000009999999999E-3</v>
      </c>
      <c r="I861" s="517">
        <v>1.5750005000000001E-2</v>
      </c>
      <c r="J861" s="148">
        <v>8.0932132862102427E-4</v>
      </c>
      <c r="K861" s="518">
        <v>3.0367668513225245E-5</v>
      </c>
      <c r="L861" s="519">
        <v>3.1740757891846189E-5</v>
      </c>
    </row>
    <row r="862" spans="1:12" ht="15.5" x14ac:dyDescent="0.35">
      <c r="A862" s="143" t="s">
        <v>875</v>
      </c>
      <c r="B862" s="229">
        <v>2040</v>
      </c>
      <c r="C862" s="514" t="s">
        <v>1758</v>
      </c>
      <c r="D862" s="515">
        <v>2.7159689647869596E-2</v>
      </c>
      <c r="E862" s="516">
        <v>4.2984745171355913E-3</v>
      </c>
      <c r="F862" s="145">
        <v>2.7556895483942408E-2</v>
      </c>
      <c r="G862" s="145">
        <v>7.0644411761865763E-4</v>
      </c>
      <c r="H862" s="517">
        <v>2.0000009999999999E-3</v>
      </c>
      <c r="I862" s="517">
        <v>1.5750005000000001E-2</v>
      </c>
      <c r="J862" s="148">
        <v>7.6709899380695461E-4</v>
      </c>
      <c r="K862" s="518">
        <v>2.8862751897445031E-5</v>
      </c>
      <c r="L862" s="519">
        <v>3.0167798059781956E-5</v>
      </c>
    </row>
    <row r="863" spans="1:12" ht="15.5" x14ac:dyDescent="0.35">
      <c r="A863" s="143" t="s">
        <v>875</v>
      </c>
      <c r="B863" s="229">
        <v>2041</v>
      </c>
      <c r="C863" s="514" t="s">
        <v>1759</v>
      </c>
      <c r="D863" s="515">
        <v>2.7039409107480913E-2</v>
      </c>
      <c r="E863" s="516">
        <v>3.8359935972797341E-3</v>
      </c>
      <c r="F863" s="145">
        <v>2.5864055611892832E-2</v>
      </c>
      <c r="G863" s="145">
        <v>6.7980058931156736E-4</v>
      </c>
      <c r="H863" s="517">
        <v>2.0000009999999999E-3</v>
      </c>
      <c r="I863" s="517">
        <v>1.5750004999999997E-2</v>
      </c>
      <c r="J863" s="148">
        <v>7.3817763626072706E-4</v>
      </c>
      <c r="K863" s="518">
        <v>2.7555135472103929E-5</v>
      </c>
      <c r="L863" s="519">
        <v>2.8801054786416751E-5</v>
      </c>
    </row>
    <row r="864" spans="1:12" ht="15.5" x14ac:dyDescent="0.35">
      <c r="A864" s="143" t="s">
        <v>875</v>
      </c>
      <c r="B864" s="229">
        <v>2042</v>
      </c>
      <c r="C864" s="514" t="s">
        <v>1760</v>
      </c>
      <c r="D864" s="515">
        <v>2.6938035883063295E-2</v>
      </c>
      <c r="E864" s="516">
        <v>3.4146213842832199E-3</v>
      </c>
      <c r="F864" s="145">
        <v>2.4220771471541735E-2</v>
      </c>
      <c r="G864" s="145">
        <v>6.5594555283896494E-4</v>
      </c>
      <c r="H864" s="517">
        <v>2.0000009999999999E-3</v>
      </c>
      <c r="I864" s="517">
        <v>1.5750005000000001E-2</v>
      </c>
      <c r="J864" s="148">
        <v>7.1228662437730584E-4</v>
      </c>
      <c r="K864" s="518">
        <v>2.6279255602998294E-5</v>
      </c>
      <c r="L864" s="519">
        <v>2.7467490427836355E-5</v>
      </c>
    </row>
    <row r="865" spans="1:12" ht="15.5" x14ac:dyDescent="0.35">
      <c r="A865" s="143" t="s">
        <v>875</v>
      </c>
      <c r="B865" s="229">
        <v>2043</v>
      </c>
      <c r="C865" s="514" t="s">
        <v>1761</v>
      </c>
      <c r="D865" s="515">
        <v>2.6854372324006726E-2</v>
      </c>
      <c r="E865" s="516">
        <v>3.1061988855270628E-3</v>
      </c>
      <c r="F865" s="145">
        <v>2.2997327131518246E-2</v>
      </c>
      <c r="G865" s="145">
        <v>6.3526588659237112E-4</v>
      </c>
      <c r="H865" s="517">
        <v>2.0000009999999999E-3</v>
      </c>
      <c r="I865" s="517">
        <v>1.5750005000000001E-2</v>
      </c>
      <c r="J865" s="148">
        <v>6.8984703405768164E-4</v>
      </c>
      <c r="K865" s="518">
        <v>2.5073247754354821E-5</v>
      </c>
      <c r="L865" s="519">
        <v>2.6206944209056929E-5</v>
      </c>
    </row>
    <row r="866" spans="1:12" ht="15.5" x14ac:dyDescent="0.35">
      <c r="A866" s="143" t="s">
        <v>875</v>
      </c>
      <c r="B866" s="229">
        <v>2044</v>
      </c>
      <c r="C866" s="514" t="s">
        <v>1762</v>
      </c>
      <c r="D866" s="515">
        <v>2.6784143978892491E-2</v>
      </c>
      <c r="E866" s="516">
        <v>2.8690119647786388E-3</v>
      </c>
      <c r="F866" s="145">
        <v>2.2000477380251786E-2</v>
      </c>
      <c r="G866" s="145">
        <v>6.1705023518327429E-4</v>
      </c>
      <c r="H866" s="517">
        <v>2.0000009999999995E-3</v>
      </c>
      <c r="I866" s="517">
        <v>1.5750005000000001E-2</v>
      </c>
      <c r="J866" s="148">
        <v>6.7007836243146727E-4</v>
      </c>
      <c r="K866" s="518">
        <v>2.4074787409894628E-5</v>
      </c>
      <c r="L866" s="519">
        <v>2.5163345976679309E-5</v>
      </c>
    </row>
    <row r="867" spans="1:12" ht="15.5" x14ac:dyDescent="0.35">
      <c r="A867" s="143" t="s">
        <v>875</v>
      </c>
      <c r="B867" s="229">
        <v>2045</v>
      </c>
      <c r="C867" s="514" t="s">
        <v>1763</v>
      </c>
      <c r="D867" s="515">
        <v>2.6723598880290172E-2</v>
      </c>
      <c r="E867" s="516">
        <v>2.7123486300240536E-3</v>
      </c>
      <c r="F867" s="145">
        <v>2.1311999007698902E-2</v>
      </c>
      <c r="G867" s="145">
        <v>6.0131120086033584E-4</v>
      </c>
      <c r="H867" s="517">
        <v>2.0000009999999999E-3</v>
      </c>
      <c r="I867" s="517">
        <v>1.5750005000000001E-2</v>
      </c>
      <c r="J867" s="148">
        <v>6.5299177330193953E-4</v>
      </c>
      <c r="K867" s="518">
        <v>2.3342844108711857E-5</v>
      </c>
      <c r="L867" s="519">
        <v>2.4398308219519313E-5</v>
      </c>
    </row>
    <row r="868" spans="1:12" ht="15.5" x14ac:dyDescent="0.35">
      <c r="A868" s="143" t="s">
        <v>875</v>
      </c>
      <c r="B868" s="229">
        <v>2046</v>
      </c>
      <c r="C868" s="514" t="s">
        <v>1764</v>
      </c>
      <c r="D868" s="515">
        <v>2.6673107540815942E-2</v>
      </c>
      <c r="E868" s="516">
        <v>2.5836559550840689E-3</v>
      </c>
      <c r="F868" s="145">
        <v>2.0788468712533922E-2</v>
      </c>
      <c r="G868" s="145">
        <v>5.875487931440845E-4</v>
      </c>
      <c r="H868" s="517">
        <v>2.0000010000000004E-3</v>
      </c>
      <c r="I868" s="517">
        <v>1.5750005000000004E-2</v>
      </c>
      <c r="J868" s="148">
        <v>6.3806356198548714E-4</v>
      </c>
      <c r="K868" s="518">
        <v>2.2392667885631798E-5</v>
      </c>
      <c r="L868" s="519">
        <v>2.3405163996948024E-5</v>
      </c>
    </row>
    <row r="869" spans="1:12" ht="15.5" x14ac:dyDescent="0.35">
      <c r="A869" s="143" t="s">
        <v>875</v>
      </c>
      <c r="B869" s="229">
        <v>2047</v>
      </c>
      <c r="C869" s="514" t="s">
        <v>1765</v>
      </c>
      <c r="D869" s="515">
        <v>2.6629993098060894E-2</v>
      </c>
      <c r="E869" s="516">
        <v>2.461929929899298E-3</v>
      </c>
      <c r="F869" s="145">
        <v>2.0292599889897397E-2</v>
      </c>
      <c r="G869" s="145">
        <v>5.7568333881337862E-4</v>
      </c>
      <c r="H869" s="517">
        <v>2.0000009999999995E-3</v>
      </c>
      <c r="I869" s="517">
        <v>1.5750005000000001E-2</v>
      </c>
      <c r="J869" s="148">
        <v>6.2518116773759198E-4</v>
      </c>
      <c r="K869" s="518">
        <v>2.1866273947189993E-5</v>
      </c>
      <c r="L869" s="519">
        <v>2.2854972557602203E-5</v>
      </c>
    </row>
    <row r="870" spans="1:12" ht="15.5" x14ac:dyDescent="0.35">
      <c r="A870" s="143" t="s">
        <v>875</v>
      </c>
      <c r="B870" s="229">
        <v>2048</v>
      </c>
      <c r="C870" s="514" t="s">
        <v>1766</v>
      </c>
      <c r="D870" s="515">
        <v>2.659339100534178E-2</v>
      </c>
      <c r="E870" s="516">
        <v>2.3708081492864203E-3</v>
      </c>
      <c r="F870" s="145">
        <v>1.9908882443587805E-2</v>
      </c>
      <c r="G870" s="145">
        <v>5.653883256424775E-4</v>
      </c>
      <c r="H870" s="517">
        <v>2.0000009999999999E-3</v>
      </c>
      <c r="I870" s="517">
        <v>1.5750005000000001E-2</v>
      </c>
      <c r="J870" s="148">
        <v>6.1401572645188138E-4</v>
      </c>
      <c r="K870" s="518">
        <v>2.1131345012683121E-5</v>
      </c>
      <c r="L870" s="519">
        <v>2.2086818277330546E-5</v>
      </c>
    </row>
    <row r="871" spans="1:12" ht="15.5" x14ac:dyDescent="0.35">
      <c r="A871" s="143" t="s">
        <v>875</v>
      </c>
      <c r="B871" s="229">
        <v>2049</v>
      </c>
      <c r="C871" s="514" t="s">
        <v>1767</v>
      </c>
      <c r="D871" s="515">
        <v>2.6562337214832761E-2</v>
      </c>
      <c r="E871" s="516">
        <v>2.3418089741337822E-3</v>
      </c>
      <c r="F871" s="145">
        <v>1.9870099359763718E-2</v>
      </c>
      <c r="G871" s="145">
        <v>5.6006137319555773E-4</v>
      </c>
      <c r="H871" s="517">
        <v>2.0000009999999995E-3</v>
      </c>
      <c r="I871" s="517">
        <v>1.5750005000000001E-2</v>
      </c>
      <c r="J871" s="148">
        <v>6.0823565347282017E-4</v>
      </c>
      <c r="K871" s="518">
        <v>2.08314889948258E-5</v>
      </c>
      <c r="L871" s="519">
        <v>2.1773395454415751E-5</v>
      </c>
    </row>
    <row r="872" spans="1:12" ht="15.5" x14ac:dyDescent="0.35">
      <c r="A872" s="143" t="s">
        <v>875</v>
      </c>
      <c r="B872" s="229">
        <v>2050</v>
      </c>
      <c r="C872" s="514" t="s">
        <v>1768</v>
      </c>
      <c r="D872" s="515">
        <v>2.6537959271217892E-2</v>
      </c>
      <c r="E872" s="516">
        <v>2.3177632276208246E-3</v>
      </c>
      <c r="F872" s="145">
        <v>1.9841037492601053E-2</v>
      </c>
      <c r="G872" s="145">
        <v>5.5567682199528386E-4</v>
      </c>
      <c r="H872" s="517">
        <v>2.0000009999999999E-3</v>
      </c>
      <c r="I872" s="517">
        <v>1.5750004999999997E-2</v>
      </c>
      <c r="J872" s="148">
        <v>6.034790127621342E-4</v>
      </c>
      <c r="K872" s="518">
        <v>2.0538966878923546E-5</v>
      </c>
      <c r="L872" s="519">
        <v>2.1467648081193857E-5</v>
      </c>
    </row>
    <row r="873" spans="1:12" ht="15.5" x14ac:dyDescent="0.35">
      <c r="A873" s="143" t="s">
        <v>878</v>
      </c>
      <c r="B873" s="229">
        <v>2015</v>
      </c>
      <c r="C873" s="514" t="s">
        <v>879</v>
      </c>
      <c r="D873" s="515">
        <v>4.6907383240726137E-2</v>
      </c>
      <c r="E873" s="516">
        <v>7.8175696380030649E-2</v>
      </c>
      <c r="F873" s="145">
        <v>0.30377825808619219</v>
      </c>
      <c r="G873" s="145">
        <v>2.8134331855154513E-3</v>
      </c>
      <c r="H873" s="517">
        <v>2.0000009999999999E-3</v>
      </c>
      <c r="I873" s="517">
        <v>1.5750005000000004E-2</v>
      </c>
      <c r="J873" s="148">
        <v>3.0311884080166966E-3</v>
      </c>
      <c r="K873" s="518">
        <v>5.1944615295322107E-4</v>
      </c>
      <c r="L873" s="519">
        <v>5.4293320863043541E-4</v>
      </c>
    </row>
    <row r="874" spans="1:12" ht="15.5" x14ac:dyDescent="0.35">
      <c r="A874" s="143" t="s">
        <v>878</v>
      </c>
      <c r="B874" s="229">
        <v>2016</v>
      </c>
      <c r="C874" s="514" t="s">
        <v>880</v>
      </c>
      <c r="D874" s="515">
        <v>4.5978002273033065E-2</v>
      </c>
      <c r="E874" s="516">
        <v>6.4836446993893612E-2</v>
      </c>
      <c r="F874" s="145">
        <v>0.26246819021009632</v>
      </c>
      <c r="G874" s="145">
        <v>2.5213347958348079E-3</v>
      </c>
      <c r="H874" s="517">
        <v>2.0000009999999999E-3</v>
      </c>
      <c r="I874" s="517">
        <v>1.5750005000000001E-2</v>
      </c>
      <c r="J874" s="148">
        <v>2.7198880439398333E-3</v>
      </c>
      <c r="K874" s="518">
        <v>4.1903528446709517E-4</v>
      </c>
      <c r="L874" s="519">
        <v>4.3798219800199588E-4</v>
      </c>
    </row>
    <row r="875" spans="1:12" ht="15.5" x14ac:dyDescent="0.35">
      <c r="A875" s="143" t="s">
        <v>878</v>
      </c>
      <c r="B875" s="229">
        <v>2017</v>
      </c>
      <c r="C875" s="514" t="s">
        <v>1769</v>
      </c>
      <c r="D875" s="515">
        <v>4.4851546137329376E-2</v>
      </c>
      <c r="E875" s="516">
        <v>5.4021846021862503E-2</v>
      </c>
      <c r="F875" s="145">
        <v>0.22682199480971132</v>
      </c>
      <c r="G875" s="145">
        <v>2.3513095854570446E-3</v>
      </c>
      <c r="H875" s="517">
        <v>2.0000010000000004E-3</v>
      </c>
      <c r="I875" s="517">
        <v>1.5750005000000001E-2</v>
      </c>
      <c r="J875" s="148">
        <v>2.5383062454815896E-3</v>
      </c>
      <c r="K875" s="518">
        <v>3.7658093137302656E-4</v>
      </c>
      <c r="L875" s="519">
        <v>3.9360825238026831E-4</v>
      </c>
    </row>
    <row r="876" spans="1:12" ht="15.5" x14ac:dyDescent="0.35">
      <c r="A876" s="143" t="s">
        <v>878</v>
      </c>
      <c r="B876" s="229">
        <v>2018</v>
      </c>
      <c r="C876" s="514" t="s">
        <v>1770</v>
      </c>
      <c r="D876" s="515">
        <v>4.4108312978178833E-2</v>
      </c>
      <c r="E876" s="516">
        <v>4.4698591434227698E-2</v>
      </c>
      <c r="F876" s="145">
        <v>0.19523307292530942</v>
      </c>
      <c r="G876" s="145">
        <v>2.2238712021257446E-3</v>
      </c>
      <c r="H876" s="517">
        <v>2.0000009999999999E-3</v>
      </c>
      <c r="I876" s="517">
        <v>1.5750005000000001E-2</v>
      </c>
      <c r="J876" s="148">
        <v>2.4025219171337738E-3</v>
      </c>
      <c r="K876" s="518">
        <v>3.3889588929096685E-4</v>
      </c>
      <c r="L876" s="519">
        <v>3.5421925368675212E-4</v>
      </c>
    </row>
    <row r="877" spans="1:12" ht="15.5" x14ac:dyDescent="0.35">
      <c r="A877" s="143" t="s">
        <v>878</v>
      </c>
      <c r="B877" s="229">
        <v>2019</v>
      </c>
      <c r="C877" s="514" t="s">
        <v>1771</v>
      </c>
      <c r="D877" s="515">
        <v>4.2829200190777295E-2</v>
      </c>
      <c r="E877" s="516">
        <v>3.6841649978985896E-2</v>
      </c>
      <c r="F877" s="145">
        <v>0.16793392289368844</v>
      </c>
      <c r="G877" s="145">
        <v>2.1182700420745906E-3</v>
      </c>
      <c r="H877" s="517">
        <v>2.0000009999999999E-3</v>
      </c>
      <c r="I877" s="517">
        <v>1.5750005000000001E-2</v>
      </c>
      <c r="J877" s="148">
        <v>2.2901242334728783E-3</v>
      </c>
      <c r="K877" s="518">
        <v>3.0258277000206561E-4</v>
      </c>
      <c r="L877" s="519">
        <v>3.1626422692559536E-4</v>
      </c>
    </row>
    <row r="878" spans="1:12" ht="15.5" x14ac:dyDescent="0.35">
      <c r="A878" s="143" t="s">
        <v>878</v>
      </c>
      <c r="B878" s="229">
        <v>2020</v>
      </c>
      <c r="C878" s="514" t="s">
        <v>1772</v>
      </c>
      <c r="D878" s="515">
        <v>4.1522731659456594E-2</v>
      </c>
      <c r="E878" s="516">
        <v>3.1277906596277341E-2</v>
      </c>
      <c r="F878" s="145">
        <v>0.14514764823699228</v>
      </c>
      <c r="G878" s="145">
        <v>2.0097715200389451E-3</v>
      </c>
      <c r="H878" s="517">
        <v>2.0000009999999999E-3</v>
      </c>
      <c r="I878" s="517">
        <v>1.5750005000000001E-2</v>
      </c>
      <c r="J878" s="148">
        <v>2.1736926239636946E-3</v>
      </c>
      <c r="K878" s="518">
        <v>2.7201610324979004E-4</v>
      </c>
      <c r="L878" s="519">
        <v>2.8431546506696426E-4</v>
      </c>
    </row>
    <row r="879" spans="1:12" ht="15.5" x14ac:dyDescent="0.35">
      <c r="A879" s="143" t="s">
        <v>878</v>
      </c>
      <c r="B879" s="229">
        <v>2021</v>
      </c>
      <c r="C879" s="514" t="s">
        <v>1773</v>
      </c>
      <c r="D879" s="515">
        <v>4.0034775477734381E-2</v>
      </c>
      <c r="E879" s="516">
        <v>2.6693154964680495E-2</v>
      </c>
      <c r="F879" s="145">
        <v>0.12523953747219829</v>
      </c>
      <c r="G879" s="145">
        <v>1.8768970049109737E-3</v>
      </c>
      <c r="H879" s="517">
        <v>2.0000009999999999E-3</v>
      </c>
      <c r="I879" s="517">
        <v>1.5750005000000004E-2</v>
      </c>
      <c r="J879" s="148">
        <v>2.0305448617718982E-3</v>
      </c>
      <c r="K879" s="518">
        <v>2.4425014686596519E-4</v>
      </c>
      <c r="L879" s="519">
        <v>2.5529404955719102E-4</v>
      </c>
    </row>
    <row r="880" spans="1:12" ht="15.5" x14ac:dyDescent="0.35">
      <c r="A880" s="143" t="s">
        <v>878</v>
      </c>
      <c r="B880" s="229">
        <v>2022</v>
      </c>
      <c r="C880" s="514" t="s">
        <v>1774</v>
      </c>
      <c r="D880" s="515">
        <v>3.8741419983806306E-2</v>
      </c>
      <c r="E880" s="516">
        <v>2.2441000502136987E-2</v>
      </c>
      <c r="F880" s="145">
        <v>0.10797900774323184</v>
      </c>
      <c r="G880" s="145">
        <v>1.7491083234870823E-3</v>
      </c>
      <c r="H880" s="517">
        <v>2.0000010000000004E-3</v>
      </c>
      <c r="I880" s="517">
        <v>1.5750005000000001E-2</v>
      </c>
      <c r="J880" s="148">
        <v>1.8931003349706851E-3</v>
      </c>
      <c r="K880" s="518">
        <v>2.1395451672709008E-4</v>
      </c>
      <c r="L880" s="519">
        <v>2.2362859334275185E-4</v>
      </c>
    </row>
    <row r="881" spans="1:12" ht="15.5" x14ac:dyDescent="0.35">
      <c r="A881" s="143" t="s">
        <v>878</v>
      </c>
      <c r="B881" s="229">
        <v>2023</v>
      </c>
      <c r="C881" s="514" t="s">
        <v>1775</v>
      </c>
      <c r="D881" s="515">
        <v>3.7462973057600969E-2</v>
      </c>
      <c r="E881" s="516">
        <v>1.9313083793430497E-2</v>
      </c>
      <c r="F881" s="145">
        <v>9.3746544572969923E-2</v>
      </c>
      <c r="G881" s="145">
        <v>1.6383594869878997E-3</v>
      </c>
      <c r="H881" s="517">
        <v>2.0000009999999999E-3</v>
      </c>
      <c r="I881" s="517">
        <v>1.5750005000000001E-2</v>
      </c>
      <c r="J881" s="148">
        <v>1.7737215135925804E-3</v>
      </c>
      <c r="K881" s="518">
        <v>1.9022610040918383E-4</v>
      </c>
      <c r="L881" s="519">
        <v>1.9882728114725288E-4</v>
      </c>
    </row>
    <row r="882" spans="1:12" ht="15.5" x14ac:dyDescent="0.35">
      <c r="A882" s="143" t="s">
        <v>878</v>
      </c>
      <c r="B882" s="229">
        <v>2024</v>
      </c>
      <c r="C882" s="514" t="s">
        <v>1776</v>
      </c>
      <c r="D882" s="515">
        <v>3.6533460699003199E-2</v>
      </c>
      <c r="E882" s="516">
        <v>1.6624755124140689E-2</v>
      </c>
      <c r="F882" s="145">
        <v>8.1631024457519644E-2</v>
      </c>
      <c r="G882" s="145">
        <v>1.5322865361443241E-3</v>
      </c>
      <c r="H882" s="517">
        <v>2.0000009999999995E-3</v>
      </c>
      <c r="I882" s="517">
        <v>1.5750004999999997E-2</v>
      </c>
      <c r="J882" s="148">
        <v>1.6596192285463385E-3</v>
      </c>
      <c r="K882" s="518">
        <v>1.6194401884110451E-4</v>
      </c>
      <c r="L882" s="519">
        <v>1.692664092065794E-4</v>
      </c>
    </row>
    <row r="883" spans="1:12" ht="15.5" x14ac:dyDescent="0.35">
      <c r="A883" s="143" t="s">
        <v>878</v>
      </c>
      <c r="B883" s="229">
        <v>2025</v>
      </c>
      <c r="C883" s="514" t="s">
        <v>1777</v>
      </c>
      <c r="D883" s="515">
        <v>3.5292030093985315E-2</v>
      </c>
      <c r="E883" s="516">
        <v>1.451347165396861E-2</v>
      </c>
      <c r="F883" s="145">
        <v>7.1974636735830003E-2</v>
      </c>
      <c r="G883" s="145">
        <v>1.4514983016874611E-3</v>
      </c>
      <c r="H883" s="517">
        <v>2.0000009999999995E-3</v>
      </c>
      <c r="I883" s="517">
        <v>1.5750004999999997E-2</v>
      </c>
      <c r="J883" s="148">
        <v>1.572601634892147E-3</v>
      </c>
      <c r="K883" s="518">
        <v>1.4237934925813366E-4</v>
      </c>
      <c r="L883" s="519">
        <v>1.4881711561418086E-4</v>
      </c>
    </row>
    <row r="884" spans="1:12" ht="15.5" x14ac:dyDescent="0.35">
      <c r="A884" s="143" t="s">
        <v>878</v>
      </c>
      <c r="B884" s="229">
        <v>2026</v>
      </c>
      <c r="C884" s="514" t="s">
        <v>1778</v>
      </c>
      <c r="D884" s="515">
        <v>3.4666302742794211E-2</v>
      </c>
      <c r="E884" s="516">
        <v>1.2756457777768616E-2</v>
      </c>
      <c r="F884" s="145">
        <v>6.4017632664469637E-2</v>
      </c>
      <c r="G884" s="145">
        <v>1.3698884753398099E-3</v>
      </c>
      <c r="H884" s="517">
        <v>2.0000009999999995E-3</v>
      </c>
      <c r="I884" s="517">
        <v>1.5750005000000001E-2</v>
      </c>
      <c r="J884" s="148">
        <v>1.4848641002781083E-3</v>
      </c>
      <c r="K884" s="518">
        <v>1.1833600623716827E-4</v>
      </c>
      <c r="L884" s="519">
        <v>1.2368663419836512E-4</v>
      </c>
    </row>
    <row r="885" spans="1:12" ht="15.5" x14ac:dyDescent="0.35">
      <c r="A885" s="143" t="s">
        <v>878</v>
      </c>
      <c r="B885" s="229">
        <v>2027</v>
      </c>
      <c r="C885" s="514" t="s">
        <v>1779</v>
      </c>
      <c r="D885" s="515">
        <v>3.3606039941734847E-2</v>
      </c>
      <c r="E885" s="516">
        <v>1.1257835155801468E-2</v>
      </c>
      <c r="F885" s="145">
        <v>5.72346120444433E-2</v>
      </c>
      <c r="G885" s="145">
        <v>1.2854273721114777E-3</v>
      </c>
      <c r="H885" s="517">
        <v>2.0000009999999999E-3</v>
      </c>
      <c r="I885" s="517">
        <v>1.5750005000000001E-2</v>
      </c>
      <c r="J885" s="148">
        <v>1.3939577305413172E-3</v>
      </c>
      <c r="K885" s="518">
        <v>9.58630281492821E-5</v>
      </c>
      <c r="L885" s="519">
        <v>1.0019753293117867E-4</v>
      </c>
    </row>
    <row r="886" spans="1:12" ht="15.5" x14ac:dyDescent="0.35">
      <c r="A886" s="143" t="s">
        <v>878</v>
      </c>
      <c r="B886" s="229">
        <v>2028</v>
      </c>
      <c r="C886" s="514" t="s">
        <v>1780</v>
      </c>
      <c r="D886" s="515">
        <v>3.2648677255223572E-2</v>
      </c>
      <c r="E886" s="516">
        <v>1.001086770962975E-2</v>
      </c>
      <c r="F886" s="145">
        <v>5.1550371559350522E-2</v>
      </c>
      <c r="G886" s="145">
        <v>1.2021107298941841E-3</v>
      </c>
      <c r="H886" s="517">
        <v>2.0000010000000004E-3</v>
      </c>
      <c r="I886" s="517">
        <v>1.5750005000000004E-2</v>
      </c>
      <c r="J886" s="148">
        <v>1.3040545193376118E-3</v>
      </c>
      <c r="K886" s="518">
        <v>7.9067038426407341E-5</v>
      </c>
      <c r="L886" s="519">
        <v>8.2642100697005123E-5</v>
      </c>
    </row>
    <row r="887" spans="1:12" ht="15.5" x14ac:dyDescent="0.35">
      <c r="A887" s="143" t="s">
        <v>878</v>
      </c>
      <c r="B887" s="229">
        <v>2029</v>
      </c>
      <c r="C887" s="514" t="s">
        <v>1781</v>
      </c>
      <c r="D887" s="515">
        <v>3.1789104787668471E-2</v>
      </c>
      <c r="E887" s="516">
        <v>8.8863084910389169E-3</v>
      </c>
      <c r="F887" s="145">
        <v>4.6530478465487551E-2</v>
      </c>
      <c r="G887" s="145">
        <v>1.1243577101633436E-3</v>
      </c>
      <c r="H887" s="517">
        <v>2.0000010000000004E-3</v>
      </c>
      <c r="I887" s="517">
        <v>1.5750005000000001E-2</v>
      </c>
      <c r="J887" s="148">
        <v>1.2200046954963328E-3</v>
      </c>
      <c r="K887" s="518">
        <v>6.6946744550712661E-5</v>
      </c>
      <c r="L887" s="519">
        <v>6.9973776405958204E-5</v>
      </c>
    </row>
    <row r="888" spans="1:12" ht="15.5" x14ac:dyDescent="0.35">
      <c r="A888" s="143" t="s">
        <v>878</v>
      </c>
      <c r="B888" s="229">
        <v>2030</v>
      </c>
      <c r="C888" s="514" t="s">
        <v>1782</v>
      </c>
      <c r="D888" s="515">
        <v>3.1022875951312014E-2</v>
      </c>
      <c r="E888" s="516">
        <v>7.9441339589607328E-3</v>
      </c>
      <c r="F888" s="145">
        <v>4.2301169356348096E-2</v>
      </c>
      <c r="G888" s="145">
        <v>1.0509778733483004E-3</v>
      </c>
      <c r="H888" s="517">
        <v>2.0000009999999999E-3</v>
      </c>
      <c r="I888" s="517">
        <v>1.5750005000000001E-2</v>
      </c>
      <c r="J888" s="148">
        <v>1.1406523539109707E-3</v>
      </c>
      <c r="K888" s="518">
        <v>5.6218874361265807E-5</v>
      </c>
      <c r="L888" s="519">
        <v>5.8760848558988097E-5</v>
      </c>
    </row>
    <row r="889" spans="1:12" ht="15.5" x14ac:dyDescent="0.35">
      <c r="A889" s="143" t="s">
        <v>878</v>
      </c>
      <c r="B889" s="229">
        <v>2031</v>
      </c>
      <c r="C889" s="514" t="s">
        <v>1783</v>
      </c>
      <c r="D889" s="515">
        <v>3.0342335429747683E-2</v>
      </c>
      <c r="E889" s="516">
        <v>7.1018186999727362E-3</v>
      </c>
      <c r="F889" s="145">
        <v>3.8553566999907002E-2</v>
      </c>
      <c r="G889" s="145">
        <v>9.8382256495330796E-4</v>
      </c>
      <c r="H889" s="517">
        <v>2.0000009999999999E-3</v>
      </c>
      <c r="I889" s="517">
        <v>1.5750005000000001E-2</v>
      </c>
      <c r="J889" s="148">
        <v>1.0679000509486068E-3</v>
      </c>
      <c r="K889" s="518">
        <v>4.9470541529838454E-5</v>
      </c>
      <c r="L889" s="519">
        <v>5.1707374886234026E-5</v>
      </c>
    </row>
    <row r="890" spans="1:12" ht="15.5" x14ac:dyDescent="0.35">
      <c r="A890" s="143" t="s">
        <v>878</v>
      </c>
      <c r="B890" s="229">
        <v>2032</v>
      </c>
      <c r="C890" s="514" t="s">
        <v>1784</v>
      </c>
      <c r="D890" s="515">
        <v>2.9742110908960038E-2</v>
      </c>
      <c r="E890" s="516">
        <v>6.3784396922832495E-3</v>
      </c>
      <c r="F890" s="145">
        <v>3.5428608823974687E-2</v>
      </c>
      <c r="G890" s="145">
        <v>9.2191785421343682E-4</v>
      </c>
      <c r="H890" s="517">
        <v>2.0000009999999999E-3</v>
      </c>
      <c r="I890" s="517">
        <v>1.5750005000000001E-2</v>
      </c>
      <c r="J890" s="148">
        <v>1.0008169762014689E-3</v>
      </c>
      <c r="K890" s="518">
        <v>4.3730470712122055E-5</v>
      </c>
      <c r="L890" s="519">
        <v>4.5707763530738819E-5</v>
      </c>
    </row>
    <row r="891" spans="1:12" ht="15.5" x14ac:dyDescent="0.35">
      <c r="A891" s="143" t="s">
        <v>878</v>
      </c>
      <c r="B891" s="229">
        <v>2033</v>
      </c>
      <c r="C891" s="514" t="s">
        <v>1785</v>
      </c>
      <c r="D891" s="515">
        <v>2.9213724571203633E-2</v>
      </c>
      <c r="E891" s="516">
        <v>5.7546245922371862E-3</v>
      </c>
      <c r="F891" s="145">
        <v>3.2813400012610398E-2</v>
      </c>
      <c r="G891" s="145">
        <v>8.6569037828452991E-4</v>
      </c>
      <c r="H891" s="517">
        <v>2.0000009999999999E-3</v>
      </c>
      <c r="I891" s="517">
        <v>1.5750005000000001E-2</v>
      </c>
      <c r="J891" s="148">
        <v>9.3982501314404242E-4</v>
      </c>
      <c r="K891" s="518">
        <v>3.9928560291095781E-5</v>
      </c>
      <c r="L891" s="519">
        <v>4.1733954275462011E-5</v>
      </c>
    </row>
    <row r="892" spans="1:12" ht="15.5" x14ac:dyDescent="0.35">
      <c r="A892" s="143" t="s">
        <v>878</v>
      </c>
      <c r="B892" s="229">
        <v>2034</v>
      </c>
      <c r="C892" s="514" t="s">
        <v>1786</v>
      </c>
      <c r="D892" s="515">
        <v>2.875251139755319E-2</v>
      </c>
      <c r="E892" s="516">
        <v>5.1820902691463002E-3</v>
      </c>
      <c r="F892" s="145">
        <v>3.0518131789437873E-2</v>
      </c>
      <c r="G892" s="145">
        <v>8.1273007909735519E-4</v>
      </c>
      <c r="H892" s="517">
        <v>2.0000009999999995E-3</v>
      </c>
      <c r="I892" s="517">
        <v>1.5750005000000001E-2</v>
      </c>
      <c r="J892" s="148">
        <v>8.8235661833339159E-4</v>
      </c>
      <c r="K892" s="518">
        <v>3.683824744662847E-5</v>
      </c>
      <c r="L892" s="519">
        <v>3.8503907513540302E-5</v>
      </c>
    </row>
    <row r="893" spans="1:12" ht="15.5" x14ac:dyDescent="0.35">
      <c r="A893" s="143" t="s">
        <v>878</v>
      </c>
      <c r="B893" s="229">
        <v>2035</v>
      </c>
      <c r="C893" s="514" t="s">
        <v>1787</v>
      </c>
      <c r="D893" s="515">
        <v>2.8351965943550734E-2</v>
      </c>
      <c r="E893" s="516">
        <v>4.6827004115189601E-3</v>
      </c>
      <c r="F893" s="145">
        <v>2.8618344371816901E-2</v>
      </c>
      <c r="G893" s="145">
        <v>7.6393632692601642E-4</v>
      </c>
      <c r="H893" s="517">
        <v>2.0000009999999999E-3</v>
      </c>
      <c r="I893" s="517">
        <v>1.5750005000000001E-2</v>
      </c>
      <c r="J893" s="148">
        <v>8.2940590876677707E-4</v>
      </c>
      <c r="K893" s="518">
        <v>3.4089733002736645E-5</v>
      </c>
      <c r="L893" s="519">
        <v>3.5631120079636052E-5</v>
      </c>
    </row>
    <row r="894" spans="1:12" ht="15.5" x14ac:dyDescent="0.35">
      <c r="A894" s="143" t="s">
        <v>878</v>
      </c>
      <c r="B894" s="229">
        <v>2036</v>
      </c>
      <c r="C894" s="514" t="s">
        <v>1788</v>
      </c>
      <c r="D894" s="515">
        <v>2.8005551633777895E-2</v>
      </c>
      <c r="E894" s="516">
        <v>4.2341891376643081E-3</v>
      </c>
      <c r="F894" s="145">
        <v>2.6954257903189664E-2</v>
      </c>
      <c r="G894" s="145">
        <v>7.2176689781891523E-4</v>
      </c>
      <c r="H894" s="517">
        <v>2.0000010000000004E-3</v>
      </c>
      <c r="I894" s="517">
        <v>1.5750005000000001E-2</v>
      </c>
      <c r="J894" s="148">
        <v>7.836483948245916E-4</v>
      </c>
      <c r="K894" s="518">
        <v>3.1591725085400057E-5</v>
      </c>
      <c r="L894" s="519">
        <v>3.3020162372036666E-5</v>
      </c>
    </row>
    <row r="895" spans="1:12" ht="15.5" x14ac:dyDescent="0.35">
      <c r="A895" s="143" t="s">
        <v>878</v>
      </c>
      <c r="B895" s="229">
        <v>2037</v>
      </c>
      <c r="C895" s="514" t="s">
        <v>1789</v>
      </c>
      <c r="D895" s="515">
        <v>2.7709421594543409E-2</v>
      </c>
      <c r="E895" s="516">
        <v>3.8573930233412311E-3</v>
      </c>
      <c r="F895" s="145">
        <v>2.560699808998956E-2</v>
      </c>
      <c r="G895" s="145">
        <v>6.8381173059555323E-4</v>
      </c>
      <c r="H895" s="517">
        <v>2.0000010000000004E-3</v>
      </c>
      <c r="I895" s="517">
        <v>1.5750005000000001E-2</v>
      </c>
      <c r="J895" s="148">
        <v>7.4246498792884179E-4</v>
      </c>
      <c r="K895" s="518">
        <v>2.9316147530141883E-5</v>
      </c>
      <c r="L895" s="519">
        <v>3.0641695371993107E-5</v>
      </c>
    </row>
    <row r="896" spans="1:12" ht="15.5" x14ac:dyDescent="0.35">
      <c r="A896" s="143" t="s">
        <v>878</v>
      </c>
      <c r="B896" s="229">
        <v>2038</v>
      </c>
      <c r="C896" s="514" t="s">
        <v>1790</v>
      </c>
      <c r="D896" s="515">
        <v>2.7458532465005375E-2</v>
      </c>
      <c r="E896" s="516">
        <v>3.514435825242876E-3</v>
      </c>
      <c r="F896" s="145">
        <v>2.4376287136138004E-2</v>
      </c>
      <c r="G896" s="145">
        <v>6.4948178059309042E-4</v>
      </c>
      <c r="H896" s="517">
        <v>2.0000010000000004E-3</v>
      </c>
      <c r="I896" s="517">
        <v>1.5750005000000001E-2</v>
      </c>
      <c r="J896" s="148">
        <v>7.0520424274160933E-4</v>
      </c>
      <c r="K896" s="518">
        <v>2.7531745610337053E-5</v>
      </c>
      <c r="L896" s="519">
        <v>2.877661075601188E-5</v>
      </c>
    </row>
    <row r="897" spans="1:12" ht="15.5" x14ac:dyDescent="0.35">
      <c r="A897" s="143" t="s">
        <v>878</v>
      </c>
      <c r="B897" s="229">
        <v>2039</v>
      </c>
      <c r="C897" s="514" t="s">
        <v>1791</v>
      </c>
      <c r="D897" s="515">
        <v>2.7247178970761909E-2</v>
      </c>
      <c r="E897" s="516">
        <v>3.1854172470847596E-3</v>
      </c>
      <c r="F897" s="145">
        <v>2.3195261666705758E-2</v>
      </c>
      <c r="G897" s="145">
        <v>6.1820566823673161E-4</v>
      </c>
      <c r="H897" s="517">
        <v>2.0000009999999999E-3</v>
      </c>
      <c r="I897" s="517">
        <v>1.5750005000000001E-2</v>
      </c>
      <c r="J897" s="148">
        <v>6.7125346827724664E-4</v>
      </c>
      <c r="K897" s="518">
        <v>2.5995578456259856E-5</v>
      </c>
      <c r="L897" s="519">
        <v>2.717098025351482E-5</v>
      </c>
    </row>
    <row r="898" spans="1:12" ht="15.5" x14ac:dyDescent="0.35">
      <c r="A898" s="143" t="s">
        <v>878</v>
      </c>
      <c r="B898" s="229">
        <v>2040</v>
      </c>
      <c r="C898" s="514" t="s">
        <v>1792</v>
      </c>
      <c r="D898" s="515">
        <v>2.7071151885186259E-2</v>
      </c>
      <c r="E898" s="516">
        <v>2.8898736461633271E-3</v>
      </c>
      <c r="F898" s="145">
        <v>2.2214021224028664E-2</v>
      </c>
      <c r="G898" s="145">
        <v>5.9012538078753469E-4</v>
      </c>
      <c r="H898" s="517">
        <v>2.0000009999999999E-3</v>
      </c>
      <c r="I898" s="517">
        <v>1.5750005000000001E-2</v>
      </c>
      <c r="J898" s="148">
        <v>6.407692222920021E-4</v>
      </c>
      <c r="K898" s="518">
        <v>2.4677838861130804E-5</v>
      </c>
      <c r="L898" s="519">
        <v>2.5793657561933328E-5</v>
      </c>
    </row>
    <row r="899" spans="1:12" ht="15.5" x14ac:dyDescent="0.35">
      <c r="A899" s="143" t="s">
        <v>878</v>
      </c>
      <c r="B899" s="229">
        <v>2041</v>
      </c>
      <c r="C899" s="514" t="s">
        <v>1793</v>
      </c>
      <c r="D899" s="515">
        <v>2.6926878657849495E-2</v>
      </c>
      <c r="E899" s="516">
        <v>2.648818191898081E-3</v>
      </c>
      <c r="F899" s="145">
        <v>2.1389090054368395E-2</v>
      </c>
      <c r="G899" s="145">
        <v>5.6859171242036328E-4</v>
      </c>
      <c r="H899" s="517">
        <v>2.0000009999999999E-3</v>
      </c>
      <c r="I899" s="517">
        <v>1.5750004999999997E-2</v>
      </c>
      <c r="J899" s="148">
        <v>6.1739891389965768E-4</v>
      </c>
      <c r="K899" s="518">
        <v>2.3512903379803964E-5</v>
      </c>
      <c r="L899" s="519">
        <v>2.4576050282514135E-5</v>
      </c>
    </row>
    <row r="900" spans="1:12" ht="15.5" x14ac:dyDescent="0.35">
      <c r="A900" s="143" t="s">
        <v>878</v>
      </c>
      <c r="B900" s="229">
        <v>2042</v>
      </c>
      <c r="C900" s="514" t="s">
        <v>1794</v>
      </c>
      <c r="D900" s="515">
        <v>2.6807762980551039E-2</v>
      </c>
      <c r="E900" s="516">
        <v>2.4403830063944552E-3</v>
      </c>
      <c r="F900" s="145">
        <v>2.0645554442522942E-2</v>
      </c>
      <c r="G900" s="145">
        <v>5.4977917528247757E-4</v>
      </c>
      <c r="H900" s="517">
        <v>2.0000010000000004E-3</v>
      </c>
      <c r="I900" s="517">
        <v>1.5750005000000004E-2</v>
      </c>
      <c r="J900" s="148">
        <v>5.9697737097686723E-4</v>
      </c>
      <c r="K900" s="518">
        <v>2.2594501035598418E-5</v>
      </c>
      <c r="L900" s="519">
        <v>2.3616121239709358E-5</v>
      </c>
    </row>
    <row r="901" spans="1:12" ht="15.5" x14ac:dyDescent="0.35">
      <c r="A901" s="143" t="s">
        <v>878</v>
      </c>
      <c r="B901" s="229">
        <v>2043</v>
      </c>
      <c r="C901" s="514" t="s">
        <v>1795</v>
      </c>
      <c r="D901" s="515">
        <v>2.6710486790461251E-2</v>
      </c>
      <c r="E901" s="516">
        <v>2.2857780159063956E-3</v>
      </c>
      <c r="F901" s="145">
        <v>2.0091333738073286E-2</v>
      </c>
      <c r="G901" s="145">
        <v>5.3337766414910802E-4</v>
      </c>
      <c r="H901" s="517">
        <v>2.0000009999999999E-3</v>
      </c>
      <c r="I901" s="517">
        <v>1.5750005000000004E-2</v>
      </c>
      <c r="J901" s="148">
        <v>5.7917580564522005E-4</v>
      </c>
      <c r="K901" s="518">
        <v>2.173857932488597E-5</v>
      </c>
      <c r="L901" s="519">
        <v>2.2721494826831058E-5</v>
      </c>
    </row>
    <row r="902" spans="1:12" ht="15.5" x14ac:dyDescent="0.35">
      <c r="A902" s="143" t="s">
        <v>878</v>
      </c>
      <c r="B902" s="229">
        <v>2044</v>
      </c>
      <c r="C902" s="514" t="s">
        <v>1796</v>
      </c>
      <c r="D902" s="515">
        <v>2.6630395245221577E-2</v>
      </c>
      <c r="E902" s="516">
        <v>2.177338471581366E-3</v>
      </c>
      <c r="F902" s="145">
        <v>1.9686924339118905E-2</v>
      </c>
      <c r="G902" s="145">
        <v>5.1926148822225497E-4</v>
      </c>
      <c r="H902" s="517">
        <v>2.0000010000000004E-3</v>
      </c>
      <c r="I902" s="517">
        <v>1.5750005000000001E-2</v>
      </c>
      <c r="J902" s="148">
        <v>5.6385304122726207E-4</v>
      </c>
      <c r="K902" s="518">
        <v>2.1028866035256989E-5</v>
      </c>
      <c r="L902" s="519">
        <v>2.197969571098515E-5</v>
      </c>
    </row>
    <row r="903" spans="1:12" ht="15.5" x14ac:dyDescent="0.35">
      <c r="A903" s="143" t="s">
        <v>878</v>
      </c>
      <c r="B903" s="229">
        <v>2045</v>
      </c>
      <c r="C903" s="514" t="s">
        <v>1797</v>
      </c>
      <c r="D903" s="515">
        <v>2.6564644081470915E-2</v>
      </c>
      <c r="E903" s="516">
        <v>2.109183076749138E-3</v>
      </c>
      <c r="F903" s="145">
        <v>1.9429633056898776E-2</v>
      </c>
      <c r="G903" s="145">
        <v>5.0722402185388472E-4</v>
      </c>
      <c r="H903" s="517">
        <v>2.0000009999999999E-3</v>
      </c>
      <c r="I903" s="517">
        <v>1.5750005000000004E-2</v>
      </c>
      <c r="J903" s="148">
        <v>5.5078303033760851E-4</v>
      </c>
      <c r="K903" s="518">
        <v>2.0514328975942225E-5</v>
      </c>
      <c r="L903" s="519">
        <v>2.144188871665563E-5</v>
      </c>
    </row>
    <row r="904" spans="1:12" ht="15.5" x14ac:dyDescent="0.35">
      <c r="A904" s="143" t="s">
        <v>878</v>
      </c>
      <c r="B904" s="229">
        <v>2046</v>
      </c>
      <c r="C904" s="514" t="s">
        <v>1798</v>
      </c>
      <c r="D904" s="515">
        <v>2.6510302217904604E-2</v>
      </c>
      <c r="E904" s="516">
        <v>2.0497040733618516E-3</v>
      </c>
      <c r="F904" s="145">
        <v>1.9211986717146561E-2</v>
      </c>
      <c r="G904" s="145">
        <v>4.969270170246653E-4</v>
      </c>
      <c r="H904" s="517">
        <v>2.0000009999999995E-3</v>
      </c>
      <c r="I904" s="517">
        <v>1.5750005000000001E-2</v>
      </c>
      <c r="J904" s="148">
        <v>5.3960442941862236E-4</v>
      </c>
      <c r="K904" s="518">
        <v>2.0039984036229358E-5</v>
      </c>
      <c r="L904" s="519">
        <v>2.0946103528358997E-5</v>
      </c>
    </row>
    <row r="905" spans="1:12" ht="15.5" x14ac:dyDescent="0.35">
      <c r="A905" s="143" t="s">
        <v>878</v>
      </c>
      <c r="B905" s="229">
        <v>2047</v>
      </c>
      <c r="C905" s="514" t="s">
        <v>1799</v>
      </c>
      <c r="D905" s="515">
        <v>2.6466230588132932E-2</v>
      </c>
      <c r="E905" s="516">
        <v>1.9984931112068394E-3</v>
      </c>
      <c r="F905" s="145">
        <v>1.9021622125208332E-2</v>
      </c>
      <c r="G905" s="145">
        <v>4.8826112944660603E-4</v>
      </c>
      <c r="H905" s="517">
        <v>2.0000009999999999E-3</v>
      </c>
      <c r="I905" s="517">
        <v>1.5750005000000001E-2</v>
      </c>
      <c r="J905" s="148">
        <v>5.3019809223606433E-4</v>
      </c>
      <c r="K905" s="518">
        <v>1.9597903308077927E-5</v>
      </c>
      <c r="L905" s="519">
        <v>2.0484036283560096E-5</v>
      </c>
    </row>
    <row r="906" spans="1:12" ht="15.5" x14ac:dyDescent="0.35">
      <c r="A906" s="143" t="s">
        <v>878</v>
      </c>
      <c r="B906" s="229">
        <v>2048</v>
      </c>
      <c r="C906" s="514" t="s">
        <v>1800</v>
      </c>
      <c r="D906" s="515">
        <v>2.6430220272251989E-2</v>
      </c>
      <c r="E906" s="516">
        <v>1.9573321327595503E-3</v>
      </c>
      <c r="F906" s="145">
        <v>1.886580649477133E-2</v>
      </c>
      <c r="G906" s="145">
        <v>4.8099582263650797E-4</v>
      </c>
      <c r="H906" s="517">
        <v>2.0000009999999999E-3</v>
      </c>
      <c r="I906" s="517">
        <v>1.5750005000000001E-2</v>
      </c>
      <c r="J906" s="148">
        <v>5.2231219373885507E-4</v>
      </c>
      <c r="K906" s="518">
        <v>1.9215807082636801E-5</v>
      </c>
      <c r="L906" s="519">
        <v>2.0084657295076185E-5</v>
      </c>
    </row>
    <row r="907" spans="1:12" ht="15.5" x14ac:dyDescent="0.35">
      <c r="A907" s="143" t="s">
        <v>878</v>
      </c>
      <c r="B907" s="229">
        <v>2049</v>
      </c>
      <c r="C907" s="514" t="s">
        <v>1801</v>
      </c>
      <c r="D907" s="515">
        <v>2.6400646196154533E-2</v>
      </c>
      <c r="E907" s="516">
        <v>1.9412576049675783E-3</v>
      </c>
      <c r="F907" s="145">
        <v>1.8867360367919923E-2</v>
      </c>
      <c r="G907" s="145">
        <v>4.7629304552768088E-4</v>
      </c>
      <c r="H907" s="517">
        <v>2.0000009999999999E-3</v>
      </c>
      <c r="I907" s="517">
        <v>1.5750005000000004E-2</v>
      </c>
      <c r="J907" s="148">
        <v>5.1721085333579801E-4</v>
      </c>
      <c r="K907" s="518">
        <v>1.8917034432153816E-5</v>
      </c>
      <c r="L907" s="519">
        <v>1.97723792384737E-5</v>
      </c>
    </row>
    <row r="908" spans="1:12" ht="15.5" x14ac:dyDescent="0.35">
      <c r="A908" s="143" t="s">
        <v>878</v>
      </c>
      <c r="B908" s="229">
        <v>2050</v>
      </c>
      <c r="C908" s="514" t="s">
        <v>1802</v>
      </c>
      <c r="D908" s="515">
        <v>2.6376469297381713E-2</v>
      </c>
      <c r="E908" s="516">
        <v>1.9276643382948127E-3</v>
      </c>
      <c r="F908" s="145">
        <v>1.8863181567916304E-2</v>
      </c>
      <c r="G908" s="145">
        <v>4.7220883043002266E-4</v>
      </c>
      <c r="H908" s="517">
        <v>2.0000009999999995E-3</v>
      </c>
      <c r="I908" s="517">
        <v>1.5750004999999997E-2</v>
      </c>
      <c r="J908" s="148">
        <v>5.1278854887005761E-4</v>
      </c>
      <c r="K908" s="518">
        <v>1.8438762486765206E-5</v>
      </c>
      <c r="L908" s="519">
        <v>1.9272486841618886E-5</v>
      </c>
    </row>
    <row r="909" spans="1:12" ht="15.5" x14ac:dyDescent="0.35">
      <c r="A909" s="143" t="s">
        <v>881</v>
      </c>
      <c r="B909" s="229">
        <v>2015</v>
      </c>
      <c r="C909" s="514" t="s">
        <v>882</v>
      </c>
      <c r="D909" s="515">
        <v>4.2885950814131379E-2</v>
      </c>
      <c r="E909" s="516">
        <v>6.6925780464840184E-2</v>
      </c>
      <c r="F909" s="145">
        <v>0.25719914046861758</v>
      </c>
      <c r="G909" s="145">
        <v>2.1680073072473712E-3</v>
      </c>
      <c r="H909" s="517">
        <v>2.0000009999999995E-3</v>
      </c>
      <c r="I909" s="517">
        <v>1.5750005000000001E-2</v>
      </c>
      <c r="J909" s="148">
        <v>2.3473374181405878E-3</v>
      </c>
      <c r="K909" s="518">
        <v>1.4754471199989068E-4</v>
      </c>
      <c r="L909" s="519">
        <v>1.5421602779063605E-4</v>
      </c>
    </row>
    <row r="910" spans="1:12" ht="15.5" x14ac:dyDescent="0.35">
      <c r="A910" s="143" t="s">
        <v>881</v>
      </c>
      <c r="B910" s="229">
        <v>2016</v>
      </c>
      <c r="C910" s="514" t="s">
        <v>883</v>
      </c>
      <c r="D910" s="515">
        <v>4.2112033985681974E-2</v>
      </c>
      <c r="E910" s="516">
        <v>5.5908414269320077E-2</v>
      </c>
      <c r="F910" s="145">
        <v>0.21933347335287684</v>
      </c>
      <c r="G910" s="145">
        <v>1.9925522754333483E-3</v>
      </c>
      <c r="H910" s="517">
        <v>2.0000009999999999E-3</v>
      </c>
      <c r="I910" s="517">
        <v>1.5750005000000001E-2</v>
      </c>
      <c r="J910" s="148">
        <v>2.1586684226566036E-3</v>
      </c>
      <c r="K910" s="518">
        <v>1.2587325783013992E-4</v>
      </c>
      <c r="L910" s="519">
        <v>1.3156469279926414E-4</v>
      </c>
    </row>
    <row r="911" spans="1:12" ht="15.5" x14ac:dyDescent="0.35">
      <c r="A911" s="143" t="s">
        <v>881</v>
      </c>
      <c r="B911" s="229">
        <v>2017</v>
      </c>
      <c r="C911" s="514" t="s">
        <v>1803</v>
      </c>
      <c r="D911" s="515">
        <v>4.1153696451531954E-2</v>
      </c>
      <c r="E911" s="516">
        <v>4.6656333791988518E-2</v>
      </c>
      <c r="F911" s="145">
        <v>0.18752208526694597</v>
      </c>
      <c r="G911" s="145">
        <v>1.8827867474970406E-3</v>
      </c>
      <c r="H911" s="517">
        <v>2.0000009999999999E-3</v>
      </c>
      <c r="I911" s="517">
        <v>1.5750005000000001E-2</v>
      </c>
      <c r="J911" s="148">
        <v>2.0408329409703522E-3</v>
      </c>
      <c r="K911" s="518">
        <v>1.134950781027074E-4</v>
      </c>
      <c r="L911" s="519">
        <v>1.1862682100718078E-4</v>
      </c>
    </row>
    <row r="912" spans="1:12" ht="15.5" x14ac:dyDescent="0.35">
      <c r="A912" s="143" t="s">
        <v>881</v>
      </c>
      <c r="B912" s="229">
        <v>2018</v>
      </c>
      <c r="C912" s="514" t="s">
        <v>1804</v>
      </c>
      <c r="D912" s="515">
        <v>4.0164083501263242E-2</v>
      </c>
      <c r="E912" s="516">
        <v>3.9522230830600552E-2</v>
      </c>
      <c r="F912" s="145">
        <v>0.16041971199138627</v>
      </c>
      <c r="G912" s="145">
        <v>1.8442001114791725E-3</v>
      </c>
      <c r="H912" s="517">
        <v>2.0000009999999995E-3</v>
      </c>
      <c r="I912" s="517">
        <v>1.5750004999999997E-2</v>
      </c>
      <c r="J912" s="148">
        <v>1.9999411734560853E-3</v>
      </c>
      <c r="K912" s="518">
        <v>1.0484374911197601E-4</v>
      </c>
      <c r="L912" s="519">
        <v>1.0958432014184325E-4</v>
      </c>
    </row>
    <row r="913" spans="1:12" ht="15.5" x14ac:dyDescent="0.35">
      <c r="A913" s="143" t="s">
        <v>881</v>
      </c>
      <c r="B913" s="229">
        <v>2019</v>
      </c>
      <c r="C913" s="514" t="s">
        <v>1805</v>
      </c>
      <c r="D913" s="515">
        <v>3.9136242830724782E-2</v>
      </c>
      <c r="E913" s="516">
        <v>3.2692796321677146E-2</v>
      </c>
      <c r="F913" s="145">
        <v>0.1364174067907894</v>
      </c>
      <c r="G913" s="145">
        <v>1.7944141360906665E-3</v>
      </c>
      <c r="H913" s="517">
        <v>2.0000009999999995E-3</v>
      </c>
      <c r="I913" s="517">
        <v>1.5750005000000001E-2</v>
      </c>
      <c r="J913" s="148">
        <v>1.946747840806068E-3</v>
      </c>
      <c r="K913" s="518">
        <v>9.636425634603438E-5</v>
      </c>
      <c r="L913" s="519">
        <v>1.0072142177110074E-4</v>
      </c>
    </row>
    <row r="914" spans="1:12" ht="15.5" x14ac:dyDescent="0.35">
      <c r="A914" s="143" t="s">
        <v>881</v>
      </c>
      <c r="B914" s="229">
        <v>2020</v>
      </c>
      <c r="C914" s="514" t="s">
        <v>1806</v>
      </c>
      <c r="D914" s="515">
        <v>3.808475231893791E-2</v>
      </c>
      <c r="E914" s="516">
        <v>2.7357201148935285E-2</v>
      </c>
      <c r="F914" s="145">
        <v>0.11621634298535519</v>
      </c>
      <c r="G914" s="145">
        <v>1.7321408775516287E-3</v>
      </c>
      <c r="H914" s="517">
        <v>2.0000010000000004E-3</v>
      </c>
      <c r="I914" s="517">
        <v>1.5750005000000004E-2</v>
      </c>
      <c r="J914" s="148">
        <v>1.8795896701680112E-3</v>
      </c>
      <c r="K914" s="518">
        <v>8.9139679186484602E-5</v>
      </c>
      <c r="L914" s="519">
        <v>9.3170184937699531E-5</v>
      </c>
    </row>
    <row r="915" spans="1:12" ht="15.5" x14ac:dyDescent="0.35">
      <c r="A915" s="143" t="s">
        <v>881</v>
      </c>
      <c r="B915" s="229">
        <v>2021</v>
      </c>
      <c r="C915" s="514" t="s">
        <v>1807</v>
      </c>
      <c r="D915" s="515">
        <v>3.7015085545012573E-2</v>
      </c>
      <c r="E915" s="516">
        <v>2.3490345799845179E-2</v>
      </c>
      <c r="F915" s="145">
        <v>9.9387475555458113E-2</v>
      </c>
      <c r="G915" s="145">
        <v>1.67300298055767E-3</v>
      </c>
      <c r="H915" s="517">
        <v>2.0000009999999999E-3</v>
      </c>
      <c r="I915" s="517">
        <v>1.5750005000000001E-2</v>
      </c>
      <c r="J915" s="148">
        <v>1.8156839727799237E-3</v>
      </c>
      <c r="K915" s="518">
        <v>8.2639884233968007E-5</v>
      </c>
      <c r="L915" s="519">
        <v>8.6376492757669671E-5</v>
      </c>
    </row>
    <row r="916" spans="1:12" ht="15.5" x14ac:dyDescent="0.35">
      <c r="A916" s="143" t="s">
        <v>881</v>
      </c>
      <c r="B916" s="229">
        <v>2022</v>
      </c>
      <c r="C916" s="514" t="s">
        <v>1808</v>
      </c>
      <c r="D916" s="515">
        <v>3.5958824233361705E-2</v>
      </c>
      <c r="E916" s="516">
        <v>1.9320911661474892E-2</v>
      </c>
      <c r="F916" s="145">
        <v>8.437533499106295E-2</v>
      </c>
      <c r="G916" s="145">
        <v>1.5849354736031495E-3</v>
      </c>
      <c r="H916" s="517">
        <v>2.0000009999999999E-3</v>
      </c>
      <c r="I916" s="517">
        <v>1.5750005000000001E-2</v>
      </c>
      <c r="J916" s="148">
        <v>1.7204710801937294E-3</v>
      </c>
      <c r="K916" s="518">
        <v>7.5590659907135772E-5</v>
      </c>
      <c r="L916" s="519">
        <v>7.90085339475105E-5</v>
      </c>
    </row>
    <row r="917" spans="1:12" ht="15.5" x14ac:dyDescent="0.35">
      <c r="A917" s="143" t="s">
        <v>881</v>
      </c>
      <c r="B917" s="229">
        <v>2023</v>
      </c>
      <c r="C917" s="514" t="s">
        <v>1809</v>
      </c>
      <c r="D917" s="515">
        <v>3.4905000167155434E-2</v>
      </c>
      <c r="E917" s="516">
        <v>1.6461523888943359E-2</v>
      </c>
      <c r="F917" s="145">
        <v>7.2506781694176903E-2</v>
      </c>
      <c r="G917" s="145">
        <v>1.5052032735793244E-3</v>
      </c>
      <c r="H917" s="517">
        <v>2.0000009999999999E-3</v>
      </c>
      <c r="I917" s="517">
        <v>1.5750005000000001E-2</v>
      </c>
      <c r="J917" s="148">
        <v>1.6340761621561472E-3</v>
      </c>
      <c r="K917" s="518">
        <v>6.886988437337467E-5</v>
      </c>
      <c r="L917" s="519">
        <v>7.198387395245792E-5</v>
      </c>
    </row>
    <row r="918" spans="1:12" ht="15.5" x14ac:dyDescent="0.35">
      <c r="A918" s="143" t="s">
        <v>881</v>
      </c>
      <c r="B918" s="229">
        <v>2024</v>
      </c>
      <c r="C918" s="514" t="s">
        <v>1810</v>
      </c>
      <c r="D918" s="515">
        <v>3.3859308862104941E-2</v>
      </c>
      <c r="E918" s="516">
        <v>1.4236327848427715E-2</v>
      </c>
      <c r="F918" s="145">
        <v>6.2773478421838308E-2</v>
      </c>
      <c r="G918" s="145">
        <v>1.4503375551570233E-3</v>
      </c>
      <c r="H918" s="517">
        <v>2.0000009999999995E-3</v>
      </c>
      <c r="I918" s="517">
        <v>1.5750004999999997E-2</v>
      </c>
      <c r="J918" s="148">
        <v>1.5747326089334656E-3</v>
      </c>
      <c r="K918" s="518">
        <v>6.1892241915925127E-5</v>
      </c>
      <c r="L918" s="519">
        <v>6.4690738547887932E-5</v>
      </c>
    </row>
    <row r="919" spans="1:12" ht="15.5" x14ac:dyDescent="0.35">
      <c r="A919" s="143" t="s">
        <v>881</v>
      </c>
      <c r="B919" s="229">
        <v>2025</v>
      </c>
      <c r="C919" s="514" t="s">
        <v>1811</v>
      </c>
      <c r="D919" s="515">
        <v>3.2820173323440616E-2</v>
      </c>
      <c r="E919" s="516">
        <v>1.2245380865302836E-2</v>
      </c>
      <c r="F919" s="145">
        <v>5.4742342282103035E-2</v>
      </c>
      <c r="G919" s="145">
        <v>1.3889635863428358E-3</v>
      </c>
      <c r="H919" s="517">
        <v>2.0000010000000004E-3</v>
      </c>
      <c r="I919" s="517">
        <v>1.5750004999999997E-2</v>
      </c>
      <c r="J919" s="148">
        <v>1.5082269266941926E-3</v>
      </c>
      <c r="K919" s="518">
        <v>5.6565143678683579E-5</v>
      </c>
      <c r="L919" s="519">
        <v>5.9122765721904382E-5</v>
      </c>
    </row>
    <row r="920" spans="1:12" ht="15.5" x14ac:dyDescent="0.35">
      <c r="A920" s="143" t="s">
        <v>881</v>
      </c>
      <c r="B920" s="229">
        <v>2026</v>
      </c>
      <c r="C920" s="514" t="s">
        <v>1812</v>
      </c>
      <c r="D920" s="515">
        <v>3.1876406981784643E-2</v>
      </c>
      <c r="E920" s="516">
        <v>1.089537785527892E-2</v>
      </c>
      <c r="F920" s="145">
        <v>4.8555905816885354E-2</v>
      </c>
      <c r="G920" s="145">
        <v>1.3577040324380481E-3</v>
      </c>
      <c r="H920" s="517">
        <v>2.0000009999999999E-3</v>
      </c>
      <c r="I920" s="517">
        <v>1.5750005000000001E-2</v>
      </c>
      <c r="J920" s="148">
        <v>1.4744303165525141E-3</v>
      </c>
      <c r="K920" s="518">
        <v>5.1818543024337367E-5</v>
      </c>
      <c r="L920" s="519">
        <v>5.4161548794169266E-5</v>
      </c>
    </row>
    <row r="921" spans="1:12" ht="15.5" x14ac:dyDescent="0.35">
      <c r="A921" s="143" t="s">
        <v>881</v>
      </c>
      <c r="B921" s="229">
        <v>2027</v>
      </c>
      <c r="C921" s="514" t="s">
        <v>1813</v>
      </c>
      <c r="D921" s="515">
        <v>3.101512168807289E-2</v>
      </c>
      <c r="E921" s="516">
        <v>9.5522039749290494E-3</v>
      </c>
      <c r="F921" s="145">
        <v>4.3295260602311085E-2</v>
      </c>
      <c r="G921" s="145">
        <v>1.2902343591489076E-3</v>
      </c>
      <c r="H921" s="517">
        <v>2.0000009999999999E-3</v>
      </c>
      <c r="I921" s="517">
        <v>1.5750005000000004E-2</v>
      </c>
      <c r="J921" s="148">
        <v>1.4013381804243007E-3</v>
      </c>
      <c r="K921" s="518">
        <v>4.5068607680353414E-5</v>
      </c>
      <c r="L921" s="519">
        <v>4.7106407779157852E-5</v>
      </c>
    </row>
    <row r="922" spans="1:12" ht="15.5" x14ac:dyDescent="0.35">
      <c r="A922" s="143" t="s">
        <v>881</v>
      </c>
      <c r="B922" s="229">
        <v>2028</v>
      </c>
      <c r="C922" s="514" t="s">
        <v>1814</v>
      </c>
      <c r="D922" s="515">
        <v>3.0238988438007559E-2</v>
      </c>
      <c r="E922" s="516">
        <v>8.4336568796685857E-3</v>
      </c>
      <c r="F922" s="145">
        <v>3.8972227876336994E-2</v>
      </c>
      <c r="G922" s="145">
        <v>1.216030276207578E-3</v>
      </c>
      <c r="H922" s="517">
        <v>2.0000010000000004E-3</v>
      </c>
      <c r="I922" s="517">
        <v>1.5750005000000001E-2</v>
      </c>
      <c r="J922" s="148">
        <v>1.320921205607507E-3</v>
      </c>
      <c r="K922" s="518">
        <v>3.8301198084849845E-5</v>
      </c>
      <c r="L922" s="519">
        <v>4.0033010706597299E-5</v>
      </c>
    </row>
    <row r="923" spans="1:12" ht="15.5" x14ac:dyDescent="0.35">
      <c r="A923" s="143" t="s">
        <v>881</v>
      </c>
      <c r="B923" s="229">
        <v>2029</v>
      </c>
      <c r="C923" s="514" t="s">
        <v>1815</v>
      </c>
      <c r="D923" s="515">
        <v>2.9540776350186055E-2</v>
      </c>
      <c r="E923" s="516">
        <v>7.4730315300952687E-3</v>
      </c>
      <c r="F923" s="145">
        <v>3.5359251017197987E-2</v>
      </c>
      <c r="G923" s="145">
        <v>1.1452076045394865E-3</v>
      </c>
      <c r="H923" s="517">
        <v>2.0000009999999999E-3</v>
      </c>
      <c r="I923" s="517">
        <v>1.5750005000000001E-2</v>
      </c>
      <c r="J923" s="148">
        <v>1.2440621056340644E-3</v>
      </c>
      <c r="K923" s="518">
        <v>3.4339765024444074E-5</v>
      </c>
      <c r="L923" s="519">
        <v>3.5892461069115499E-5</v>
      </c>
    </row>
    <row r="924" spans="1:12" ht="15.5" x14ac:dyDescent="0.35">
      <c r="A924" s="143" t="s">
        <v>881</v>
      </c>
      <c r="B924" s="229">
        <v>2030</v>
      </c>
      <c r="C924" s="514" t="s">
        <v>1816</v>
      </c>
      <c r="D924" s="515">
        <v>2.8916663634137578E-2</v>
      </c>
      <c r="E924" s="516">
        <v>6.6871790880489749E-3</v>
      </c>
      <c r="F924" s="145">
        <v>3.2434919655593961E-2</v>
      </c>
      <c r="G924" s="145">
        <v>1.0778552816562905E-3</v>
      </c>
      <c r="H924" s="517">
        <v>2.0000010000000004E-3</v>
      </c>
      <c r="I924" s="517">
        <v>1.5750005000000001E-2</v>
      </c>
      <c r="J924" s="148">
        <v>1.1709383124859207E-3</v>
      </c>
      <c r="K924" s="518">
        <v>3.1342026712186803E-5</v>
      </c>
      <c r="L924" s="519">
        <v>3.2759181088712408E-5</v>
      </c>
    </row>
    <row r="925" spans="1:12" ht="15.5" x14ac:dyDescent="0.35">
      <c r="A925" s="143" t="s">
        <v>881</v>
      </c>
      <c r="B925" s="229">
        <v>2031</v>
      </c>
      <c r="C925" s="514" t="s">
        <v>1817</v>
      </c>
      <c r="D925" s="515">
        <v>2.8360590304406838E-2</v>
      </c>
      <c r="E925" s="516">
        <v>6.009463275401911E-3</v>
      </c>
      <c r="F925" s="145">
        <v>2.9976979320171352E-2</v>
      </c>
      <c r="G925" s="145">
        <v>1.0140266241620926E-3</v>
      </c>
      <c r="H925" s="517">
        <v>2.0000009999999999E-3</v>
      </c>
      <c r="I925" s="517">
        <v>1.5750005000000001E-2</v>
      </c>
      <c r="J925" s="148">
        <v>1.1016064200020112E-3</v>
      </c>
      <c r="K925" s="518">
        <v>2.9255358956701555E-5</v>
      </c>
      <c r="L925" s="519">
        <v>3.0578158813995345E-5</v>
      </c>
    </row>
    <row r="926" spans="1:12" ht="15.5" x14ac:dyDescent="0.35">
      <c r="A926" s="143" t="s">
        <v>881</v>
      </c>
      <c r="B926" s="229">
        <v>2032</v>
      </c>
      <c r="C926" s="514" t="s">
        <v>1818</v>
      </c>
      <c r="D926" s="515">
        <v>2.7868722159489798E-2</v>
      </c>
      <c r="E926" s="516">
        <v>5.4347090051708145E-3</v>
      </c>
      <c r="F926" s="145">
        <v>2.7978987771729809E-2</v>
      </c>
      <c r="G926" s="145">
        <v>9.5402285963619589E-4</v>
      </c>
      <c r="H926" s="517">
        <v>2.0000009999999995E-3</v>
      </c>
      <c r="I926" s="517">
        <v>1.5750004999999997E-2</v>
      </c>
      <c r="J926" s="148">
        <v>1.0364281562382763E-3</v>
      </c>
      <c r="K926" s="518">
        <v>2.7341264720082451E-5</v>
      </c>
      <c r="L926" s="519">
        <v>2.8577519324168624E-5</v>
      </c>
    </row>
    <row r="927" spans="1:12" ht="15.5" x14ac:dyDescent="0.35">
      <c r="A927" s="143" t="s">
        <v>881</v>
      </c>
      <c r="B927" s="229">
        <v>2033</v>
      </c>
      <c r="C927" s="514" t="s">
        <v>1819</v>
      </c>
      <c r="D927" s="515">
        <v>2.7436823483478812E-2</v>
      </c>
      <c r="E927" s="516">
        <v>4.9373440544089988E-3</v>
      </c>
      <c r="F927" s="145">
        <v>2.631625631024033E-2</v>
      </c>
      <c r="G927" s="145">
        <v>8.9787378565580277E-4</v>
      </c>
      <c r="H927" s="517">
        <v>2.0000009999999999E-3</v>
      </c>
      <c r="I927" s="517">
        <v>1.5750005000000004E-2</v>
      </c>
      <c r="J927" s="148">
        <v>9.754245600745163E-4</v>
      </c>
      <c r="K927" s="518">
        <v>2.5835277837545291E-5</v>
      </c>
      <c r="L927" s="519">
        <v>2.7003433142079521E-5</v>
      </c>
    </row>
    <row r="928" spans="1:12" ht="15.5" x14ac:dyDescent="0.35">
      <c r="A928" s="143" t="s">
        <v>881</v>
      </c>
      <c r="B928" s="229">
        <v>2034</v>
      </c>
      <c r="C928" s="514" t="s">
        <v>1820</v>
      </c>
      <c r="D928" s="515">
        <v>2.7058986220835687E-2</v>
      </c>
      <c r="E928" s="516">
        <v>4.5023444708903798E-3</v>
      </c>
      <c r="F928" s="145">
        <v>2.4934151745677584E-2</v>
      </c>
      <c r="G928" s="145">
        <v>8.4537184733735928E-4</v>
      </c>
      <c r="H928" s="517">
        <v>2.0000009999999999E-3</v>
      </c>
      <c r="I928" s="517">
        <v>1.5750005000000001E-2</v>
      </c>
      <c r="J928" s="148">
        <v>9.1838231887505801E-4</v>
      </c>
      <c r="K928" s="518">
        <v>2.4455178924317872E-5</v>
      </c>
      <c r="L928" s="519">
        <v>2.5560938459389795E-5</v>
      </c>
    </row>
    <row r="929" spans="1:12" ht="15.5" x14ac:dyDescent="0.35">
      <c r="A929" s="143" t="s">
        <v>881</v>
      </c>
      <c r="B929" s="229">
        <v>2035</v>
      </c>
      <c r="C929" s="514" t="s">
        <v>1821</v>
      </c>
      <c r="D929" s="515">
        <v>2.6731356090452976E-2</v>
      </c>
      <c r="E929" s="516">
        <v>4.1192019659845782E-3</v>
      </c>
      <c r="F929" s="145">
        <v>2.3780707034079855E-2</v>
      </c>
      <c r="G929" s="145">
        <v>7.9653650760592022E-4</v>
      </c>
      <c r="H929" s="517">
        <v>2.0000009999999999E-3</v>
      </c>
      <c r="I929" s="517">
        <v>1.5750005000000001E-2</v>
      </c>
      <c r="J929" s="148">
        <v>8.6532217251435856E-4</v>
      </c>
      <c r="K929" s="518">
        <v>2.3219474501502007E-5</v>
      </c>
      <c r="L929" s="519">
        <v>2.4269356154933803E-5</v>
      </c>
    </row>
    <row r="930" spans="1:12" ht="15.5" x14ac:dyDescent="0.35">
      <c r="A930" s="143" t="s">
        <v>881</v>
      </c>
      <c r="B930" s="229">
        <v>2036</v>
      </c>
      <c r="C930" s="514" t="s">
        <v>1822</v>
      </c>
      <c r="D930" s="515">
        <v>2.6449387475995234E-2</v>
      </c>
      <c r="E930" s="516">
        <v>3.787698517494476E-3</v>
      </c>
      <c r="F930" s="145">
        <v>2.2828091930507159E-2</v>
      </c>
      <c r="G930" s="145">
        <v>7.5320467825932646E-4</v>
      </c>
      <c r="H930" s="517">
        <v>2.0000009999999999E-3</v>
      </c>
      <c r="I930" s="517">
        <v>1.5750005000000004E-2</v>
      </c>
      <c r="J930" s="148">
        <v>8.1824281765047917E-4</v>
      </c>
      <c r="K930" s="518">
        <v>2.2091762943910118E-5</v>
      </c>
      <c r="L930" s="519">
        <v>2.3090658380298353E-5</v>
      </c>
    </row>
    <row r="931" spans="1:12" ht="15.5" x14ac:dyDescent="0.35">
      <c r="A931" s="143" t="s">
        <v>881</v>
      </c>
      <c r="B931" s="229">
        <v>2037</v>
      </c>
      <c r="C931" s="514" t="s">
        <v>1823</v>
      </c>
      <c r="D931" s="515">
        <v>2.6210237681235867E-2</v>
      </c>
      <c r="E931" s="516">
        <v>3.5014984586622363E-3</v>
      </c>
      <c r="F931" s="145">
        <v>2.2045519462471953E-2</v>
      </c>
      <c r="G931" s="145">
        <v>7.1396364065280671E-4</v>
      </c>
      <c r="H931" s="517">
        <v>2.0000009999999995E-3</v>
      </c>
      <c r="I931" s="517">
        <v>1.5750005000000001E-2</v>
      </c>
      <c r="J931" s="148">
        <v>7.7561112016168968E-4</v>
      </c>
      <c r="K931" s="518">
        <v>2.0977941424832139E-5</v>
      </c>
      <c r="L931" s="519">
        <v>2.1926475070471229E-5</v>
      </c>
    </row>
    <row r="932" spans="1:12" ht="15.5" x14ac:dyDescent="0.35">
      <c r="A932" s="143" t="s">
        <v>881</v>
      </c>
      <c r="B932" s="229">
        <v>2038</v>
      </c>
      <c r="C932" s="514" t="s">
        <v>1824</v>
      </c>
      <c r="D932" s="515">
        <v>2.600884790165011E-2</v>
      </c>
      <c r="E932" s="516">
        <v>3.242909726716117E-3</v>
      </c>
      <c r="F932" s="145">
        <v>2.1350436049041119E-2</v>
      </c>
      <c r="G932" s="145">
        <v>6.7879441979190245E-4</v>
      </c>
      <c r="H932" s="517">
        <v>2.0000009999999999E-3</v>
      </c>
      <c r="I932" s="517">
        <v>1.5750005000000001E-2</v>
      </c>
      <c r="J932" s="148">
        <v>7.3739882816643214E-4</v>
      </c>
      <c r="K932" s="518">
        <v>2.0104223133353268E-5</v>
      </c>
      <c r="L932" s="519">
        <v>2.1013245356830651E-5</v>
      </c>
    </row>
    <row r="933" spans="1:12" ht="15.5" x14ac:dyDescent="0.35">
      <c r="A933" s="143" t="s">
        <v>881</v>
      </c>
      <c r="B933" s="229">
        <v>2039</v>
      </c>
      <c r="C933" s="514" t="s">
        <v>1825</v>
      </c>
      <c r="D933" s="515">
        <v>2.5839856580009337E-2</v>
      </c>
      <c r="E933" s="516">
        <v>2.9945067592096692E-3</v>
      </c>
      <c r="F933" s="145">
        <v>2.0687120741722333E-2</v>
      </c>
      <c r="G933" s="145">
        <v>6.4724525835798731E-4</v>
      </c>
      <c r="H933" s="517">
        <v>2.0000009999999999E-3</v>
      </c>
      <c r="I933" s="517">
        <v>1.5750005000000004E-2</v>
      </c>
      <c r="J933" s="148">
        <v>7.0311849639377339E-4</v>
      </c>
      <c r="K933" s="518">
        <v>1.9337795174405076E-5</v>
      </c>
      <c r="L933" s="519">
        <v>2.0212166034390605E-5</v>
      </c>
    </row>
    <row r="934" spans="1:12" ht="15.5" x14ac:dyDescent="0.35">
      <c r="A934" s="143" t="s">
        <v>881</v>
      </c>
      <c r="B934" s="229">
        <v>2040</v>
      </c>
      <c r="C934" s="514" t="s">
        <v>1826</v>
      </c>
      <c r="D934" s="515">
        <v>2.5698763942162101E-2</v>
      </c>
      <c r="E934" s="516">
        <v>2.7840078916955596E-3</v>
      </c>
      <c r="F934" s="145">
        <v>2.015967342891449E-2</v>
      </c>
      <c r="G934" s="145">
        <v>6.1966850920799009E-4</v>
      </c>
      <c r="H934" s="517">
        <v>2.0000009999999999E-3</v>
      </c>
      <c r="I934" s="517">
        <v>1.5750004999999997E-2</v>
      </c>
      <c r="J934" s="148">
        <v>6.7315497383040079E-4</v>
      </c>
      <c r="K934" s="518">
        <v>1.8676711358185965E-5</v>
      </c>
      <c r="L934" s="519">
        <v>1.9521192377308041E-5</v>
      </c>
    </row>
    <row r="935" spans="1:12" ht="15.5" x14ac:dyDescent="0.35">
      <c r="A935" s="143" t="s">
        <v>881</v>
      </c>
      <c r="B935" s="229">
        <v>2041</v>
      </c>
      <c r="C935" s="514" t="s">
        <v>1827</v>
      </c>
      <c r="D935" s="515">
        <v>2.5583086494165189E-2</v>
      </c>
      <c r="E935" s="516">
        <v>2.6299781875130587E-3</v>
      </c>
      <c r="F935" s="145">
        <v>1.9769110838330724E-2</v>
      </c>
      <c r="G935" s="145">
        <v>5.9763812518121517E-4</v>
      </c>
      <c r="H935" s="517">
        <v>2.0000009999999999E-3</v>
      </c>
      <c r="I935" s="517">
        <v>1.5750005000000001E-2</v>
      </c>
      <c r="J935" s="148">
        <v>6.4921819201119646E-4</v>
      </c>
      <c r="K935" s="518">
        <v>1.812455683511565E-5</v>
      </c>
      <c r="L935" s="519">
        <v>1.8944064259806525E-5</v>
      </c>
    </row>
    <row r="936" spans="1:12" ht="15.5" x14ac:dyDescent="0.35">
      <c r="A936" s="143" t="s">
        <v>881</v>
      </c>
      <c r="B936" s="229">
        <v>2042</v>
      </c>
      <c r="C936" s="514" t="s">
        <v>1828</v>
      </c>
      <c r="D936" s="515">
        <v>2.5487411716848714E-2</v>
      </c>
      <c r="E936" s="516">
        <v>2.4991638573792106E-3</v>
      </c>
      <c r="F936" s="145">
        <v>1.941547551080245E-2</v>
      </c>
      <c r="G936" s="145">
        <v>5.7880205289557204E-4</v>
      </c>
      <c r="H936" s="517">
        <v>2.0000009999999999E-3</v>
      </c>
      <c r="I936" s="517">
        <v>1.5750005000000004E-2</v>
      </c>
      <c r="J936" s="148">
        <v>6.2875084690258427E-4</v>
      </c>
      <c r="K936" s="518">
        <v>1.7668520668331479E-5</v>
      </c>
      <c r="L936" s="519">
        <v>1.8467416753656332E-5</v>
      </c>
    </row>
    <row r="937" spans="1:12" ht="15.5" x14ac:dyDescent="0.35">
      <c r="A937" s="143" t="s">
        <v>881</v>
      </c>
      <c r="B937" s="229">
        <v>2043</v>
      </c>
      <c r="C937" s="514" t="s">
        <v>1829</v>
      </c>
      <c r="D937" s="515">
        <v>2.5409612398529804E-2</v>
      </c>
      <c r="E937" s="516">
        <v>2.4007035536224549E-3</v>
      </c>
      <c r="F937" s="145">
        <v>1.9160215501351024E-2</v>
      </c>
      <c r="G937" s="145">
        <v>5.6300195696635331E-4</v>
      </c>
      <c r="H937" s="517">
        <v>2.0000009999999995E-3</v>
      </c>
      <c r="I937" s="517">
        <v>1.5750005000000001E-2</v>
      </c>
      <c r="J937" s="148">
        <v>6.115824095724692E-4</v>
      </c>
      <c r="K937" s="518">
        <v>1.7313765974678466E-5</v>
      </c>
      <c r="L937" s="519">
        <v>1.8096621617692413E-5</v>
      </c>
    </row>
    <row r="938" spans="1:12" ht="15.5" x14ac:dyDescent="0.35">
      <c r="A938" s="143" t="s">
        <v>881</v>
      </c>
      <c r="B938" s="229">
        <v>2044</v>
      </c>
      <c r="C938" s="514" t="s">
        <v>1830</v>
      </c>
      <c r="D938" s="515">
        <v>2.5345361607978813E-2</v>
      </c>
      <c r="E938" s="516">
        <v>2.3240960341290445E-3</v>
      </c>
      <c r="F938" s="145">
        <v>1.8947345629357477E-2</v>
      </c>
      <c r="G938" s="145">
        <v>5.497267041438043E-4</v>
      </c>
      <c r="H938" s="517">
        <v>2.0000009999999999E-3</v>
      </c>
      <c r="I938" s="517">
        <v>1.5750005000000001E-2</v>
      </c>
      <c r="J938" s="148">
        <v>5.9715626935875768E-4</v>
      </c>
      <c r="K938" s="518">
        <v>1.7031567193030343E-5</v>
      </c>
      <c r="L938" s="519">
        <v>1.7801658046458078E-5</v>
      </c>
    </row>
    <row r="939" spans="1:12" ht="15.5" x14ac:dyDescent="0.35">
      <c r="A939" s="143" t="s">
        <v>881</v>
      </c>
      <c r="B939" s="229">
        <v>2045</v>
      </c>
      <c r="C939" s="514" t="s">
        <v>1831</v>
      </c>
      <c r="D939" s="515">
        <v>2.5291956732355889E-2</v>
      </c>
      <c r="E939" s="516">
        <v>2.2694633066672565E-3</v>
      </c>
      <c r="F939" s="145">
        <v>1.8801338538457078E-2</v>
      </c>
      <c r="G939" s="145">
        <v>5.3864454405402038E-4</v>
      </c>
      <c r="H939" s="517">
        <v>2.0000009999999999E-3</v>
      </c>
      <c r="I939" s="517">
        <v>1.5750005000000001E-2</v>
      </c>
      <c r="J939" s="148">
        <v>5.8511230722235676E-4</v>
      </c>
      <c r="K939" s="518">
        <v>1.6809592258789342E-5</v>
      </c>
      <c r="L939" s="519">
        <v>1.7569646902981806E-5</v>
      </c>
    </row>
    <row r="940" spans="1:12" ht="15.5" x14ac:dyDescent="0.35">
      <c r="A940" s="143" t="s">
        <v>881</v>
      </c>
      <c r="B940" s="229">
        <v>2046</v>
      </c>
      <c r="C940" s="514" t="s">
        <v>1832</v>
      </c>
      <c r="D940" s="515">
        <v>2.5248725458658028E-2</v>
      </c>
      <c r="E940" s="516">
        <v>2.2220307385880426E-3</v>
      </c>
      <c r="F940" s="145">
        <v>1.8681689555007618E-2</v>
      </c>
      <c r="G940" s="145">
        <v>5.2950809360964568E-4</v>
      </c>
      <c r="H940" s="517">
        <v>2.0000009999999995E-3</v>
      </c>
      <c r="I940" s="517">
        <v>1.5750004999999997E-2</v>
      </c>
      <c r="J940" s="148">
        <v>5.7518338559294391E-4</v>
      </c>
      <c r="K940" s="518">
        <v>1.6638299321692793E-5</v>
      </c>
      <c r="L940" s="519">
        <v>1.7390607737292112E-5</v>
      </c>
    </row>
    <row r="941" spans="1:12" ht="15.5" x14ac:dyDescent="0.35">
      <c r="A941" s="143" t="s">
        <v>881</v>
      </c>
      <c r="B941" s="229">
        <v>2047</v>
      </c>
      <c r="C941" s="514" t="s">
        <v>1833</v>
      </c>
      <c r="D941" s="515">
        <v>2.521350323758411E-2</v>
      </c>
      <c r="E941" s="516">
        <v>2.1806379414008028E-3</v>
      </c>
      <c r="F941" s="145">
        <v>1.8570748079926001E-2</v>
      </c>
      <c r="G941" s="145">
        <v>5.2206563590780184E-4</v>
      </c>
      <c r="H941" s="517">
        <v>2.0000009999999995E-3</v>
      </c>
      <c r="I941" s="517">
        <v>1.5750005000000001E-2</v>
      </c>
      <c r="J941" s="148">
        <v>5.6709404631544679E-4</v>
      </c>
      <c r="K941" s="518">
        <v>1.6507814826599507E-5</v>
      </c>
      <c r="L941" s="519">
        <v>1.7254227133226338E-5</v>
      </c>
    </row>
    <row r="942" spans="1:12" ht="15.5" x14ac:dyDescent="0.35">
      <c r="A942" s="143" t="s">
        <v>881</v>
      </c>
      <c r="B942" s="229">
        <v>2048</v>
      </c>
      <c r="C942" s="514" t="s">
        <v>1834</v>
      </c>
      <c r="D942" s="515">
        <v>2.5184759577352962E-2</v>
      </c>
      <c r="E942" s="516">
        <v>2.147802710659738E-3</v>
      </c>
      <c r="F942" s="145">
        <v>1.8481521079438346E-2</v>
      </c>
      <c r="G942" s="145">
        <v>5.1600676013985401E-4</v>
      </c>
      <c r="H942" s="517">
        <v>2.0000009999999999E-3</v>
      </c>
      <c r="I942" s="517">
        <v>1.5750005000000004E-2</v>
      </c>
      <c r="J942" s="148">
        <v>5.6050954886058789E-4</v>
      </c>
      <c r="K942" s="518">
        <v>1.6389709420364469E-5</v>
      </c>
      <c r="L942" s="519">
        <v>1.7130783591190487E-5</v>
      </c>
    </row>
    <row r="943" spans="1:12" ht="15.5" x14ac:dyDescent="0.35">
      <c r="A943" s="143" t="s">
        <v>881</v>
      </c>
      <c r="B943" s="229">
        <v>2049</v>
      </c>
      <c r="C943" s="514" t="s">
        <v>1835</v>
      </c>
      <c r="D943" s="515">
        <v>2.5160439591377183E-2</v>
      </c>
      <c r="E943" s="516">
        <v>2.1354611765933918E-3</v>
      </c>
      <c r="F943" s="145">
        <v>1.8488926227050687E-2</v>
      </c>
      <c r="G943" s="145">
        <v>5.1202394175319736E-4</v>
      </c>
      <c r="H943" s="517">
        <v>2.0000009999999999E-3</v>
      </c>
      <c r="I943" s="517">
        <v>1.5750005000000001E-2</v>
      </c>
      <c r="J943" s="148">
        <v>5.5618199858132656E-4</v>
      </c>
      <c r="K943" s="518">
        <v>1.6305222602638817E-5</v>
      </c>
      <c r="L943" s="519">
        <v>1.7042468948148824E-5</v>
      </c>
    </row>
    <row r="944" spans="1:12" ht="15.5" x14ac:dyDescent="0.35">
      <c r="A944" s="143" t="s">
        <v>881</v>
      </c>
      <c r="B944" s="229">
        <v>2050</v>
      </c>
      <c r="C944" s="514" t="s">
        <v>1836</v>
      </c>
      <c r="D944" s="515">
        <v>2.5140831235887524E-2</v>
      </c>
      <c r="E944" s="516">
        <v>2.1257558999377099E-3</v>
      </c>
      <c r="F944" s="145">
        <v>1.84970790027893E-2</v>
      </c>
      <c r="G944" s="145">
        <v>5.0888418869086266E-4</v>
      </c>
      <c r="H944" s="517">
        <v>2.0000009999999995E-3</v>
      </c>
      <c r="I944" s="517">
        <v>1.5750005000000001E-2</v>
      </c>
      <c r="J944" s="148">
        <v>5.5277072194848944E-4</v>
      </c>
      <c r="K944" s="518">
        <v>1.6221015073217366E-5</v>
      </c>
      <c r="L944" s="519">
        <v>1.6954454691196848E-5</v>
      </c>
    </row>
    <row r="945" spans="1:12" ht="15.5" x14ac:dyDescent="0.35">
      <c r="A945" s="143" t="s">
        <v>884</v>
      </c>
      <c r="B945" s="229">
        <v>2015</v>
      </c>
      <c r="C945" s="514" t="s">
        <v>885</v>
      </c>
      <c r="D945" s="515">
        <v>4.844669272039049E-2</v>
      </c>
      <c r="E945" s="516">
        <v>0.11244542591344994</v>
      </c>
      <c r="F945" s="145">
        <v>0.32354384412879444</v>
      </c>
      <c r="G945" s="145">
        <v>3.4870781512901091E-3</v>
      </c>
      <c r="H945" s="517">
        <v>2.0000009999999999E-3</v>
      </c>
      <c r="I945" s="517">
        <v>1.5750005000000001E-2</v>
      </c>
      <c r="J945" s="148">
        <v>3.7705221418218916E-3</v>
      </c>
      <c r="K945" s="518">
        <v>2.7806467992607547E-4</v>
      </c>
      <c r="L945" s="519">
        <v>2.906375346345267E-4</v>
      </c>
    </row>
    <row r="946" spans="1:12" ht="15.5" x14ac:dyDescent="0.35">
      <c r="A946" s="143" t="s">
        <v>884</v>
      </c>
      <c r="B946" s="229">
        <v>2016</v>
      </c>
      <c r="C946" s="514" t="s">
        <v>886</v>
      </c>
      <c r="D946" s="515">
        <v>4.7714893297217516E-2</v>
      </c>
      <c r="E946" s="516">
        <v>9.4838089927894845E-2</v>
      </c>
      <c r="F946" s="145">
        <v>0.28130177748897428</v>
      </c>
      <c r="G946" s="145">
        <v>3.2352122716089301E-3</v>
      </c>
      <c r="H946" s="517">
        <v>2.0000010000000004E-3</v>
      </c>
      <c r="I946" s="517">
        <v>1.5750005000000004E-2</v>
      </c>
      <c r="J946" s="148">
        <v>3.5011451770678866E-3</v>
      </c>
      <c r="K946" s="518">
        <v>2.302029432234585E-4</v>
      </c>
      <c r="L946" s="519">
        <v>2.4061170158108942E-4</v>
      </c>
    </row>
    <row r="947" spans="1:12" ht="15.5" x14ac:dyDescent="0.35">
      <c r="A947" s="143" t="s">
        <v>884</v>
      </c>
      <c r="B947" s="229">
        <v>2017</v>
      </c>
      <c r="C947" s="514" t="s">
        <v>1837</v>
      </c>
      <c r="D947" s="515">
        <v>4.670555202227597E-2</v>
      </c>
      <c r="E947" s="516">
        <v>7.8747289446338506E-2</v>
      </c>
      <c r="F947" s="145">
        <v>0.24252992149395328</v>
      </c>
      <c r="G947" s="145">
        <v>3.0647246907970216E-3</v>
      </c>
      <c r="H947" s="517">
        <v>2.0000009999999995E-3</v>
      </c>
      <c r="I947" s="517">
        <v>1.5750005000000001E-2</v>
      </c>
      <c r="J947" s="148">
        <v>3.3189375686058964E-3</v>
      </c>
      <c r="K947" s="518">
        <v>2.0809574692523232E-4</v>
      </c>
      <c r="L947" s="519">
        <v>2.1750491172066927E-4</v>
      </c>
    </row>
    <row r="948" spans="1:12" ht="15.5" x14ac:dyDescent="0.35">
      <c r="A948" s="143" t="s">
        <v>884</v>
      </c>
      <c r="B948" s="229">
        <v>2018</v>
      </c>
      <c r="C948" s="514" t="s">
        <v>1838</v>
      </c>
      <c r="D948" s="515">
        <v>4.5643568666285418E-2</v>
      </c>
      <c r="E948" s="516">
        <v>6.5133888990635061E-2</v>
      </c>
      <c r="F948" s="145">
        <v>0.20845366279793162</v>
      </c>
      <c r="G948" s="145">
        <v>2.9510258618504351E-3</v>
      </c>
      <c r="H948" s="517">
        <v>2.0000009999999999E-3</v>
      </c>
      <c r="I948" s="517">
        <v>1.5750004999999997E-2</v>
      </c>
      <c r="J948" s="148">
        <v>3.1978253901908723E-3</v>
      </c>
      <c r="K948" s="518">
        <v>1.8982816984870946E-4</v>
      </c>
      <c r="L948" s="519">
        <v>1.9841135462830668E-4</v>
      </c>
    </row>
    <row r="949" spans="1:12" ht="15.5" x14ac:dyDescent="0.35">
      <c r="A949" s="143" t="s">
        <v>884</v>
      </c>
      <c r="B949" s="229">
        <v>2019</v>
      </c>
      <c r="C949" s="514" t="s">
        <v>1839</v>
      </c>
      <c r="D949" s="515">
        <v>4.4504894504305406E-2</v>
      </c>
      <c r="E949" s="516">
        <v>5.3727151196513299E-2</v>
      </c>
      <c r="F949" s="145">
        <v>0.17918085888681234</v>
      </c>
      <c r="G949" s="145">
        <v>2.8620982352437208E-3</v>
      </c>
      <c r="H949" s="517">
        <v>2.0000009999999995E-3</v>
      </c>
      <c r="I949" s="517">
        <v>1.5750005000000001E-2</v>
      </c>
      <c r="J949" s="148">
        <v>3.1031595525312823E-3</v>
      </c>
      <c r="K949" s="518">
        <v>1.7352353560356717E-4</v>
      </c>
      <c r="L949" s="519">
        <v>1.8136949838350495E-4</v>
      </c>
    </row>
    <row r="950" spans="1:12" ht="15.5" x14ac:dyDescent="0.35">
      <c r="A950" s="143" t="s">
        <v>884</v>
      </c>
      <c r="B950" s="229">
        <v>2020</v>
      </c>
      <c r="C950" s="514" t="s">
        <v>1840</v>
      </c>
      <c r="D950" s="515">
        <v>4.3308464078344953E-2</v>
      </c>
      <c r="E950" s="516">
        <v>4.4621619876565641E-2</v>
      </c>
      <c r="F950" s="145">
        <v>0.15419867736047951</v>
      </c>
      <c r="G950" s="145">
        <v>2.7388645125919642E-3</v>
      </c>
      <c r="H950" s="517">
        <v>2.0000010000000004E-3</v>
      </c>
      <c r="I950" s="517">
        <v>1.5750005000000004E-2</v>
      </c>
      <c r="J950" s="148">
        <v>2.9704826444000615E-3</v>
      </c>
      <c r="K950" s="518">
        <v>1.5945168920046313E-4</v>
      </c>
      <c r="L950" s="519">
        <v>1.6666138676375118E-4</v>
      </c>
    </row>
    <row r="951" spans="1:12" ht="15.5" x14ac:dyDescent="0.35">
      <c r="A951" s="143" t="s">
        <v>884</v>
      </c>
      <c r="B951" s="229">
        <v>2021</v>
      </c>
      <c r="C951" s="514" t="s">
        <v>1841</v>
      </c>
      <c r="D951" s="515">
        <v>4.2040948653884976E-2</v>
      </c>
      <c r="E951" s="516">
        <v>3.7639677712952457E-2</v>
      </c>
      <c r="F951" s="145">
        <v>0.1327455296241985</v>
      </c>
      <c r="G951" s="145">
        <v>2.5718936119221562E-3</v>
      </c>
      <c r="H951" s="517">
        <v>2.0000010000000004E-3</v>
      </c>
      <c r="I951" s="517">
        <v>1.5750005000000001E-2</v>
      </c>
      <c r="J951" s="148">
        <v>2.789951906233515E-3</v>
      </c>
      <c r="K951" s="518">
        <v>1.4506536203827633E-4</v>
      </c>
      <c r="L951" s="519">
        <v>1.5162457198482026E-4</v>
      </c>
    </row>
    <row r="952" spans="1:12" ht="15.5" x14ac:dyDescent="0.35">
      <c r="A952" s="143" t="s">
        <v>884</v>
      </c>
      <c r="B952" s="229">
        <v>2022</v>
      </c>
      <c r="C952" s="514" t="s">
        <v>1842</v>
      </c>
      <c r="D952" s="515">
        <v>4.0751644256328406E-2</v>
      </c>
      <c r="E952" s="516">
        <v>3.0020017142277731E-2</v>
      </c>
      <c r="F952" s="145">
        <v>0.11320127664318591</v>
      </c>
      <c r="G952" s="145">
        <v>2.4132626401293451E-3</v>
      </c>
      <c r="H952" s="517">
        <v>2.0000010000000004E-3</v>
      </c>
      <c r="I952" s="517">
        <v>1.5750005000000001E-2</v>
      </c>
      <c r="J952" s="148">
        <v>2.6187672697642662E-3</v>
      </c>
      <c r="K952" s="518">
        <v>1.3219688065871387E-4</v>
      </c>
      <c r="L952" s="519">
        <v>1.3817424013108217E-4</v>
      </c>
    </row>
    <row r="953" spans="1:12" ht="15.5" x14ac:dyDescent="0.35">
      <c r="A953" s="143" t="s">
        <v>884</v>
      </c>
      <c r="B953" s="229">
        <v>2023</v>
      </c>
      <c r="C953" s="514" t="s">
        <v>1843</v>
      </c>
      <c r="D953" s="515">
        <v>3.9469498546339618E-2</v>
      </c>
      <c r="E953" s="516">
        <v>2.5592942467168343E-2</v>
      </c>
      <c r="F953" s="145">
        <v>9.7908578701882479E-2</v>
      </c>
      <c r="G953" s="145">
        <v>2.2711447057495388E-3</v>
      </c>
      <c r="H953" s="517">
        <v>2.0000009999999999E-3</v>
      </c>
      <c r="I953" s="517">
        <v>1.5750005000000004E-2</v>
      </c>
      <c r="J953" s="148">
        <v>2.4648409619434605E-3</v>
      </c>
      <c r="K953" s="518">
        <v>1.2050115426478327E-4</v>
      </c>
      <c r="L953" s="519">
        <v>1.2594967753044436E-4</v>
      </c>
    </row>
    <row r="954" spans="1:12" ht="15.5" x14ac:dyDescent="0.35">
      <c r="A954" s="143" t="s">
        <v>884</v>
      </c>
      <c r="B954" s="229">
        <v>2024</v>
      </c>
      <c r="C954" s="514" t="s">
        <v>1844</v>
      </c>
      <c r="D954" s="515">
        <v>3.8184833512652547E-2</v>
      </c>
      <c r="E954" s="516">
        <v>2.1945583845063288E-2</v>
      </c>
      <c r="F954" s="145">
        <v>8.5289084518464037E-2</v>
      </c>
      <c r="G954" s="145">
        <v>2.1385259643650362E-3</v>
      </c>
      <c r="H954" s="517">
        <v>2.0000009999999999E-3</v>
      </c>
      <c r="I954" s="517">
        <v>1.5750004999999997E-2</v>
      </c>
      <c r="J954" s="148">
        <v>2.3216381380733748E-3</v>
      </c>
      <c r="K954" s="518">
        <v>9.8701970008687931E-5</v>
      </c>
      <c r="L954" s="519">
        <v>1.0316483700271656E-4</v>
      </c>
    </row>
    <row r="955" spans="1:12" ht="15.5" x14ac:dyDescent="0.35">
      <c r="A955" s="143" t="s">
        <v>884</v>
      </c>
      <c r="B955" s="229">
        <v>2025</v>
      </c>
      <c r="C955" s="514" t="s">
        <v>1845</v>
      </c>
      <c r="D955" s="515">
        <v>3.6930068313385911E-2</v>
      </c>
      <c r="E955" s="516">
        <v>1.9312648572269223E-2</v>
      </c>
      <c r="F955" s="145">
        <v>7.5756710717972991E-2</v>
      </c>
      <c r="G955" s="145">
        <v>2.0470147235660619E-3</v>
      </c>
      <c r="H955" s="517">
        <v>2.0000009999999999E-3</v>
      </c>
      <c r="I955" s="517">
        <v>1.5750005000000001E-2</v>
      </c>
      <c r="J955" s="148">
        <v>2.2224739863649337E-3</v>
      </c>
      <c r="K955" s="518">
        <v>9.0508814372679204E-5</v>
      </c>
      <c r="L955" s="519">
        <v>9.4601225922333885E-5</v>
      </c>
    </row>
    <row r="956" spans="1:12" ht="15.5" x14ac:dyDescent="0.35">
      <c r="A956" s="143" t="s">
        <v>884</v>
      </c>
      <c r="B956" s="229">
        <v>2026</v>
      </c>
      <c r="C956" s="514" t="s">
        <v>1846</v>
      </c>
      <c r="D956" s="515">
        <v>3.5751879823499942E-2</v>
      </c>
      <c r="E956" s="516">
        <v>1.7055607791152914E-2</v>
      </c>
      <c r="F956" s="145">
        <v>6.7817390749617609E-2</v>
      </c>
      <c r="G956" s="145">
        <v>1.9485351004173302E-3</v>
      </c>
      <c r="H956" s="517">
        <v>2.0000009999999999E-3</v>
      </c>
      <c r="I956" s="517">
        <v>1.5750005000000001E-2</v>
      </c>
      <c r="J956" s="148">
        <v>2.1159495755328156E-3</v>
      </c>
      <c r="K956" s="518">
        <v>7.6883288146425478E-5</v>
      </c>
      <c r="L956" s="519">
        <v>8.0359607342835021E-5</v>
      </c>
    </row>
    <row r="957" spans="1:12" ht="15.5" x14ac:dyDescent="0.35">
      <c r="A957" s="143" t="s">
        <v>884</v>
      </c>
      <c r="B957" s="229">
        <v>2027</v>
      </c>
      <c r="C957" s="514" t="s">
        <v>1847</v>
      </c>
      <c r="D957" s="515">
        <v>3.4638495844018409E-2</v>
      </c>
      <c r="E957" s="516">
        <v>1.5132652587569215E-2</v>
      </c>
      <c r="F957" s="145">
        <v>6.1104249391582023E-2</v>
      </c>
      <c r="G957" s="145">
        <v>1.8418810229264768E-3</v>
      </c>
      <c r="H957" s="517">
        <v>2.0000009999999995E-3</v>
      </c>
      <c r="I957" s="517">
        <v>1.5750005000000001E-2</v>
      </c>
      <c r="J957" s="148">
        <v>2.00045568434631E-3</v>
      </c>
      <c r="K957" s="518">
        <v>6.5087300810125637E-5</v>
      </c>
      <c r="L957" s="519">
        <v>6.8030262802657061E-5</v>
      </c>
    </row>
    <row r="958" spans="1:12" ht="15.5" x14ac:dyDescent="0.35">
      <c r="A958" s="143" t="s">
        <v>884</v>
      </c>
      <c r="B958" s="229">
        <v>2028</v>
      </c>
      <c r="C958" s="514" t="s">
        <v>1848</v>
      </c>
      <c r="D958" s="515">
        <v>3.3600848603641494E-2</v>
      </c>
      <c r="E958" s="516">
        <v>1.3525670632312851E-2</v>
      </c>
      <c r="F958" s="145">
        <v>5.5503706694973891E-2</v>
      </c>
      <c r="G958" s="145">
        <v>1.7303876791814115E-3</v>
      </c>
      <c r="H958" s="517">
        <v>2.0000009999999999E-3</v>
      </c>
      <c r="I958" s="517">
        <v>1.5750005000000001E-2</v>
      </c>
      <c r="J958" s="148">
        <v>1.879500904826311E-3</v>
      </c>
      <c r="K958" s="518">
        <v>5.7893230888972102E-5</v>
      </c>
      <c r="L958" s="519">
        <v>6.051090781179417E-5</v>
      </c>
    </row>
    <row r="959" spans="1:12" ht="15.5" x14ac:dyDescent="0.35">
      <c r="A959" s="143" t="s">
        <v>884</v>
      </c>
      <c r="B959" s="229">
        <v>2029</v>
      </c>
      <c r="C959" s="514" t="s">
        <v>1849</v>
      </c>
      <c r="D959" s="515">
        <v>3.2643866265881352E-2</v>
      </c>
      <c r="E959" s="516">
        <v>1.2050994194190107E-2</v>
      </c>
      <c r="F959" s="145">
        <v>5.0496676010922406E-2</v>
      </c>
      <c r="G959" s="145">
        <v>1.6220508993441895E-3</v>
      </c>
      <c r="H959" s="517">
        <v>2.0000009999999999E-3</v>
      </c>
      <c r="I959" s="517">
        <v>1.5750005000000001E-2</v>
      </c>
      <c r="J959" s="148">
        <v>1.7619496114792085E-3</v>
      </c>
      <c r="K959" s="518">
        <v>5.1416554055478089E-5</v>
      </c>
      <c r="L959" s="519">
        <v>5.3741379193333247E-5</v>
      </c>
    </row>
    <row r="960" spans="1:12" ht="15.5" x14ac:dyDescent="0.35">
      <c r="A960" s="143" t="s">
        <v>884</v>
      </c>
      <c r="B960" s="229">
        <v>2030</v>
      </c>
      <c r="C960" s="514" t="s">
        <v>1850</v>
      </c>
      <c r="D960" s="515">
        <v>3.1762161556531297E-2</v>
      </c>
      <c r="E960" s="516">
        <v>1.0846929783262611E-2</v>
      </c>
      <c r="F960" s="145">
        <v>4.6283885240710032E-2</v>
      </c>
      <c r="G960" s="145">
        <v>1.519798269319695E-3</v>
      </c>
      <c r="H960" s="517">
        <v>2.0000009999999999E-3</v>
      </c>
      <c r="I960" s="517">
        <v>1.5750005000000001E-2</v>
      </c>
      <c r="J960" s="148">
        <v>1.6509797139249419E-3</v>
      </c>
      <c r="K960" s="518">
        <v>4.5767855069511721E-5</v>
      </c>
      <c r="L960" s="519">
        <v>4.7837275228069532E-5</v>
      </c>
    </row>
    <row r="961" spans="1:12" ht="15.5" x14ac:dyDescent="0.35">
      <c r="A961" s="143" t="s">
        <v>884</v>
      </c>
      <c r="B961" s="229">
        <v>2031</v>
      </c>
      <c r="C961" s="514" t="s">
        <v>1851</v>
      </c>
      <c r="D961" s="515">
        <v>3.0963747039574659E-2</v>
      </c>
      <c r="E961" s="516">
        <v>9.7720199870932334E-3</v>
      </c>
      <c r="F961" s="145">
        <v>4.2550256398017815E-2</v>
      </c>
      <c r="G961" s="145">
        <v>1.42398467313068E-3</v>
      </c>
      <c r="H961" s="517">
        <v>2.0000009999999999E-3</v>
      </c>
      <c r="I961" s="517">
        <v>1.5750005000000001E-2</v>
      </c>
      <c r="J961" s="148">
        <v>1.546947497218951E-3</v>
      </c>
      <c r="K961" s="518">
        <v>4.1665648971042793E-5</v>
      </c>
      <c r="L961" s="519">
        <v>4.3549585332187646E-5</v>
      </c>
    </row>
    <row r="962" spans="1:12" ht="15.5" x14ac:dyDescent="0.35">
      <c r="A962" s="143" t="s">
        <v>884</v>
      </c>
      <c r="B962" s="229">
        <v>2032</v>
      </c>
      <c r="C962" s="514" t="s">
        <v>1852</v>
      </c>
      <c r="D962" s="515">
        <v>3.0249503573325488E-2</v>
      </c>
      <c r="E962" s="516">
        <v>8.8453010341499518E-3</v>
      </c>
      <c r="F962" s="145">
        <v>3.9453338806665586E-2</v>
      </c>
      <c r="G962" s="145">
        <v>1.3366162645623454E-3</v>
      </c>
      <c r="H962" s="517">
        <v>2.0000009999999995E-3</v>
      </c>
      <c r="I962" s="517">
        <v>1.5750005000000001E-2</v>
      </c>
      <c r="J962" s="148">
        <v>1.4520323789810525E-3</v>
      </c>
      <c r="K962" s="518">
        <v>3.9164929679037875E-5</v>
      </c>
      <c r="L962" s="519">
        <v>4.093579738527873E-5</v>
      </c>
    </row>
    <row r="963" spans="1:12" ht="15.5" x14ac:dyDescent="0.35">
      <c r="A963" s="143" t="s">
        <v>884</v>
      </c>
      <c r="B963" s="229">
        <v>2033</v>
      </c>
      <c r="C963" s="514" t="s">
        <v>1853</v>
      </c>
      <c r="D963" s="515">
        <v>2.9601493842501266E-2</v>
      </c>
      <c r="E963" s="516">
        <v>8.0016455095765302E-3</v>
      </c>
      <c r="F963" s="145">
        <v>3.6695072393185119E-2</v>
      </c>
      <c r="G963" s="145">
        <v>1.2540719955700093E-3</v>
      </c>
      <c r="H963" s="517">
        <v>2.0000009999999995E-3</v>
      </c>
      <c r="I963" s="517">
        <v>1.5750005000000001E-2</v>
      </c>
      <c r="J963" s="148">
        <v>1.3623538054561551E-3</v>
      </c>
      <c r="K963" s="518">
        <v>3.689394960168859E-5</v>
      </c>
      <c r="L963" s="519">
        <v>3.8562128331244856E-5</v>
      </c>
    </row>
    <row r="964" spans="1:12" ht="15.5" x14ac:dyDescent="0.35">
      <c r="A964" s="143" t="s">
        <v>884</v>
      </c>
      <c r="B964" s="229">
        <v>2034</v>
      </c>
      <c r="C964" s="514" t="s">
        <v>1854</v>
      </c>
      <c r="D964" s="515">
        <v>2.9024269721195633E-2</v>
      </c>
      <c r="E964" s="516">
        <v>7.2371833234391135E-3</v>
      </c>
      <c r="F964" s="145">
        <v>3.430920199614506E-2</v>
      </c>
      <c r="G964" s="145">
        <v>1.1775904457363632E-3</v>
      </c>
      <c r="H964" s="517">
        <v>2.0000010000000004E-3</v>
      </c>
      <c r="I964" s="517">
        <v>1.5750005000000004E-2</v>
      </c>
      <c r="J964" s="148">
        <v>1.2792607577466752E-3</v>
      </c>
      <c r="K964" s="518">
        <v>3.4831663876718273E-5</v>
      </c>
      <c r="L964" s="519">
        <v>3.6406598144728162E-5</v>
      </c>
    </row>
    <row r="965" spans="1:12" ht="15.5" x14ac:dyDescent="0.35">
      <c r="A965" s="143" t="s">
        <v>884</v>
      </c>
      <c r="B965" s="229">
        <v>2035</v>
      </c>
      <c r="C965" s="514" t="s">
        <v>1855</v>
      </c>
      <c r="D965" s="515">
        <v>2.8505213520233091E-2</v>
      </c>
      <c r="E965" s="516">
        <v>6.5508679319973475E-3</v>
      </c>
      <c r="F965" s="145">
        <v>3.2262801898144448E-2</v>
      </c>
      <c r="G965" s="145">
        <v>1.1068365950178476E-3</v>
      </c>
      <c r="H965" s="517">
        <v>2.0000009999999999E-3</v>
      </c>
      <c r="I965" s="517">
        <v>1.5750005000000001E-2</v>
      </c>
      <c r="J965" s="148">
        <v>1.2023887765280836E-3</v>
      </c>
      <c r="K965" s="518">
        <v>3.2978799685595807E-5</v>
      </c>
      <c r="L965" s="519">
        <v>3.4469955875271491E-5</v>
      </c>
    </row>
    <row r="966" spans="1:12" ht="15.5" x14ac:dyDescent="0.35">
      <c r="A966" s="143" t="s">
        <v>884</v>
      </c>
      <c r="B966" s="229">
        <v>2036</v>
      </c>
      <c r="C966" s="514" t="s">
        <v>1856</v>
      </c>
      <c r="D966" s="515">
        <v>2.8058905324100342E-2</v>
      </c>
      <c r="E966" s="516">
        <v>5.9722455860851155E-3</v>
      </c>
      <c r="F966" s="145">
        <v>3.0588527944280356E-2</v>
      </c>
      <c r="G966" s="145">
        <v>1.0471822647979544E-3</v>
      </c>
      <c r="H966" s="517">
        <v>2.0000009999999995E-3</v>
      </c>
      <c r="I966" s="517">
        <v>1.5750005000000001E-2</v>
      </c>
      <c r="J966" s="148">
        <v>1.1375776456323979E-3</v>
      </c>
      <c r="K966" s="518">
        <v>3.1353621505323432E-5</v>
      </c>
      <c r="L966" s="519">
        <v>3.277128804120367E-5</v>
      </c>
    </row>
    <row r="967" spans="1:12" ht="15.5" x14ac:dyDescent="0.35">
      <c r="A967" s="143" t="s">
        <v>884</v>
      </c>
      <c r="B967" s="229">
        <v>2037</v>
      </c>
      <c r="C967" s="514" t="s">
        <v>1857</v>
      </c>
      <c r="D967" s="515">
        <v>2.7662215187320878E-2</v>
      </c>
      <c r="E967" s="516">
        <v>5.4425837616544487E-3</v>
      </c>
      <c r="F967" s="145">
        <v>2.9079169458497148E-2</v>
      </c>
      <c r="G967" s="145">
        <v>9.9322880587282081E-4</v>
      </c>
      <c r="H967" s="517">
        <v>2.0000010000000004E-3</v>
      </c>
      <c r="I967" s="517">
        <v>1.5750005000000004E-2</v>
      </c>
      <c r="J967" s="148">
        <v>1.0789612219817663E-3</v>
      </c>
      <c r="K967" s="518">
        <v>2.987737695701216E-5</v>
      </c>
      <c r="L967" s="519">
        <v>3.1228295713146705E-5</v>
      </c>
    </row>
    <row r="968" spans="1:12" ht="15.5" x14ac:dyDescent="0.35">
      <c r="A968" s="143" t="s">
        <v>884</v>
      </c>
      <c r="B968" s="229">
        <v>2038</v>
      </c>
      <c r="C968" s="514" t="s">
        <v>1858</v>
      </c>
      <c r="D968" s="515">
        <v>2.7321451349000381E-2</v>
      </c>
      <c r="E968" s="516">
        <v>4.9430631849825286E-3</v>
      </c>
      <c r="F968" s="145">
        <v>2.7636634818092008E-2</v>
      </c>
      <c r="G968" s="145">
        <v>9.4406433532481944E-4</v>
      </c>
      <c r="H968" s="517">
        <v>2.0000009999999999E-3</v>
      </c>
      <c r="I968" s="517">
        <v>1.5750005000000001E-2</v>
      </c>
      <c r="J968" s="148">
        <v>1.0255630645875451E-3</v>
      </c>
      <c r="K968" s="518">
        <v>2.815696985825339E-5</v>
      </c>
      <c r="L968" s="519">
        <v>2.9430097256624007E-5</v>
      </c>
    </row>
    <row r="969" spans="1:12" ht="15.5" x14ac:dyDescent="0.35">
      <c r="A969" s="143" t="s">
        <v>884</v>
      </c>
      <c r="B969" s="229">
        <v>2039</v>
      </c>
      <c r="C969" s="514" t="s">
        <v>1859</v>
      </c>
      <c r="D969" s="515">
        <v>2.7022677205323715E-2</v>
      </c>
      <c r="E969" s="516">
        <v>4.480861141404318E-3</v>
      </c>
      <c r="F969" s="145">
        <v>2.6330465624474088E-2</v>
      </c>
      <c r="G969" s="145">
        <v>9.006718835515155E-4</v>
      </c>
      <c r="H969" s="517">
        <v>2.0000009999999999E-3</v>
      </c>
      <c r="I969" s="517">
        <v>1.5750005000000004E-2</v>
      </c>
      <c r="J969" s="148">
        <v>9.7841443445618515E-4</v>
      </c>
      <c r="K969" s="518">
        <v>2.7098726568815882E-5</v>
      </c>
      <c r="L969" s="519">
        <v>2.832401530098425E-5</v>
      </c>
    </row>
    <row r="970" spans="1:12" ht="15.5" x14ac:dyDescent="0.35">
      <c r="A970" s="143" t="s">
        <v>884</v>
      </c>
      <c r="B970" s="229">
        <v>2040</v>
      </c>
      <c r="C970" s="514" t="s">
        <v>1860</v>
      </c>
      <c r="D970" s="515">
        <v>2.6761169250131469E-2</v>
      </c>
      <c r="E970" s="516">
        <v>4.0998974876381485E-3</v>
      </c>
      <c r="F970" s="145">
        <v>2.5309447784848577E-2</v>
      </c>
      <c r="G970" s="145">
        <v>8.6250502573658285E-4</v>
      </c>
      <c r="H970" s="517">
        <v>2.0000009999999999E-3</v>
      </c>
      <c r="I970" s="517">
        <v>1.5750005000000001E-2</v>
      </c>
      <c r="J970" s="148">
        <v>9.369594513686173E-4</v>
      </c>
      <c r="K970" s="518">
        <v>2.5802886275025301E-5</v>
      </c>
      <c r="L970" s="519">
        <v>2.696957375095548E-5</v>
      </c>
    </row>
    <row r="971" spans="1:12" ht="15.5" x14ac:dyDescent="0.35">
      <c r="A971" s="143" t="s">
        <v>884</v>
      </c>
      <c r="B971" s="229">
        <v>2041</v>
      </c>
      <c r="C971" s="514" t="s">
        <v>1861</v>
      </c>
      <c r="D971" s="515">
        <v>2.6537993153853936E-2</v>
      </c>
      <c r="E971" s="516">
        <v>3.8371168295014309E-3</v>
      </c>
      <c r="F971" s="145">
        <v>2.4591909159472954E-2</v>
      </c>
      <c r="G971" s="145">
        <v>8.3397116872321907E-4</v>
      </c>
      <c r="H971" s="517">
        <v>2.0000009999999999E-3</v>
      </c>
      <c r="I971" s="517">
        <v>1.5750005000000004E-2</v>
      </c>
      <c r="J971" s="148">
        <v>9.0595740448483233E-4</v>
      </c>
      <c r="K971" s="518">
        <v>2.5062070180750542E-5</v>
      </c>
      <c r="L971" s="519">
        <v>2.6195269021867062E-5</v>
      </c>
    </row>
    <row r="972" spans="1:12" ht="15.5" x14ac:dyDescent="0.35">
      <c r="A972" s="143" t="s">
        <v>884</v>
      </c>
      <c r="B972" s="229">
        <v>2042</v>
      </c>
      <c r="C972" s="514" t="s">
        <v>1862</v>
      </c>
      <c r="D972" s="515">
        <v>2.6337868514549858E-2</v>
      </c>
      <c r="E972" s="516">
        <v>3.6035383042045828E-3</v>
      </c>
      <c r="F972" s="145">
        <v>2.3896665470745749E-2</v>
      </c>
      <c r="G972" s="145">
        <v>8.0937156282986922E-4</v>
      </c>
      <c r="H972" s="517">
        <v>2.0000009999999999E-3</v>
      </c>
      <c r="I972" s="517">
        <v>1.5750004999999997E-2</v>
      </c>
      <c r="J972" s="148">
        <v>8.7922942654945985E-4</v>
      </c>
      <c r="K972" s="518">
        <v>2.4448332675913171E-5</v>
      </c>
      <c r="L972" s="519">
        <v>2.5553775874157301E-5</v>
      </c>
    </row>
    <row r="973" spans="1:12" ht="15.5" x14ac:dyDescent="0.35">
      <c r="A973" s="143" t="s">
        <v>884</v>
      </c>
      <c r="B973" s="229">
        <v>2043</v>
      </c>
      <c r="C973" s="514" t="s">
        <v>1863</v>
      </c>
      <c r="D973" s="515">
        <v>2.6165293688858719E-2</v>
      </c>
      <c r="E973" s="516">
        <v>3.4118680205342733E-3</v>
      </c>
      <c r="F973" s="145">
        <v>2.3296044355243125E-2</v>
      </c>
      <c r="G973" s="145">
        <v>7.8823257077579993E-4</v>
      </c>
      <c r="H973" s="517">
        <v>2.0000009999999995E-3</v>
      </c>
      <c r="I973" s="517">
        <v>1.5750005000000001E-2</v>
      </c>
      <c r="J973" s="148">
        <v>8.5626054770477147E-4</v>
      </c>
      <c r="K973" s="518">
        <v>2.3936946344962987E-5</v>
      </c>
      <c r="L973" s="519">
        <v>2.5019269722765087E-5</v>
      </c>
    </row>
    <row r="974" spans="1:12" ht="15.5" x14ac:dyDescent="0.35">
      <c r="A974" s="143" t="s">
        <v>884</v>
      </c>
      <c r="B974" s="229">
        <v>2044</v>
      </c>
      <c r="C974" s="514" t="s">
        <v>1864</v>
      </c>
      <c r="D974" s="515">
        <v>2.6011314719244186E-2</v>
      </c>
      <c r="E974" s="516">
        <v>3.2791790028231021E-3</v>
      </c>
      <c r="F974" s="145">
        <v>2.287928329255861E-2</v>
      </c>
      <c r="G974" s="145">
        <v>7.702419276711496E-4</v>
      </c>
      <c r="H974" s="517">
        <v>2.0000009999999999E-3</v>
      </c>
      <c r="I974" s="517">
        <v>1.5750004999999997E-2</v>
      </c>
      <c r="J974" s="148">
        <v>8.3672337093820945E-4</v>
      </c>
      <c r="K974" s="518">
        <v>2.3244013842089499E-5</v>
      </c>
      <c r="L974" s="519">
        <v>2.4295000791174425E-5</v>
      </c>
    </row>
    <row r="975" spans="1:12" ht="15.5" x14ac:dyDescent="0.35">
      <c r="A975" s="143" t="s">
        <v>884</v>
      </c>
      <c r="B975" s="229">
        <v>2045</v>
      </c>
      <c r="C975" s="514" t="s">
        <v>1865</v>
      </c>
      <c r="D975" s="515">
        <v>2.5871255078535719E-2</v>
      </c>
      <c r="E975" s="516">
        <v>3.1839882298291189E-3</v>
      </c>
      <c r="F975" s="145">
        <v>2.2575108538568985E-2</v>
      </c>
      <c r="G975" s="145">
        <v>7.5507078696288716E-4</v>
      </c>
      <c r="H975" s="517">
        <v>2.0000009999999999E-3</v>
      </c>
      <c r="I975" s="517">
        <v>1.5750005000000004E-2</v>
      </c>
      <c r="J975" s="148">
        <v>8.2023840294157566E-4</v>
      </c>
      <c r="K975" s="518">
        <v>2.2886816198673888E-5</v>
      </c>
      <c r="L975" s="519">
        <v>2.3921656132815777E-5</v>
      </c>
    </row>
    <row r="976" spans="1:12" ht="15.5" x14ac:dyDescent="0.35">
      <c r="A976" s="143" t="s">
        <v>884</v>
      </c>
      <c r="B976" s="229">
        <v>2046</v>
      </c>
      <c r="C976" s="514" t="s">
        <v>1866</v>
      </c>
      <c r="D976" s="515">
        <v>2.5750108258069105E-2</v>
      </c>
      <c r="E976" s="516">
        <v>3.1021523651175477E-3</v>
      </c>
      <c r="F976" s="145">
        <v>2.2333022601905443E-2</v>
      </c>
      <c r="G976" s="145">
        <v>7.4237600804103636E-4</v>
      </c>
      <c r="H976" s="517">
        <v>2.0000009999999999E-3</v>
      </c>
      <c r="I976" s="517">
        <v>1.5750005000000001E-2</v>
      </c>
      <c r="J976" s="148">
        <v>8.0644454031760101E-4</v>
      </c>
      <c r="K976" s="518">
        <v>2.2589551032177329E-5</v>
      </c>
      <c r="L976" s="519">
        <v>2.3610952454563582E-5</v>
      </c>
    </row>
    <row r="977" spans="1:12" ht="15.5" x14ac:dyDescent="0.35">
      <c r="A977" s="143" t="s">
        <v>884</v>
      </c>
      <c r="B977" s="229">
        <v>2047</v>
      </c>
      <c r="C977" s="514" t="s">
        <v>1867</v>
      </c>
      <c r="D977" s="515">
        <v>2.5641497274660821E-2</v>
      </c>
      <c r="E977" s="516">
        <v>3.0312767489491408E-3</v>
      </c>
      <c r="F977" s="145">
        <v>2.2114266062144023E-2</v>
      </c>
      <c r="G977" s="145">
        <v>7.317404166779115E-4</v>
      </c>
      <c r="H977" s="517">
        <v>2.0000010000000004E-3</v>
      </c>
      <c r="I977" s="517">
        <v>1.5750005000000001E-2</v>
      </c>
      <c r="J977" s="148">
        <v>7.9489118615542142E-4</v>
      </c>
      <c r="K977" s="518">
        <v>2.2268058801453579E-5</v>
      </c>
      <c r="L977" s="519">
        <v>2.3274925565052702E-5</v>
      </c>
    </row>
    <row r="978" spans="1:12" ht="15.5" x14ac:dyDescent="0.35">
      <c r="A978" s="143" t="s">
        <v>884</v>
      </c>
      <c r="B978" s="229">
        <v>2048</v>
      </c>
      <c r="C978" s="514" t="s">
        <v>1868</v>
      </c>
      <c r="D978" s="515">
        <v>2.5548866785403877E-2</v>
      </c>
      <c r="E978" s="516">
        <v>2.9748963028178748E-3</v>
      </c>
      <c r="F978" s="145">
        <v>2.1936849037720006E-2</v>
      </c>
      <c r="G978" s="145">
        <v>7.227925890983738E-4</v>
      </c>
      <c r="H978" s="517">
        <v>2.0000009999999995E-3</v>
      </c>
      <c r="I978" s="517">
        <v>1.5750005000000001E-2</v>
      </c>
      <c r="J978" s="148">
        <v>7.8517598932737419E-4</v>
      </c>
      <c r="K978" s="518">
        <v>2.1874342264113153E-5</v>
      </c>
      <c r="L978" s="519">
        <v>2.2863396333218073E-5</v>
      </c>
    </row>
    <row r="979" spans="1:12" ht="15.5" x14ac:dyDescent="0.35">
      <c r="A979" s="143" t="s">
        <v>884</v>
      </c>
      <c r="B979" s="229">
        <v>2049</v>
      </c>
      <c r="C979" s="514" t="s">
        <v>1869</v>
      </c>
      <c r="D979" s="515">
        <v>2.54672191940984E-2</v>
      </c>
      <c r="E979" s="516">
        <v>2.9541885240290159E-3</v>
      </c>
      <c r="F979" s="145">
        <v>2.1928230785520544E-2</v>
      </c>
      <c r="G979" s="145">
        <v>7.1723677753011289E-4</v>
      </c>
      <c r="H979" s="517">
        <v>2.0000009999999995E-3</v>
      </c>
      <c r="I979" s="517">
        <v>1.5750005000000001E-2</v>
      </c>
      <c r="J979" s="148">
        <v>7.7914666560476031E-4</v>
      </c>
      <c r="K979" s="518">
        <v>2.1564334532414925E-5</v>
      </c>
      <c r="L979" s="519">
        <v>2.2539375945193479E-5</v>
      </c>
    </row>
    <row r="980" spans="1:12" ht="15.5" x14ac:dyDescent="0.35">
      <c r="A980" s="143" t="s">
        <v>884</v>
      </c>
      <c r="B980" s="229">
        <v>2050</v>
      </c>
      <c r="C980" s="514" t="s">
        <v>1870</v>
      </c>
      <c r="D980" s="515">
        <v>2.5396336449322689E-2</v>
      </c>
      <c r="E980" s="516">
        <v>2.9376832085348929E-3</v>
      </c>
      <c r="F980" s="145">
        <v>2.1928989315450287E-2</v>
      </c>
      <c r="G980" s="145">
        <v>7.1295769209051441E-4</v>
      </c>
      <c r="H980" s="517">
        <v>2.0000009999999999E-3</v>
      </c>
      <c r="I980" s="517">
        <v>1.5750005000000004E-2</v>
      </c>
      <c r="J980" s="148">
        <v>7.7449588538664349E-4</v>
      </c>
      <c r="K980" s="518">
        <v>2.1486380334919802E-5</v>
      </c>
      <c r="L980" s="519">
        <v>2.2457897692672271E-5</v>
      </c>
    </row>
    <row r="981" spans="1:12" ht="15.5" x14ac:dyDescent="0.35">
      <c r="A981" s="143" t="s">
        <v>888</v>
      </c>
      <c r="B981" s="229">
        <v>2015</v>
      </c>
      <c r="C981" s="514" t="s">
        <v>889</v>
      </c>
      <c r="D981" s="515">
        <v>4.447120032419985E-2</v>
      </c>
      <c r="E981" s="516">
        <v>6.5393476755088872E-2</v>
      </c>
      <c r="F981" s="145">
        <v>0.26900926859210961</v>
      </c>
      <c r="G981" s="145">
        <v>2.2796647505289617E-3</v>
      </c>
      <c r="H981" s="517">
        <v>2.0000010000000004E-3</v>
      </c>
      <c r="I981" s="517">
        <v>1.5750005000000004E-2</v>
      </c>
      <c r="J981" s="148">
        <v>2.4647972887915917E-3</v>
      </c>
      <c r="K981" s="518">
        <v>2.2798625938493644E-4</v>
      </c>
      <c r="L981" s="519">
        <v>2.3829478486164221E-4</v>
      </c>
    </row>
    <row r="982" spans="1:12" ht="15.5" x14ac:dyDescent="0.35">
      <c r="A982" s="143" t="s">
        <v>888</v>
      </c>
      <c r="B982" s="229">
        <v>2016</v>
      </c>
      <c r="C982" s="514" t="s">
        <v>890</v>
      </c>
      <c r="D982" s="515">
        <v>4.3673403907594423E-2</v>
      </c>
      <c r="E982" s="516">
        <v>5.3434781448422362E-2</v>
      </c>
      <c r="F982" s="145">
        <v>0.23054035919975835</v>
      </c>
      <c r="G982" s="145">
        <v>2.1436979909125291E-3</v>
      </c>
      <c r="H982" s="517">
        <v>2.0000009999999999E-3</v>
      </c>
      <c r="I982" s="517">
        <v>1.5750005000000001E-2</v>
      </c>
      <c r="J982" s="148">
        <v>2.3190415932677435E-3</v>
      </c>
      <c r="K982" s="518">
        <v>2.1702773848192159E-4</v>
      </c>
      <c r="L982" s="519">
        <v>2.268407712305808E-4</v>
      </c>
    </row>
    <row r="983" spans="1:12" ht="15.5" x14ac:dyDescent="0.35">
      <c r="A983" s="143" t="s">
        <v>888</v>
      </c>
      <c r="B983" s="229">
        <v>2017</v>
      </c>
      <c r="C983" s="514" t="s">
        <v>1871</v>
      </c>
      <c r="D983" s="515">
        <v>4.268827483320331E-2</v>
      </c>
      <c r="E983" s="516">
        <v>4.4915351243819367E-2</v>
      </c>
      <c r="F983" s="145">
        <v>0.19879411395072968</v>
      </c>
      <c r="G983" s="145">
        <v>2.0591641637634126E-3</v>
      </c>
      <c r="H983" s="517">
        <v>2.0000009999999999E-3</v>
      </c>
      <c r="I983" s="517">
        <v>1.5750004999999997E-2</v>
      </c>
      <c r="J983" s="148">
        <v>2.2289807500741735E-3</v>
      </c>
      <c r="K983" s="518">
        <v>1.9434593982413885E-4</v>
      </c>
      <c r="L983" s="519">
        <v>2.0313339780605295E-4</v>
      </c>
    </row>
    <row r="984" spans="1:12" ht="15.5" x14ac:dyDescent="0.35">
      <c r="A984" s="143" t="s">
        <v>888</v>
      </c>
      <c r="B984" s="229">
        <v>2018</v>
      </c>
      <c r="C984" s="514" t="s">
        <v>1872</v>
      </c>
      <c r="D984" s="515">
        <v>4.1651217872647091E-2</v>
      </c>
      <c r="E984" s="516">
        <v>3.7133690186073494E-2</v>
      </c>
      <c r="F984" s="145">
        <v>0.17063158905095871</v>
      </c>
      <c r="G984" s="145">
        <v>2.0057041388692604E-3</v>
      </c>
      <c r="H984" s="517">
        <v>2.0000009999999999E-3</v>
      </c>
      <c r="I984" s="517">
        <v>1.5750004999999997E-2</v>
      </c>
      <c r="J984" s="148">
        <v>2.172504108888613E-3</v>
      </c>
      <c r="K984" s="518">
        <v>1.7547179596488722E-4</v>
      </c>
      <c r="L984" s="519">
        <v>1.8340584936432303E-4</v>
      </c>
    </row>
    <row r="985" spans="1:12" ht="15.5" x14ac:dyDescent="0.35">
      <c r="A985" s="143" t="s">
        <v>888</v>
      </c>
      <c r="B985" s="229">
        <v>2019</v>
      </c>
      <c r="C985" s="514" t="s">
        <v>1873</v>
      </c>
      <c r="D985" s="515">
        <v>4.0564598980245586E-2</v>
      </c>
      <c r="E985" s="516">
        <v>3.0791006524228996E-2</v>
      </c>
      <c r="F985" s="145">
        <v>0.1466538950629494</v>
      </c>
      <c r="G985" s="145">
        <v>1.9649632783111785E-3</v>
      </c>
      <c r="H985" s="517">
        <v>2.0000009999999995E-3</v>
      </c>
      <c r="I985" s="517">
        <v>1.5750005000000001E-2</v>
      </c>
      <c r="J985" s="148">
        <v>2.129507259745058E-3</v>
      </c>
      <c r="K985" s="518">
        <v>1.5891737540956239E-4</v>
      </c>
      <c r="L985" s="519">
        <v>1.6610291849921069E-4</v>
      </c>
    </row>
    <row r="986" spans="1:12" ht="15.5" x14ac:dyDescent="0.35">
      <c r="A986" s="143" t="s">
        <v>888</v>
      </c>
      <c r="B986" s="229">
        <v>2020</v>
      </c>
      <c r="C986" s="514" t="s">
        <v>1874</v>
      </c>
      <c r="D986" s="515">
        <v>3.9452626074600254E-2</v>
      </c>
      <c r="E986" s="516">
        <v>2.6132431834616946E-2</v>
      </c>
      <c r="F986" s="145">
        <v>0.1265062035624831</v>
      </c>
      <c r="G986" s="145">
        <v>1.8950720170244051E-3</v>
      </c>
      <c r="H986" s="517">
        <v>2.0000009999999999E-3</v>
      </c>
      <c r="I986" s="517">
        <v>1.5750005000000001E-2</v>
      </c>
      <c r="J986" s="148">
        <v>2.0543000714223596E-3</v>
      </c>
      <c r="K986" s="518">
        <v>1.4535514034012362E-4</v>
      </c>
      <c r="L986" s="519">
        <v>1.5192745667744922E-4</v>
      </c>
    </row>
    <row r="987" spans="1:12" ht="15.5" x14ac:dyDescent="0.35">
      <c r="A987" s="143" t="s">
        <v>888</v>
      </c>
      <c r="B987" s="229">
        <v>2021</v>
      </c>
      <c r="C987" s="514" t="s">
        <v>1875</v>
      </c>
      <c r="D987" s="515">
        <v>3.8316583674870466E-2</v>
      </c>
      <c r="E987" s="516">
        <v>2.2254157520703897E-2</v>
      </c>
      <c r="F987" s="145">
        <v>0.10910312699935563</v>
      </c>
      <c r="G987" s="145">
        <v>1.7836332264256176E-3</v>
      </c>
      <c r="H987" s="517">
        <v>2.0000010000000004E-3</v>
      </c>
      <c r="I987" s="517">
        <v>1.5750005000000001E-2</v>
      </c>
      <c r="J987" s="148">
        <v>1.9338671008136059E-3</v>
      </c>
      <c r="K987" s="518">
        <v>1.3126322331198629E-4</v>
      </c>
      <c r="L987" s="519">
        <v>1.3719836179986497E-4</v>
      </c>
    </row>
    <row r="988" spans="1:12" ht="15.5" x14ac:dyDescent="0.35">
      <c r="A988" s="143" t="s">
        <v>888</v>
      </c>
      <c r="B988" s="229">
        <v>2022</v>
      </c>
      <c r="C988" s="514" t="s">
        <v>1876</v>
      </c>
      <c r="D988" s="515">
        <v>3.7189052539077616E-2</v>
      </c>
      <c r="E988" s="516">
        <v>1.8258740250758465E-2</v>
      </c>
      <c r="F988" s="145">
        <v>9.368364894174934E-2</v>
      </c>
      <c r="G988" s="145">
        <v>1.6771104151393952E-3</v>
      </c>
      <c r="H988" s="517">
        <v>2.0000009999999999E-3</v>
      </c>
      <c r="I988" s="517">
        <v>1.5750005000000001E-2</v>
      </c>
      <c r="J988" s="148">
        <v>1.8188566935940541E-3</v>
      </c>
      <c r="K988" s="518">
        <v>1.1853177623979001E-4</v>
      </c>
      <c r="L988" s="519">
        <v>1.2389125337780203E-4</v>
      </c>
    </row>
    <row r="989" spans="1:12" ht="15.5" x14ac:dyDescent="0.35">
      <c r="A989" s="143" t="s">
        <v>888</v>
      </c>
      <c r="B989" s="229">
        <v>2023</v>
      </c>
      <c r="C989" s="514" t="s">
        <v>1877</v>
      </c>
      <c r="D989" s="515">
        <v>3.6065468572104686E-2</v>
      </c>
      <c r="E989" s="516">
        <v>1.569930884995727E-2</v>
      </c>
      <c r="F989" s="145">
        <v>8.1451664238151325E-2</v>
      </c>
      <c r="G989" s="145">
        <v>1.5853638454775248E-3</v>
      </c>
      <c r="H989" s="517">
        <v>2.0000009999999999E-3</v>
      </c>
      <c r="I989" s="517">
        <v>1.5750004999999997E-2</v>
      </c>
      <c r="J989" s="148">
        <v>1.7195871626985149E-3</v>
      </c>
      <c r="K989" s="518">
        <v>1.0777118553889864E-4</v>
      </c>
      <c r="L989" s="519">
        <v>1.1264411747171667E-4</v>
      </c>
    </row>
    <row r="990" spans="1:12" ht="15.5" x14ac:dyDescent="0.35">
      <c r="A990" s="143" t="s">
        <v>888</v>
      </c>
      <c r="B990" s="229">
        <v>2024</v>
      </c>
      <c r="C990" s="514" t="s">
        <v>1878</v>
      </c>
      <c r="D990" s="515">
        <v>3.4953971708418484E-2</v>
      </c>
      <c r="E990" s="516">
        <v>1.3465029038830314E-2</v>
      </c>
      <c r="F990" s="145">
        <v>7.1017370620250944E-2</v>
      </c>
      <c r="G990" s="145">
        <v>1.502778038857033E-3</v>
      </c>
      <c r="H990" s="517">
        <v>2.0000010000000004E-3</v>
      </c>
      <c r="I990" s="517">
        <v>1.5750005000000004E-2</v>
      </c>
      <c r="J990" s="148">
        <v>1.6302321864500868E-3</v>
      </c>
      <c r="K990" s="518">
        <v>9.8225275195481165E-5</v>
      </c>
      <c r="L990" s="519">
        <v>1.0266658927994522E-4</v>
      </c>
    </row>
    <row r="991" spans="1:12" ht="15.5" x14ac:dyDescent="0.35">
      <c r="A991" s="143" t="s">
        <v>888</v>
      </c>
      <c r="B991" s="229">
        <v>2025</v>
      </c>
      <c r="C991" s="514" t="s">
        <v>1879</v>
      </c>
      <c r="D991" s="515">
        <v>3.3860691084804724E-2</v>
      </c>
      <c r="E991" s="516">
        <v>1.1798337966942978E-2</v>
      </c>
      <c r="F991" s="145">
        <v>6.2957973772480913E-2</v>
      </c>
      <c r="G991" s="145">
        <v>1.4369770168402021E-3</v>
      </c>
      <c r="H991" s="517">
        <v>2.0000009999999999E-3</v>
      </c>
      <c r="I991" s="517">
        <v>1.5750005000000001E-2</v>
      </c>
      <c r="J991" s="148">
        <v>1.559034323113228E-3</v>
      </c>
      <c r="K991" s="518">
        <v>8.9808649523822793E-5</v>
      </c>
      <c r="L991" s="519">
        <v>9.3869404539018866E-5</v>
      </c>
    </row>
    <row r="992" spans="1:12" ht="15.5" x14ac:dyDescent="0.35">
      <c r="A992" s="143" t="s">
        <v>888</v>
      </c>
      <c r="B992" s="229">
        <v>2026</v>
      </c>
      <c r="C992" s="514" t="s">
        <v>1880</v>
      </c>
      <c r="D992" s="515">
        <v>3.2853751220333537E-2</v>
      </c>
      <c r="E992" s="516">
        <v>1.0403840345474605E-2</v>
      </c>
      <c r="F992" s="145">
        <v>5.6362478721134056E-2</v>
      </c>
      <c r="G992" s="145">
        <v>1.3711816983133956E-3</v>
      </c>
      <c r="H992" s="517">
        <v>2.0000009999999999E-3</v>
      </c>
      <c r="I992" s="517">
        <v>1.5750004999999997E-2</v>
      </c>
      <c r="J992" s="148">
        <v>1.4877833758812338E-3</v>
      </c>
      <c r="K992" s="518">
        <v>8.2610842870363386E-5</v>
      </c>
      <c r="L992" s="519">
        <v>8.6346131070092364E-5</v>
      </c>
    </row>
    <row r="993" spans="1:12" ht="15.5" x14ac:dyDescent="0.35">
      <c r="A993" s="143" t="s">
        <v>888</v>
      </c>
      <c r="B993" s="229">
        <v>2027</v>
      </c>
      <c r="C993" s="514" t="s">
        <v>1881</v>
      </c>
      <c r="D993" s="515">
        <v>3.1922112069193549E-2</v>
      </c>
      <c r="E993" s="516">
        <v>9.2164000106381046E-3</v>
      </c>
      <c r="F993" s="145">
        <v>5.0783270640828104E-2</v>
      </c>
      <c r="G993" s="145">
        <v>1.2951651165905788E-3</v>
      </c>
      <c r="H993" s="517">
        <v>2.0000009999999999E-3</v>
      </c>
      <c r="I993" s="517">
        <v>1.5750005000000001E-2</v>
      </c>
      <c r="J993" s="148">
        <v>1.4055144105474203E-3</v>
      </c>
      <c r="K993" s="518">
        <v>7.3047241591664839E-5</v>
      </c>
      <c r="L993" s="519">
        <v>7.6350115528439529E-5</v>
      </c>
    </row>
    <row r="994" spans="1:12" ht="15.5" x14ac:dyDescent="0.35">
      <c r="A994" s="143" t="s">
        <v>888</v>
      </c>
      <c r="B994" s="229">
        <v>2028</v>
      </c>
      <c r="C994" s="514" t="s">
        <v>1882</v>
      </c>
      <c r="D994" s="515">
        <v>3.1072644799843393E-2</v>
      </c>
      <c r="E994" s="516">
        <v>8.2251081932409476E-3</v>
      </c>
      <c r="F994" s="145">
        <v>4.6100663181322318E-2</v>
      </c>
      <c r="G994" s="145">
        <v>1.2080830183200456E-3</v>
      </c>
      <c r="H994" s="517">
        <v>2.0000009999999995E-3</v>
      </c>
      <c r="I994" s="517">
        <v>1.5750005000000001E-2</v>
      </c>
      <c r="J994" s="148">
        <v>1.3113902324601693E-3</v>
      </c>
      <c r="K994" s="518">
        <v>5.9233480830169721E-5</v>
      </c>
      <c r="L994" s="519">
        <v>6.191175746240058E-5</v>
      </c>
    </row>
    <row r="995" spans="1:12" ht="15.5" x14ac:dyDescent="0.35">
      <c r="A995" s="143" t="s">
        <v>888</v>
      </c>
      <c r="B995" s="229">
        <v>2029</v>
      </c>
      <c r="C995" s="514" t="s">
        <v>1883</v>
      </c>
      <c r="D995" s="515">
        <v>3.0297949899348826E-2</v>
      </c>
      <c r="E995" s="516">
        <v>7.3282840517162337E-3</v>
      </c>
      <c r="F995" s="145">
        <v>4.1983459325227165E-2</v>
      </c>
      <c r="G995" s="145">
        <v>1.1273276925266376E-3</v>
      </c>
      <c r="H995" s="517">
        <v>2.0000009999999999E-3</v>
      </c>
      <c r="I995" s="517">
        <v>1.5750005000000001E-2</v>
      </c>
      <c r="J995" s="148">
        <v>1.2239658957926484E-3</v>
      </c>
      <c r="K995" s="518">
        <v>4.9699330502966811E-5</v>
      </c>
      <c r="L995" s="519">
        <v>5.1946513462618791E-5</v>
      </c>
    </row>
    <row r="996" spans="1:12" ht="15.5" x14ac:dyDescent="0.35">
      <c r="A996" s="143" t="s">
        <v>888</v>
      </c>
      <c r="B996" s="229">
        <v>2030</v>
      </c>
      <c r="C996" s="514" t="s">
        <v>1884</v>
      </c>
      <c r="D996" s="515">
        <v>2.9596252716201515E-2</v>
      </c>
      <c r="E996" s="516">
        <v>6.6011244727841034E-3</v>
      </c>
      <c r="F996" s="145">
        <v>3.8612450001335868E-2</v>
      </c>
      <c r="G996" s="145">
        <v>1.055565804611604E-3</v>
      </c>
      <c r="H996" s="517">
        <v>2.0000009999999999E-3</v>
      </c>
      <c r="I996" s="517">
        <v>1.5750004999999997E-2</v>
      </c>
      <c r="J996" s="148">
        <v>1.146147121530577E-3</v>
      </c>
      <c r="K996" s="518">
        <v>4.4294174704659471E-5</v>
      </c>
      <c r="L996" s="519">
        <v>4.6296959513951866E-5</v>
      </c>
    </row>
    <row r="997" spans="1:12" ht="15.5" x14ac:dyDescent="0.35">
      <c r="A997" s="143" t="s">
        <v>888</v>
      </c>
      <c r="B997" s="229">
        <v>2031</v>
      </c>
      <c r="C997" s="514" t="s">
        <v>1885</v>
      </c>
      <c r="D997" s="515">
        <v>2.8962575513845391E-2</v>
      </c>
      <c r="E997" s="516">
        <v>5.9576171271932873E-3</v>
      </c>
      <c r="F997" s="145">
        <v>3.5683143689468573E-2</v>
      </c>
      <c r="G997" s="145">
        <v>9.8958579479393105E-4</v>
      </c>
      <c r="H997" s="517">
        <v>2.0000010000000004E-3</v>
      </c>
      <c r="I997" s="517">
        <v>1.5750005000000001E-2</v>
      </c>
      <c r="J997" s="148">
        <v>1.0745376623341582E-3</v>
      </c>
      <c r="K997" s="518">
        <v>4.0752258493996104E-5</v>
      </c>
      <c r="L997" s="519">
        <v>4.2594897938836207E-5</v>
      </c>
    </row>
    <row r="998" spans="1:12" ht="15.5" x14ac:dyDescent="0.35">
      <c r="A998" s="143" t="s">
        <v>888</v>
      </c>
      <c r="B998" s="229">
        <v>2032</v>
      </c>
      <c r="C998" s="514" t="s">
        <v>1886</v>
      </c>
      <c r="D998" s="515">
        <v>2.8394051674246083E-2</v>
      </c>
      <c r="E998" s="516">
        <v>5.402160035538269E-3</v>
      </c>
      <c r="F998" s="145">
        <v>3.3222926014873165E-2</v>
      </c>
      <c r="G998" s="145">
        <v>9.2885336609666426E-4</v>
      </c>
      <c r="H998" s="517">
        <v>2.0000009999999999E-3</v>
      </c>
      <c r="I998" s="517">
        <v>1.5750004999999997E-2</v>
      </c>
      <c r="J998" s="148">
        <v>1.0086099254813412E-3</v>
      </c>
      <c r="K998" s="518">
        <v>3.7836119012716005E-5</v>
      </c>
      <c r="L998" s="519">
        <v>3.9546898763045009E-5</v>
      </c>
    </row>
    <row r="999" spans="1:12" ht="15.5" x14ac:dyDescent="0.35">
      <c r="A999" s="143" t="s">
        <v>888</v>
      </c>
      <c r="B999" s="229">
        <v>2033</v>
      </c>
      <c r="C999" s="514" t="s">
        <v>1887</v>
      </c>
      <c r="D999" s="515">
        <v>2.7886507825708888E-2</v>
      </c>
      <c r="E999" s="516">
        <v>4.9124703126696761E-3</v>
      </c>
      <c r="F999" s="145">
        <v>3.1142752471604366E-2</v>
      </c>
      <c r="G999" s="145">
        <v>8.7283873771395342E-4</v>
      </c>
      <c r="H999" s="517">
        <v>2.0000009999999999E-3</v>
      </c>
      <c r="I999" s="517">
        <v>1.5750005000000001E-2</v>
      </c>
      <c r="J999" s="148">
        <v>9.4779280618759003E-4</v>
      </c>
      <c r="K999" s="518">
        <v>3.5377381537094192E-5</v>
      </c>
      <c r="L999" s="519">
        <v>3.6976988361966082E-5</v>
      </c>
    </row>
    <row r="1000" spans="1:12" ht="15.5" x14ac:dyDescent="0.35">
      <c r="A1000" s="143" t="s">
        <v>888</v>
      </c>
      <c r="B1000" s="229">
        <v>2034</v>
      </c>
      <c r="C1000" s="514" t="s">
        <v>1888</v>
      </c>
      <c r="D1000" s="515">
        <v>2.7432636768011942E-2</v>
      </c>
      <c r="E1000" s="516">
        <v>4.4806389917382439E-3</v>
      </c>
      <c r="F1000" s="145">
        <v>2.9381443697830086E-2</v>
      </c>
      <c r="G1000" s="145">
        <v>8.2148292717337628E-4</v>
      </c>
      <c r="H1000" s="517">
        <v>2.0000009999999999E-3</v>
      </c>
      <c r="I1000" s="517">
        <v>1.5750005000000001E-2</v>
      </c>
      <c r="J1000" s="148">
        <v>8.9203373307103484E-4</v>
      </c>
      <c r="K1000" s="518">
        <v>3.3138140171315412E-5</v>
      </c>
      <c r="L1000" s="519">
        <v>3.4636507945156576E-5</v>
      </c>
    </row>
    <row r="1001" spans="1:12" ht="15.5" x14ac:dyDescent="0.35">
      <c r="A1001" s="143" t="s">
        <v>888</v>
      </c>
      <c r="B1001" s="229">
        <v>2035</v>
      </c>
      <c r="C1001" s="514" t="s">
        <v>1889</v>
      </c>
      <c r="D1001" s="515">
        <v>2.7030889527305701E-2</v>
      </c>
      <c r="E1001" s="516">
        <v>4.0979037603794339E-3</v>
      </c>
      <c r="F1001" s="145">
        <v>2.7902510847996394E-2</v>
      </c>
      <c r="G1001" s="145">
        <v>7.7050270493176927E-4</v>
      </c>
      <c r="H1001" s="517">
        <v>2.0000009999999999E-3</v>
      </c>
      <c r="I1001" s="517">
        <v>1.5750005000000004E-2</v>
      </c>
      <c r="J1001" s="148">
        <v>8.3684952155970902E-4</v>
      </c>
      <c r="K1001" s="518">
        <v>2.6957727610736733E-5</v>
      </c>
      <c r="L1001" s="519">
        <v>2.81766341193738E-5</v>
      </c>
    </row>
    <row r="1002" spans="1:12" ht="15.5" x14ac:dyDescent="0.35">
      <c r="A1002" s="143" t="s">
        <v>888</v>
      </c>
      <c r="B1002" s="229">
        <v>2036</v>
      </c>
      <c r="C1002" s="514" t="s">
        <v>1890</v>
      </c>
      <c r="D1002" s="515">
        <v>2.667644425470525E-2</v>
      </c>
      <c r="E1002" s="516">
        <v>3.760530843865806E-3</v>
      </c>
      <c r="F1002" s="145">
        <v>2.6624402796443233E-2</v>
      </c>
      <c r="G1002" s="145">
        <v>7.3016522926371951E-4</v>
      </c>
      <c r="H1002" s="517">
        <v>2.0000009999999999E-3</v>
      </c>
      <c r="I1002" s="517">
        <v>1.5750005000000001E-2</v>
      </c>
      <c r="J1002" s="148">
        <v>7.9304075352130087E-4</v>
      </c>
      <c r="K1002" s="518">
        <v>2.5491971724853073E-5</v>
      </c>
      <c r="L1002" s="519">
        <v>2.6644608764560609E-5</v>
      </c>
    </row>
    <row r="1003" spans="1:12" ht="15.5" x14ac:dyDescent="0.35">
      <c r="A1003" s="143" t="s">
        <v>888</v>
      </c>
      <c r="B1003" s="229">
        <v>2037</v>
      </c>
      <c r="C1003" s="514" t="s">
        <v>1891</v>
      </c>
      <c r="D1003" s="515">
        <v>2.6367777231524062E-2</v>
      </c>
      <c r="E1003" s="516">
        <v>3.4673309955457286E-3</v>
      </c>
      <c r="F1003" s="145">
        <v>2.555005505976744E-2</v>
      </c>
      <c r="G1003" s="145">
        <v>6.9380459211563681E-4</v>
      </c>
      <c r="H1003" s="517">
        <v>2.0000010000000004E-3</v>
      </c>
      <c r="I1003" s="517">
        <v>1.5750005000000001E-2</v>
      </c>
      <c r="J1003" s="148">
        <v>7.5356458985890073E-4</v>
      </c>
      <c r="K1003" s="518">
        <v>2.3865966031319841E-5</v>
      </c>
      <c r="L1003" s="519">
        <v>2.4945079577817323E-5</v>
      </c>
    </row>
    <row r="1004" spans="1:12" ht="15.5" x14ac:dyDescent="0.35">
      <c r="A1004" s="143" t="s">
        <v>888</v>
      </c>
      <c r="B1004" s="229">
        <v>2038</v>
      </c>
      <c r="C1004" s="514" t="s">
        <v>1892</v>
      </c>
      <c r="D1004" s="515">
        <v>2.6100505844184295E-2</v>
      </c>
      <c r="E1004" s="516">
        <v>3.1992845146818615E-3</v>
      </c>
      <c r="F1004" s="145">
        <v>2.4561473060813618E-2</v>
      </c>
      <c r="G1004" s="145">
        <v>6.6162826258790025E-4</v>
      </c>
      <c r="H1004" s="517">
        <v>2.0000009999999999E-3</v>
      </c>
      <c r="I1004" s="517">
        <v>1.5750005000000001E-2</v>
      </c>
      <c r="J1004" s="148">
        <v>7.1861840973092505E-4</v>
      </c>
      <c r="K1004" s="518">
        <v>2.2727047206662845E-5</v>
      </c>
      <c r="L1004" s="519">
        <v>2.3754667630904289E-5</v>
      </c>
    </row>
    <row r="1005" spans="1:12" ht="15.5" x14ac:dyDescent="0.35">
      <c r="A1005" s="143" t="s">
        <v>888</v>
      </c>
      <c r="B1005" s="229">
        <v>2039</v>
      </c>
      <c r="C1005" s="514" t="s">
        <v>1893</v>
      </c>
      <c r="D1005" s="515">
        <v>2.5868161548070236E-2</v>
      </c>
      <c r="E1005" s="516">
        <v>2.9479878196115882E-3</v>
      </c>
      <c r="F1005" s="145">
        <v>2.3644192138907703E-2</v>
      </c>
      <c r="G1005" s="145">
        <v>6.3307323069709961E-4</v>
      </c>
      <c r="H1005" s="517">
        <v>2.0000010000000004E-3</v>
      </c>
      <c r="I1005" s="517">
        <v>1.5750005000000001E-2</v>
      </c>
      <c r="J1005" s="148">
        <v>6.8760119072515608E-4</v>
      </c>
      <c r="K1005" s="518">
        <v>2.1810499257831762E-5</v>
      </c>
      <c r="L1005" s="519">
        <v>2.2796676154931714E-5</v>
      </c>
    </row>
    <row r="1006" spans="1:12" ht="15.5" x14ac:dyDescent="0.35">
      <c r="A1006" s="143" t="s">
        <v>888</v>
      </c>
      <c r="B1006" s="229">
        <v>2040</v>
      </c>
      <c r="C1006" s="514" t="s">
        <v>1894</v>
      </c>
      <c r="D1006" s="515">
        <v>2.5667880806766765E-2</v>
      </c>
      <c r="E1006" s="516">
        <v>2.7286601629487942E-3</v>
      </c>
      <c r="F1006" s="145">
        <v>2.2891223474991625E-2</v>
      </c>
      <c r="G1006" s="145">
        <v>6.0812592902901458E-4</v>
      </c>
      <c r="H1006" s="517">
        <v>2.0000009999999999E-3</v>
      </c>
      <c r="I1006" s="517">
        <v>1.5750005000000004E-2</v>
      </c>
      <c r="J1006" s="148">
        <v>6.6050066839376889E-4</v>
      </c>
      <c r="K1006" s="518">
        <v>2.1034325528331384E-5</v>
      </c>
      <c r="L1006" s="519">
        <v>2.198540351259244E-5</v>
      </c>
    </row>
    <row r="1007" spans="1:12" ht="15.5" x14ac:dyDescent="0.35">
      <c r="A1007" s="143" t="s">
        <v>888</v>
      </c>
      <c r="B1007" s="229">
        <v>2041</v>
      </c>
      <c r="C1007" s="514" t="s">
        <v>1895</v>
      </c>
      <c r="D1007" s="515">
        <v>2.5497394973821506E-2</v>
      </c>
      <c r="E1007" s="516">
        <v>2.5547822528981063E-3</v>
      </c>
      <c r="F1007" s="145">
        <v>2.2270711075262808E-2</v>
      </c>
      <c r="G1007" s="145">
        <v>5.8877201478735211E-4</v>
      </c>
      <c r="H1007" s="517">
        <v>2.0000010000000004E-3</v>
      </c>
      <c r="I1007" s="517">
        <v>1.5750005000000004E-2</v>
      </c>
      <c r="J1007" s="148">
        <v>6.3947885090271631E-4</v>
      </c>
      <c r="K1007" s="518">
        <v>2.0393010612188255E-5</v>
      </c>
      <c r="L1007" s="519">
        <v>2.1315093247230285E-5</v>
      </c>
    </row>
    <row r="1008" spans="1:12" ht="15.5" x14ac:dyDescent="0.35">
      <c r="A1008" s="143" t="s">
        <v>888</v>
      </c>
      <c r="B1008" s="229">
        <v>2042</v>
      </c>
      <c r="C1008" s="514" t="s">
        <v>1896</v>
      </c>
      <c r="D1008" s="515">
        <v>2.5349857401218031E-2</v>
      </c>
      <c r="E1008" s="516">
        <v>2.4054418532648346E-3</v>
      </c>
      <c r="F1008" s="145">
        <v>2.1696780553961938E-2</v>
      </c>
      <c r="G1008" s="145">
        <v>5.7215535573841992E-4</v>
      </c>
      <c r="H1008" s="517">
        <v>2.0000010000000004E-3</v>
      </c>
      <c r="I1008" s="517">
        <v>1.5750005000000001E-2</v>
      </c>
      <c r="J1008" s="148">
        <v>6.2142910280385967E-4</v>
      </c>
      <c r="K1008" s="518">
        <v>1.986599756630484E-5</v>
      </c>
      <c r="L1008" s="519">
        <v>2.0764252233006728E-5</v>
      </c>
    </row>
    <row r="1009" spans="1:12" ht="15.5" x14ac:dyDescent="0.35">
      <c r="A1009" s="143" t="s">
        <v>888</v>
      </c>
      <c r="B1009" s="229">
        <v>2043</v>
      </c>
      <c r="C1009" s="514" t="s">
        <v>1897</v>
      </c>
      <c r="D1009" s="515">
        <v>2.5224427752561448E-2</v>
      </c>
      <c r="E1009" s="516">
        <v>2.2871647224279382E-3</v>
      </c>
      <c r="F1009" s="145">
        <v>2.1239579723721789E-2</v>
      </c>
      <c r="G1009" s="145">
        <v>5.5790206432805849E-4</v>
      </c>
      <c r="H1009" s="517">
        <v>2.0000009999999999E-3</v>
      </c>
      <c r="I1009" s="517">
        <v>1.5750004999999997E-2</v>
      </c>
      <c r="J1009" s="148">
        <v>6.0594916581700937E-4</v>
      </c>
      <c r="K1009" s="518">
        <v>1.9360589635914649E-5</v>
      </c>
      <c r="L1009" s="519">
        <v>2.0235984079666671E-5</v>
      </c>
    </row>
    <row r="1010" spans="1:12" ht="15.5" x14ac:dyDescent="0.35">
      <c r="A1010" s="143" t="s">
        <v>888</v>
      </c>
      <c r="B1010" s="229">
        <v>2044</v>
      </c>
      <c r="C1010" s="514" t="s">
        <v>1898</v>
      </c>
      <c r="D1010" s="515">
        <v>2.5117027139763767E-2</v>
      </c>
      <c r="E1010" s="516">
        <v>2.203593666653317E-3</v>
      </c>
      <c r="F1010" s="145">
        <v>2.0901905993870963E-2</v>
      </c>
      <c r="G1010" s="145">
        <v>5.457397551951402E-4</v>
      </c>
      <c r="H1010" s="517">
        <v>2.0000010000000004E-3</v>
      </c>
      <c r="I1010" s="517">
        <v>1.5750005000000001E-2</v>
      </c>
      <c r="J1010" s="148">
        <v>5.9274481978850452E-4</v>
      </c>
      <c r="K1010" s="518">
        <v>1.8807663140091032E-5</v>
      </c>
      <c r="L1010" s="519">
        <v>1.9658059621090939E-5</v>
      </c>
    </row>
    <row r="1011" spans="1:12" ht="15.5" x14ac:dyDescent="0.35">
      <c r="A1011" s="143" t="s">
        <v>888</v>
      </c>
      <c r="B1011" s="229">
        <v>2045</v>
      </c>
      <c r="C1011" s="514" t="s">
        <v>1899</v>
      </c>
      <c r="D1011" s="515">
        <v>2.5023166911595302E-2</v>
      </c>
      <c r="E1011" s="516">
        <v>2.1468205378891913E-3</v>
      </c>
      <c r="F1011" s="145">
        <v>2.067538859894039E-2</v>
      </c>
      <c r="G1011" s="145">
        <v>5.3556074159756323E-4</v>
      </c>
      <c r="H1011" s="517">
        <v>2.0000009999999999E-3</v>
      </c>
      <c r="I1011" s="517">
        <v>1.5750004999999997E-2</v>
      </c>
      <c r="J1011" s="148">
        <v>5.81687649552684E-4</v>
      </c>
      <c r="K1011" s="518">
        <v>1.8498910767858044E-5</v>
      </c>
      <c r="L1011" s="519">
        <v>1.933535212963309E-5</v>
      </c>
    </row>
    <row r="1012" spans="1:12" ht="15.5" x14ac:dyDescent="0.35">
      <c r="A1012" s="143" t="s">
        <v>888</v>
      </c>
      <c r="B1012" s="229">
        <v>2046</v>
      </c>
      <c r="C1012" s="514" t="s">
        <v>1900</v>
      </c>
      <c r="D1012" s="515">
        <v>2.4942508638387845E-2</v>
      </c>
      <c r="E1012" s="516">
        <v>2.0957357486424523E-3</v>
      </c>
      <c r="F1012" s="145">
        <v>2.0481330563810615E-2</v>
      </c>
      <c r="G1012" s="145">
        <v>5.2698471163402144E-4</v>
      </c>
      <c r="H1012" s="517">
        <v>2.0000009999999999E-3</v>
      </c>
      <c r="I1012" s="517">
        <v>1.5750004999999997E-2</v>
      </c>
      <c r="J1012" s="148">
        <v>5.7237071664848177E-4</v>
      </c>
      <c r="K1012" s="518">
        <v>1.8253307680247819E-5</v>
      </c>
      <c r="L1012" s="519">
        <v>1.9078641816627161E-5</v>
      </c>
    </row>
    <row r="1013" spans="1:12" ht="15.5" x14ac:dyDescent="0.35">
      <c r="A1013" s="143" t="s">
        <v>888</v>
      </c>
      <c r="B1013" s="229">
        <v>2047</v>
      </c>
      <c r="C1013" s="514" t="s">
        <v>1901</v>
      </c>
      <c r="D1013" s="515">
        <v>2.4874571227871581E-2</v>
      </c>
      <c r="E1013" s="516">
        <v>2.05117873051427E-3</v>
      </c>
      <c r="F1013" s="145">
        <v>2.0305531485075731E-2</v>
      </c>
      <c r="G1013" s="145">
        <v>5.1979561635070255E-4</v>
      </c>
      <c r="H1013" s="517">
        <v>2.0000009999999999E-3</v>
      </c>
      <c r="I1013" s="517">
        <v>1.5750005000000001E-2</v>
      </c>
      <c r="J1013" s="148">
        <v>5.6456292197046547E-4</v>
      </c>
      <c r="K1013" s="518">
        <v>1.7989848752393573E-5</v>
      </c>
      <c r="L1013" s="519">
        <v>1.8803275499513315E-5</v>
      </c>
    </row>
    <row r="1014" spans="1:12" ht="15.5" x14ac:dyDescent="0.35">
      <c r="A1014" s="143" t="s">
        <v>888</v>
      </c>
      <c r="B1014" s="229">
        <v>2048</v>
      </c>
      <c r="C1014" s="514" t="s">
        <v>1902</v>
      </c>
      <c r="D1014" s="515">
        <v>2.4817494409664829E-2</v>
      </c>
      <c r="E1014" s="516">
        <v>2.0149899020555722E-3</v>
      </c>
      <c r="F1014" s="145">
        <v>2.0158445014307486E-2</v>
      </c>
      <c r="G1014" s="145">
        <v>5.1369839190473548E-4</v>
      </c>
      <c r="H1014" s="517">
        <v>2.0000009999999999E-3</v>
      </c>
      <c r="I1014" s="517">
        <v>1.5750005000000001E-2</v>
      </c>
      <c r="J1014" s="148">
        <v>5.5794557413145691E-4</v>
      </c>
      <c r="K1014" s="518">
        <v>1.7659099016277746E-5</v>
      </c>
      <c r="L1014" s="519">
        <v>1.8457568478011368E-5</v>
      </c>
    </row>
    <row r="1015" spans="1:12" ht="15.5" x14ac:dyDescent="0.35">
      <c r="A1015" s="143" t="s">
        <v>888</v>
      </c>
      <c r="B1015" s="229">
        <v>2049</v>
      </c>
      <c r="C1015" s="514" t="s">
        <v>1903</v>
      </c>
      <c r="D1015" s="515">
        <v>2.4768015926696155E-2</v>
      </c>
      <c r="E1015" s="516">
        <v>2.001322827076209E-3</v>
      </c>
      <c r="F1015" s="145">
        <v>2.0156473952118711E-2</v>
      </c>
      <c r="G1015" s="145">
        <v>5.0995227278731394E-4</v>
      </c>
      <c r="H1015" s="517">
        <v>2.0000009999999999E-3</v>
      </c>
      <c r="I1015" s="517">
        <v>1.5750004999999997E-2</v>
      </c>
      <c r="J1015" s="148">
        <v>5.5387902144775282E-4</v>
      </c>
      <c r="K1015" s="518">
        <v>1.7481353944181148E-5</v>
      </c>
      <c r="L1015" s="519">
        <v>1.8271788103199751E-5</v>
      </c>
    </row>
    <row r="1016" spans="1:12" ht="15.5" x14ac:dyDescent="0.35">
      <c r="A1016" s="143" t="s">
        <v>888</v>
      </c>
      <c r="B1016" s="229">
        <v>2050</v>
      </c>
      <c r="C1016" s="514" t="s">
        <v>1904</v>
      </c>
      <c r="D1016" s="515">
        <v>2.4726788474580246E-2</v>
      </c>
      <c r="E1016" s="516">
        <v>1.9906472365947394E-3</v>
      </c>
      <c r="F1016" s="145">
        <v>2.015886734305445E-2</v>
      </c>
      <c r="G1016" s="145">
        <v>5.068345048792588E-4</v>
      </c>
      <c r="H1016" s="517">
        <v>2.0000009999999999E-3</v>
      </c>
      <c r="I1016" s="517">
        <v>1.5750005000000001E-2</v>
      </c>
      <c r="J1016" s="148">
        <v>5.5049767133250342E-4</v>
      </c>
      <c r="K1016" s="518">
        <v>1.7251810948405031E-5</v>
      </c>
      <c r="L1016" s="519">
        <v>1.803186190713527E-5</v>
      </c>
    </row>
    <row r="1017" spans="1:12" ht="15.5" x14ac:dyDescent="0.35">
      <c r="A1017" s="143" t="s">
        <v>891</v>
      </c>
      <c r="B1017" s="229">
        <v>2015</v>
      </c>
      <c r="C1017" s="514" t="s">
        <v>892</v>
      </c>
      <c r="D1017" s="515">
        <v>4.5925872753083394E-2</v>
      </c>
      <c r="E1017" s="516">
        <v>7.7652718992848965E-2</v>
      </c>
      <c r="F1017" s="145">
        <v>0.27102430641181313</v>
      </c>
      <c r="G1017" s="145">
        <v>2.7065496535017522E-3</v>
      </c>
      <c r="H1017" s="517">
        <v>2.0000009999999995E-3</v>
      </c>
      <c r="I1017" s="517">
        <v>1.5750005000000001E-2</v>
      </c>
      <c r="J1017" s="148">
        <v>2.9264497601559068E-3</v>
      </c>
      <c r="K1017" s="518">
        <v>2.8368037101879947E-4</v>
      </c>
      <c r="L1017" s="519">
        <v>2.9650713423099795E-4</v>
      </c>
    </row>
    <row r="1018" spans="1:12" ht="15.5" x14ac:dyDescent="0.35">
      <c r="A1018" s="143" t="s">
        <v>891</v>
      </c>
      <c r="B1018" s="229">
        <v>2016</v>
      </c>
      <c r="C1018" s="514" t="s">
        <v>893</v>
      </c>
      <c r="D1018" s="515">
        <v>4.5000240672345773E-2</v>
      </c>
      <c r="E1018" s="516">
        <v>6.3796353903091976E-2</v>
      </c>
      <c r="F1018" s="145">
        <v>0.23069680894381697</v>
      </c>
      <c r="G1018" s="145">
        <v>2.4474865949476753E-3</v>
      </c>
      <c r="H1018" s="517">
        <v>2.0000009999999999E-3</v>
      </c>
      <c r="I1018" s="517">
        <v>1.5750005000000001E-2</v>
      </c>
      <c r="J1018" s="148">
        <v>2.6495534951373688E-3</v>
      </c>
      <c r="K1018" s="518">
        <v>2.1286571887681752E-4</v>
      </c>
      <c r="L1018" s="519">
        <v>2.2249056186148658E-4</v>
      </c>
    </row>
    <row r="1019" spans="1:12" ht="15.5" x14ac:dyDescent="0.35">
      <c r="A1019" s="143" t="s">
        <v>891</v>
      </c>
      <c r="B1019" s="229">
        <v>2017</v>
      </c>
      <c r="C1019" s="514" t="s">
        <v>1905</v>
      </c>
      <c r="D1019" s="515">
        <v>4.3919113856216191E-2</v>
      </c>
      <c r="E1019" s="516">
        <v>5.3380075886456699E-2</v>
      </c>
      <c r="F1019" s="145">
        <v>0.19819522940066447</v>
      </c>
      <c r="G1019" s="145">
        <v>2.3217001398028242E-3</v>
      </c>
      <c r="H1019" s="517">
        <v>2.0000010000000004E-3</v>
      </c>
      <c r="I1019" s="517">
        <v>1.5750005000000004E-2</v>
      </c>
      <c r="J1019" s="148">
        <v>2.5147537688134164E-3</v>
      </c>
      <c r="K1019" s="518">
        <v>1.9299700992549305E-4</v>
      </c>
      <c r="L1019" s="519">
        <v>2.0172348508772938E-4</v>
      </c>
    </row>
    <row r="1020" spans="1:12" ht="15.5" x14ac:dyDescent="0.35">
      <c r="A1020" s="143" t="s">
        <v>891</v>
      </c>
      <c r="B1020" s="229">
        <v>2018</v>
      </c>
      <c r="C1020" s="514" t="s">
        <v>1906</v>
      </c>
      <c r="D1020" s="515">
        <v>4.2954060114056704E-2</v>
      </c>
      <c r="E1020" s="516">
        <v>4.4498012959778975E-2</v>
      </c>
      <c r="F1020" s="145">
        <v>0.16985423426702667</v>
      </c>
      <c r="G1020" s="145">
        <v>2.2418761873954172E-3</v>
      </c>
      <c r="H1020" s="517">
        <v>2.0000009999999999E-3</v>
      </c>
      <c r="I1020" s="517">
        <v>1.5750004999999997E-2</v>
      </c>
      <c r="J1020" s="148">
        <v>2.4295255064442573E-3</v>
      </c>
      <c r="K1020" s="518">
        <v>1.7646976609451775E-4</v>
      </c>
      <c r="L1020" s="519">
        <v>1.8444894476693161E-4</v>
      </c>
    </row>
    <row r="1021" spans="1:12" ht="15.5" x14ac:dyDescent="0.35">
      <c r="A1021" s="143" t="s">
        <v>891</v>
      </c>
      <c r="B1021" s="229">
        <v>2019</v>
      </c>
      <c r="C1021" s="514" t="s">
        <v>1907</v>
      </c>
      <c r="D1021" s="515">
        <v>4.1736148767419629E-2</v>
      </c>
      <c r="E1021" s="516">
        <v>3.6949041147676727E-2</v>
      </c>
      <c r="F1021" s="145">
        <v>0.1454514446311338</v>
      </c>
      <c r="G1021" s="145">
        <v>2.1846236716683743E-3</v>
      </c>
      <c r="H1021" s="517">
        <v>2.0000009999999999E-3</v>
      </c>
      <c r="I1021" s="517">
        <v>1.5750005000000001E-2</v>
      </c>
      <c r="J1021" s="148">
        <v>2.3684842298644843E-3</v>
      </c>
      <c r="K1021" s="518">
        <v>1.6331269822601134E-4</v>
      </c>
      <c r="L1021" s="519">
        <v>1.7069697274580737E-4</v>
      </c>
    </row>
    <row r="1022" spans="1:12" ht="15.5" x14ac:dyDescent="0.35">
      <c r="A1022" s="143" t="s">
        <v>891</v>
      </c>
      <c r="B1022" s="229">
        <v>2020</v>
      </c>
      <c r="C1022" s="514" t="s">
        <v>1908</v>
      </c>
      <c r="D1022" s="515">
        <v>4.0492816426718273E-2</v>
      </c>
      <c r="E1022" s="516">
        <v>3.1339534815076391E-2</v>
      </c>
      <c r="F1022" s="145">
        <v>0.12495349401690803</v>
      </c>
      <c r="G1022" s="145">
        <v>2.1096198163216718E-3</v>
      </c>
      <c r="H1022" s="517">
        <v>2.0000009999999999E-3</v>
      </c>
      <c r="I1022" s="517">
        <v>1.5750005000000001E-2</v>
      </c>
      <c r="J1022" s="148">
        <v>2.287583795344595E-3</v>
      </c>
      <c r="K1022" s="518">
        <v>1.520428906464561E-4</v>
      </c>
      <c r="L1022" s="519">
        <v>1.589175918279861E-4</v>
      </c>
    </row>
    <row r="1023" spans="1:12" ht="15.5" x14ac:dyDescent="0.35">
      <c r="A1023" s="143" t="s">
        <v>891</v>
      </c>
      <c r="B1023" s="229">
        <v>2021</v>
      </c>
      <c r="C1023" s="514" t="s">
        <v>1909</v>
      </c>
      <c r="D1023" s="515">
        <v>3.9341535896291455E-2</v>
      </c>
      <c r="E1023" s="516">
        <v>2.6878208538927726E-2</v>
      </c>
      <c r="F1023" s="145">
        <v>0.10763203745245577</v>
      </c>
      <c r="G1023" s="145">
        <v>2.0066429668973936E-3</v>
      </c>
      <c r="H1023" s="517">
        <v>2.0000009999999999E-3</v>
      </c>
      <c r="I1023" s="517">
        <v>1.5750005000000001E-2</v>
      </c>
      <c r="J1023" s="148">
        <v>2.1762042543620199E-3</v>
      </c>
      <c r="K1023" s="518">
        <v>1.4008200551104733E-4</v>
      </c>
      <c r="L1023" s="519">
        <v>1.4641589499734189E-4</v>
      </c>
    </row>
    <row r="1024" spans="1:12" ht="15.5" x14ac:dyDescent="0.35">
      <c r="A1024" s="143" t="s">
        <v>891</v>
      </c>
      <c r="B1024" s="229">
        <v>2022</v>
      </c>
      <c r="C1024" s="514" t="s">
        <v>1910</v>
      </c>
      <c r="D1024" s="515">
        <v>3.8093660253701409E-2</v>
      </c>
      <c r="E1024" s="516">
        <v>2.2730320506739354E-2</v>
      </c>
      <c r="F1024" s="145">
        <v>9.2794090356651038E-2</v>
      </c>
      <c r="G1024" s="145">
        <v>1.9023238567238043E-3</v>
      </c>
      <c r="H1024" s="517">
        <v>2.0000010000000004E-3</v>
      </c>
      <c r="I1024" s="517">
        <v>1.5750005000000004E-2</v>
      </c>
      <c r="J1024" s="148">
        <v>2.0634173192782845E-3</v>
      </c>
      <c r="K1024" s="518">
        <v>1.2861044279501163E-4</v>
      </c>
      <c r="L1024" s="519">
        <v>1.3442563106573672E-4</v>
      </c>
    </row>
    <row r="1025" spans="1:12" ht="15.5" x14ac:dyDescent="0.35">
      <c r="A1025" s="143" t="s">
        <v>891</v>
      </c>
      <c r="B1025" s="229">
        <v>2023</v>
      </c>
      <c r="C1025" s="514" t="s">
        <v>1911</v>
      </c>
      <c r="D1025" s="515">
        <v>3.6859359112904652E-2</v>
      </c>
      <c r="E1025" s="516">
        <v>1.9625098938923165E-2</v>
      </c>
      <c r="F1025" s="145">
        <v>8.0647445580520727E-2</v>
      </c>
      <c r="G1025" s="145">
        <v>1.8068090088927352E-3</v>
      </c>
      <c r="H1025" s="517">
        <v>2.0000009999999995E-3</v>
      </c>
      <c r="I1025" s="517">
        <v>1.5750005000000004E-2</v>
      </c>
      <c r="J1025" s="148">
        <v>1.9600628206083775E-3</v>
      </c>
      <c r="K1025" s="518">
        <v>1.1701048634439739E-4</v>
      </c>
      <c r="L1025" s="519">
        <v>1.2230118420184728E-4</v>
      </c>
    </row>
    <row r="1026" spans="1:12" ht="15.5" x14ac:dyDescent="0.35">
      <c r="A1026" s="143" t="s">
        <v>891</v>
      </c>
      <c r="B1026" s="229">
        <v>2024</v>
      </c>
      <c r="C1026" s="514" t="s">
        <v>1912</v>
      </c>
      <c r="D1026" s="515">
        <v>3.5734789291626025E-2</v>
      </c>
      <c r="E1026" s="516">
        <v>1.697353225346266E-2</v>
      </c>
      <c r="F1026" s="145">
        <v>7.0397439776665585E-2</v>
      </c>
      <c r="G1026" s="145">
        <v>1.7156419320470588E-3</v>
      </c>
      <c r="H1026" s="517">
        <v>2.0000010000000004E-3</v>
      </c>
      <c r="I1026" s="517">
        <v>1.5750005000000004E-2</v>
      </c>
      <c r="J1026" s="148">
        <v>1.8616000848752749E-3</v>
      </c>
      <c r="K1026" s="518">
        <v>1.0162997115048699E-4</v>
      </c>
      <c r="L1026" s="519">
        <v>1.0622522960305228E-4</v>
      </c>
    </row>
    <row r="1027" spans="1:12" ht="15.5" x14ac:dyDescent="0.35">
      <c r="A1027" s="143" t="s">
        <v>891</v>
      </c>
      <c r="B1027" s="229">
        <v>2025</v>
      </c>
      <c r="C1027" s="514" t="s">
        <v>1913</v>
      </c>
      <c r="D1027" s="515">
        <v>3.453951646617269E-2</v>
      </c>
      <c r="E1027" s="516">
        <v>1.484592847083786E-2</v>
      </c>
      <c r="F1027" s="145">
        <v>6.2147953744151878E-2</v>
      </c>
      <c r="G1027" s="145">
        <v>1.6431659907390939E-3</v>
      </c>
      <c r="H1027" s="517">
        <v>2.0000009999999999E-3</v>
      </c>
      <c r="I1027" s="517">
        <v>1.5750005000000001E-2</v>
      </c>
      <c r="J1027" s="148">
        <v>1.7831981712031824E-3</v>
      </c>
      <c r="K1027" s="518">
        <v>9.1888624977223428E-5</v>
      </c>
      <c r="L1027" s="519">
        <v>9.6043423547555523E-5</v>
      </c>
    </row>
    <row r="1028" spans="1:12" ht="15.5" x14ac:dyDescent="0.35">
      <c r="A1028" s="143" t="s">
        <v>891</v>
      </c>
      <c r="B1028" s="229">
        <v>2026</v>
      </c>
      <c r="C1028" s="514" t="s">
        <v>1914</v>
      </c>
      <c r="D1028" s="515">
        <v>3.3565252898290945E-2</v>
      </c>
      <c r="E1028" s="516">
        <v>1.294626893752359E-2</v>
      </c>
      <c r="F1028" s="145">
        <v>5.526299374762856E-2</v>
      </c>
      <c r="G1028" s="145">
        <v>1.5534719449384689E-3</v>
      </c>
      <c r="H1028" s="517">
        <v>2.0000009999999999E-3</v>
      </c>
      <c r="I1028" s="517">
        <v>1.5750004999999997E-2</v>
      </c>
      <c r="J1028" s="148">
        <v>1.686170035801216E-3</v>
      </c>
      <c r="K1028" s="518">
        <v>7.9576928748901026E-5</v>
      </c>
      <c r="L1028" s="519">
        <v>8.3175038246958676E-5</v>
      </c>
    </row>
    <row r="1029" spans="1:12" ht="15.5" x14ac:dyDescent="0.35">
      <c r="A1029" s="143" t="s">
        <v>891</v>
      </c>
      <c r="B1029" s="229">
        <v>2027</v>
      </c>
      <c r="C1029" s="514" t="s">
        <v>1915</v>
      </c>
      <c r="D1029" s="515">
        <v>3.254583249136625E-2</v>
      </c>
      <c r="E1029" s="516">
        <v>1.1470877980412783E-2</v>
      </c>
      <c r="F1029" s="145">
        <v>4.961709725014448E-2</v>
      </c>
      <c r="G1029" s="145">
        <v>1.4718493748826168E-3</v>
      </c>
      <c r="H1029" s="517">
        <v>2.0000009999999999E-3</v>
      </c>
      <c r="I1029" s="517">
        <v>1.5750004999999997E-2</v>
      </c>
      <c r="J1029" s="148">
        <v>1.598022868050133E-3</v>
      </c>
      <c r="K1029" s="518">
        <v>6.4844493362473668E-5</v>
      </c>
      <c r="L1029" s="519">
        <v>6.7776473684365586E-5</v>
      </c>
    </row>
    <row r="1030" spans="1:12" ht="15.5" x14ac:dyDescent="0.35">
      <c r="A1030" s="143" t="s">
        <v>891</v>
      </c>
      <c r="B1030" s="229">
        <v>2028</v>
      </c>
      <c r="C1030" s="514" t="s">
        <v>1916</v>
      </c>
      <c r="D1030" s="515">
        <v>3.1621630140880305E-2</v>
      </c>
      <c r="E1030" s="516">
        <v>1.0240694906179123E-2</v>
      </c>
      <c r="F1030" s="145">
        <v>4.4949784970530489E-2</v>
      </c>
      <c r="G1030" s="145">
        <v>1.3866105345681592E-3</v>
      </c>
      <c r="H1030" s="517">
        <v>2.0000009999999999E-3</v>
      </c>
      <c r="I1030" s="517">
        <v>1.5750005000000001E-2</v>
      </c>
      <c r="J1030" s="148">
        <v>1.5058034004738323E-3</v>
      </c>
      <c r="K1030" s="518">
        <v>5.3376365573062272E-5</v>
      </c>
      <c r="L1030" s="519">
        <v>5.578980733096293E-5</v>
      </c>
    </row>
    <row r="1031" spans="1:12" ht="15.5" x14ac:dyDescent="0.35">
      <c r="A1031" s="143" t="s">
        <v>891</v>
      </c>
      <c r="B1031" s="229">
        <v>2029</v>
      </c>
      <c r="C1031" s="514" t="s">
        <v>1917</v>
      </c>
      <c r="D1031" s="515">
        <v>3.0788540139024642E-2</v>
      </c>
      <c r="E1031" s="516">
        <v>9.1714556805412052E-3</v>
      </c>
      <c r="F1031" s="145">
        <v>4.0985089348962701E-2</v>
      </c>
      <c r="G1031" s="145">
        <v>1.3063501006654705E-3</v>
      </c>
      <c r="H1031" s="517">
        <v>2.0000009999999999E-3</v>
      </c>
      <c r="I1031" s="517">
        <v>1.5750005000000001E-2</v>
      </c>
      <c r="J1031" s="148">
        <v>1.4188162038696103E-3</v>
      </c>
      <c r="K1031" s="518">
        <v>4.6228196543579458E-5</v>
      </c>
      <c r="L1031" s="519">
        <v>4.8318431132288751E-5</v>
      </c>
    </row>
    <row r="1032" spans="1:12" ht="15.5" x14ac:dyDescent="0.35">
      <c r="A1032" s="143" t="s">
        <v>891</v>
      </c>
      <c r="B1032" s="229">
        <v>2030</v>
      </c>
      <c r="C1032" s="514" t="s">
        <v>1918</v>
      </c>
      <c r="D1032" s="515">
        <v>3.0042519124617712E-2</v>
      </c>
      <c r="E1032" s="516">
        <v>8.2710372028927757E-3</v>
      </c>
      <c r="F1032" s="145">
        <v>3.7682229917692697E-2</v>
      </c>
      <c r="G1032" s="145">
        <v>1.2303175306403449E-3</v>
      </c>
      <c r="H1032" s="517">
        <v>2.0000010000000004E-3</v>
      </c>
      <c r="I1032" s="517">
        <v>1.5750005000000001E-2</v>
      </c>
      <c r="J1032" s="148">
        <v>1.3363521506747638E-3</v>
      </c>
      <c r="K1032" s="518">
        <v>4.0839897600743834E-5</v>
      </c>
      <c r="L1032" s="519">
        <v>4.2686495745147574E-5</v>
      </c>
    </row>
    <row r="1033" spans="1:12" ht="15.5" x14ac:dyDescent="0.35">
      <c r="A1033" s="143" t="s">
        <v>891</v>
      </c>
      <c r="B1033" s="229">
        <v>2031</v>
      </c>
      <c r="C1033" s="514" t="s">
        <v>1919</v>
      </c>
      <c r="D1033" s="515">
        <v>2.9377436726529767E-2</v>
      </c>
      <c r="E1033" s="516">
        <v>7.4809314634438125E-3</v>
      </c>
      <c r="F1033" s="145">
        <v>3.4845344710104732E-2</v>
      </c>
      <c r="G1033" s="145">
        <v>1.1593244800878644E-3</v>
      </c>
      <c r="H1033" s="517">
        <v>2.0000009999999999E-3</v>
      </c>
      <c r="I1033" s="517">
        <v>1.5750005000000004E-2</v>
      </c>
      <c r="J1033" s="148">
        <v>1.2592649756446943E-3</v>
      </c>
      <c r="K1033" s="518">
        <v>3.7910212308312316E-5</v>
      </c>
      <c r="L1033" s="519">
        <v>3.9624350471134338E-5</v>
      </c>
    </row>
    <row r="1034" spans="1:12" ht="15.5" x14ac:dyDescent="0.35">
      <c r="A1034" s="143" t="s">
        <v>891</v>
      </c>
      <c r="B1034" s="229">
        <v>2032</v>
      </c>
      <c r="C1034" s="514" t="s">
        <v>1920</v>
      </c>
      <c r="D1034" s="515">
        <v>2.8787416530741555E-2</v>
      </c>
      <c r="E1034" s="516">
        <v>6.8066952474300719E-3</v>
      </c>
      <c r="F1034" s="145">
        <v>3.2510498142022226E-2</v>
      </c>
      <c r="G1034" s="145">
        <v>1.0922993339184998E-3</v>
      </c>
      <c r="H1034" s="517">
        <v>2.0000009999999999E-3</v>
      </c>
      <c r="I1034" s="517">
        <v>1.5750005000000001E-2</v>
      </c>
      <c r="J1034" s="148">
        <v>1.1865086255749076E-3</v>
      </c>
      <c r="K1034" s="518">
        <v>3.4606798801710345E-5</v>
      </c>
      <c r="L1034" s="519">
        <v>3.6171561383573562E-5</v>
      </c>
    </row>
    <row r="1035" spans="1:12" ht="15.5" x14ac:dyDescent="0.35">
      <c r="A1035" s="143" t="s">
        <v>891</v>
      </c>
      <c r="B1035" s="229">
        <v>2033</v>
      </c>
      <c r="C1035" s="514" t="s">
        <v>1921</v>
      </c>
      <c r="D1035" s="515">
        <v>2.8266030736123153E-2</v>
      </c>
      <c r="E1035" s="516">
        <v>6.2125765713367462E-3</v>
      </c>
      <c r="F1035" s="145">
        <v>3.0525858627479859E-2</v>
      </c>
      <c r="G1035" s="145">
        <v>1.0299291316008042E-3</v>
      </c>
      <c r="H1035" s="517">
        <v>2.0000009999999999E-3</v>
      </c>
      <c r="I1035" s="517">
        <v>1.5750005000000004E-2</v>
      </c>
      <c r="J1035" s="148">
        <v>1.1187643950534131E-3</v>
      </c>
      <c r="K1035" s="518">
        <v>3.2503672229325024E-5</v>
      </c>
      <c r="L1035" s="519">
        <v>3.3973344252632451E-5</v>
      </c>
    </row>
    <row r="1036" spans="1:12" ht="15.5" x14ac:dyDescent="0.35">
      <c r="A1036" s="143" t="s">
        <v>891</v>
      </c>
      <c r="B1036" s="229">
        <v>2034</v>
      </c>
      <c r="C1036" s="514" t="s">
        <v>1922</v>
      </c>
      <c r="D1036" s="515">
        <v>2.7807585812925726E-2</v>
      </c>
      <c r="E1036" s="516">
        <v>5.6806920506150506E-3</v>
      </c>
      <c r="F1036" s="145">
        <v>2.8821808523576187E-2</v>
      </c>
      <c r="G1036" s="145">
        <v>9.7124858228116976E-4</v>
      </c>
      <c r="H1036" s="517">
        <v>2.0000010000000004E-3</v>
      </c>
      <c r="I1036" s="517">
        <v>1.5750005000000001E-2</v>
      </c>
      <c r="J1036" s="148">
        <v>1.0550214012369332E-3</v>
      </c>
      <c r="K1036" s="518">
        <v>3.0688666605390944E-5</v>
      </c>
      <c r="L1036" s="519">
        <v>3.2076270636610367E-5</v>
      </c>
    </row>
    <row r="1037" spans="1:12" ht="15.5" x14ac:dyDescent="0.35">
      <c r="A1037" s="143" t="s">
        <v>891</v>
      </c>
      <c r="B1037" s="229">
        <v>2035</v>
      </c>
      <c r="C1037" s="514" t="s">
        <v>1923</v>
      </c>
      <c r="D1037" s="515">
        <v>2.7407521185827181E-2</v>
      </c>
      <c r="E1037" s="516">
        <v>5.1987442596922104E-3</v>
      </c>
      <c r="F1037" s="145">
        <v>2.7361305458026047E-2</v>
      </c>
      <c r="G1037" s="145">
        <v>9.1595309604620946E-4</v>
      </c>
      <c r="H1037" s="517">
        <v>2.0000009999999995E-3</v>
      </c>
      <c r="I1037" s="517">
        <v>1.5750005000000001E-2</v>
      </c>
      <c r="J1037" s="148">
        <v>9.9495318088057639E-4</v>
      </c>
      <c r="K1037" s="518">
        <v>2.9009494856625779E-5</v>
      </c>
      <c r="L1037" s="519">
        <v>3.0321177376854741E-5</v>
      </c>
    </row>
    <row r="1038" spans="1:12" ht="15.5" x14ac:dyDescent="0.35">
      <c r="A1038" s="143" t="s">
        <v>891</v>
      </c>
      <c r="B1038" s="229">
        <v>2036</v>
      </c>
      <c r="C1038" s="514" t="s">
        <v>1924</v>
      </c>
      <c r="D1038" s="515">
        <v>2.7059642497465692E-2</v>
      </c>
      <c r="E1038" s="516">
        <v>4.759365208662155E-3</v>
      </c>
      <c r="F1038" s="145">
        <v>2.6064533527862505E-2</v>
      </c>
      <c r="G1038" s="145">
        <v>8.6702514644855988E-4</v>
      </c>
      <c r="H1038" s="517">
        <v>2.0000009999999999E-3</v>
      </c>
      <c r="I1038" s="517">
        <v>1.5750005000000001E-2</v>
      </c>
      <c r="J1038" s="148">
        <v>9.4181262655007928E-4</v>
      </c>
      <c r="K1038" s="518">
        <v>2.729223509954722E-5</v>
      </c>
      <c r="L1038" s="519">
        <v>2.8526269801075796E-5</v>
      </c>
    </row>
    <row r="1039" spans="1:12" ht="15.5" x14ac:dyDescent="0.35">
      <c r="A1039" s="143" t="s">
        <v>891</v>
      </c>
      <c r="B1039" s="229">
        <v>2037</v>
      </c>
      <c r="C1039" s="514" t="s">
        <v>1925</v>
      </c>
      <c r="D1039" s="515">
        <v>2.6760101880769663E-2</v>
      </c>
      <c r="E1039" s="516">
        <v>4.3851305756893773E-3</v>
      </c>
      <c r="F1039" s="145">
        <v>2.5007941606198517E-2</v>
      </c>
      <c r="G1039" s="145">
        <v>8.2275135389549259E-4</v>
      </c>
      <c r="H1039" s="517">
        <v>2.0000009999999999E-3</v>
      </c>
      <c r="I1039" s="517">
        <v>1.5750005000000004E-2</v>
      </c>
      <c r="J1039" s="148">
        <v>8.9372189417981493E-4</v>
      </c>
      <c r="K1039" s="518">
        <v>2.5841735807625881E-5</v>
      </c>
      <c r="L1039" s="519">
        <v>2.7010183968341507E-5</v>
      </c>
    </row>
    <row r="1040" spans="1:12" ht="15.5" x14ac:dyDescent="0.35">
      <c r="A1040" s="143" t="s">
        <v>891</v>
      </c>
      <c r="B1040" s="229">
        <v>2038</v>
      </c>
      <c r="C1040" s="514" t="s">
        <v>1926</v>
      </c>
      <c r="D1040" s="515">
        <v>2.6504584574535719E-2</v>
      </c>
      <c r="E1040" s="516">
        <v>4.0342535884979108E-3</v>
      </c>
      <c r="F1040" s="145">
        <v>2.4014953680439297E-2</v>
      </c>
      <c r="G1040" s="145">
        <v>7.8236578009568101E-4</v>
      </c>
      <c r="H1040" s="517">
        <v>2.0000009999999999E-3</v>
      </c>
      <c r="I1040" s="517">
        <v>1.5750005000000001E-2</v>
      </c>
      <c r="J1040" s="148">
        <v>8.4984834825276121E-4</v>
      </c>
      <c r="K1040" s="518">
        <v>2.467261306024528E-5</v>
      </c>
      <c r="L1040" s="519">
        <v>2.5788200101395659E-5</v>
      </c>
    </row>
    <row r="1041" spans="1:12" ht="15.5" x14ac:dyDescent="0.35">
      <c r="A1041" s="143" t="s">
        <v>891</v>
      </c>
      <c r="B1041" s="229">
        <v>2039</v>
      </c>
      <c r="C1041" s="514" t="s">
        <v>1927</v>
      </c>
      <c r="D1041" s="515">
        <v>2.6286834631701908E-2</v>
      </c>
      <c r="E1041" s="516">
        <v>3.6983897126364536E-3</v>
      </c>
      <c r="F1041" s="145">
        <v>2.3071697866949785E-2</v>
      </c>
      <c r="G1041" s="145">
        <v>7.4573701125505386E-4</v>
      </c>
      <c r="H1041" s="517">
        <v>2.0000010000000004E-3</v>
      </c>
      <c r="I1041" s="517">
        <v>1.5750004999999997E-2</v>
      </c>
      <c r="J1041" s="148">
        <v>8.1005320729333379E-4</v>
      </c>
      <c r="K1041" s="518">
        <v>2.3680529743505366E-5</v>
      </c>
      <c r="L1041" s="519">
        <v>2.4751254539633831E-5</v>
      </c>
    </row>
    <row r="1042" spans="1:12" ht="15.5" x14ac:dyDescent="0.35">
      <c r="A1042" s="143" t="s">
        <v>891</v>
      </c>
      <c r="B1042" s="229">
        <v>2040</v>
      </c>
      <c r="C1042" s="514" t="s">
        <v>1928</v>
      </c>
      <c r="D1042" s="515">
        <v>2.6103502644793775E-2</v>
      </c>
      <c r="E1042" s="516">
        <v>3.3949561727853834E-3</v>
      </c>
      <c r="F1042" s="145">
        <v>2.2282932223029892E-2</v>
      </c>
      <c r="G1042" s="145">
        <v>7.1289214465169353E-4</v>
      </c>
      <c r="H1042" s="517">
        <v>2.0000009999999999E-3</v>
      </c>
      <c r="I1042" s="517">
        <v>1.5750005000000001E-2</v>
      </c>
      <c r="J1042" s="148">
        <v>7.7436745661435178E-4</v>
      </c>
      <c r="K1042" s="518">
        <v>2.28340774503373E-5</v>
      </c>
      <c r="L1042" s="519">
        <v>2.3866537978507406E-5</v>
      </c>
    </row>
    <row r="1043" spans="1:12" ht="15.5" x14ac:dyDescent="0.35">
      <c r="A1043" s="143" t="s">
        <v>891</v>
      </c>
      <c r="B1043" s="229">
        <v>2041</v>
      </c>
      <c r="C1043" s="514" t="s">
        <v>1929</v>
      </c>
      <c r="D1043" s="515">
        <v>2.5951922861154178E-2</v>
      </c>
      <c r="E1043" s="516">
        <v>3.1547808062029961E-3</v>
      </c>
      <c r="F1043" s="145">
        <v>2.1635296241531012E-2</v>
      </c>
      <c r="G1043" s="145">
        <v>6.872648413213812E-4</v>
      </c>
      <c r="H1043" s="517">
        <v>2.0000009999999999E-3</v>
      </c>
      <c r="I1043" s="517">
        <v>1.5750005000000001E-2</v>
      </c>
      <c r="J1043" s="148">
        <v>7.4652644156390302E-4</v>
      </c>
      <c r="K1043" s="518">
        <v>2.2109997240530688E-5</v>
      </c>
      <c r="L1043" s="519">
        <v>2.3109710328642296E-5</v>
      </c>
    </row>
    <row r="1044" spans="1:12" ht="15.5" x14ac:dyDescent="0.35">
      <c r="A1044" s="143" t="s">
        <v>891</v>
      </c>
      <c r="B1044" s="229">
        <v>2042</v>
      </c>
      <c r="C1044" s="514" t="s">
        <v>1930</v>
      </c>
      <c r="D1044" s="515">
        <v>2.5825604032523299E-2</v>
      </c>
      <c r="E1044" s="516">
        <v>2.9469494013831597E-3</v>
      </c>
      <c r="F1044" s="145">
        <v>2.1033423180397012E-2</v>
      </c>
      <c r="G1044" s="145">
        <v>6.648588950260904E-4</v>
      </c>
      <c r="H1044" s="517">
        <v>2.0000009999999999E-3</v>
      </c>
      <c r="I1044" s="517">
        <v>1.5750005000000001E-2</v>
      </c>
      <c r="J1044" s="148">
        <v>7.2218343486377796E-4</v>
      </c>
      <c r="K1044" s="518">
        <v>2.1507877732087583E-5</v>
      </c>
      <c r="L1044" s="519">
        <v>2.2480362556556498E-5</v>
      </c>
    </row>
    <row r="1045" spans="1:12" ht="15.5" x14ac:dyDescent="0.35">
      <c r="A1045" s="143" t="s">
        <v>891</v>
      </c>
      <c r="B1045" s="229">
        <v>2043</v>
      </c>
      <c r="C1045" s="514" t="s">
        <v>1931</v>
      </c>
      <c r="D1045" s="515">
        <v>2.5722276619167785E-2</v>
      </c>
      <c r="E1045" s="516">
        <v>2.7890537102565594E-3</v>
      </c>
      <c r="F1045" s="145">
        <v>2.0579524871708516E-2</v>
      </c>
      <c r="G1045" s="145">
        <v>6.4550338369361417E-4</v>
      </c>
      <c r="H1045" s="517">
        <v>2.0000009999999995E-3</v>
      </c>
      <c r="I1045" s="517">
        <v>1.5750005000000001E-2</v>
      </c>
      <c r="J1045" s="148">
        <v>7.0115377313773931E-4</v>
      </c>
      <c r="K1045" s="518">
        <v>2.1007114739658215E-5</v>
      </c>
      <c r="L1045" s="519">
        <v>2.1956964383575494E-5</v>
      </c>
    </row>
    <row r="1046" spans="1:12" ht="15.5" x14ac:dyDescent="0.35">
      <c r="A1046" s="143" t="s">
        <v>891</v>
      </c>
      <c r="B1046" s="229">
        <v>2044</v>
      </c>
      <c r="C1046" s="514" t="s">
        <v>1932</v>
      </c>
      <c r="D1046" s="515">
        <v>2.5636119117200321E-2</v>
      </c>
      <c r="E1046" s="516">
        <v>2.6681910612942781E-3</v>
      </c>
      <c r="F1046" s="145">
        <v>2.020736876525181E-2</v>
      </c>
      <c r="G1046" s="145">
        <v>6.2877912451117534E-4</v>
      </c>
      <c r="H1046" s="517">
        <v>2.0000009999999999E-3</v>
      </c>
      <c r="I1046" s="517">
        <v>1.5750005000000001E-2</v>
      </c>
      <c r="J1046" s="148">
        <v>6.8298181281032104E-4</v>
      </c>
      <c r="K1046" s="518">
        <v>2.0594330242503536E-5</v>
      </c>
      <c r="L1046" s="519">
        <v>2.1525521876477161E-5</v>
      </c>
    </row>
    <row r="1047" spans="1:12" ht="15.5" x14ac:dyDescent="0.35">
      <c r="A1047" s="143" t="s">
        <v>891</v>
      </c>
      <c r="B1047" s="229">
        <v>2045</v>
      </c>
      <c r="C1047" s="514" t="s">
        <v>1933</v>
      </c>
      <c r="D1047" s="515">
        <v>2.556395282633632E-2</v>
      </c>
      <c r="E1047" s="516">
        <v>2.5862912788649195E-3</v>
      </c>
      <c r="F1047" s="145">
        <v>1.9954511187947537E-2</v>
      </c>
      <c r="G1047" s="145">
        <v>6.1446461249475197E-4</v>
      </c>
      <c r="H1047" s="517">
        <v>2.0000009999999999E-3</v>
      </c>
      <c r="I1047" s="517">
        <v>1.5750005000000001E-2</v>
      </c>
      <c r="J1047" s="148">
        <v>6.6742684741723831E-4</v>
      </c>
      <c r="K1047" s="518">
        <v>2.028880086847883E-5</v>
      </c>
      <c r="L1047" s="519">
        <v>2.1206170452644861E-5</v>
      </c>
    </row>
    <row r="1048" spans="1:12" ht="15.5" x14ac:dyDescent="0.35">
      <c r="A1048" s="143" t="s">
        <v>891</v>
      </c>
      <c r="B1048" s="229">
        <v>2046</v>
      </c>
      <c r="C1048" s="514" t="s">
        <v>1934</v>
      </c>
      <c r="D1048" s="515">
        <v>2.5503608803377261E-2</v>
      </c>
      <c r="E1048" s="516">
        <v>2.5124182448144124E-3</v>
      </c>
      <c r="F1048" s="145">
        <v>1.973590703955716E-2</v>
      </c>
      <c r="G1048" s="145">
        <v>6.0227846718306723E-4</v>
      </c>
      <c r="H1048" s="517">
        <v>2.0000009999999999E-3</v>
      </c>
      <c r="I1048" s="517">
        <v>1.5750005000000001E-2</v>
      </c>
      <c r="J1048" s="148">
        <v>6.5418345275089637E-4</v>
      </c>
      <c r="K1048" s="518">
        <v>2.0047405810195966E-5</v>
      </c>
      <c r="L1048" s="519">
        <v>2.0953859867278685E-5</v>
      </c>
    </row>
    <row r="1049" spans="1:12" ht="15.5" x14ac:dyDescent="0.35">
      <c r="A1049" s="143" t="s">
        <v>891</v>
      </c>
      <c r="B1049" s="229">
        <v>2047</v>
      </c>
      <c r="C1049" s="514" t="s">
        <v>1935</v>
      </c>
      <c r="D1049" s="515">
        <v>2.545407884874307E-2</v>
      </c>
      <c r="E1049" s="516">
        <v>2.4500992518591293E-3</v>
      </c>
      <c r="F1049" s="145">
        <v>1.9551942350979949E-2</v>
      </c>
      <c r="G1049" s="145">
        <v>5.9211852618892998E-4</v>
      </c>
      <c r="H1049" s="517">
        <v>2.0000009999999995E-3</v>
      </c>
      <c r="I1049" s="517">
        <v>1.5750005000000001E-2</v>
      </c>
      <c r="J1049" s="148">
        <v>6.4314287362049125E-4</v>
      </c>
      <c r="K1049" s="518">
        <v>1.9823518908761961E-5</v>
      </c>
      <c r="L1049" s="519">
        <v>2.0719851494138808E-5</v>
      </c>
    </row>
    <row r="1050" spans="1:12" ht="15.5" x14ac:dyDescent="0.35">
      <c r="A1050" s="143" t="s">
        <v>891</v>
      </c>
      <c r="B1050" s="229">
        <v>2048</v>
      </c>
      <c r="C1050" s="514" t="s">
        <v>1936</v>
      </c>
      <c r="D1050" s="515">
        <v>2.5413321401829066E-2</v>
      </c>
      <c r="E1050" s="516">
        <v>2.3986770357898512E-3</v>
      </c>
      <c r="F1050" s="145">
        <v>1.9395196115879872E-2</v>
      </c>
      <c r="G1050" s="145">
        <v>5.8358823429712739E-4</v>
      </c>
      <c r="H1050" s="517">
        <v>2.0000009999999995E-3</v>
      </c>
      <c r="I1050" s="517">
        <v>1.5750005000000001E-2</v>
      </c>
      <c r="J1050" s="148">
        <v>6.3387418652337138E-4</v>
      </c>
      <c r="K1050" s="518">
        <v>1.9610036408618881E-5</v>
      </c>
      <c r="L1050" s="519">
        <v>2.0496707560690179E-5</v>
      </c>
    </row>
    <row r="1051" spans="1:12" ht="15.5" x14ac:dyDescent="0.35">
      <c r="A1051" s="143" t="s">
        <v>891</v>
      </c>
      <c r="B1051" s="229">
        <v>2049</v>
      </c>
      <c r="C1051" s="514" t="s">
        <v>1937</v>
      </c>
      <c r="D1051" s="515">
        <v>2.5380013517548608E-2</v>
      </c>
      <c r="E1051" s="516">
        <v>2.3801774677972504E-3</v>
      </c>
      <c r="F1051" s="145">
        <v>1.9399513996960792E-2</v>
      </c>
      <c r="G1051" s="145">
        <v>5.7825727095092553E-4</v>
      </c>
      <c r="H1051" s="517">
        <v>2.0000009999999999E-3</v>
      </c>
      <c r="I1051" s="517">
        <v>1.5750004999999997E-2</v>
      </c>
      <c r="J1051" s="148">
        <v>6.2808207543802179E-4</v>
      </c>
      <c r="K1051" s="518">
        <v>1.9476505344491026E-5</v>
      </c>
      <c r="L1051" s="519">
        <v>2.0357148426775789E-5</v>
      </c>
    </row>
    <row r="1052" spans="1:12" ht="15.5" x14ac:dyDescent="0.35">
      <c r="A1052" s="143" t="s">
        <v>891</v>
      </c>
      <c r="B1052" s="229">
        <v>2050</v>
      </c>
      <c r="C1052" s="514" t="s">
        <v>1938</v>
      </c>
      <c r="D1052" s="515">
        <v>2.5352702443428791E-2</v>
      </c>
      <c r="E1052" s="516">
        <v>2.3657659600286865E-3</v>
      </c>
      <c r="F1052" s="145">
        <v>1.9408684790504071E-2</v>
      </c>
      <c r="G1052" s="145">
        <v>5.7396950414086785E-4</v>
      </c>
      <c r="H1052" s="517">
        <v>2.0000010000000004E-3</v>
      </c>
      <c r="I1052" s="517">
        <v>1.5750005000000004E-2</v>
      </c>
      <c r="J1052" s="148">
        <v>6.2342426112995818E-4</v>
      </c>
      <c r="K1052" s="518">
        <v>1.9352765070131251E-5</v>
      </c>
      <c r="L1052" s="519">
        <v>2.0227803350123621E-5</v>
      </c>
    </row>
    <row r="1053" spans="1:12" ht="15.5" x14ac:dyDescent="0.35">
      <c r="A1053" s="143" t="s">
        <v>895</v>
      </c>
      <c r="B1053" s="229">
        <v>2015</v>
      </c>
      <c r="C1053" s="514" t="s">
        <v>896</v>
      </c>
      <c r="D1053" s="515">
        <v>5.0589485547404327E-2</v>
      </c>
      <c r="E1053" s="516">
        <v>5.3616453907042068E-2</v>
      </c>
      <c r="F1053" s="145">
        <v>0.21263038665017586</v>
      </c>
      <c r="G1053" s="145">
        <v>1.9518314340742926E-3</v>
      </c>
      <c r="H1053" s="517">
        <v>2.0000009999999999E-3</v>
      </c>
      <c r="I1053" s="517">
        <v>1.5750005000000004E-2</v>
      </c>
      <c r="J1053" s="148">
        <v>2.1093159151113483E-3</v>
      </c>
      <c r="K1053" s="518">
        <v>2.2009471351215252E-4</v>
      </c>
      <c r="L1053" s="519">
        <v>2.3004642008742608E-4</v>
      </c>
    </row>
    <row r="1054" spans="1:12" ht="15.5" x14ac:dyDescent="0.35">
      <c r="A1054" s="143" t="s">
        <v>895</v>
      </c>
      <c r="B1054" s="229">
        <v>2016</v>
      </c>
      <c r="C1054" s="514" t="s">
        <v>897</v>
      </c>
      <c r="D1054" s="515">
        <v>4.9623151286176323E-2</v>
      </c>
      <c r="E1054" s="516">
        <v>4.3725678969572017E-2</v>
      </c>
      <c r="F1054" s="145">
        <v>0.17992042064642882</v>
      </c>
      <c r="G1054" s="145">
        <v>1.8001907352805909E-3</v>
      </c>
      <c r="H1054" s="517">
        <v>2.0000009999999999E-3</v>
      </c>
      <c r="I1054" s="517">
        <v>1.5750005000000001E-2</v>
      </c>
      <c r="J1054" s="148">
        <v>1.9473974536161731E-3</v>
      </c>
      <c r="K1054" s="518">
        <v>1.8206097334286781E-4</v>
      </c>
      <c r="L1054" s="519">
        <v>1.9029296305430926E-4</v>
      </c>
    </row>
    <row r="1055" spans="1:12" ht="15.5" x14ac:dyDescent="0.35">
      <c r="A1055" s="143" t="s">
        <v>895</v>
      </c>
      <c r="B1055" s="229">
        <v>2017</v>
      </c>
      <c r="C1055" s="514" t="s">
        <v>1939</v>
      </c>
      <c r="D1055" s="515">
        <v>4.8394796556947221E-2</v>
      </c>
      <c r="E1055" s="516">
        <v>3.6187364295905397E-2</v>
      </c>
      <c r="F1055" s="145">
        <v>0.15314829437200497</v>
      </c>
      <c r="G1055" s="145">
        <v>1.7258701344837252E-3</v>
      </c>
      <c r="H1055" s="517">
        <v>2.0000009999999999E-3</v>
      </c>
      <c r="I1055" s="517">
        <v>1.5750005000000001E-2</v>
      </c>
      <c r="J1055" s="148">
        <v>1.868162315318896E-3</v>
      </c>
      <c r="K1055" s="518">
        <v>1.658619137771016E-4</v>
      </c>
      <c r="L1055" s="519">
        <v>1.7336144754130349E-4</v>
      </c>
    </row>
    <row r="1056" spans="1:12" ht="15.5" x14ac:dyDescent="0.35">
      <c r="A1056" s="143" t="s">
        <v>895</v>
      </c>
      <c r="B1056" s="229">
        <v>2018</v>
      </c>
      <c r="C1056" s="514" t="s">
        <v>1940</v>
      </c>
      <c r="D1056" s="515">
        <v>4.7151199149868393E-2</v>
      </c>
      <c r="E1056" s="516">
        <v>2.9535628468131247E-2</v>
      </c>
      <c r="F1056" s="145">
        <v>0.12974826978758947</v>
      </c>
      <c r="G1056" s="145">
        <v>1.6821804532126206E-3</v>
      </c>
      <c r="H1056" s="517">
        <v>2.0000009999999999E-3</v>
      </c>
      <c r="I1056" s="517">
        <v>1.5750005000000004E-2</v>
      </c>
      <c r="J1056" s="148">
        <v>1.8220618639455289E-3</v>
      </c>
      <c r="K1056" s="518">
        <v>1.5112147651404322E-4</v>
      </c>
      <c r="L1056" s="519">
        <v>1.5795452141146449E-4</v>
      </c>
    </row>
    <row r="1057" spans="1:12" ht="15.5" x14ac:dyDescent="0.35">
      <c r="A1057" s="143" t="s">
        <v>895</v>
      </c>
      <c r="B1057" s="229">
        <v>2019</v>
      </c>
      <c r="C1057" s="514" t="s">
        <v>1941</v>
      </c>
      <c r="D1057" s="515">
        <v>4.5856081964883021E-2</v>
      </c>
      <c r="E1057" s="516">
        <v>2.4235544392882204E-2</v>
      </c>
      <c r="F1057" s="145">
        <v>0.11020187896254552</v>
      </c>
      <c r="G1057" s="145">
        <v>1.6548549011494301E-3</v>
      </c>
      <c r="H1057" s="517">
        <v>2.0000009999999999E-3</v>
      </c>
      <c r="I1057" s="517">
        <v>1.5750005000000001E-2</v>
      </c>
      <c r="J1057" s="148">
        <v>1.7933771052393854E-3</v>
      </c>
      <c r="K1057" s="518">
        <v>1.390258452872554E-4</v>
      </c>
      <c r="L1057" s="519">
        <v>1.4531197520118743E-4</v>
      </c>
    </row>
    <row r="1058" spans="1:12" ht="15.5" x14ac:dyDescent="0.35">
      <c r="A1058" s="143" t="s">
        <v>895</v>
      </c>
      <c r="B1058" s="229">
        <v>2020</v>
      </c>
      <c r="C1058" s="514" t="s">
        <v>1942</v>
      </c>
      <c r="D1058" s="515">
        <v>4.453271003016529E-2</v>
      </c>
      <c r="E1058" s="516">
        <v>2.0341101263875838E-2</v>
      </c>
      <c r="F1058" s="145">
        <v>9.4117966452096427E-2</v>
      </c>
      <c r="G1058" s="145">
        <v>1.6056319829891883E-3</v>
      </c>
      <c r="H1058" s="517">
        <v>2.0000009999999999E-3</v>
      </c>
      <c r="I1058" s="517">
        <v>1.5750005000000001E-2</v>
      </c>
      <c r="J1058" s="148">
        <v>1.7404927616099318E-3</v>
      </c>
      <c r="K1058" s="518">
        <v>1.2824973855555383E-4</v>
      </c>
      <c r="L1058" s="519">
        <v>1.3404862402436964E-4</v>
      </c>
    </row>
    <row r="1059" spans="1:12" ht="15.5" x14ac:dyDescent="0.35">
      <c r="A1059" s="143" t="s">
        <v>895</v>
      </c>
      <c r="B1059" s="229">
        <v>2021</v>
      </c>
      <c r="C1059" s="514" t="s">
        <v>1943</v>
      </c>
      <c r="D1059" s="515">
        <v>4.3188541957110409E-2</v>
      </c>
      <c r="E1059" s="516">
        <v>1.7169324787538201E-2</v>
      </c>
      <c r="F1059" s="145">
        <v>8.053306860340366E-2</v>
      </c>
      <c r="G1059" s="145">
        <v>1.5233883951998246E-3</v>
      </c>
      <c r="H1059" s="517">
        <v>2.0000009999999999E-3</v>
      </c>
      <c r="I1059" s="517">
        <v>1.5750005000000001E-2</v>
      </c>
      <c r="J1059" s="148">
        <v>1.651688867691369E-3</v>
      </c>
      <c r="K1059" s="518">
        <v>1.1612547194646565E-4</v>
      </c>
      <c r="L1059" s="519">
        <v>1.2137615485344631E-4</v>
      </c>
    </row>
    <row r="1060" spans="1:12" ht="15.5" x14ac:dyDescent="0.35">
      <c r="A1060" s="143" t="s">
        <v>895</v>
      </c>
      <c r="B1060" s="229">
        <v>2022</v>
      </c>
      <c r="C1060" s="514" t="s">
        <v>1944</v>
      </c>
      <c r="D1060" s="515">
        <v>4.185076668122107E-2</v>
      </c>
      <c r="E1060" s="516">
        <v>1.4356972076784784E-2</v>
      </c>
      <c r="F1060" s="145">
        <v>6.9107437648922743E-2</v>
      </c>
      <c r="G1060" s="145">
        <v>1.4452873684577176E-3</v>
      </c>
      <c r="H1060" s="517">
        <v>2.0000009999999999E-3</v>
      </c>
      <c r="I1060" s="517">
        <v>1.5750005000000001E-2</v>
      </c>
      <c r="J1060" s="148">
        <v>1.5673389538489266E-3</v>
      </c>
      <c r="K1060" s="518">
        <v>1.057953721834219E-4</v>
      </c>
      <c r="L1060" s="519">
        <v>1.1057897113715324E-4</v>
      </c>
    </row>
    <row r="1061" spans="1:12" ht="15.5" x14ac:dyDescent="0.35">
      <c r="A1061" s="143" t="s">
        <v>895</v>
      </c>
      <c r="B1061" s="229">
        <v>2023</v>
      </c>
      <c r="C1061" s="514" t="s">
        <v>1945</v>
      </c>
      <c r="D1061" s="515">
        <v>4.0525073944786404E-2</v>
      </c>
      <c r="E1061" s="516">
        <v>1.2327661911301684E-2</v>
      </c>
      <c r="F1061" s="145">
        <v>5.9885386658266551E-2</v>
      </c>
      <c r="G1061" s="145">
        <v>1.3733133897709563E-3</v>
      </c>
      <c r="H1061" s="517">
        <v>2.0000010000000004E-3</v>
      </c>
      <c r="I1061" s="517">
        <v>1.5750005000000004E-2</v>
      </c>
      <c r="J1061" s="148">
        <v>1.4895360396055565E-3</v>
      </c>
      <c r="K1061" s="518">
        <v>9.52514459195774E-5</v>
      </c>
      <c r="L1061" s="519">
        <v>9.9558292076148231E-5</v>
      </c>
    </row>
    <row r="1062" spans="1:12" ht="15.5" x14ac:dyDescent="0.35">
      <c r="A1062" s="143" t="s">
        <v>895</v>
      </c>
      <c r="B1062" s="229">
        <v>2024</v>
      </c>
      <c r="C1062" s="514" t="s">
        <v>1946</v>
      </c>
      <c r="D1062" s="515">
        <v>3.9223323946528069E-2</v>
      </c>
      <c r="E1062" s="516">
        <v>1.064420571762671E-2</v>
      </c>
      <c r="F1062" s="145">
        <v>5.2333472203978958E-2</v>
      </c>
      <c r="G1062" s="145">
        <v>1.3106333284718518E-3</v>
      </c>
      <c r="H1062" s="517">
        <v>2.0000009999999995E-3</v>
      </c>
      <c r="I1062" s="517">
        <v>1.5750004999999997E-2</v>
      </c>
      <c r="J1062" s="148">
        <v>1.4217599034314445E-3</v>
      </c>
      <c r="K1062" s="518">
        <v>8.6496333099615321E-5</v>
      </c>
      <c r="L1062" s="519">
        <v>9.0407312174979121E-5</v>
      </c>
    </row>
    <row r="1063" spans="1:12" ht="15.5" x14ac:dyDescent="0.35">
      <c r="A1063" s="143" t="s">
        <v>895</v>
      </c>
      <c r="B1063" s="229">
        <v>2025</v>
      </c>
      <c r="C1063" s="514" t="s">
        <v>1947</v>
      </c>
      <c r="D1063" s="515">
        <v>3.795506764847914E-2</v>
      </c>
      <c r="E1063" s="516">
        <v>9.2749913294251241E-3</v>
      </c>
      <c r="F1063" s="145">
        <v>4.6269761819456731E-2</v>
      </c>
      <c r="G1063" s="145">
        <v>1.2561824193051546E-3</v>
      </c>
      <c r="H1063" s="517">
        <v>2.0000009999999999E-3</v>
      </c>
      <c r="I1063" s="517">
        <v>1.5750005000000001E-2</v>
      </c>
      <c r="J1063" s="148">
        <v>1.362909446094194E-3</v>
      </c>
      <c r="K1063" s="518">
        <v>7.7952148882834448E-5</v>
      </c>
      <c r="L1063" s="519">
        <v>8.1476795872531077E-5</v>
      </c>
    </row>
    <row r="1064" spans="1:12" ht="15.5" x14ac:dyDescent="0.35">
      <c r="A1064" s="143" t="s">
        <v>895</v>
      </c>
      <c r="B1064" s="229">
        <v>2026</v>
      </c>
      <c r="C1064" s="514" t="s">
        <v>1948</v>
      </c>
      <c r="D1064" s="515">
        <v>3.6795761852376527E-2</v>
      </c>
      <c r="E1064" s="516">
        <v>8.1709880529638994E-3</v>
      </c>
      <c r="F1064" s="145">
        <v>4.144575105142876E-2</v>
      </c>
      <c r="G1064" s="145">
        <v>1.2001138236425236E-3</v>
      </c>
      <c r="H1064" s="517">
        <v>2.0000009999999999E-3</v>
      </c>
      <c r="I1064" s="517">
        <v>1.5750005000000001E-2</v>
      </c>
      <c r="J1064" s="148">
        <v>1.3022935215976704E-3</v>
      </c>
      <c r="K1064" s="518">
        <v>6.9367846976804584E-5</v>
      </c>
      <c r="L1064" s="519">
        <v>7.2504359989721649E-5</v>
      </c>
    </row>
    <row r="1065" spans="1:12" ht="15.5" x14ac:dyDescent="0.35">
      <c r="A1065" s="143" t="s">
        <v>895</v>
      </c>
      <c r="B1065" s="229">
        <v>2027</v>
      </c>
      <c r="C1065" s="514" t="s">
        <v>1949</v>
      </c>
      <c r="D1065" s="515">
        <v>3.5734940885769624E-2</v>
      </c>
      <c r="E1065" s="516">
        <v>7.2371123888965005E-3</v>
      </c>
      <c r="F1065" s="145">
        <v>3.7427992389312506E-2</v>
      </c>
      <c r="G1065" s="145">
        <v>1.1339129406623262E-3</v>
      </c>
      <c r="H1065" s="517">
        <v>2.0000010000000004E-3</v>
      </c>
      <c r="I1065" s="517">
        <v>1.5750005000000004E-2</v>
      </c>
      <c r="J1065" s="148">
        <v>1.2307910535583053E-3</v>
      </c>
      <c r="K1065" s="518">
        <v>5.7640141008472657E-5</v>
      </c>
      <c r="L1065" s="519">
        <v>6.0246375543015812E-5</v>
      </c>
    </row>
    <row r="1066" spans="1:12" ht="15.5" x14ac:dyDescent="0.35">
      <c r="A1066" s="143" t="s">
        <v>895</v>
      </c>
      <c r="B1066" s="229">
        <v>2028</v>
      </c>
      <c r="C1066" s="514" t="s">
        <v>1950</v>
      </c>
      <c r="D1066" s="515">
        <v>3.4776075166933908E-2</v>
      </c>
      <c r="E1066" s="516">
        <v>6.4439406527105293E-3</v>
      </c>
      <c r="F1066" s="145">
        <v>3.4096235270430444E-2</v>
      </c>
      <c r="G1066" s="145">
        <v>1.0620427822889069E-3</v>
      </c>
      <c r="H1066" s="517">
        <v>2.0000009999999999E-3</v>
      </c>
      <c r="I1066" s="517">
        <v>1.5750005000000001E-2</v>
      </c>
      <c r="J1066" s="148">
        <v>1.153057304531398E-3</v>
      </c>
      <c r="K1066" s="518">
        <v>4.7458549701056509E-5</v>
      </c>
      <c r="L1066" s="519">
        <v>4.9604409505810881E-5</v>
      </c>
    </row>
    <row r="1067" spans="1:12" ht="15.5" x14ac:dyDescent="0.35">
      <c r="A1067" s="143" t="s">
        <v>895</v>
      </c>
      <c r="B1067" s="229">
        <v>2029</v>
      </c>
      <c r="C1067" s="514" t="s">
        <v>1951</v>
      </c>
      <c r="D1067" s="515">
        <v>3.3907899442120408E-2</v>
      </c>
      <c r="E1067" s="516">
        <v>5.7563531300728428E-3</v>
      </c>
      <c r="F1067" s="145">
        <v>3.129341949963528E-2</v>
      </c>
      <c r="G1067" s="145">
        <v>9.9516111147576617E-4</v>
      </c>
      <c r="H1067" s="517">
        <v>2.0000009999999999E-3</v>
      </c>
      <c r="I1067" s="517">
        <v>1.5750005000000001E-2</v>
      </c>
      <c r="J1067" s="148">
        <v>1.0805822354620946E-3</v>
      </c>
      <c r="K1067" s="518">
        <v>4.1215491352262315E-5</v>
      </c>
      <c r="L1067" s="519">
        <v>4.3079077212010825E-5</v>
      </c>
    </row>
    <row r="1068" spans="1:12" ht="15.5" x14ac:dyDescent="0.35">
      <c r="A1068" s="143" t="s">
        <v>895</v>
      </c>
      <c r="B1068" s="229">
        <v>2030</v>
      </c>
      <c r="C1068" s="514" t="s">
        <v>1952</v>
      </c>
      <c r="D1068" s="515">
        <v>3.3127720471839296E-2</v>
      </c>
      <c r="E1068" s="516">
        <v>5.1864778821945371E-3</v>
      </c>
      <c r="F1068" s="145">
        <v>2.9011056649486139E-2</v>
      </c>
      <c r="G1068" s="145">
        <v>9.319903315574609E-4</v>
      </c>
      <c r="H1068" s="517">
        <v>2.0000009999999999E-3</v>
      </c>
      <c r="I1068" s="517">
        <v>1.5750005000000001E-2</v>
      </c>
      <c r="J1068" s="148">
        <v>1.0121118579775944E-3</v>
      </c>
      <c r="K1068" s="518">
        <v>3.5698206910573767E-5</v>
      </c>
      <c r="L1068" s="519">
        <v>3.7312323849163413E-5</v>
      </c>
    </row>
    <row r="1069" spans="1:12" ht="15.5" x14ac:dyDescent="0.35">
      <c r="A1069" s="143" t="s">
        <v>895</v>
      </c>
      <c r="B1069" s="229">
        <v>2031</v>
      </c>
      <c r="C1069" s="514" t="s">
        <v>1953</v>
      </c>
      <c r="D1069" s="515">
        <v>3.2430372192816311E-2</v>
      </c>
      <c r="E1069" s="516">
        <v>4.6947497226426391E-3</v>
      </c>
      <c r="F1069" s="145">
        <v>2.7091189038805651E-2</v>
      </c>
      <c r="G1069" s="145">
        <v>8.7468933557462321E-4</v>
      </c>
      <c r="H1069" s="517">
        <v>2.0000009999999995E-3</v>
      </c>
      <c r="I1069" s="517">
        <v>1.5750004999999997E-2</v>
      </c>
      <c r="J1069" s="148">
        <v>9.499145931886494E-4</v>
      </c>
      <c r="K1069" s="518">
        <v>3.2805273528248169E-5</v>
      </c>
      <c r="L1069" s="519">
        <v>3.4288583444302976E-5</v>
      </c>
    </row>
    <row r="1070" spans="1:12" ht="15.5" x14ac:dyDescent="0.35">
      <c r="A1070" s="143" t="s">
        <v>895</v>
      </c>
      <c r="B1070" s="229">
        <v>2032</v>
      </c>
      <c r="C1070" s="514" t="s">
        <v>1954</v>
      </c>
      <c r="D1070" s="515">
        <v>3.1811527184345989E-2</v>
      </c>
      <c r="E1070" s="516">
        <v>4.2701098910283728E-3</v>
      </c>
      <c r="F1070" s="145">
        <v>2.5508393446499161E-2</v>
      </c>
      <c r="G1070" s="145">
        <v>8.2053795018658705E-4</v>
      </c>
      <c r="H1070" s="517">
        <v>2.0000009999999999E-3</v>
      </c>
      <c r="I1070" s="517">
        <v>1.5750005000000001E-2</v>
      </c>
      <c r="J1070" s="148">
        <v>8.9116333107727025E-4</v>
      </c>
      <c r="K1070" s="518">
        <v>2.9426340948492582E-5</v>
      </c>
      <c r="L1070" s="519">
        <v>3.0756871676718377E-5</v>
      </c>
    </row>
    <row r="1071" spans="1:12" ht="15.5" x14ac:dyDescent="0.35">
      <c r="A1071" s="143" t="s">
        <v>895</v>
      </c>
      <c r="B1071" s="229">
        <v>2033</v>
      </c>
      <c r="C1071" s="514" t="s">
        <v>1955</v>
      </c>
      <c r="D1071" s="515">
        <v>3.1261674179749246E-2</v>
      </c>
      <c r="E1071" s="516">
        <v>3.9000840223495439E-3</v>
      </c>
      <c r="F1071" s="145">
        <v>2.4193488611196075E-2</v>
      </c>
      <c r="G1071" s="145">
        <v>7.7126839490284358E-4</v>
      </c>
      <c r="H1071" s="517">
        <v>2.0000009999999999E-3</v>
      </c>
      <c r="I1071" s="517">
        <v>1.5750005000000001E-2</v>
      </c>
      <c r="J1071" s="148">
        <v>8.3766536132241288E-4</v>
      </c>
      <c r="K1071" s="518">
        <v>2.736911955967577E-5</v>
      </c>
      <c r="L1071" s="519">
        <v>2.8606632025092479E-5</v>
      </c>
    </row>
    <row r="1072" spans="1:12" ht="15.5" x14ac:dyDescent="0.35">
      <c r="A1072" s="143" t="s">
        <v>895</v>
      </c>
      <c r="B1072" s="229">
        <v>2034</v>
      </c>
      <c r="C1072" s="514" t="s">
        <v>1956</v>
      </c>
      <c r="D1072" s="515">
        <v>3.0775800559464467E-2</v>
      </c>
      <c r="E1072" s="516">
        <v>3.5698905359457297E-3</v>
      </c>
      <c r="F1072" s="145">
        <v>2.306458562538713E-2</v>
      </c>
      <c r="G1072" s="145">
        <v>7.2552777173230307E-4</v>
      </c>
      <c r="H1072" s="517">
        <v>2.0000009999999999E-3</v>
      </c>
      <c r="I1072" s="517">
        <v>1.5750005000000001E-2</v>
      </c>
      <c r="J1072" s="148">
        <v>7.8799804601949229E-4</v>
      </c>
      <c r="K1072" s="518">
        <v>2.5474555736314067E-5</v>
      </c>
      <c r="L1072" s="519">
        <v>2.6626400797769362E-5</v>
      </c>
    </row>
    <row r="1073" spans="1:12" ht="15.5" x14ac:dyDescent="0.35">
      <c r="A1073" s="143" t="s">
        <v>895</v>
      </c>
      <c r="B1073" s="229">
        <v>2035</v>
      </c>
      <c r="C1073" s="514" t="s">
        <v>1957</v>
      </c>
      <c r="D1073" s="515">
        <v>3.035103546497574E-2</v>
      </c>
      <c r="E1073" s="516">
        <v>3.2774763899242406E-3</v>
      </c>
      <c r="F1073" s="145">
        <v>2.2123128916274219E-2</v>
      </c>
      <c r="G1073" s="145">
        <v>6.8332846779109154E-4</v>
      </c>
      <c r="H1073" s="517">
        <v>2.0000009999999995E-3</v>
      </c>
      <c r="I1073" s="517">
        <v>1.5750004999999997E-2</v>
      </c>
      <c r="J1073" s="148">
        <v>7.4217175679782441E-4</v>
      </c>
      <c r="K1073" s="518">
        <v>2.3832954723017042E-5</v>
      </c>
      <c r="L1073" s="519">
        <v>2.4910571330559919E-5</v>
      </c>
    </row>
    <row r="1074" spans="1:12" ht="15.5" x14ac:dyDescent="0.35">
      <c r="A1074" s="143" t="s">
        <v>895</v>
      </c>
      <c r="B1074" s="229">
        <v>2036</v>
      </c>
      <c r="C1074" s="514" t="s">
        <v>1958</v>
      </c>
      <c r="D1074" s="515">
        <v>2.9983943199212052E-2</v>
      </c>
      <c r="E1074" s="516">
        <v>3.0239561003467673E-3</v>
      </c>
      <c r="F1074" s="145">
        <v>2.134296620477133E-2</v>
      </c>
      <c r="G1074" s="145">
        <v>6.4641715592017503E-4</v>
      </c>
      <c r="H1074" s="517">
        <v>2.0000010000000004E-3</v>
      </c>
      <c r="I1074" s="517">
        <v>1.5750005000000001E-2</v>
      </c>
      <c r="J1074" s="148">
        <v>7.020931147046286E-4</v>
      </c>
      <c r="K1074" s="518">
        <v>2.2281247541975605E-5</v>
      </c>
      <c r="L1074" s="519">
        <v>2.3288701975519438E-5</v>
      </c>
    </row>
    <row r="1075" spans="1:12" ht="15.5" x14ac:dyDescent="0.35">
      <c r="A1075" s="143" t="s">
        <v>895</v>
      </c>
      <c r="B1075" s="229">
        <v>2037</v>
      </c>
      <c r="C1075" s="514" t="s">
        <v>1959</v>
      </c>
      <c r="D1075" s="515">
        <v>2.9665218992912183E-2</v>
      </c>
      <c r="E1075" s="516">
        <v>2.8121328684136324E-3</v>
      </c>
      <c r="F1075" s="145">
        <v>2.0726928160726375E-2</v>
      </c>
      <c r="G1075" s="145">
        <v>6.1383398968824611E-4</v>
      </c>
      <c r="H1075" s="517">
        <v>2.0000009999999999E-3</v>
      </c>
      <c r="I1075" s="517">
        <v>1.5750005000000001E-2</v>
      </c>
      <c r="J1075" s="148">
        <v>6.6670806216479557E-4</v>
      </c>
      <c r="K1075" s="518">
        <v>2.1054309078602934E-5</v>
      </c>
      <c r="L1075" s="519">
        <v>2.200629364667861E-5</v>
      </c>
    </row>
    <row r="1076" spans="1:12" ht="15.5" x14ac:dyDescent="0.35">
      <c r="A1076" s="143" t="s">
        <v>895</v>
      </c>
      <c r="B1076" s="229">
        <v>2038</v>
      </c>
      <c r="C1076" s="514" t="s">
        <v>1960</v>
      </c>
      <c r="D1076" s="515">
        <v>2.9392783286436661E-2</v>
      </c>
      <c r="E1076" s="516">
        <v>2.6219215907429642E-3</v>
      </c>
      <c r="F1076" s="145">
        <v>2.0179176369354034E-2</v>
      </c>
      <c r="G1076" s="145">
        <v>5.8499944558454029E-4</v>
      </c>
      <c r="H1076" s="517">
        <v>2.0000009999999999E-3</v>
      </c>
      <c r="I1076" s="517">
        <v>1.5750004999999997E-2</v>
      </c>
      <c r="J1076" s="148">
        <v>6.3539304374230637E-4</v>
      </c>
      <c r="K1076" s="518">
        <v>1.9994105480223774E-5</v>
      </c>
      <c r="L1076" s="519">
        <v>2.0898153840537039E-5</v>
      </c>
    </row>
    <row r="1077" spans="1:12" ht="15.5" x14ac:dyDescent="0.35">
      <c r="A1077" s="143" t="s">
        <v>895</v>
      </c>
      <c r="B1077" s="229">
        <v>2039</v>
      </c>
      <c r="C1077" s="514" t="s">
        <v>1961</v>
      </c>
      <c r="D1077" s="515">
        <v>2.9160733784279688E-2</v>
      </c>
      <c r="E1077" s="516">
        <v>2.4469362859112073E-3</v>
      </c>
      <c r="F1077" s="145">
        <v>1.9680537338459911E-2</v>
      </c>
      <c r="G1077" s="145">
        <v>5.5963663815686521E-4</v>
      </c>
      <c r="H1077" s="517">
        <v>2.0000009999999999E-3</v>
      </c>
      <c r="I1077" s="517">
        <v>1.5750005000000001E-2</v>
      </c>
      <c r="J1077" s="148">
        <v>6.0784755922454949E-4</v>
      </c>
      <c r="K1077" s="518">
        <v>1.9083967785600455E-5</v>
      </c>
      <c r="L1077" s="519">
        <v>1.9946869132419949E-5</v>
      </c>
    </row>
    <row r="1078" spans="1:12" ht="15.5" x14ac:dyDescent="0.35">
      <c r="A1078" s="143" t="s">
        <v>895</v>
      </c>
      <c r="B1078" s="229">
        <v>2040</v>
      </c>
      <c r="C1078" s="514" t="s">
        <v>1962</v>
      </c>
      <c r="D1078" s="515">
        <v>2.8964767820250328E-2</v>
      </c>
      <c r="E1078" s="516">
        <v>2.2857516160913658E-3</v>
      </c>
      <c r="F1078" s="145">
        <v>1.9238737836193853E-2</v>
      </c>
      <c r="G1078" s="145">
        <v>5.3747099241543527E-4</v>
      </c>
      <c r="H1078" s="517">
        <v>2.0000010000000004E-3</v>
      </c>
      <c r="I1078" s="517">
        <v>1.5750005000000004E-2</v>
      </c>
      <c r="J1078" s="148">
        <v>5.8377209701110312E-4</v>
      </c>
      <c r="K1078" s="518">
        <v>1.8325513133481945E-5</v>
      </c>
      <c r="L1078" s="519">
        <v>1.9154111909156343E-5</v>
      </c>
    </row>
    <row r="1079" spans="1:12" ht="15.5" x14ac:dyDescent="0.35">
      <c r="A1079" s="143" t="s">
        <v>895</v>
      </c>
      <c r="B1079" s="229">
        <v>2041</v>
      </c>
      <c r="C1079" s="514" t="s">
        <v>1963</v>
      </c>
      <c r="D1079" s="515">
        <v>2.8804083824348341E-2</v>
      </c>
      <c r="E1079" s="516">
        <v>2.1649094298835259E-3</v>
      </c>
      <c r="F1079" s="145">
        <v>1.8906630553575929E-2</v>
      </c>
      <c r="G1079" s="145">
        <v>5.2012770256272837E-4</v>
      </c>
      <c r="H1079" s="517">
        <v>2.0000009999999995E-3</v>
      </c>
      <c r="I1079" s="517">
        <v>1.5750005000000001E-2</v>
      </c>
      <c r="J1079" s="148">
        <v>5.6493660640117367E-4</v>
      </c>
      <c r="K1079" s="518">
        <v>1.7695557795616116E-5</v>
      </c>
      <c r="L1079" s="519">
        <v>1.8495668456452132E-5</v>
      </c>
    </row>
    <row r="1080" spans="1:12" ht="15.5" x14ac:dyDescent="0.35">
      <c r="A1080" s="143" t="s">
        <v>895</v>
      </c>
      <c r="B1080" s="229">
        <v>2042</v>
      </c>
      <c r="C1080" s="514" t="s">
        <v>1964</v>
      </c>
      <c r="D1080" s="515">
        <v>2.8666130246256728E-2</v>
      </c>
      <c r="E1080" s="516">
        <v>2.063123931929995E-3</v>
      </c>
      <c r="F1080" s="145">
        <v>1.8611192247534252E-2</v>
      </c>
      <c r="G1080" s="145">
        <v>5.0550027428058314E-4</v>
      </c>
      <c r="H1080" s="517">
        <v>2.0000009999999999E-3</v>
      </c>
      <c r="I1080" s="517">
        <v>1.5750005000000001E-2</v>
      </c>
      <c r="J1080" s="148">
        <v>5.4904881072207748E-4</v>
      </c>
      <c r="K1080" s="518">
        <v>1.7213013815680207E-5</v>
      </c>
      <c r="L1080" s="519">
        <v>1.7991308803041746E-5</v>
      </c>
    </row>
    <row r="1081" spans="1:12" ht="15.5" x14ac:dyDescent="0.35">
      <c r="A1081" s="143" t="s">
        <v>895</v>
      </c>
      <c r="B1081" s="229">
        <v>2043</v>
      </c>
      <c r="C1081" s="514" t="s">
        <v>1965</v>
      </c>
      <c r="D1081" s="515">
        <v>2.8549207492356777E-2</v>
      </c>
      <c r="E1081" s="516">
        <v>1.9856193384678784E-3</v>
      </c>
      <c r="F1081" s="145">
        <v>1.8385307733442449E-2</v>
      </c>
      <c r="G1081" s="145">
        <v>4.9324544992613835E-4</v>
      </c>
      <c r="H1081" s="517">
        <v>2.0000010000000004E-3</v>
      </c>
      <c r="I1081" s="517">
        <v>1.5750005000000001E-2</v>
      </c>
      <c r="J1081" s="148">
        <v>5.3573651998375721E-4</v>
      </c>
      <c r="K1081" s="518">
        <v>1.6824535243219775E-5</v>
      </c>
      <c r="L1081" s="519">
        <v>1.758526672806945E-5</v>
      </c>
    </row>
    <row r="1082" spans="1:12" ht="15.5" x14ac:dyDescent="0.35">
      <c r="A1082" s="143" t="s">
        <v>895</v>
      </c>
      <c r="B1082" s="229">
        <v>2044</v>
      </c>
      <c r="C1082" s="514" t="s">
        <v>1966</v>
      </c>
      <c r="D1082" s="515">
        <v>2.8452951042694376E-2</v>
      </c>
      <c r="E1082" s="516">
        <v>1.9280212724415873E-3</v>
      </c>
      <c r="F1082" s="145">
        <v>1.8208275013548155E-2</v>
      </c>
      <c r="G1082" s="145">
        <v>4.8300287000146872E-4</v>
      </c>
      <c r="H1082" s="517">
        <v>2.0000009999999999E-3</v>
      </c>
      <c r="I1082" s="517">
        <v>1.5750005000000004E-2</v>
      </c>
      <c r="J1082" s="148">
        <v>5.2461019552100824E-4</v>
      </c>
      <c r="K1082" s="518">
        <v>1.6507766553713327E-5</v>
      </c>
      <c r="L1082" s="519">
        <v>1.7254171376740044E-5</v>
      </c>
    </row>
    <row r="1083" spans="1:12" ht="15.5" x14ac:dyDescent="0.35">
      <c r="A1083" s="143" t="s">
        <v>895</v>
      </c>
      <c r="B1083" s="229">
        <v>2045</v>
      </c>
      <c r="C1083" s="514" t="s">
        <v>1967</v>
      </c>
      <c r="D1083" s="515">
        <v>2.8368879560974735E-2</v>
      </c>
      <c r="E1083" s="516">
        <v>1.8878587976396621E-3</v>
      </c>
      <c r="F1083" s="145">
        <v>1.8083008863980128E-2</v>
      </c>
      <c r="G1083" s="145">
        <v>4.744570826271553E-4</v>
      </c>
      <c r="H1083" s="517">
        <v>2.0000010000000004E-3</v>
      </c>
      <c r="I1083" s="517">
        <v>1.5750005000000004E-2</v>
      </c>
      <c r="J1083" s="148">
        <v>5.1532604857758497E-4</v>
      </c>
      <c r="K1083" s="518">
        <v>1.6280861478461606E-5</v>
      </c>
      <c r="L1083" s="519">
        <v>1.7017013015999374E-5</v>
      </c>
    </row>
    <row r="1084" spans="1:12" ht="15.5" x14ac:dyDescent="0.35">
      <c r="A1084" s="143" t="s">
        <v>895</v>
      </c>
      <c r="B1084" s="229">
        <v>2046</v>
      </c>
      <c r="C1084" s="514" t="s">
        <v>1968</v>
      </c>
      <c r="D1084" s="515">
        <v>2.8297981040368105E-2</v>
      </c>
      <c r="E1084" s="516">
        <v>1.8531542943095035E-3</v>
      </c>
      <c r="F1084" s="145">
        <v>1.7979323327859169E-2</v>
      </c>
      <c r="G1084" s="145">
        <v>4.674006925009325E-4</v>
      </c>
      <c r="H1084" s="517">
        <v>2.0000009999999999E-3</v>
      </c>
      <c r="I1084" s="517">
        <v>1.5750005000000001E-2</v>
      </c>
      <c r="J1084" s="148">
        <v>5.0765944585893185E-4</v>
      </c>
      <c r="K1084" s="518">
        <v>1.60867562167872E-5</v>
      </c>
      <c r="L1084" s="519">
        <v>1.6814125322459091E-5</v>
      </c>
    </row>
    <row r="1085" spans="1:12" ht="15.5" x14ac:dyDescent="0.35">
      <c r="A1085" s="143" t="s">
        <v>895</v>
      </c>
      <c r="B1085" s="229">
        <v>2047</v>
      </c>
      <c r="C1085" s="514" t="s">
        <v>1969</v>
      </c>
      <c r="D1085" s="515">
        <v>2.8238406411040841E-2</v>
      </c>
      <c r="E1085" s="516">
        <v>1.8221964762898434E-3</v>
      </c>
      <c r="F1085" s="145">
        <v>1.787972633923432E-2</v>
      </c>
      <c r="G1085" s="145">
        <v>4.6164034928923559E-4</v>
      </c>
      <c r="H1085" s="517">
        <v>2.0000009999999999E-3</v>
      </c>
      <c r="I1085" s="517">
        <v>1.5750005000000001E-2</v>
      </c>
      <c r="J1085" s="148">
        <v>5.0140105046699729E-4</v>
      </c>
      <c r="K1085" s="518">
        <v>1.5927933712286808E-5</v>
      </c>
      <c r="L1085" s="519">
        <v>1.6648123230622643E-5</v>
      </c>
    </row>
    <row r="1086" spans="1:12" ht="15.5" x14ac:dyDescent="0.35">
      <c r="A1086" s="143" t="s">
        <v>895</v>
      </c>
      <c r="B1086" s="229">
        <v>2048</v>
      </c>
      <c r="C1086" s="514" t="s">
        <v>1970</v>
      </c>
      <c r="D1086" s="515">
        <v>2.818841005396425E-2</v>
      </c>
      <c r="E1086" s="516">
        <v>1.7977646943717945E-3</v>
      </c>
      <c r="F1086" s="145">
        <v>1.7800937138266547E-2</v>
      </c>
      <c r="G1086" s="145">
        <v>4.5698594330681019E-4</v>
      </c>
      <c r="H1086" s="517">
        <v>2.0000009999999999E-3</v>
      </c>
      <c r="I1086" s="517">
        <v>1.5750005000000001E-2</v>
      </c>
      <c r="J1086" s="148">
        <v>4.9634439067622381E-4</v>
      </c>
      <c r="K1086" s="518">
        <v>1.5798651327251854E-5</v>
      </c>
      <c r="L1086" s="519">
        <v>1.6512996270700242E-5</v>
      </c>
    </row>
    <row r="1087" spans="1:12" ht="15.5" x14ac:dyDescent="0.35">
      <c r="A1087" s="143" t="s">
        <v>895</v>
      </c>
      <c r="B1087" s="229">
        <v>2049</v>
      </c>
      <c r="C1087" s="514" t="s">
        <v>1971</v>
      </c>
      <c r="D1087" s="515">
        <v>2.8145336526586778E-2</v>
      </c>
      <c r="E1087" s="516">
        <v>1.7883788091194079E-3</v>
      </c>
      <c r="F1087" s="145">
        <v>1.780688538871161E-2</v>
      </c>
      <c r="G1087" s="145">
        <v>4.5398850488183464E-4</v>
      </c>
      <c r="H1087" s="517">
        <v>2.0000009999999999E-3</v>
      </c>
      <c r="I1087" s="517">
        <v>1.5750005000000001E-2</v>
      </c>
      <c r="J1087" s="148">
        <v>4.9308852769508948E-4</v>
      </c>
      <c r="K1087" s="518">
        <v>1.5704414200758962E-5</v>
      </c>
      <c r="L1087" s="519">
        <v>1.6414496578993426E-5</v>
      </c>
    </row>
    <row r="1088" spans="1:12" ht="15.5" x14ac:dyDescent="0.35">
      <c r="A1088" s="143" t="s">
        <v>895</v>
      </c>
      <c r="B1088" s="229">
        <v>2050</v>
      </c>
      <c r="C1088" s="514" t="s">
        <v>1972</v>
      </c>
      <c r="D1088" s="515">
        <v>2.8110498569972973E-2</v>
      </c>
      <c r="E1088" s="516">
        <v>1.7810372069758452E-3</v>
      </c>
      <c r="F1088" s="145">
        <v>1.7814610290346325E-2</v>
      </c>
      <c r="G1088" s="145">
        <v>4.5161115099426205E-4</v>
      </c>
      <c r="H1088" s="517">
        <v>2.0000009999999999E-3</v>
      </c>
      <c r="I1088" s="517">
        <v>1.5750005000000001E-2</v>
      </c>
      <c r="J1088" s="148">
        <v>4.905070547760672E-4</v>
      </c>
      <c r="K1088" s="518">
        <v>1.5610998907358889E-5</v>
      </c>
      <c r="L1088" s="519">
        <v>1.6316857540678185E-5</v>
      </c>
    </row>
    <row r="1089" spans="1:12" ht="15.5" x14ac:dyDescent="0.35">
      <c r="A1089" s="143" t="s">
        <v>898</v>
      </c>
      <c r="B1089" s="229">
        <v>2015</v>
      </c>
      <c r="C1089" s="514" t="s">
        <v>899</v>
      </c>
      <c r="D1089" s="515">
        <v>4.3762800406094468E-2</v>
      </c>
      <c r="E1089" s="516">
        <v>7.3297879812281599E-2</v>
      </c>
      <c r="F1089" s="145">
        <v>0.31076384944066165</v>
      </c>
      <c r="G1089" s="145">
        <v>2.3859286558003379E-3</v>
      </c>
      <c r="H1089" s="517">
        <v>2.0000009999999999E-3</v>
      </c>
      <c r="I1089" s="517">
        <v>1.5750005000000001E-2</v>
      </c>
      <c r="J1089" s="148">
        <v>2.5747616703731832E-3</v>
      </c>
      <c r="K1089" s="518">
        <v>3.332420286064548E-4</v>
      </c>
      <c r="L1089" s="519">
        <v>3.4830975723812701E-4</v>
      </c>
    </row>
    <row r="1090" spans="1:12" ht="15.5" x14ac:dyDescent="0.35">
      <c r="A1090" s="143" t="s">
        <v>898</v>
      </c>
      <c r="B1090" s="229">
        <v>2016</v>
      </c>
      <c r="C1090" s="514" t="s">
        <v>900</v>
      </c>
      <c r="D1090" s="515">
        <v>4.2892518071564453E-2</v>
      </c>
      <c r="E1090" s="516">
        <v>6.1615543406875792E-2</v>
      </c>
      <c r="F1090" s="145">
        <v>0.26842633433940838</v>
      </c>
      <c r="G1090" s="145">
        <v>2.1763643712683928E-3</v>
      </c>
      <c r="H1090" s="517">
        <v>2.0000009999999999E-3</v>
      </c>
      <c r="I1090" s="517">
        <v>1.5750005000000001E-2</v>
      </c>
      <c r="J1090" s="148">
        <v>2.3501253785126338E-3</v>
      </c>
      <c r="K1090" s="518">
        <v>2.9348372097239928E-4</v>
      </c>
      <c r="L1090" s="519">
        <v>3.067537545741878E-4</v>
      </c>
    </row>
    <row r="1091" spans="1:12" ht="15.5" x14ac:dyDescent="0.35">
      <c r="A1091" s="143" t="s">
        <v>898</v>
      </c>
      <c r="B1091" s="229">
        <v>2017</v>
      </c>
      <c r="C1091" s="514" t="s">
        <v>1973</v>
      </c>
      <c r="D1091" s="515">
        <v>4.1872364423535355E-2</v>
      </c>
      <c r="E1091" s="516">
        <v>5.1977930166161437E-2</v>
      </c>
      <c r="F1091" s="145">
        <v>0.23447112502771059</v>
      </c>
      <c r="G1091" s="145">
        <v>2.039903908434706E-3</v>
      </c>
      <c r="H1091" s="517">
        <v>2.0000009999999995E-3</v>
      </c>
      <c r="I1091" s="517">
        <v>1.5750004999999997E-2</v>
      </c>
      <c r="J1091" s="148">
        <v>2.2044202342347621E-3</v>
      </c>
      <c r="K1091" s="518">
        <v>2.6179404378884943E-4</v>
      </c>
      <c r="L1091" s="519">
        <v>2.736312056037417E-4</v>
      </c>
    </row>
    <row r="1092" spans="1:12" ht="15.5" x14ac:dyDescent="0.35">
      <c r="A1092" s="143" t="s">
        <v>898</v>
      </c>
      <c r="B1092" s="229">
        <v>2018</v>
      </c>
      <c r="C1092" s="514" t="s">
        <v>1974</v>
      </c>
      <c r="D1092" s="515">
        <v>4.079547434184079E-2</v>
      </c>
      <c r="E1092" s="516">
        <v>4.3231029929898197E-2</v>
      </c>
      <c r="F1092" s="145">
        <v>0.20365917266008141</v>
      </c>
      <c r="G1092" s="145">
        <v>1.936937404437702E-3</v>
      </c>
      <c r="H1092" s="517">
        <v>2.0000009999999999E-3</v>
      </c>
      <c r="I1092" s="517">
        <v>1.5750004999999997E-2</v>
      </c>
      <c r="J1092" s="148">
        <v>2.0948233982996823E-3</v>
      </c>
      <c r="K1092" s="518">
        <v>2.3365256936148238E-4</v>
      </c>
      <c r="L1092" s="519">
        <v>2.4421730202891097E-4</v>
      </c>
    </row>
    <row r="1093" spans="1:12" ht="15.5" x14ac:dyDescent="0.35">
      <c r="A1093" s="143" t="s">
        <v>898</v>
      </c>
      <c r="B1093" s="229">
        <v>2019</v>
      </c>
      <c r="C1093" s="514" t="s">
        <v>1975</v>
      </c>
      <c r="D1093" s="515">
        <v>3.9672348569894322E-2</v>
      </c>
      <c r="E1093" s="516">
        <v>3.6404743891879837E-2</v>
      </c>
      <c r="F1093" s="145">
        <v>0.17721863702888105</v>
      </c>
      <c r="G1093" s="145">
        <v>1.8595204407412533E-3</v>
      </c>
      <c r="H1093" s="517">
        <v>2.0000009999999999E-3</v>
      </c>
      <c r="I1093" s="517">
        <v>1.5750005000000001E-2</v>
      </c>
      <c r="J1093" s="148">
        <v>2.0124651943232517E-3</v>
      </c>
      <c r="K1093" s="518">
        <v>2.0760649959018974E-4</v>
      </c>
      <c r="L1093" s="519">
        <v>2.169935430938514E-4</v>
      </c>
    </row>
    <row r="1094" spans="1:12" ht="15.5" x14ac:dyDescent="0.35">
      <c r="A1094" s="143" t="s">
        <v>898</v>
      </c>
      <c r="B1094" s="229">
        <v>2020</v>
      </c>
      <c r="C1094" s="514" t="s">
        <v>1976</v>
      </c>
      <c r="D1094" s="515">
        <v>3.854220949579451E-2</v>
      </c>
      <c r="E1094" s="516">
        <v>3.0940657214741932E-2</v>
      </c>
      <c r="F1094" s="145">
        <v>0.15435587585679089</v>
      </c>
      <c r="G1094" s="145">
        <v>1.7759189836642566E-3</v>
      </c>
      <c r="H1094" s="517">
        <v>2.0000009999999995E-3</v>
      </c>
      <c r="I1094" s="517">
        <v>1.5750005000000001E-2</v>
      </c>
      <c r="J1094" s="148">
        <v>1.9228736851986763E-3</v>
      </c>
      <c r="K1094" s="518">
        <v>1.8505515957851779E-4</v>
      </c>
      <c r="L1094" s="519">
        <v>1.9342252658244568E-4</v>
      </c>
    </row>
    <row r="1095" spans="1:12" ht="15.5" x14ac:dyDescent="0.35">
      <c r="A1095" s="143" t="s">
        <v>898</v>
      </c>
      <c r="B1095" s="229">
        <v>2021</v>
      </c>
      <c r="C1095" s="514" t="s">
        <v>1977</v>
      </c>
      <c r="D1095" s="515">
        <v>3.738059114161342E-2</v>
      </c>
      <c r="E1095" s="516">
        <v>2.6500822734946208E-2</v>
      </c>
      <c r="F1095" s="145">
        <v>0.13426513900520987</v>
      </c>
      <c r="G1095" s="145">
        <v>1.6768543999018499E-3</v>
      </c>
      <c r="H1095" s="517">
        <v>2.0000010000000004E-3</v>
      </c>
      <c r="I1095" s="517">
        <v>1.5750005000000001E-2</v>
      </c>
      <c r="J1095" s="148">
        <v>1.816217892398532E-3</v>
      </c>
      <c r="K1095" s="518">
        <v>1.6515655294554226E-4</v>
      </c>
      <c r="L1095" s="519">
        <v>1.726241974442975E-4</v>
      </c>
    </row>
    <row r="1096" spans="1:12" ht="15.5" x14ac:dyDescent="0.35">
      <c r="A1096" s="143" t="s">
        <v>898</v>
      </c>
      <c r="B1096" s="229">
        <v>2022</v>
      </c>
      <c r="C1096" s="514" t="s">
        <v>1978</v>
      </c>
      <c r="D1096" s="515">
        <v>3.6247497501378685E-2</v>
      </c>
      <c r="E1096" s="516">
        <v>2.1867835198136863E-2</v>
      </c>
      <c r="F1096" s="145">
        <v>0.11589229561360516</v>
      </c>
      <c r="G1096" s="145">
        <v>1.5801989544062633E-3</v>
      </c>
      <c r="H1096" s="517">
        <v>2.0000009999999999E-3</v>
      </c>
      <c r="I1096" s="517">
        <v>1.5750005000000004E-2</v>
      </c>
      <c r="J1096" s="148">
        <v>1.7122285607096002E-3</v>
      </c>
      <c r="K1096" s="518">
        <v>1.4798614317977556E-4</v>
      </c>
      <c r="L1096" s="519">
        <v>1.5467742144604016E-4</v>
      </c>
    </row>
    <row r="1097" spans="1:12" ht="15.5" x14ac:dyDescent="0.35">
      <c r="A1097" s="143" t="s">
        <v>898</v>
      </c>
      <c r="B1097" s="229">
        <v>2023</v>
      </c>
      <c r="C1097" s="514" t="s">
        <v>1979</v>
      </c>
      <c r="D1097" s="515">
        <v>3.5123103902588076E-2</v>
      </c>
      <c r="E1097" s="516">
        <v>1.8990909940748636E-2</v>
      </c>
      <c r="F1097" s="145">
        <v>0.10134942472639322</v>
      </c>
      <c r="G1097" s="145">
        <v>1.4933742450097382E-3</v>
      </c>
      <c r="H1097" s="517">
        <v>2.0000009999999999E-3</v>
      </c>
      <c r="I1097" s="517">
        <v>1.5750005000000001E-2</v>
      </c>
      <c r="J1097" s="148">
        <v>1.6185461545842256E-3</v>
      </c>
      <c r="K1097" s="518">
        <v>1.3163277011688868E-4</v>
      </c>
      <c r="L1097" s="519">
        <v>1.3758461652268341E-4</v>
      </c>
    </row>
    <row r="1098" spans="1:12" ht="15.5" x14ac:dyDescent="0.35">
      <c r="A1098" s="143" t="s">
        <v>898</v>
      </c>
      <c r="B1098" s="229">
        <v>2024</v>
      </c>
      <c r="C1098" s="514" t="s">
        <v>1980</v>
      </c>
      <c r="D1098" s="515">
        <v>3.4041115023840988E-2</v>
      </c>
      <c r="E1098" s="516">
        <v>1.6540925899200646E-2</v>
      </c>
      <c r="F1098" s="145">
        <v>8.8988203355757384E-2</v>
      </c>
      <c r="G1098" s="145">
        <v>1.4156845768584993E-3</v>
      </c>
      <c r="H1098" s="517">
        <v>2.0000009999999995E-3</v>
      </c>
      <c r="I1098" s="517">
        <v>1.5750005000000001E-2</v>
      </c>
      <c r="J1098" s="148">
        <v>1.5347361494563159E-3</v>
      </c>
      <c r="K1098" s="518">
        <v>1.1642211853245297E-4</v>
      </c>
      <c r="L1098" s="519">
        <v>1.2168621436515925E-4</v>
      </c>
    </row>
    <row r="1099" spans="1:12" ht="15.5" x14ac:dyDescent="0.35">
      <c r="A1099" s="143" t="s">
        <v>898</v>
      </c>
      <c r="B1099" s="229">
        <v>2025</v>
      </c>
      <c r="C1099" s="514" t="s">
        <v>1981</v>
      </c>
      <c r="D1099" s="515">
        <v>3.2945175223360483E-2</v>
      </c>
      <c r="E1099" s="516">
        <v>1.4539482364034725E-2</v>
      </c>
      <c r="F1099" s="145">
        <v>7.8855347615107874E-2</v>
      </c>
      <c r="G1099" s="145">
        <v>1.3521871673660057E-3</v>
      </c>
      <c r="H1099" s="517">
        <v>2.0000009999999999E-3</v>
      </c>
      <c r="I1099" s="517">
        <v>1.5750005000000001E-2</v>
      </c>
      <c r="J1099" s="148">
        <v>1.4661845645917431E-3</v>
      </c>
      <c r="K1099" s="518">
        <v>1.0477780406479981E-4</v>
      </c>
      <c r="L1099" s="519">
        <v>1.0951538471371813E-4</v>
      </c>
    </row>
    <row r="1100" spans="1:12" ht="15.5" x14ac:dyDescent="0.35">
      <c r="A1100" s="143" t="s">
        <v>898</v>
      </c>
      <c r="B1100" s="229">
        <v>2026</v>
      </c>
      <c r="C1100" s="514" t="s">
        <v>1982</v>
      </c>
      <c r="D1100" s="515">
        <v>3.1950293496570033E-2</v>
      </c>
      <c r="E1100" s="516">
        <v>1.2864744502257185E-2</v>
      </c>
      <c r="F1100" s="145">
        <v>7.0433108022542656E-2</v>
      </c>
      <c r="G1100" s="145">
        <v>1.2902553412321987E-3</v>
      </c>
      <c r="H1100" s="517">
        <v>2.0000009999999999E-3</v>
      </c>
      <c r="I1100" s="517">
        <v>1.5750004999999997E-2</v>
      </c>
      <c r="J1100" s="148">
        <v>1.3992940871626158E-3</v>
      </c>
      <c r="K1100" s="518">
        <v>9.3800368905866944E-5</v>
      </c>
      <c r="L1100" s="519">
        <v>9.8041609829505299E-5</v>
      </c>
    </row>
    <row r="1101" spans="1:12" ht="15.5" x14ac:dyDescent="0.35">
      <c r="A1101" s="143" t="s">
        <v>898</v>
      </c>
      <c r="B1101" s="229">
        <v>2027</v>
      </c>
      <c r="C1101" s="514" t="s">
        <v>1983</v>
      </c>
      <c r="D1101" s="515">
        <v>3.1045009545779739E-2</v>
      </c>
      <c r="E1101" s="516">
        <v>1.1394353693134926E-2</v>
      </c>
      <c r="F1101" s="145">
        <v>6.3091921323885733E-2</v>
      </c>
      <c r="G1101" s="145">
        <v>1.2187799683612227E-3</v>
      </c>
      <c r="H1101" s="517">
        <v>2.0000009999999999E-3</v>
      </c>
      <c r="I1101" s="517">
        <v>1.5750005000000004E-2</v>
      </c>
      <c r="J1101" s="148">
        <v>1.3222200409893942E-3</v>
      </c>
      <c r="K1101" s="518">
        <v>7.8207849422457372E-5</v>
      </c>
      <c r="L1101" s="519">
        <v>8.1744059358389605E-5</v>
      </c>
    </row>
    <row r="1102" spans="1:12" ht="15.5" x14ac:dyDescent="0.35">
      <c r="A1102" s="143" t="s">
        <v>898</v>
      </c>
      <c r="B1102" s="229">
        <v>2028</v>
      </c>
      <c r="C1102" s="514" t="s">
        <v>1984</v>
      </c>
      <c r="D1102" s="515">
        <v>3.0233066128169613E-2</v>
      </c>
      <c r="E1102" s="516">
        <v>1.0154351680392752E-2</v>
      </c>
      <c r="F1102" s="145">
        <v>5.6888640823419802E-2</v>
      </c>
      <c r="G1102" s="145">
        <v>1.1463507783825162E-3</v>
      </c>
      <c r="H1102" s="517">
        <v>2.0000009999999995E-3</v>
      </c>
      <c r="I1102" s="517">
        <v>1.5750005000000001E-2</v>
      </c>
      <c r="J1102" s="148">
        <v>1.2439446740301013E-3</v>
      </c>
      <c r="K1102" s="518">
        <v>6.6466736944371043E-5</v>
      </c>
      <c r="L1102" s="519">
        <v>6.9472064032889195E-5</v>
      </c>
    </row>
    <row r="1103" spans="1:12" ht="15.5" x14ac:dyDescent="0.35">
      <c r="A1103" s="143" t="s">
        <v>898</v>
      </c>
      <c r="B1103" s="229">
        <v>2029</v>
      </c>
      <c r="C1103" s="514" t="s">
        <v>1985</v>
      </c>
      <c r="D1103" s="515">
        <v>2.9505942851636921E-2</v>
      </c>
      <c r="E1103" s="516">
        <v>9.0512353561178569E-3</v>
      </c>
      <c r="F1103" s="145">
        <v>5.1489506938141055E-2</v>
      </c>
      <c r="G1103" s="145">
        <v>1.078779044837294E-3</v>
      </c>
      <c r="H1103" s="517">
        <v>2.0000009999999999E-3</v>
      </c>
      <c r="I1103" s="517">
        <v>1.5750005000000001E-2</v>
      </c>
      <c r="J1103" s="148">
        <v>1.1707736145323052E-3</v>
      </c>
      <c r="K1103" s="518">
        <v>5.8923830591473399E-5</v>
      </c>
      <c r="L1103" s="519">
        <v>6.1588110342942812E-5</v>
      </c>
    </row>
    <row r="1104" spans="1:12" ht="15.5" x14ac:dyDescent="0.35">
      <c r="A1104" s="143" t="s">
        <v>898</v>
      </c>
      <c r="B1104" s="229">
        <v>2030</v>
      </c>
      <c r="C1104" s="514" t="s">
        <v>1986</v>
      </c>
      <c r="D1104" s="515">
        <v>2.8858772198706497E-2</v>
      </c>
      <c r="E1104" s="516">
        <v>8.1045010421598486E-3</v>
      </c>
      <c r="F1104" s="145">
        <v>4.6793351689714727E-2</v>
      </c>
      <c r="G1104" s="145">
        <v>1.0140024742429376E-3</v>
      </c>
      <c r="H1104" s="517">
        <v>2.0000009999999999E-3</v>
      </c>
      <c r="I1104" s="517">
        <v>1.5750005000000001E-2</v>
      </c>
      <c r="J1104" s="148">
        <v>1.1005870418529873E-3</v>
      </c>
      <c r="K1104" s="518">
        <v>5.2698061365856857E-5</v>
      </c>
      <c r="L1104" s="519">
        <v>5.5080838034416169E-5</v>
      </c>
    </row>
    <row r="1105" spans="1:12" ht="15.5" x14ac:dyDescent="0.35">
      <c r="A1105" s="143" t="s">
        <v>898</v>
      </c>
      <c r="B1105" s="229">
        <v>2031</v>
      </c>
      <c r="C1105" s="514" t="s">
        <v>1987</v>
      </c>
      <c r="D1105" s="515">
        <v>2.8299010188482691E-2</v>
      </c>
      <c r="E1105" s="516">
        <v>7.253864990143028E-3</v>
      </c>
      <c r="F1105" s="145">
        <v>4.2651376310173648E-2</v>
      </c>
      <c r="G1105" s="145">
        <v>9.5226209928415853E-4</v>
      </c>
      <c r="H1105" s="517">
        <v>2.0000009999999995E-3</v>
      </c>
      <c r="I1105" s="517">
        <v>1.5750005000000001E-2</v>
      </c>
      <c r="J1105" s="148">
        <v>1.0336401788929434E-3</v>
      </c>
      <c r="K1105" s="518">
        <v>4.7956881222433775E-5</v>
      </c>
      <c r="L1105" s="519">
        <v>5.0125286237615423E-5</v>
      </c>
    </row>
    <row r="1106" spans="1:12" ht="15.5" x14ac:dyDescent="0.35">
      <c r="A1106" s="143" t="s">
        <v>898</v>
      </c>
      <c r="B1106" s="229">
        <v>2032</v>
      </c>
      <c r="C1106" s="514" t="s">
        <v>1988</v>
      </c>
      <c r="D1106" s="515">
        <v>2.7790325770275064E-2</v>
      </c>
      <c r="E1106" s="516">
        <v>6.5342470096246509E-3</v>
      </c>
      <c r="F1106" s="145">
        <v>3.9248758207982799E-2</v>
      </c>
      <c r="G1106" s="145">
        <v>8.9529350572850836E-4</v>
      </c>
      <c r="H1106" s="517">
        <v>2.0000009999999999E-3</v>
      </c>
      <c r="I1106" s="517">
        <v>1.5750005000000001E-2</v>
      </c>
      <c r="J1106" s="148">
        <v>9.7185518068279683E-4</v>
      </c>
      <c r="K1106" s="518">
        <v>4.3849984178814352E-5</v>
      </c>
      <c r="L1106" s="519">
        <v>4.5832693020492566E-5</v>
      </c>
    </row>
    <row r="1107" spans="1:12" ht="15.5" x14ac:dyDescent="0.35">
      <c r="A1107" s="143" t="s">
        <v>898</v>
      </c>
      <c r="B1107" s="229">
        <v>2033</v>
      </c>
      <c r="C1107" s="514" t="s">
        <v>1989</v>
      </c>
      <c r="D1107" s="515">
        <v>2.7341890679382662E-2</v>
      </c>
      <c r="E1107" s="516">
        <v>5.8979931933727638E-3</v>
      </c>
      <c r="F1107" s="145">
        <v>3.632207897197795E-2</v>
      </c>
      <c r="G1107" s="145">
        <v>8.4217665518044086E-4</v>
      </c>
      <c r="H1107" s="517">
        <v>2.0000009999999999E-3</v>
      </c>
      <c r="I1107" s="517">
        <v>1.5750005000000001E-2</v>
      </c>
      <c r="J1107" s="148">
        <v>9.1422132950941888E-4</v>
      </c>
      <c r="K1107" s="518">
        <v>4.0660040143669395E-5</v>
      </c>
      <c r="L1107" s="519">
        <v>4.2498509749360363E-5</v>
      </c>
    </row>
    <row r="1108" spans="1:12" ht="15.5" x14ac:dyDescent="0.35">
      <c r="A1108" s="143" t="s">
        <v>898</v>
      </c>
      <c r="B1108" s="229">
        <v>2034</v>
      </c>
      <c r="C1108" s="514" t="s">
        <v>1990</v>
      </c>
      <c r="D1108" s="515">
        <v>2.6947961398475564E-2</v>
      </c>
      <c r="E1108" s="516">
        <v>5.3070529164604228E-3</v>
      </c>
      <c r="F1108" s="145">
        <v>3.3655076694524201E-2</v>
      </c>
      <c r="G1108" s="145">
        <v>7.9154942860086455E-4</v>
      </c>
      <c r="H1108" s="517">
        <v>2.0000010000000004E-3</v>
      </c>
      <c r="I1108" s="517">
        <v>1.5750005000000001E-2</v>
      </c>
      <c r="J1108" s="148">
        <v>8.5928211100796915E-4</v>
      </c>
      <c r="K1108" s="518">
        <v>3.7759150289549776E-5</v>
      </c>
      <c r="L1108" s="519">
        <v>3.9466445859076816E-5</v>
      </c>
    </row>
    <row r="1109" spans="1:12" ht="15.5" x14ac:dyDescent="0.35">
      <c r="A1109" s="143" t="s">
        <v>898</v>
      </c>
      <c r="B1109" s="229">
        <v>2035</v>
      </c>
      <c r="C1109" s="514" t="s">
        <v>1991</v>
      </c>
      <c r="D1109" s="515">
        <v>2.6604671410868422E-2</v>
      </c>
      <c r="E1109" s="516">
        <v>4.7838599544610021E-3</v>
      </c>
      <c r="F1109" s="145">
        <v>3.137629100564876E-2</v>
      </c>
      <c r="G1109" s="145">
        <v>7.4466927229548574E-4</v>
      </c>
      <c r="H1109" s="517">
        <v>2.0000009999999999E-3</v>
      </c>
      <c r="I1109" s="517">
        <v>1.5750005000000001E-2</v>
      </c>
      <c r="J1109" s="148">
        <v>8.0840751327540398E-4</v>
      </c>
      <c r="K1109" s="518">
        <v>3.5121707862435556E-5</v>
      </c>
      <c r="L1109" s="519">
        <v>3.6709755213693025E-5</v>
      </c>
    </row>
    <row r="1110" spans="1:12" ht="15.5" x14ac:dyDescent="0.35">
      <c r="A1110" s="143" t="s">
        <v>898</v>
      </c>
      <c r="B1110" s="229">
        <v>2036</v>
      </c>
      <c r="C1110" s="514" t="s">
        <v>1992</v>
      </c>
      <c r="D1110" s="515">
        <v>2.6306991920724245E-2</v>
      </c>
      <c r="E1110" s="516">
        <v>4.332712515505514E-3</v>
      </c>
      <c r="F1110" s="145">
        <v>2.9444042975337741E-2</v>
      </c>
      <c r="G1110" s="145">
        <v>7.039042074365201E-4</v>
      </c>
      <c r="H1110" s="517">
        <v>2.0000009999999999E-3</v>
      </c>
      <c r="I1110" s="517">
        <v>1.5750005000000001E-2</v>
      </c>
      <c r="J1110" s="148">
        <v>7.6417981949768166E-4</v>
      </c>
      <c r="K1110" s="518">
        <v>3.2572965858251051E-5</v>
      </c>
      <c r="L1110" s="519">
        <v>3.4045771739252984E-5</v>
      </c>
    </row>
    <row r="1111" spans="1:12" ht="15.5" x14ac:dyDescent="0.35">
      <c r="A1111" s="143" t="s">
        <v>898</v>
      </c>
      <c r="B1111" s="229">
        <v>2037</v>
      </c>
      <c r="C1111" s="514" t="s">
        <v>1993</v>
      </c>
      <c r="D1111" s="515">
        <v>2.6051105517558886E-2</v>
      </c>
      <c r="E1111" s="516">
        <v>3.9398474449942452E-3</v>
      </c>
      <c r="F1111" s="145">
        <v>2.7804100341326233E-2</v>
      </c>
      <c r="G1111" s="145">
        <v>6.666139551728277E-4</v>
      </c>
      <c r="H1111" s="517">
        <v>2.0000009999999995E-3</v>
      </c>
      <c r="I1111" s="517">
        <v>1.5750005000000001E-2</v>
      </c>
      <c r="J1111" s="148">
        <v>7.2374179066909841E-4</v>
      </c>
      <c r="K1111" s="518">
        <v>2.9776638566988774E-5</v>
      </c>
      <c r="L1111" s="519">
        <v>3.1123009370811527E-5</v>
      </c>
    </row>
    <row r="1112" spans="1:12" ht="15.5" x14ac:dyDescent="0.35">
      <c r="A1112" s="143" t="s">
        <v>898</v>
      </c>
      <c r="B1112" s="229">
        <v>2038</v>
      </c>
      <c r="C1112" s="514" t="s">
        <v>1994</v>
      </c>
      <c r="D1112" s="515">
        <v>2.5833050684581853E-2</v>
      </c>
      <c r="E1112" s="516">
        <v>3.5780770263303431E-3</v>
      </c>
      <c r="F1112" s="145">
        <v>2.6297957284807751E-2</v>
      </c>
      <c r="G1112" s="145">
        <v>6.3360077909386647E-4</v>
      </c>
      <c r="H1112" s="517">
        <v>2.0000009999999999E-3</v>
      </c>
      <c r="I1112" s="517">
        <v>1.5750005000000001E-2</v>
      </c>
      <c r="J1112" s="148">
        <v>6.8790778083339704E-4</v>
      </c>
      <c r="K1112" s="518">
        <v>2.8102546060512955E-5</v>
      </c>
      <c r="L1112" s="519">
        <v>2.9373215933907011E-5</v>
      </c>
    </row>
    <row r="1113" spans="1:12" ht="15.5" x14ac:dyDescent="0.35">
      <c r="A1113" s="143" t="s">
        <v>898</v>
      </c>
      <c r="B1113" s="229">
        <v>2039</v>
      </c>
      <c r="C1113" s="514" t="s">
        <v>1995</v>
      </c>
      <c r="D1113" s="515">
        <v>2.5647477177616701E-2</v>
      </c>
      <c r="E1113" s="516">
        <v>3.2308700916052484E-3</v>
      </c>
      <c r="F1113" s="145">
        <v>2.4855127549227616E-2</v>
      </c>
      <c r="G1113" s="145">
        <v>6.0346648936840917E-4</v>
      </c>
      <c r="H1113" s="517">
        <v>2.0000009999999999E-3</v>
      </c>
      <c r="I1113" s="517">
        <v>1.5750004999999997E-2</v>
      </c>
      <c r="J1113" s="148">
        <v>6.5519873921340746E-4</v>
      </c>
      <c r="K1113" s="518">
        <v>2.6582853702039691E-5</v>
      </c>
      <c r="L1113" s="519">
        <v>2.7784815341630261E-5</v>
      </c>
    </row>
    <row r="1114" spans="1:12" ht="15.5" x14ac:dyDescent="0.35">
      <c r="A1114" s="143" t="s">
        <v>898</v>
      </c>
      <c r="B1114" s="229">
        <v>2040</v>
      </c>
      <c r="C1114" s="514" t="s">
        <v>1996</v>
      </c>
      <c r="D1114" s="515">
        <v>2.5490907782425316E-2</v>
      </c>
      <c r="E1114" s="516">
        <v>2.9273613824113624E-3</v>
      </c>
      <c r="F1114" s="145">
        <v>2.3678363921862827E-2</v>
      </c>
      <c r="G1114" s="145">
        <v>5.7664694702037477E-4</v>
      </c>
      <c r="H1114" s="517">
        <v>2.0000009999999999E-3</v>
      </c>
      <c r="I1114" s="517">
        <v>1.5750005000000004E-2</v>
      </c>
      <c r="J1114" s="148">
        <v>6.2608275629045932E-4</v>
      </c>
      <c r="K1114" s="518">
        <v>2.5328762540979533E-5</v>
      </c>
      <c r="L1114" s="519">
        <v>2.6474017045628077E-5</v>
      </c>
    </row>
    <row r="1115" spans="1:12" ht="15.5" x14ac:dyDescent="0.35">
      <c r="A1115" s="143" t="s">
        <v>898</v>
      </c>
      <c r="B1115" s="229">
        <v>2041</v>
      </c>
      <c r="C1115" s="514" t="s">
        <v>1997</v>
      </c>
      <c r="D1115" s="515">
        <v>2.5361234151813402E-2</v>
      </c>
      <c r="E1115" s="516">
        <v>2.7132624194449485E-3</v>
      </c>
      <c r="F1115" s="145">
        <v>2.2779566494606829E-2</v>
      </c>
      <c r="G1115" s="145">
        <v>5.5588513700221805E-4</v>
      </c>
      <c r="H1115" s="517">
        <v>2.0000009999999999E-3</v>
      </c>
      <c r="I1115" s="517">
        <v>1.5750005000000001E-2</v>
      </c>
      <c r="J1115" s="148">
        <v>6.0355096066543837E-4</v>
      </c>
      <c r="K1115" s="518">
        <v>2.4195800660210428E-5</v>
      </c>
      <c r="L1115" s="519">
        <v>2.5289824008661022E-5</v>
      </c>
    </row>
    <row r="1116" spans="1:12" ht="15.5" x14ac:dyDescent="0.35">
      <c r="A1116" s="143" t="s">
        <v>898</v>
      </c>
      <c r="B1116" s="229">
        <v>2042</v>
      </c>
      <c r="C1116" s="514" t="s">
        <v>1998</v>
      </c>
      <c r="D1116" s="515">
        <v>2.5252005773585651E-2</v>
      </c>
      <c r="E1116" s="516">
        <v>2.5173046751584098E-3</v>
      </c>
      <c r="F1116" s="145">
        <v>2.1918279075167683E-2</v>
      </c>
      <c r="G1116" s="145">
        <v>5.3756681003940031E-4</v>
      </c>
      <c r="H1116" s="517">
        <v>2.0000009999999995E-3</v>
      </c>
      <c r="I1116" s="517">
        <v>1.5750005000000001E-2</v>
      </c>
      <c r="J1116" s="148">
        <v>5.8367171032658891E-4</v>
      </c>
      <c r="K1116" s="518">
        <v>2.3159653620951657E-5</v>
      </c>
      <c r="L1116" s="519">
        <v>2.4206832258304829E-5</v>
      </c>
    </row>
    <row r="1117" spans="1:12" ht="15.5" x14ac:dyDescent="0.35">
      <c r="A1117" s="143" t="s">
        <v>898</v>
      </c>
      <c r="B1117" s="229">
        <v>2043</v>
      </c>
      <c r="C1117" s="514" t="s">
        <v>1999</v>
      </c>
      <c r="D1117" s="515">
        <v>2.5161484569993307E-2</v>
      </c>
      <c r="E1117" s="516">
        <v>2.3663612550604506E-3</v>
      </c>
      <c r="F1117" s="145">
        <v>2.1245995364994791E-2</v>
      </c>
      <c r="G1117" s="145">
        <v>5.2172570715410568E-4</v>
      </c>
      <c r="H1117" s="517">
        <v>2.0000010000000008E-3</v>
      </c>
      <c r="I1117" s="517">
        <v>1.5750005000000004E-2</v>
      </c>
      <c r="J1117" s="148">
        <v>5.664781877367666E-4</v>
      </c>
      <c r="K1117" s="518">
        <v>2.2335354358561969E-5</v>
      </c>
      <c r="L1117" s="519">
        <v>2.3345259355638817E-5</v>
      </c>
    </row>
    <row r="1118" spans="1:12" ht="15.5" x14ac:dyDescent="0.35">
      <c r="A1118" s="143" t="s">
        <v>898</v>
      </c>
      <c r="B1118" s="229">
        <v>2044</v>
      </c>
      <c r="C1118" s="514" t="s">
        <v>2000</v>
      </c>
      <c r="D1118" s="515">
        <v>2.5085504441906131E-2</v>
      </c>
      <c r="E1118" s="516">
        <v>2.2398269492294428E-3</v>
      </c>
      <c r="F1118" s="145">
        <v>2.0642420890627983E-2</v>
      </c>
      <c r="G1118" s="145">
        <v>5.0786825058380379E-4</v>
      </c>
      <c r="H1118" s="517">
        <v>2.0000009999999999E-3</v>
      </c>
      <c r="I1118" s="517">
        <v>1.5750005000000001E-2</v>
      </c>
      <c r="J1118" s="148">
        <v>5.5143463818950423E-4</v>
      </c>
      <c r="K1118" s="518">
        <v>2.1682997946299202E-5</v>
      </c>
      <c r="L1118" s="519">
        <v>2.2663404039561106E-5</v>
      </c>
    </row>
    <row r="1119" spans="1:12" ht="15.5" x14ac:dyDescent="0.35">
      <c r="A1119" s="143" t="s">
        <v>898</v>
      </c>
      <c r="B1119" s="229">
        <v>2045</v>
      </c>
      <c r="C1119" s="514" t="s">
        <v>2001</v>
      </c>
      <c r="D1119" s="515">
        <v>2.5020740970595978E-2</v>
      </c>
      <c r="E1119" s="516">
        <v>2.1474851712012253E-3</v>
      </c>
      <c r="F1119" s="145">
        <v>2.0201362630919425E-2</v>
      </c>
      <c r="G1119" s="145">
        <v>4.9596479142116623E-4</v>
      </c>
      <c r="H1119" s="517">
        <v>2.0000009999999999E-3</v>
      </c>
      <c r="I1119" s="517">
        <v>1.5750005000000004E-2</v>
      </c>
      <c r="J1119" s="148">
        <v>5.385077769925362E-4</v>
      </c>
      <c r="K1119" s="518">
        <v>2.1207835447529468E-5</v>
      </c>
      <c r="L1119" s="519">
        <v>2.216675403211172E-5</v>
      </c>
    </row>
    <row r="1120" spans="1:12" ht="15.5" x14ac:dyDescent="0.35">
      <c r="A1120" s="143" t="s">
        <v>898</v>
      </c>
      <c r="B1120" s="229">
        <v>2046</v>
      </c>
      <c r="C1120" s="514" t="s">
        <v>2002</v>
      </c>
      <c r="D1120" s="515">
        <v>2.4965854766626411E-2</v>
      </c>
      <c r="E1120" s="516">
        <v>2.069677924671338E-3</v>
      </c>
      <c r="F1120" s="145">
        <v>1.9857475780904698E-2</v>
      </c>
      <c r="G1120" s="145">
        <v>4.8567512403210021E-4</v>
      </c>
      <c r="H1120" s="517">
        <v>2.0000009999999995E-3</v>
      </c>
      <c r="I1120" s="517">
        <v>1.5750005000000001E-2</v>
      </c>
      <c r="J1120" s="148">
        <v>5.2733821717841807E-4</v>
      </c>
      <c r="K1120" s="518">
        <v>2.0709461792776058E-5</v>
      </c>
      <c r="L1120" s="519">
        <v>2.1645844760561125E-5</v>
      </c>
    </row>
    <row r="1121" spans="1:12" ht="15.5" x14ac:dyDescent="0.35">
      <c r="A1121" s="143" t="s">
        <v>898</v>
      </c>
      <c r="B1121" s="229">
        <v>2047</v>
      </c>
      <c r="C1121" s="514" t="s">
        <v>2003</v>
      </c>
      <c r="D1121" s="515">
        <v>2.4919713069808475E-2</v>
      </c>
      <c r="E1121" s="516">
        <v>1.9982697980356107E-3</v>
      </c>
      <c r="F1121" s="145">
        <v>1.9540050576905495E-2</v>
      </c>
      <c r="G1121" s="145">
        <v>4.769634770842398E-4</v>
      </c>
      <c r="H1121" s="517">
        <v>2.0000009999999995E-3</v>
      </c>
      <c r="I1121" s="517">
        <v>1.5750005000000001E-2</v>
      </c>
      <c r="J1121" s="148">
        <v>5.1787734111209671E-4</v>
      </c>
      <c r="K1121" s="518">
        <v>2.0394797145419191E-5</v>
      </c>
      <c r="L1121" s="519">
        <v>2.1316957837937506E-5</v>
      </c>
    </row>
    <row r="1122" spans="1:12" ht="15.5" x14ac:dyDescent="0.35">
      <c r="A1122" s="143" t="s">
        <v>898</v>
      </c>
      <c r="B1122" s="229">
        <v>2048</v>
      </c>
      <c r="C1122" s="514" t="s">
        <v>2004</v>
      </c>
      <c r="D1122" s="515">
        <v>2.4880506900384857E-2</v>
      </c>
      <c r="E1122" s="516">
        <v>1.9429487286823368E-3</v>
      </c>
      <c r="F1122" s="145">
        <v>1.929188903960051E-2</v>
      </c>
      <c r="G1122" s="145">
        <v>4.6961257037306486E-4</v>
      </c>
      <c r="H1122" s="517">
        <v>2.0000009999999999E-3</v>
      </c>
      <c r="I1122" s="517">
        <v>1.5750005000000001E-2</v>
      </c>
      <c r="J1122" s="148">
        <v>5.0989546989577258E-4</v>
      </c>
      <c r="K1122" s="518">
        <v>2.0080330387371528E-5</v>
      </c>
      <c r="L1122" s="519">
        <v>2.0988280526155111E-5</v>
      </c>
    </row>
    <row r="1123" spans="1:12" ht="15.5" x14ac:dyDescent="0.35">
      <c r="A1123" s="143" t="s">
        <v>898</v>
      </c>
      <c r="B1123" s="229">
        <v>2049</v>
      </c>
      <c r="C1123" s="514" t="s">
        <v>2005</v>
      </c>
      <c r="D1123" s="515">
        <v>2.4846610366873356E-2</v>
      </c>
      <c r="E1123" s="516">
        <v>1.9219072213068151E-3</v>
      </c>
      <c r="F1123" s="145">
        <v>1.9266294860264811E-2</v>
      </c>
      <c r="G1123" s="145">
        <v>4.649700479874675E-4</v>
      </c>
      <c r="H1123" s="517">
        <v>2.0000009999999999E-3</v>
      </c>
      <c r="I1123" s="517">
        <v>1.5750004999999997E-2</v>
      </c>
      <c r="J1123" s="148">
        <v>5.0486036165942277E-4</v>
      </c>
      <c r="K1123" s="518">
        <v>1.9756038979618031E-5</v>
      </c>
      <c r="L1123" s="519">
        <v>2.0649319459220499E-5</v>
      </c>
    </row>
    <row r="1124" spans="1:12" ht="15.5" x14ac:dyDescent="0.35">
      <c r="A1124" s="143" t="s">
        <v>898</v>
      </c>
      <c r="B1124" s="229">
        <v>2050</v>
      </c>
      <c r="C1124" s="514" t="s">
        <v>2006</v>
      </c>
      <c r="D1124" s="515">
        <v>2.481876586327366E-2</v>
      </c>
      <c r="E1124" s="516">
        <v>1.9044094012509057E-3</v>
      </c>
      <c r="F1124" s="145">
        <v>1.9242933434305876E-2</v>
      </c>
      <c r="G1124" s="145">
        <v>4.6092749032350421E-4</v>
      </c>
      <c r="H1124" s="517">
        <v>2.0000009999999999E-3</v>
      </c>
      <c r="I1124" s="517">
        <v>1.5750005000000001E-2</v>
      </c>
      <c r="J1124" s="148">
        <v>5.00482398857392E-4</v>
      </c>
      <c r="K1124" s="518">
        <v>1.9308786706735139E-5</v>
      </c>
      <c r="L1124" s="519">
        <v>2.018184544232769E-5</v>
      </c>
    </row>
    <row r="1125" spans="1:12" ht="15.5" x14ac:dyDescent="0.35">
      <c r="A1125" s="143" t="s">
        <v>904</v>
      </c>
      <c r="B1125" s="229">
        <v>2015</v>
      </c>
      <c r="C1125" s="514" t="s">
        <v>905</v>
      </c>
      <c r="D1125" s="515">
        <v>4.5547426819493288E-2</v>
      </c>
      <c r="E1125" s="516">
        <v>4.0231934208865477E-2</v>
      </c>
      <c r="F1125" s="145">
        <v>0.14645503426609791</v>
      </c>
      <c r="G1125" s="145">
        <v>1.7033689008005956E-3</v>
      </c>
      <c r="H1125" s="517">
        <v>2.0000010000000004E-3</v>
      </c>
      <c r="I1125" s="517">
        <v>1.5750005000000001E-2</v>
      </c>
      <c r="J1125" s="148">
        <v>1.8454612967576777E-3</v>
      </c>
      <c r="K1125" s="518">
        <v>1.1490456871437275E-4</v>
      </c>
      <c r="L1125" s="519">
        <v>1.2010004441608181E-4</v>
      </c>
    </row>
    <row r="1126" spans="1:12" ht="15.5" x14ac:dyDescent="0.35">
      <c r="A1126" s="143" t="s">
        <v>904</v>
      </c>
      <c r="B1126" s="229">
        <v>2016</v>
      </c>
      <c r="C1126" s="514" t="s">
        <v>906</v>
      </c>
      <c r="D1126" s="515">
        <v>4.4618255849778951E-2</v>
      </c>
      <c r="E1126" s="516">
        <v>3.3534766903070543E-2</v>
      </c>
      <c r="F1126" s="145">
        <v>0.12508569164960226</v>
      </c>
      <c r="G1126" s="145">
        <v>1.6641753131280579E-3</v>
      </c>
      <c r="H1126" s="517">
        <v>2.0000009999999995E-3</v>
      </c>
      <c r="I1126" s="517">
        <v>1.5750004999999997E-2</v>
      </c>
      <c r="J1126" s="148">
        <v>1.8043251230337844E-3</v>
      </c>
      <c r="K1126" s="518">
        <v>9.7629862582618665E-5</v>
      </c>
      <c r="L1126" s="519">
        <v>1.0204424728806455E-4</v>
      </c>
    </row>
    <row r="1127" spans="1:12" ht="15.5" x14ac:dyDescent="0.35">
      <c r="A1127" s="143" t="s">
        <v>904</v>
      </c>
      <c r="B1127" s="229">
        <v>2017</v>
      </c>
      <c r="C1127" s="514" t="s">
        <v>2007</v>
      </c>
      <c r="D1127" s="515">
        <v>4.3517521634029999E-2</v>
      </c>
      <c r="E1127" s="516">
        <v>2.8141200576586648E-2</v>
      </c>
      <c r="F1127" s="145">
        <v>0.10688498433658136</v>
      </c>
      <c r="G1127" s="145">
        <v>1.6624066058748255E-3</v>
      </c>
      <c r="H1127" s="517">
        <v>2.0000009999999999E-3</v>
      </c>
      <c r="I1127" s="517">
        <v>1.5750005000000001E-2</v>
      </c>
      <c r="J1127" s="148">
        <v>1.8032457978270728E-3</v>
      </c>
      <c r="K1127" s="518">
        <v>8.9125174152601992E-5</v>
      </c>
      <c r="L1127" s="519">
        <v>9.315501976087566E-5</v>
      </c>
    </row>
    <row r="1128" spans="1:12" ht="15.5" x14ac:dyDescent="0.35">
      <c r="A1128" s="143" t="s">
        <v>904</v>
      </c>
      <c r="B1128" s="229">
        <v>2018</v>
      </c>
      <c r="C1128" s="514" t="s">
        <v>2008</v>
      </c>
      <c r="D1128" s="515">
        <v>4.2366457038331681E-2</v>
      </c>
      <c r="E1128" s="516">
        <v>2.3516628515083484E-2</v>
      </c>
      <c r="F1128" s="145">
        <v>9.1338726241904158E-2</v>
      </c>
      <c r="G1128" s="145">
        <v>1.6831078939631243E-3</v>
      </c>
      <c r="H1128" s="517">
        <v>2.0000010000000004E-3</v>
      </c>
      <c r="I1128" s="517">
        <v>1.5750005000000004E-2</v>
      </c>
      <c r="J1128" s="148">
        <v>1.8264362120670903E-3</v>
      </c>
      <c r="K1128" s="518">
        <v>8.264383650604934E-5</v>
      </c>
      <c r="L1128" s="519">
        <v>8.6380625112719126E-5</v>
      </c>
    </row>
    <row r="1129" spans="1:12" ht="15.5" x14ac:dyDescent="0.35">
      <c r="A1129" s="143" t="s">
        <v>904</v>
      </c>
      <c r="B1129" s="229">
        <v>2019</v>
      </c>
      <c r="C1129" s="514" t="s">
        <v>2009</v>
      </c>
      <c r="D1129" s="515">
        <v>4.1177286109228647E-2</v>
      </c>
      <c r="E1129" s="516">
        <v>1.9964030956112353E-2</v>
      </c>
      <c r="F1129" s="145">
        <v>7.8490715958545967E-2</v>
      </c>
      <c r="G1129" s="145">
        <v>1.7219050235310089E-3</v>
      </c>
      <c r="H1129" s="517">
        <v>2.0000009999999999E-3</v>
      </c>
      <c r="I1129" s="517">
        <v>1.5750005000000004E-2</v>
      </c>
      <c r="J1129" s="148">
        <v>1.8691285284866612E-3</v>
      </c>
      <c r="K1129" s="518">
        <v>7.7574843180230904E-5</v>
      </c>
      <c r="L1129" s="519">
        <v>8.1082430295190423E-5</v>
      </c>
    </row>
    <row r="1130" spans="1:12" ht="15.5" x14ac:dyDescent="0.35">
      <c r="A1130" s="143" t="s">
        <v>904</v>
      </c>
      <c r="B1130" s="229">
        <v>2020</v>
      </c>
      <c r="C1130" s="514" t="s">
        <v>2010</v>
      </c>
      <c r="D1130" s="515">
        <v>3.996968648677382E-2</v>
      </c>
      <c r="E1130" s="516">
        <v>1.704403647874354E-2</v>
      </c>
      <c r="F1130" s="145">
        <v>6.7815210882881588E-2</v>
      </c>
      <c r="G1130" s="145">
        <v>1.68861553017777E-3</v>
      </c>
      <c r="H1130" s="517">
        <v>2.0000009999999999E-3</v>
      </c>
      <c r="I1130" s="517">
        <v>1.5750005000000001E-2</v>
      </c>
      <c r="J1130" s="148">
        <v>1.8332053226757844E-3</v>
      </c>
      <c r="K1130" s="518">
        <v>7.336549456331623E-5</v>
      </c>
      <c r="L1130" s="519">
        <v>7.6682755017697663E-5</v>
      </c>
    </row>
    <row r="1131" spans="1:12" ht="15.5" x14ac:dyDescent="0.35">
      <c r="A1131" s="143" t="s">
        <v>904</v>
      </c>
      <c r="B1131" s="229">
        <v>2021</v>
      </c>
      <c r="C1131" s="514" t="s">
        <v>2011</v>
      </c>
      <c r="D1131" s="515">
        <v>3.8748638653059018E-2</v>
      </c>
      <c r="E1131" s="516">
        <v>1.4691632836521848E-2</v>
      </c>
      <c r="F1131" s="145">
        <v>5.8898418737834815E-2</v>
      </c>
      <c r="G1131" s="145">
        <v>1.6040943984070495E-3</v>
      </c>
      <c r="H1131" s="517">
        <v>2.0000009999999999E-3</v>
      </c>
      <c r="I1131" s="517">
        <v>1.5750005000000001E-2</v>
      </c>
      <c r="J1131" s="148">
        <v>1.741594876550607E-3</v>
      </c>
      <c r="K1131" s="518">
        <v>6.7553803842343473E-5</v>
      </c>
      <c r="L1131" s="519">
        <v>7.0608287118725712E-5</v>
      </c>
    </row>
    <row r="1132" spans="1:12" ht="15.5" x14ac:dyDescent="0.35">
      <c r="A1132" s="143" t="s">
        <v>904</v>
      </c>
      <c r="B1132" s="229">
        <v>2022</v>
      </c>
      <c r="C1132" s="514" t="s">
        <v>2012</v>
      </c>
      <c r="D1132" s="515">
        <v>3.7544417870193185E-2</v>
      </c>
      <c r="E1132" s="516">
        <v>1.2535832092097221E-2</v>
      </c>
      <c r="F1132" s="145">
        <v>5.1329365535145603E-2</v>
      </c>
      <c r="G1132" s="145">
        <v>1.5217008614414945E-3</v>
      </c>
      <c r="H1132" s="517">
        <v>2.0000009999999999E-3</v>
      </c>
      <c r="I1132" s="517">
        <v>1.5750005000000001E-2</v>
      </c>
      <c r="J1132" s="148">
        <v>1.6523123930389913E-3</v>
      </c>
      <c r="K1132" s="518">
        <v>6.2283660441687084E-5</v>
      </c>
      <c r="L1132" s="519">
        <v>6.509984967402433E-5</v>
      </c>
    </row>
    <row r="1133" spans="1:12" ht="15.5" x14ac:dyDescent="0.35">
      <c r="A1133" s="143" t="s">
        <v>904</v>
      </c>
      <c r="B1133" s="229">
        <v>2023</v>
      </c>
      <c r="C1133" s="514" t="s">
        <v>2013</v>
      </c>
      <c r="D1133" s="515">
        <v>3.6356668493239284E-2</v>
      </c>
      <c r="E1133" s="516">
        <v>1.0952347215469765E-2</v>
      </c>
      <c r="F1133" s="145">
        <v>4.5266705407683419E-2</v>
      </c>
      <c r="G1133" s="145">
        <v>1.4514169845608791E-3</v>
      </c>
      <c r="H1133" s="517">
        <v>2.0000009999999999E-3</v>
      </c>
      <c r="I1133" s="517">
        <v>1.5750005000000001E-2</v>
      </c>
      <c r="J1133" s="148">
        <v>1.5761194719457472E-3</v>
      </c>
      <c r="K1133" s="518">
        <v>5.6840604352030949E-5</v>
      </c>
      <c r="L1133" s="519">
        <v>5.9410685090229862E-5</v>
      </c>
    </row>
    <row r="1134" spans="1:12" ht="15.5" x14ac:dyDescent="0.35">
      <c r="A1134" s="143" t="s">
        <v>904</v>
      </c>
      <c r="B1134" s="229">
        <v>2024</v>
      </c>
      <c r="C1134" s="514" t="s">
        <v>2014</v>
      </c>
      <c r="D1134" s="515">
        <v>3.5185818931541012E-2</v>
      </c>
      <c r="E1134" s="516">
        <v>9.5990299269632009E-3</v>
      </c>
      <c r="F1134" s="145">
        <v>4.0222427888915765E-2</v>
      </c>
      <c r="G1134" s="145">
        <v>1.3890324587962036E-3</v>
      </c>
      <c r="H1134" s="517">
        <v>2.0000009999999995E-3</v>
      </c>
      <c r="I1134" s="517">
        <v>1.5750004999999997E-2</v>
      </c>
      <c r="J1134" s="148">
        <v>1.5085181480544326E-3</v>
      </c>
      <c r="K1134" s="518">
        <v>5.1348599165627646E-5</v>
      </c>
      <c r="L1134" s="519">
        <v>5.3670358999902186E-5</v>
      </c>
    </row>
    <row r="1135" spans="1:12" ht="15.5" x14ac:dyDescent="0.35">
      <c r="A1135" s="143" t="s">
        <v>904</v>
      </c>
      <c r="B1135" s="229">
        <v>2025</v>
      </c>
      <c r="C1135" s="514" t="s">
        <v>2015</v>
      </c>
      <c r="D1135" s="515">
        <v>3.4040774466134155E-2</v>
      </c>
      <c r="E1135" s="516">
        <v>8.4884357222129794E-3</v>
      </c>
      <c r="F1135" s="145">
        <v>3.6182977500785328E-2</v>
      </c>
      <c r="G1135" s="145">
        <v>1.3378780334187437E-3</v>
      </c>
      <c r="H1135" s="517">
        <v>2.0000009999999995E-3</v>
      </c>
      <c r="I1135" s="517">
        <v>1.5750005000000001E-2</v>
      </c>
      <c r="J1135" s="148">
        <v>1.4530681181432956E-3</v>
      </c>
      <c r="K1135" s="518">
        <v>4.7102294407705806E-5</v>
      </c>
      <c r="L1135" s="519">
        <v>4.9232053084325285E-5</v>
      </c>
    </row>
    <row r="1136" spans="1:12" ht="15.5" x14ac:dyDescent="0.35">
      <c r="A1136" s="143" t="s">
        <v>904</v>
      </c>
      <c r="B1136" s="229">
        <v>2026</v>
      </c>
      <c r="C1136" s="514" t="s">
        <v>2016</v>
      </c>
      <c r="D1136" s="515">
        <v>3.3002235588454575E-2</v>
      </c>
      <c r="E1136" s="516">
        <v>7.5665214111330066E-3</v>
      </c>
      <c r="F1136" s="145">
        <v>3.292709617157763E-2</v>
      </c>
      <c r="G1136" s="145">
        <v>1.2803407275654944E-3</v>
      </c>
      <c r="H1136" s="517">
        <v>2.0000009999999999E-3</v>
      </c>
      <c r="I1136" s="517">
        <v>1.5750005000000001E-2</v>
      </c>
      <c r="J1136" s="148">
        <v>1.3906637843340659E-3</v>
      </c>
      <c r="K1136" s="518">
        <v>4.3037141370847403E-5</v>
      </c>
      <c r="L1136" s="519">
        <v>4.4983092088330281E-5</v>
      </c>
    </row>
    <row r="1137" spans="1:12" ht="15.5" x14ac:dyDescent="0.35">
      <c r="A1137" s="143" t="s">
        <v>904</v>
      </c>
      <c r="B1137" s="229">
        <v>2027</v>
      </c>
      <c r="C1137" s="514" t="s">
        <v>2017</v>
      </c>
      <c r="D1137" s="515">
        <v>3.2055546153045109E-2</v>
      </c>
      <c r="E1137" s="516">
        <v>6.7862360018945515E-3</v>
      </c>
      <c r="F1137" s="145">
        <v>3.0225961041719377E-2</v>
      </c>
      <c r="G1137" s="145">
        <v>1.2113331438853836E-3</v>
      </c>
      <c r="H1137" s="517">
        <v>2.0000009999999999E-3</v>
      </c>
      <c r="I1137" s="517">
        <v>1.5750005000000001E-2</v>
      </c>
      <c r="J1137" s="148">
        <v>1.315800142810559E-3</v>
      </c>
      <c r="K1137" s="518">
        <v>3.8587554659288952E-5</v>
      </c>
      <c r="L1137" s="519">
        <v>4.0332314599102289E-5</v>
      </c>
    </row>
    <row r="1138" spans="1:12" ht="15.5" x14ac:dyDescent="0.35">
      <c r="A1138" s="143" t="s">
        <v>904</v>
      </c>
      <c r="B1138" s="229">
        <v>2028</v>
      </c>
      <c r="C1138" s="514" t="s">
        <v>2018</v>
      </c>
      <c r="D1138" s="515">
        <v>3.1203252039151946E-2</v>
      </c>
      <c r="E1138" s="516">
        <v>6.1299175146110755E-3</v>
      </c>
      <c r="F1138" s="145">
        <v>2.7999649388111919E-2</v>
      </c>
      <c r="G1138" s="145">
        <v>1.13391539534822E-3</v>
      </c>
      <c r="H1138" s="517">
        <v>2.0000009999999999E-3</v>
      </c>
      <c r="I1138" s="517">
        <v>1.5750005000000001E-2</v>
      </c>
      <c r="J1138" s="148">
        <v>1.2317576778429109E-3</v>
      </c>
      <c r="K1138" s="518">
        <v>3.4894136187109402E-5</v>
      </c>
      <c r="L1138" s="519">
        <v>3.6471895449908792E-5</v>
      </c>
    </row>
    <row r="1139" spans="1:12" ht="15.5" x14ac:dyDescent="0.35">
      <c r="A1139" s="143" t="s">
        <v>904</v>
      </c>
      <c r="B1139" s="229">
        <v>2029</v>
      </c>
      <c r="C1139" s="514" t="s">
        <v>2019</v>
      </c>
      <c r="D1139" s="515">
        <v>3.0436139681824952E-2</v>
      </c>
      <c r="E1139" s="516">
        <v>5.5580064528953756E-3</v>
      </c>
      <c r="F1139" s="145">
        <v>2.612162604453518E-2</v>
      </c>
      <c r="G1139" s="145">
        <v>1.0613816748019868E-3</v>
      </c>
      <c r="H1139" s="517">
        <v>2.0000009999999999E-3</v>
      </c>
      <c r="I1139" s="517">
        <v>1.5750005000000001E-2</v>
      </c>
      <c r="J1139" s="148">
        <v>1.152990273773392E-3</v>
      </c>
      <c r="K1139" s="518">
        <v>3.2074653019487387E-5</v>
      </c>
      <c r="L1139" s="519">
        <v>3.3524929759163668E-5</v>
      </c>
    </row>
    <row r="1140" spans="1:12" ht="15.5" x14ac:dyDescent="0.35">
      <c r="A1140" s="143" t="s">
        <v>904</v>
      </c>
      <c r="B1140" s="229">
        <v>2030</v>
      </c>
      <c r="C1140" s="514" t="s">
        <v>2020</v>
      </c>
      <c r="D1140" s="515">
        <v>2.9750449809904336E-2</v>
      </c>
      <c r="E1140" s="516">
        <v>5.0722292149330359E-3</v>
      </c>
      <c r="F1140" s="145">
        <v>2.4564529185738287E-2</v>
      </c>
      <c r="G1140" s="145">
        <v>9.9455271390121863E-4</v>
      </c>
      <c r="H1140" s="517">
        <v>2.0000009999999999E-3</v>
      </c>
      <c r="I1140" s="517">
        <v>1.5750005000000001E-2</v>
      </c>
      <c r="J1140" s="148">
        <v>1.0804195494987354E-3</v>
      </c>
      <c r="K1140" s="518">
        <v>2.9436651758609631E-5</v>
      </c>
      <c r="L1140" s="519">
        <v>3.0767644762477274E-5</v>
      </c>
    </row>
    <row r="1141" spans="1:12" ht="15.5" x14ac:dyDescent="0.35">
      <c r="A1141" s="143" t="s">
        <v>904</v>
      </c>
      <c r="B1141" s="229">
        <v>2031</v>
      </c>
      <c r="C1141" s="514" t="s">
        <v>2021</v>
      </c>
      <c r="D1141" s="515">
        <v>2.9139711636829005E-2</v>
      </c>
      <c r="E1141" s="516">
        <v>4.6268444533423686E-3</v>
      </c>
      <c r="F1141" s="145">
        <v>2.3211455578812514E-2</v>
      </c>
      <c r="G1141" s="145">
        <v>9.3029613015583787E-4</v>
      </c>
      <c r="H1141" s="517">
        <v>2.0000009999999999E-3</v>
      </c>
      <c r="I1141" s="517">
        <v>1.5750005000000001E-2</v>
      </c>
      <c r="J1141" s="148">
        <v>1.0106081297710885E-3</v>
      </c>
      <c r="K1141" s="518">
        <v>2.7705222763483305E-5</v>
      </c>
      <c r="L1141" s="519">
        <v>2.8957931028612022E-5</v>
      </c>
    </row>
    <row r="1142" spans="1:12" ht="15.5" x14ac:dyDescent="0.35">
      <c r="A1142" s="143" t="s">
        <v>904</v>
      </c>
      <c r="B1142" s="229">
        <v>2032</v>
      </c>
      <c r="C1142" s="514" t="s">
        <v>2022</v>
      </c>
      <c r="D1142" s="515">
        <v>2.8598302178732125E-2</v>
      </c>
      <c r="E1142" s="516">
        <v>4.25887672577498E-3</v>
      </c>
      <c r="F1142" s="145">
        <v>2.211458442137931E-2</v>
      </c>
      <c r="G1142" s="145">
        <v>8.747306963749912E-4</v>
      </c>
      <c r="H1142" s="517">
        <v>2.0000009999999999E-3</v>
      </c>
      <c r="I1142" s="517">
        <v>1.5750005000000001E-2</v>
      </c>
      <c r="J1142" s="148">
        <v>9.5024585967773694E-4</v>
      </c>
      <c r="K1142" s="518">
        <v>2.6034854403513439E-5</v>
      </c>
      <c r="L1142" s="519">
        <v>2.7212034135891104E-5</v>
      </c>
    </row>
    <row r="1143" spans="1:12" ht="15.5" x14ac:dyDescent="0.35">
      <c r="A1143" s="143" t="s">
        <v>904</v>
      </c>
      <c r="B1143" s="229">
        <v>2033</v>
      </c>
      <c r="C1143" s="514" t="s">
        <v>2023</v>
      </c>
      <c r="D1143" s="515">
        <v>2.8121163390324277E-2</v>
      </c>
      <c r="E1143" s="516">
        <v>3.9397157572494106E-3</v>
      </c>
      <c r="F1143" s="145">
        <v>2.1209763805168338E-2</v>
      </c>
      <c r="G1143" s="145">
        <v>8.2421219637307487E-4</v>
      </c>
      <c r="H1143" s="517">
        <v>2.0000009999999999E-3</v>
      </c>
      <c r="I1143" s="517">
        <v>1.5750004999999997E-2</v>
      </c>
      <c r="J1143" s="148">
        <v>8.9535566840625745E-4</v>
      </c>
      <c r="K1143" s="518">
        <v>2.4783030001469462E-5</v>
      </c>
      <c r="L1143" s="519">
        <v>2.5903605661878231E-5</v>
      </c>
    </row>
    <row r="1144" spans="1:12" ht="15.5" x14ac:dyDescent="0.35">
      <c r="A1144" s="143" t="s">
        <v>904</v>
      </c>
      <c r="B1144" s="229">
        <v>2034</v>
      </c>
      <c r="C1144" s="514" t="s">
        <v>2024</v>
      </c>
      <c r="D1144" s="515">
        <v>2.7702128936273114E-2</v>
      </c>
      <c r="E1144" s="516">
        <v>3.6544536511960873E-3</v>
      </c>
      <c r="F1144" s="145">
        <v>2.0445450349237632E-2</v>
      </c>
      <c r="G1144" s="145">
        <v>7.7796503403809107E-4</v>
      </c>
      <c r="H1144" s="517">
        <v>2.0000009999999999E-3</v>
      </c>
      <c r="I1144" s="517">
        <v>1.5750005000000001E-2</v>
      </c>
      <c r="J1144" s="148">
        <v>8.4510470926337498E-4</v>
      </c>
      <c r="K1144" s="518">
        <v>2.3669388292474349E-5</v>
      </c>
      <c r="L1144" s="519">
        <v>2.4739611642124255E-5</v>
      </c>
    </row>
    <row r="1145" spans="1:12" ht="15.5" x14ac:dyDescent="0.35">
      <c r="A1145" s="143" t="s">
        <v>904</v>
      </c>
      <c r="B1145" s="229">
        <v>2035</v>
      </c>
      <c r="C1145" s="514" t="s">
        <v>2025</v>
      </c>
      <c r="D1145" s="515">
        <v>2.7337207524384219E-2</v>
      </c>
      <c r="E1145" s="516">
        <v>3.405682506670078E-3</v>
      </c>
      <c r="F1145" s="145">
        <v>1.9819891032902708E-2</v>
      </c>
      <c r="G1145" s="145">
        <v>7.3610069652208356E-4</v>
      </c>
      <c r="H1145" s="517">
        <v>2.0000009999999995E-3</v>
      </c>
      <c r="I1145" s="517">
        <v>1.5750004999999997E-2</v>
      </c>
      <c r="J1145" s="148">
        <v>7.9961698387447772E-4</v>
      </c>
      <c r="K1145" s="518">
        <v>2.2651555274672126E-5</v>
      </c>
      <c r="L1145" s="519">
        <v>2.3675757718153625E-5</v>
      </c>
    </row>
    <row r="1146" spans="1:12" ht="15.5" x14ac:dyDescent="0.35">
      <c r="A1146" s="143" t="s">
        <v>904</v>
      </c>
      <c r="B1146" s="229">
        <v>2036</v>
      </c>
      <c r="C1146" s="514" t="s">
        <v>2026</v>
      </c>
      <c r="D1146" s="515">
        <v>2.702063022691719E-2</v>
      </c>
      <c r="E1146" s="516">
        <v>3.1880178047049416E-3</v>
      </c>
      <c r="F1146" s="145">
        <v>1.9292794041208716E-2</v>
      </c>
      <c r="G1146" s="145">
        <v>6.9946685548211878E-4</v>
      </c>
      <c r="H1146" s="517">
        <v>2.0000009999999999E-3</v>
      </c>
      <c r="I1146" s="517">
        <v>1.5750005000000001E-2</v>
      </c>
      <c r="J1146" s="148">
        <v>7.5981423860760301E-4</v>
      </c>
      <c r="K1146" s="518">
        <v>2.170698606853274E-5</v>
      </c>
      <c r="L1146" s="519">
        <v>2.268848286477252E-5</v>
      </c>
    </row>
    <row r="1147" spans="1:12" ht="15.5" x14ac:dyDescent="0.35">
      <c r="A1147" s="143" t="s">
        <v>904</v>
      </c>
      <c r="B1147" s="229">
        <v>2037</v>
      </c>
      <c r="C1147" s="514" t="s">
        <v>2027</v>
      </c>
      <c r="D1147" s="515">
        <v>2.6749010624971897E-2</v>
      </c>
      <c r="E1147" s="516">
        <v>3.0031634358556325E-3</v>
      </c>
      <c r="F1147" s="145">
        <v>1.8869499447550647E-2</v>
      </c>
      <c r="G1147" s="145">
        <v>6.6719517489021026E-4</v>
      </c>
      <c r="H1147" s="517">
        <v>2.0000009999999999E-3</v>
      </c>
      <c r="I1147" s="517">
        <v>1.5750005000000001E-2</v>
      </c>
      <c r="J1147" s="148">
        <v>7.2475043275888322E-4</v>
      </c>
      <c r="K1147" s="518">
        <v>2.0885541436296643E-5</v>
      </c>
      <c r="L1147" s="519">
        <v>2.1829893936702477E-5</v>
      </c>
    </row>
    <row r="1148" spans="1:12" ht="15.5" x14ac:dyDescent="0.35">
      <c r="A1148" s="143" t="s">
        <v>904</v>
      </c>
      <c r="B1148" s="229">
        <v>2038</v>
      </c>
      <c r="C1148" s="514" t="s">
        <v>2028</v>
      </c>
      <c r="D1148" s="515">
        <v>2.6517163931450941E-2</v>
      </c>
      <c r="E1148" s="516">
        <v>2.8346244251868293E-3</v>
      </c>
      <c r="F1148" s="145">
        <v>1.8483914010932172E-2</v>
      </c>
      <c r="G1148" s="145">
        <v>6.3892301524971599E-4</v>
      </c>
      <c r="H1148" s="517">
        <v>2.0000009999999999E-3</v>
      </c>
      <c r="I1148" s="517">
        <v>1.5750005000000004E-2</v>
      </c>
      <c r="J1148" s="148">
        <v>6.9402999159221804E-4</v>
      </c>
      <c r="K1148" s="518">
        <v>2.0212061342045415E-5</v>
      </c>
      <c r="L1148" s="519">
        <v>2.1125964279770418E-5</v>
      </c>
    </row>
    <row r="1149" spans="1:12" ht="15.5" x14ac:dyDescent="0.35">
      <c r="A1149" s="143" t="s">
        <v>904</v>
      </c>
      <c r="B1149" s="229">
        <v>2039</v>
      </c>
      <c r="C1149" s="514" t="s">
        <v>2029</v>
      </c>
      <c r="D1149" s="515">
        <v>2.6320267855278051E-2</v>
      </c>
      <c r="E1149" s="516">
        <v>2.6808992038029494E-3</v>
      </c>
      <c r="F1149" s="145">
        <v>1.8135139636688728E-2</v>
      </c>
      <c r="G1149" s="145">
        <v>6.1440880456190916E-4</v>
      </c>
      <c r="H1149" s="517">
        <v>2.0000010000000004E-3</v>
      </c>
      <c r="I1149" s="517">
        <v>1.5750005000000004E-2</v>
      </c>
      <c r="J1149" s="148">
        <v>6.6739319017784674E-4</v>
      </c>
      <c r="K1149" s="518">
        <v>1.9641096205713596E-5</v>
      </c>
      <c r="L1149" s="519">
        <v>2.0529178989676487E-5</v>
      </c>
    </row>
    <row r="1150" spans="1:12" ht="15.5" x14ac:dyDescent="0.35">
      <c r="A1150" s="143" t="s">
        <v>904</v>
      </c>
      <c r="B1150" s="229">
        <v>2040</v>
      </c>
      <c r="C1150" s="514" t="s">
        <v>2030</v>
      </c>
      <c r="D1150" s="515">
        <v>2.6153535923380627E-2</v>
      </c>
      <c r="E1150" s="516">
        <v>2.5442025909831571E-3</v>
      </c>
      <c r="F1150" s="145">
        <v>1.7843401093950901E-2</v>
      </c>
      <c r="G1150" s="145">
        <v>5.9333403602376833E-4</v>
      </c>
      <c r="H1150" s="517">
        <v>2.0000009999999999E-3</v>
      </c>
      <c r="I1150" s="517">
        <v>1.5750005000000001E-2</v>
      </c>
      <c r="J1150" s="148">
        <v>6.4449322516281038E-4</v>
      </c>
      <c r="K1150" s="518">
        <v>1.9156369241657409E-5</v>
      </c>
      <c r="L1150" s="519">
        <v>2.0022538149361491E-5</v>
      </c>
    </row>
    <row r="1151" spans="1:12" ht="15.5" x14ac:dyDescent="0.35">
      <c r="A1151" s="143" t="s">
        <v>904</v>
      </c>
      <c r="B1151" s="229">
        <v>2041</v>
      </c>
      <c r="C1151" s="514" t="s">
        <v>2031</v>
      </c>
      <c r="D1151" s="515">
        <v>2.6013785484207144E-2</v>
      </c>
      <c r="E1151" s="516">
        <v>2.4385438290819637E-3</v>
      </c>
      <c r="F1151" s="145">
        <v>1.7617981203336436E-2</v>
      </c>
      <c r="G1151" s="145">
        <v>5.7662623817336786E-4</v>
      </c>
      <c r="H1151" s="517">
        <v>2.0000009999999995E-3</v>
      </c>
      <c r="I1151" s="517">
        <v>1.5750004999999994E-2</v>
      </c>
      <c r="J1151" s="148">
        <v>6.2633877731357987E-4</v>
      </c>
      <c r="K1151" s="518">
        <v>1.8761896206885795E-5</v>
      </c>
      <c r="L1151" s="519">
        <v>1.9610230532024379E-5</v>
      </c>
    </row>
    <row r="1152" spans="1:12" ht="15.5" x14ac:dyDescent="0.35">
      <c r="A1152" s="143" t="s">
        <v>904</v>
      </c>
      <c r="B1152" s="229">
        <v>2042</v>
      </c>
      <c r="C1152" s="514" t="s">
        <v>2032</v>
      </c>
      <c r="D1152" s="515">
        <v>2.5895809773026066E-2</v>
      </c>
      <c r="E1152" s="516">
        <v>2.3473213886861634E-3</v>
      </c>
      <c r="F1152" s="145">
        <v>1.7406215123495203E-2</v>
      </c>
      <c r="G1152" s="145">
        <v>5.6256095165647198E-4</v>
      </c>
      <c r="H1152" s="517">
        <v>2.0000010000000004E-3</v>
      </c>
      <c r="I1152" s="517">
        <v>1.5750005000000004E-2</v>
      </c>
      <c r="J1152" s="148">
        <v>6.1105467096374798E-4</v>
      </c>
      <c r="K1152" s="518">
        <v>1.8438974671764195E-5</v>
      </c>
      <c r="L1152" s="519">
        <v>1.9272703591809446E-5</v>
      </c>
    </row>
    <row r="1153" spans="1:12" ht="15.5" x14ac:dyDescent="0.35">
      <c r="A1153" s="143" t="s">
        <v>904</v>
      </c>
      <c r="B1153" s="229">
        <v>2043</v>
      </c>
      <c r="C1153" s="514" t="s">
        <v>2033</v>
      </c>
      <c r="D1153" s="515">
        <v>2.5796361880481275E-2</v>
      </c>
      <c r="E1153" s="516">
        <v>2.2772530857916827E-3</v>
      </c>
      <c r="F1153" s="145">
        <v>1.7245725894684129E-2</v>
      </c>
      <c r="G1153" s="145">
        <v>5.5083812413744165E-4</v>
      </c>
      <c r="H1153" s="517">
        <v>2.0000010000000004E-3</v>
      </c>
      <c r="I1153" s="517">
        <v>1.5750005000000004E-2</v>
      </c>
      <c r="J1153" s="148">
        <v>5.9831628768985826E-4</v>
      </c>
      <c r="K1153" s="518">
        <v>1.8185775455894074E-5</v>
      </c>
      <c r="L1153" s="519">
        <v>1.900805354588049E-5</v>
      </c>
    </row>
    <row r="1154" spans="1:12" ht="15.5" x14ac:dyDescent="0.35">
      <c r="A1154" s="143" t="s">
        <v>904</v>
      </c>
      <c r="B1154" s="229">
        <v>2044</v>
      </c>
      <c r="C1154" s="514" t="s">
        <v>2034</v>
      </c>
      <c r="D1154" s="515">
        <v>2.5714048299439789E-2</v>
      </c>
      <c r="E1154" s="516">
        <v>2.2234869537075173E-3</v>
      </c>
      <c r="F1154" s="145">
        <v>1.711160631424526E-2</v>
      </c>
      <c r="G1154" s="145">
        <v>5.4107017978848547E-4</v>
      </c>
      <c r="H1154" s="517">
        <v>2.0000009999999999E-3</v>
      </c>
      <c r="I1154" s="517">
        <v>1.5750004999999997E-2</v>
      </c>
      <c r="J1154" s="148">
        <v>5.8770064956219811E-4</v>
      </c>
      <c r="K1154" s="518">
        <v>1.7982308219326856E-5</v>
      </c>
      <c r="L1154" s="519">
        <v>1.8795393540596506E-5</v>
      </c>
    </row>
    <row r="1155" spans="1:12" ht="15.5" x14ac:dyDescent="0.35">
      <c r="A1155" s="143" t="s">
        <v>904</v>
      </c>
      <c r="B1155" s="229">
        <v>2045</v>
      </c>
      <c r="C1155" s="514" t="s">
        <v>2035</v>
      </c>
      <c r="D1155" s="515">
        <v>2.5643411112857128E-2</v>
      </c>
      <c r="E1155" s="516">
        <v>2.1856997673894278E-3</v>
      </c>
      <c r="F1155" s="145">
        <v>1.7015591792085248E-2</v>
      </c>
      <c r="G1155" s="145">
        <v>5.3295592389777924E-4</v>
      </c>
      <c r="H1155" s="517">
        <v>2.0000009999999995E-3</v>
      </c>
      <c r="I1155" s="517">
        <v>1.5750005000000001E-2</v>
      </c>
      <c r="J1155" s="148">
        <v>5.7888271445411183E-4</v>
      </c>
      <c r="K1155" s="518">
        <v>1.7830739824284524E-5</v>
      </c>
      <c r="L1155" s="519">
        <v>1.8636964309346857E-5</v>
      </c>
    </row>
    <row r="1156" spans="1:12" ht="15.5" x14ac:dyDescent="0.35">
      <c r="A1156" s="143" t="s">
        <v>904</v>
      </c>
      <c r="B1156" s="229">
        <v>2046</v>
      </c>
      <c r="C1156" s="514" t="s">
        <v>2036</v>
      </c>
      <c r="D1156" s="515">
        <v>2.5583303980986051E-2</v>
      </c>
      <c r="E1156" s="516">
        <v>2.1531293008559232E-3</v>
      </c>
      <c r="F1156" s="145">
        <v>1.6936000685622322E-2</v>
      </c>
      <c r="G1156" s="145">
        <v>5.2630332227381808E-4</v>
      </c>
      <c r="H1156" s="517">
        <v>2.0000009999999999E-3</v>
      </c>
      <c r="I1156" s="517">
        <v>1.5750005000000001E-2</v>
      </c>
      <c r="J1156" s="148">
        <v>5.716527698995963E-4</v>
      </c>
      <c r="K1156" s="518">
        <v>1.7711640046136019E-5</v>
      </c>
      <c r="L1156" s="519">
        <v>1.8512478690679758E-5</v>
      </c>
    </row>
    <row r="1157" spans="1:12" ht="15.5" x14ac:dyDescent="0.35">
      <c r="A1157" s="143" t="s">
        <v>904</v>
      </c>
      <c r="B1157" s="229">
        <v>2047</v>
      </c>
      <c r="C1157" s="514" t="s">
        <v>2037</v>
      </c>
      <c r="D1157" s="515">
        <v>2.5532881656683378E-2</v>
      </c>
      <c r="E1157" s="516">
        <v>2.1228041159953291E-3</v>
      </c>
      <c r="F1157" s="145">
        <v>1.6853947926629417E-2</v>
      </c>
      <c r="G1157" s="145">
        <v>5.208465252797387E-4</v>
      </c>
      <c r="H1157" s="517">
        <v>2.0000009999999999E-3</v>
      </c>
      <c r="I1157" s="517">
        <v>1.5750004999999997E-2</v>
      </c>
      <c r="J1157" s="148">
        <v>5.6572152875578919E-4</v>
      </c>
      <c r="K1157" s="518">
        <v>1.7621264030621476E-5</v>
      </c>
      <c r="L1157" s="519">
        <v>1.8418023372751372E-5</v>
      </c>
    </row>
    <row r="1158" spans="1:12" ht="15.5" x14ac:dyDescent="0.35">
      <c r="A1158" s="143" t="s">
        <v>904</v>
      </c>
      <c r="B1158" s="229">
        <v>2048</v>
      </c>
      <c r="C1158" s="514" t="s">
        <v>2038</v>
      </c>
      <c r="D1158" s="515">
        <v>2.5491175717258095E-2</v>
      </c>
      <c r="E1158" s="516">
        <v>2.0971527775156228E-3</v>
      </c>
      <c r="F1158" s="145">
        <v>1.6779626155040174E-2</v>
      </c>
      <c r="G1158" s="145">
        <v>5.1636099983716054E-4</v>
      </c>
      <c r="H1158" s="517">
        <v>2.0000009999999995E-3</v>
      </c>
      <c r="I1158" s="517">
        <v>1.5750005000000001E-2</v>
      </c>
      <c r="J1158" s="148">
        <v>5.6084585369987395E-4</v>
      </c>
      <c r="K1158" s="518">
        <v>1.7550297237389849E-5</v>
      </c>
      <c r="L1158" s="519">
        <v>1.8343838363502806E-5</v>
      </c>
    </row>
    <row r="1159" spans="1:12" ht="15.5" x14ac:dyDescent="0.35">
      <c r="A1159" s="143" t="s">
        <v>904</v>
      </c>
      <c r="B1159" s="229">
        <v>2049</v>
      </c>
      <c r="C1159" s="514" t="s">
        <v>2039</v>
      </c>
      <c r="D1159" s="515">
        <v>2.5454388377895196E-2</v>
      </c>
      <c r="E1159" s="516">
        <v>2.0877301001855928E-3</v>
      </c>
      <c r="F1159" s="145">
        <v>1.6786050963066838E-2</v>
      </c>
      <c r="G1159" s="145">
        <v>5.1348165719964701E-4</v>
      </c>
      <c r="H1159" s="517">
        <v>2.0000009999999995E-3</v>
      </c>
      <c r="I1159" s="517">
        <v>1.5750005000000001E-2</v>
      </c>
      <c r="J1159" s="148">
        <v>5.57716660932196E-4</v>
      </c>
      <c r="K1159" s="518">
        <v>1.749447319570929E-5</v>
      </c>
      <c r="L1159" s="519">
        <v>1.8285490698849055E-5</v>
      </c>
    </row>
    <row r="1160" spans="1:12" ht="15.5" x14ac:dyDescent="0.35">
      <c r="A1160" s="143" t="s">
        <v>904</v>
      </c>
      <c r="B1160" s="229">
        <v>2050</v>
      </c>
      <c r="C1160" s="514" t="s">
        <v>2040</v>
      </c>
      <c r="D1160" s="515">
        <v>2.542666895209483E-2</v>
      </c>
      <c r="E1160" s="516">
        <v>2.0804795014425057E-3</v>
      </c>
      <c r="F1160" s="145">
        <v>1.6794668555693393E-2</v>
      </c>
      <c r="G1160" s="145">
        <v>5.1117501115585716E-4</v>
      </c>
      <c r="H1160" s="517">
        <v>2.0000010000000004E-3</v>
      </c>
      <c r="I1160" s="517">
        <v>1.5750005000000004E-2</v>
      </c>
      <c r="J1160" s="148">
        <v>5.5521064900801941E-4</v>
      </c>
      <c r="K1160" s="518">
        <v>1.7439155900342302E-5</v>
      </c>
      <c r="L1160" s="519">
        <v>1.8227679241514492E-5</v>
      </c>
    </row>
    <row r="1161" spans="1:12" ht="15.5" x14ac:dyDescent="0.35">
      <c r="A1161" s="143" t="s">
        <v>907</v>
      </c>
      <c r="B1161" s="229">
        <v>2015</v>
      </c>
      <c r="C1161" s="514" t="s">
        <v>908</v>
      </c>
      <c r="D1161" s="515">
        <v>4.7545265082334302E-2</v>
      </c>
      <c r="E1161" s="516">
        <v>4.4939073413074869E-2</v>
      </c>
      <c r="F1161" s="145">
        <v>0.17956397057777357</v>
      </c>
      <c r="G1161" s="145">
        <v>1.6920778660236349E-3</v>
      </c>
      <c r="H1161" s="517">
        <v>2.0000009999999995E-3</v>
      </c>
      <c r="I1161" s="517">
        <v>1.5750004999999997E-2</v>
      </c>
      <c r="J1161" s="148">
        <v>1.8292129772784847E-3</v>
      </c>
      <c r="K1161" s="518">
        <v>1.7925427250611997E-4</v>
      </c>
      <c r="L1161" s="519">
        <v>1.8735935155288712E-4</v>
      </c>
    </row>
    <row r="1162" spans="1:12" ht="15.5" x14ac:dyDescent="0.35">
      <c r="A1162" s="143" t="s">
        <v>907</v>
      </c>
      <c r="B1162" s="229">
        <v>2016</v>
      </c>
      <c r="C1162" s="514" t="s">
        <v>909</v>
      </c>
      <c r="D1162" s="515">
        <v>4.6617217350661731E-2</v>
      </c>
      <c r="E1162" s="516">
        <v>3.663541572626456E-2</v>
      </c>
      <c r="F1162" s="145">
        <v>0.15217156352719935</v>
      </c>
      <c r="G1162" s="145">
        <v>1.5996426941322672E-3</v>
      </c>
      <c r="H1162" s="517">
        <v>2.0000009999999995E-3</v>
      </c>
      <c r="I1162" s="517">
        <v>1.5750004999999997E-2</v>
      </c>
      <c r="J1162" s="148">
        <v>1.7311484018446603E-3</v>
      </c>
      <c r="K1162" s="518">
        <v>1.4747857807093234E-4</v>
      </c>
      <c r="L1162" s="519">
        <v>1.5414690167456167E-4</v>
      </c>
    </row>
    <row r="1163" spans="1:12" ht="15.5" x14ac:dyDescent="0.35">
      <c r="A1163" s="143" t="s">
        <v>907</v>
      </c>
      <c r="B1163" s="229">
        <v>2017</v>
      </c>
      <c r="C1163" s="514" t="s">
        <v>2041</v>
      </c>
      <c r="D1163" s="515">
        <v>4.5531205998372209E-2</v>
      </c>
      <c r="E1163" s="516">
        <v>3.0270780929643953E-2</v>
      </c>
      <c r="F1163" s="145">
        <v>0.12987762961711474</v>
      </c>
      <c r="G1163" s="145">
        <v>1.5685208496423139E-3</v>
      </c>
      <c r="H1163" s="517">
        <v>2.0000009999999995E-3</v>
      </c>
      <c r="I1163" s="517">
        <v>1.5750004999999997E-2</v>
      </c>
      <c r="J1163" s="148">
        <v>1.6987000768849939E-3</v>
      </c>
      <c r="K1163" s="518">
        <v>1.3367137723156188E-4</v>
      </c>
      <c r="L1163" s="519">
        <v>1.3971540416813266E-4</v>
      </c>
    </row>
    <row r="1164" spans="1:12" ht="15.5" x14ac:dyDescent="0.35">
      <c r="A1164" s="143" t="s">
        <v>907</v>
      </c>
      <c r="B1164" s="229">
        <v>2018</v>
      </c>
      <c r="C1164" s="514" t="s">
        <v>2042</v>
      </c>
      <c r="D1164" s="515">
        <v>4.4378781435001367E-2</v>
      </c>
      <c r="E1164" s="516">
        <v>2.4917120137623081E-2</v>
      </c>
      <c r="F1164" s="145">
        <v>0.11080581136109049</v>
      </c>
      <c r="G1164" s="145">
        <v>1.5639982985902608E-3</v>
      </c>
      <c r="H1164" s="517">
        <v>2.0000009999999999E-3</v>
      </c>
      <c r="I1164" s="517">
        <v>1.5750004999999997E-2</v>
      </c>
      <c r="J1164" s="148">
        <v>1.6949044566558905E-3</v>
      </c>
      <c r="K1164" s="518">
        <v>1.2228042012450856E-4</v>
      </c>
      <c r="L1164" s="519">
        <v>1.2780939900357315E-4</v>
      </c>
    </row>
    <row r="1165" spans="1:12" ht="15.5" x14ac:dyDescent="0.35">
      <c r="A1165" s="143" t="s">
        <v>907</v>
      </c>
      <c r="B1165" s="229">
        <v>2019</v>
      </c>
      <c r="C1165" s="514" t="s">
        <v>2043</v>
      </c>
      <c r="D1165" s="515">
        <v>4.3185628866076825E-2</v>
      </c>
      <c r="E1165" s="516">
        <v>2.077194303149545E-2</v>
      </c>
      <c r="F1165" s="145">
        <v>9.4997960482154559E-2</v>
      </c>
      <c r="G1165" s="145">
        <v>1.5753671303152244E-3</v>
      </c>
      <c r="H1165" s="517">
        <v>2.0000009999999999E-3</v>
      </c>
      <c r="I1165" s="517">
        <v>1.5750005000000001E-2</v>
      </c>
      <c r="J1165" s="148">
        <v>1.7081123616542919E-3</v>
      </c>
      <c r="K1165" s="518">
        <v>1.1246241571887356E-4</v>
      </c>
      <c r="L1165" s="519">
        <v>1.1754746536856785E-4</v>
      </c>
    </row>
    <row r="1166" spans="1:12" ht="15.5" x14ac:dyDescent="0.35">
      <c r="A1166" s="143" t="s">
        <v>907</v>
      </c>
      <c r="B1166" s="229">
        <v>2020</v>
      </c>
      <c r="C1166" s="514" t="s">
        <v>2044</v>
      </c>
      <c r="D1166" s="515">
        <v>4.1969227548211897E-2</v>
      </c>
      <c r="E1166" s="516">
        <v>1.7510770319978535E-2</v>
      </c>
      <c r="F1166" s="145">
        <v>8.1700095118597035E-2</v>
      </c>
      <c r="G1166" s="145">
        <v>1.5417206568883706E-3</v>
      </c>
      <c r="H1166" s="517">
        <v>2.0000010000000004E-3</v>
      </c>
      <c r="I1166" s="517">
        <v>1.5750005000000001E-2</v>
      </c>
      <c r="J1166" s="148">
        <v>1.6720692065599842E-3</v>
      </c>
      <c r="K1166" s="518">
        <v>1.0375300218213493E-4</v>
      </c>
      <c r="L1166" s="519">
        <v>1.084442576306735E-4</v>
      </c>
    </row>
    <row r="1167" spans="1:12" ht="15.5" x14ac:dyDescent="0.35">
      <c r="A1167" s="143" t="s">
        <v>907</v>
      </c>
      <c r="B1167" s="229">
        <v>2021</v>
      </c>
      <c r="C1167" s="514" t="s">
        <v>2045</v>
      </c>
      <c r="D1167" s="515">
        <v>4.0690504257958039E-2</v>
      </c>
      <c r="E1167" s="516">
        <v>1.4963640102226179E-2</v>
      </c>
      <c r="F1167" s="145">
        <v>7.0619932635399882E-2</v>
      </c>
      <c r="G1167" s="145">
        <v>1.4687933550801204E-3</v>
      </c>
      <c r="H1167" s="517">
        <v>2.0000009999999999E-3</v>
      </c>
      <c r="I1167" s="517">
        <v>1.5750005000000001E-2</v>
      </c>
      <c r="J1167" s="148">
        <v>1.5932249549400379E-3</v>
      </c>
      <c r="K1167" s="518">
        <v>9.4880901032546453E-5</v>
      </c>
      <c r="L1167" s="519">
        <v>9.917098764592777E-5</v>
      </c>
    </row>
    <row r="1168" spans="1:12" ht="15.5" x14ac:dyDescent="0.35">
      <c r="A1168" s="143" t="s">
        <v>907</v>
      </c>
      <c r="B1168" s="229">
        <v>2022</v>
      </c>
      <c r="C1168" s="514" t="s">
        <v>2046</v>
      </c>
      <c r="D1168" s="515">
        <v>3.9477534352177178E-2</v>
      </c>
      <c r="E1168" s="516">
        <v>1.2561682149171496E-2</v>
      </c>
      <c r="F1168" s="145">
        <v>6.1050041300305675E-2</v>
      </c>
      <c r="G1168" s="145">
        <v>1.3982509552199925E-3</v>
      </c>
      <c r="H1168" s="517">
        <v>2.0000009999999999E-3</v>
      </c>
      <c r="I1168" s="517">
        <v>1.5750005000000001E-2</v>
      </c>
      <c r="J1168" s="148">
        <v>1.5170081083493267E-3</v>
      </c>
      <c r="K1168" s="518">
        <v>8.6537025551427661E-5</v>
      </c>
      <c r="L1168" s="519">
        <v>9.0449852555625558E-5</v>
      </c>
    </row>
    <row r="1169" spans="1:12" ht="15.5" x14ac:dyDescent="0.35">
      <c r="A1169" s="143" t="s">
        <v>907</v>
      </c>
      <c r="B1169" s="229">
        <v>2023</v>
      </c>
      <c r="C1169" s="514" t="s">
        <v>2047</v>
      </c>
      <c r="D1169" s="515">
        <v>3.8274229123071768E-2</v>
      </c>
      <c r="E1169" s="516">
        <v>1.0896227667140521E-2</v>
      </c>
      <c r="F1169" s="145">
        <v>5.3410335714581501E-2</v>
      </c>
      <c r="G1169" s="145">
        <v>1.3349724533526161E-3</v>
      </c>
      <c r="H1169" s="517">
        <v>2.0000010000000004E-3</v>
      </c>
      <c r="I1169" s="517">
        <v>1.5750005000000001E-2</v>
      </c>
      <c r="J1169" s="148">
        <v>1.4485490282749184E-3</v>
      </c>
      <c r="K1169" s="518">
        <v>7.8540530293752232E-5</v>
      </c>
      <c r="L1169" s="519">
        <v>8.2091787121230388E-5</v>
      </c>
    </row>
    <row r="1170" spans="1:12" ht="15.5" x14ac:dyDescent="0.35">
      <c r="A1170" s="143" t="s">
        <v>907</v>
      </c>
      <c r="B1170" s="229">
        <v>2024</v>
      </c>
      <c r="C1170" s="514" t="s">
        <v>2048</v>
      </c>
      <c r="D1170" s="515">
        <v>3.7085780253289159E-2</v>
      </c>
      <c r="E1170" s="516">
        <v>9.476898466286781E-3</v>
      </c>
      <c r="F1170" s="145">
        <v>4.7066667955164877E-2</v>
      </c>
      <c r="G1170" s="145">
        <v>1.2772482535348274E-3</v>
      </c>
      <c r="H1170" s="517">
        <v>2.0000010000000004E-3</v>
      </c>
      <c r="I1170" s="517">
        <v>1.5750005000000004E-2</v>
      </c>
      <c r="J1170" s="148">
        <v>1.3861204473425931E-3</v>
      </c>
      <c r="K1170" s="518">
        <v>7.0741861654286746E-5</v>
      </c>
      <c r="L1170" s="519">
        <v>7.3940486379241882E-5</v>
      </c>
    </row>
    <row r="1171" spans="1:12" ht="15.5" x14ac:dyDescent="0.35">
      <c r="A1171" s="143" t="s">
        <v>907</v>
      </c>
      <c r="B1171" s="229">
        <v>2025</v>
      </c>
      <c r="C1171" s="514" t="s">
        <v>2049</v>
      </c>
      <c r="D1171" s="515">
        <v>3.5915162759268579E-2</v>
      </c>
      <c r="E1171" s="516">
        <v>8.3368607468144763E-3</v>
      </c>
      <c r="F1171" s="145">
        <v>4.1964787017453355E-2</v>
      </c>
      <c r="G1171" s="145">
        <v>1.228004295488456E-3</v>
      </c>
      <c r="H1171" s="517">
        <v>2.0000009999999999E-3</v>
      </c>
      <c r="I1171" s="517">
        <v>1.5750005000000001E-2</v>
      </c>
      <c r="J1171" s="148">
        <v>1.3328341355287551E-3</v>
      </c>
      <c r="K1171" s="518">
        <v>6.4474546563052514E-5</v>
      </c>
      <c r="L1171" s="519">
        <v>6.7389790832416075E-5</v>
      </c>
    </row>
    <row r="1172" spans="1:12" ht="15.5" x14ac:dyDescent="0.35">
      <c r="A1172" s="143" t="s">
        <v>907</v>
      </c>
      <c r="B1172" s="229">
        <v>2026</v>
      </c>
      <c r="C1172" s="514" t="s">
        <v>2050</v>
      </c>
      <c r="D1172" s="515">
        <v>3.4753926705203476E-2</v>
      </c>
      <c r="E1172" s="516">
        <v>7.3932019634552881E-3</v>
      </c>
      <c r="F1172" s="145">
        <v>3.7839175629508094E-2</v>
      </c>
      <c r="G1172" s="145">
        <v>1.1738748941738152E-3</v>
      </c>
      <c r="H1172" s="517">
        <v>2.0000009999999999E-3</v>
      </c>
      <c r="I1172" s="517">
        <v>1.5750005000000001E-2</v>
      </c>
      <c r="J1172" s="148">
        <v>1.2742289801063525E-3</v>
      </c>
      <c r="K1172" s="518">
        <v>5.8223274580370141E-5</v>
      </c>
      <c r="L1172" s="519">
        <v>6.0855870888556331E-5</v>
      </c>
    </row>
    <row r="1173" spans="1:12" ht="15.5" x14ac:dyDescent="0.35">
      <c r="A1173" s="143" t="s">
        <v>907</v>
      </c>
      <c r="B1173" s="229">
        <v>2027</v>
      </c>
      <c r="C1173" s="514" t="s">
        <v>2051</v>
      </c>
      <c r="D1173" s="515">
        <v>3.3756499470987057E-2</v>
      </c>
      <c r="E1173" s="516">
        <v>6.5926619893666013E-3</v>
      </c>
      <c r="F1173" s="145">
        <v>3.4400265539519373E-2</v>
      </c>
      <c r="G1173" s="145">
        <v>1.1092373039014087E-3</v>
      </c>
      <c r="H1173" s="517">
        <v>2.0000009999999995E-3</v>
      </c>
      <c r="I1173" s="517">
        <v>1.5750004999999997E-2</v>
      </c>
      <c r="J1173" s="148">
        <v>1.2042566533701014E-3</v>
      </c>
      <c r="K1173" s="518">
        <v>5.050760406506847E-5</v>
      </c>
      <c r="L1173" s="519">
        <v>5.2791333073950117E-5</v>
      </c>
    </row>
    <row r="1174" spans="1:12" ht="15.5" x14ac:dyDescent="0.35">
      <c r="A1174" s="143" t="s">
        <v>907</v>
      </c>
      <c r="B1174" s="229">
        <v>2028</v>
      </c>
      <c r="C1174" s="514" t="s">
        <v>2052</v>
      </c>
      <c r="D1174" s="515">
        <v>3.284678350794977E-2</v>
      </c>
      <c r="E1174" s="516">
        <v>5.9123400854626381E-3</v>
      </c>
      <c r="F1174" s="145">
        <v>3.1550418537000399E-2</v>
      </c>
      <c r="G1174" s="145">
        <v>1.038421625741382E-3</v>
      </c>
      <c r="H1174" s="517">
        <v>2.0000009999999999E-3</v>
      </c>
      <c r="I1174" s="517">
        <v>1.5750005000000004E-2</v>
      </c>
      <c r="J1174" s="148">
        <v>1.127491673632425E-3</v>
      </c>
      <c r="K1174" s="518">
        <v>4.451359001263151E-5</v>
      </c>
      <c r="L1174" s="519">
        <v>4.6526297109812842E-5</v>
      </c>
    </row>
    <row r="1175" spans="1:12" ht="15.5" x14ac:dyDescent="0.35">
      <c r="A1175" s="143" t="s">
        <v>907</v>
      </c>
      <c r="B1175" s="229">
        <v>2029</v>
      </c>
      <c r="C1175" s="514" t="s">
        <v>2053</v>
      </c>
      <c r="D1175" s="515">
        <v>3.2021621496837759E-2</v>
      </c>
      <c r="E1175" s="516">
        <v>5.3217954194070055E-3</v>
      </c>
      <c r="F1175" s="145">
        <v>2.916137930487557E-2</v>
      </c>
      <c r="G1175" s="145">
        <v>9.7117656655741223E-4</v>
      </c>
      <c r="H1175" s="517">
        <v>2.0000009999999995E-3</v>
      </c>
      <c r="I1175" s="517">
        <v>1.5750005000000001E-2</v>
      </c>
      <c r="J1175" s="148">
        <v>1.0545585462605161E-3</v>
      </c>
      <c r="K1175" s="518">
        <v>3.9756612616317467E-5</v>
      </c>
      <c r="L1175" s="519">
        <v>4.1554229717026897E-5</v>
      </c>
    </row>
    <row r="1176" spans="1:12" ht="15.5" x14ac:dyDescent="0.35">
      <c r="A1176" s="143" t="s">
        <v>907</v>
      </c>
      <c r="B1176" s="229">
        <v>2030</v>
      </c>
      <c r="C1176" s="514" t="s">
        <v>2054</v>
      </c>
      <c r="D1176" s="515">
        <v>3.1277598038601979E-2</v>
      </c>
      <c r="E1176" s="516">
        <v>4.8260041412428152E-3</v>
      </c>
      <c r="F1176" s="145">
        <v>2.7191355643564685E-2</v>
      </c>
      <c r="G1176" s="145">
        <v>9.0810480775069258E-4</v>
      </c>
      <c r="H1176" s="517">
        <v>2.0000009999999999E-3</v>
      </c>
      <c r="I1176" s="517">
        <v>1.5750004999999997E-2</v>
      </c>
      <c r="J1176" s="148">
        <v>9.8614392957788633E-4</v>
      </c>
      <c r="K1176" s="518">
        <v>3.5468123265036131E-5</v>
      </c>
      <c r="L1176" s="519">
        <v>3.7071836587315093E-5</v>
      </c>
    </row>
    <row r="1177" spans="1:12" ht="15.5" x14ac:dyDescent="0.35">
      <c r="A1177" s="143" t="s">
        <v>907</v>
      </c>
      <c r="B1177" s="229">
        <v>2031</v>
      </c>
      <c r="C1177" s="514" t="s">
        <v>2055</v>
      </c>
      <c r="D1177" s="515">
        <v>3.0609746181944484E-2</v>
      </c>
      <c r="E1177" s="516">
        <v>4.3976374746688245E-3</v>
      </c>
      <c r="F1177" s="145">
        <v>2.5544337161095956E-2</v>
      </c>
      <c r="G1177" s="145">
        <v>8.5058277740067683E-4</v>
      </c>
      <c r="H1177" s="517">
        <v>2.0000009999999999E-3</v>
      </c>
      <c r="I1177" s="517">
        <v>1.5750005000000001E-2</v>
      </c>
      <c r="J1177" s="148">
        <v>9.237031744751753E-4</v>
      </c>
      <c r="K1177" s="518">
        <v>3.2648673168738102E-5</v>
      </c>
      <c r="L1177" s="519">
        <v>3.4124902270982145E-5</v>
      </c>
    </row>
    <row r="1178" spans="1:12" ht="15.5" x14ac:dyDescent="0.35">
      <c r="A1178" s="143" t="s">
        <v>907</v>
      </c>
      <c r="B1178" s="229">
        <v>2032</v>
      </c>
      <c r="C1178" s="514" t="s">
        <v>2056</v>
      </c>
      <c r="D1178" s="515">
        <v>3.0012786862883615E-2</v>
      </c>
      <c r="E1178" s="516">
        <v>4.0248354491813822E-3</v>
      </c>
      <c r="F1178" s="145">
        <v>2.4180809053235566E-2</v>
      </c>
      <c r="G1178" s="145">
        <v>7.9728919874741606E-4</v>
      </c>
      <c r="H1178" s="517">
        <v>2.0000009999999995E-3</v>
      </c>
      <c r="I1178" s="517">
        <v>1.5750005000000004E-2</v>
      </c>
      <c r="J1178" s="148">
        <v>8.658571606185001E-4</v>
      </c>
      <c r="K1178" s="518">
        <v>2.9922344483136294E-5</v>
      </c>
      <c r="L1178" s="519">
        <v>3.127530324352884E-5</v>
      </c>
    </row>
    <row r="1179" spans="1:12" ht="15.5" x14ac:dyDescent="0.35">
      <c r="A1179" s="143" t="s">
        <v>907</v>
      </c>
      <c r="B1179" s="229">
        <v>2033</v>
      </c>
      <c r="C1179" s="514" t="s">
        <v>2057</v>
      </c>
      <c r="D1179" s="515">
        <v>2.9480728038849907E-2</v>
      </c>
      <c r="E1179" s="516">
        <v>3.707338071035906E-3</v>
      </c>
      <c r="F1179" s="145">
        <v>2.307573365945164E-2</v>
      </c>
      <c r="G1179" s="145">
        <v>7.4943322757900163E-4</v>
      </c>
      <c r="H1179" s="517">
        <v>2.0000009999999999E-3</v>
      </c>
      <c r="I1179" s="517">
        <v>1.5750005000000004E-2</v>
      </c>
      <c r="J1179" s="148">
        <v>8.1388389941480332E-4</v>
      </c>
      <c r="K1179" s="518">
        <v>2.8156575640271231E-5</v>
      </c>
      <c r="L1179" s="519">
        <v>2.9429683295026262E-5</v>
      </c>
    </row>
    <row r="1180" spans="1:12" ht="15.5" x14ac:dyDescent="0.35">
      <c r="A1180" s="143" t="s">
        <v>907</v>
      </c>
      <c r="B1180" s="229">
        <v>2034</v>
      </c>
      <c r="C1180" s="514" t="s">
        <v>2058</v>
      </c>
      <c r="D1180" s="515">
        <v>2.9008623429829895E-2</v>
      </c>
      <c r="E1180" s="516">
        <v>3.424917676206566E-3</v>
      </c>
      <c r="F1180" s="145">
        <v>2.2143505842269724E-2</v>
      </c>
      <c r="G1180" s="145">
        <v>7.0577318518761343E-4</v>
      </c>
      <c r="H1180" s="517">
        <v>2.0000009999999999E-3</v>
      </c>
      <c r="I1180" s="517">
        <v>1.5750005000000001E-2</v>
      </c>
      <c r="J1180" s="148">
        <v>7.6646414903743432E-4</v>
      </c>
      <c r="K1180" s="518">
        <v>2.6624272554427264E-5</v>
      </c>
      <c r="L1180" s="519">
        <v>2.7828093480682696E-5</v>
      </c>
    </row>
    <row r="1181" spans="1:12" ht="15.5" x14ac:dyDescent="0.35">
      <c r="A1181" s="143" t="s">
        <v>907</v>
      </c>
      <c r="B1181" s="229">
        <v>2035</v>
      </c>
      <c r="C1181" s="514" t="s">
        <v>2059</v>
      </c>
      <c r="D1181" s="515">
        <v>2.8590643425783258E-2</v>
      </c>
      <c r="E1181" s="516">
        <v>3.1781135147236294E-3</v>
      </c>
      <c r="F1181" s="145">
        <v>2.1374753190283775E-2</v>
      </c>
      <c r="G1181" s="145">
        <v>6.6630772787321926E-4</v>
      </c>
      <c r="H1181" s="517">
        <v>2.0000009999999999E-3</v>
      </c>
      <c r="I1181" s="517">
        <v>1.5750005000000001E-2</v>
      </c>
      <c r="J1181" s="148">
        <v>7.2360227023307556E-4</v>
      </c>
      <c r="K1181" s="518">
        <v>2.5215034011008885E-5</v>
      </c>
      <c r="L1181" s="519">
        <v>2.635514893368277E-5</v>
      </c>
    </row>
    <row r="1182" spans="1:12" ht="15.5" x14ac:dyDescent="0.35">
      <c r="A1182" s="143" t="s">
        <v>907</v>
      </c>
      <c r="B1182" s="229">
        <v>2036</v>
      </c>
      <c r="C1182" s="514" t="s">
        <v>2060</v>
      </c>
      <c r="D1182" s="515">
        <v>2.8222897649610345E-2</v>
      </c>
      <c r="E1182" s="516">
        <v>2.9630630861378592E-3</v>
      </c>
      <c r="F1182" s="145">
        <v>2.0732961526328114E-2</v>
      </c>
      <c r="G1182" s="145">
        <v>6.3216806641358189E-4</v>
      </c>
      <c r="H1182" s="517">
        <v>2.0000010000000004E-3</v>
      </c>
      <c r="I1182" s="517">
        <v>1.5750005000000001E-2</v>
      </c>
      <c r="J1182" s="148">
        <v>6.8652448024969146E-4</v>
      </c>
      <c r="K1182" s="518">
        <v>2.3982578687485983E-5</v>
      </c>
      <c r="L1182" s="519">
        <v>2.506696832107052E-5</v>
      </c>
    </row>
    <row r="1183" spans="1:12" ht="15.5" x14ac:dyDescent="0.35">
      <c r="A1183" s="143" t="s">
        <v>907</v>
      </c>
      <c r="B1183" s="229">
        <v>2037</v>
      </c>
      <c r="C1183" s="514" t="s">
        <v>2061</v>
      </c>
      <c r="D1183" s="515">
        <v>2.7903709704029032E-2</v>
      </c>
      <c r="E1183" s="516">
        <v>2.7801488772084973E-3</v>
      </c>
      <c r="F1183" s="145">
        <v>2.0211857503286797E-2</v>
      </c>
      <c r="G1183" s="145">
        <v>6.0213905385519766E-4</v>
      </c>
      <c r="H1183" s="517">
        <v>2.0000009999999999E-3</v>
      </c>
      <c r="I1183" s="517">
        <v>1.5750005000000001E-2</v>
      </c>
      <c r="J1183" s="148">
        <v>6.5391419385423433E-4</v>
      </c>
      <c r="K1183" s="518">
        <v>2.2809610760003182E-5</v>
      </c>
      <c r="L1183" s="519">
        <v>2.3840963794120076E-5</v>
      </c>
    </row>
    <row r="1184" spans="1:12" ht="15.5" x14ac:dyDescent="0.35">
      <c r="A1184" s="143" t="s">
        <v>907</v>
      </c>
      <c r="B1184" s="229">
        <v>2038</v>
      </c>
      <c r="C1184" s="514" t="s">
        <v>2062</v>
      </c>
      <c r="D1184" s="515">
        <v>2.7627606737478636E-2</v>
      </c>
      <c r="E1184" s="516">
        <v>2.6181313172912606E-3</v>
      </c>
      <c r="F1184" s="145">
        <v>1.9759379540181664E-2</v>
      </c>
      <c r="G1184" s="145">
        <v>5.7611381381373673E-4</v>
      </c>
      <c r="H1184" s="517">
        <v>2.0000009999999999E-3</v>
      </c>
      <c r="I1184" s="517">
        <v>1.5750005000000001E-2</v>
      </c>
      <c r="J1184" s="148">
        <v>6.2564582385477247E-4</v>
      </c>
      <c r="K1184" s="518">
        <v>2.1955639927917022E-5</v>
      </c>
      <c r="L1184" s="519">
        <v>2.2948372829232989E-5</v>
      </c>
    </row>
    <row r="1185" spans="1:12" ht="15.5" x14ac:dyDescent="0.35">
      <c r="A1185" s="143" t="s">
        <v>907</v>
      </c>
      <c r="B1185" s="229">
        <v>2039</v>
      </c>
      <c r="C1185" s="514" t="s">
        <v>2063</v>
      </c>
      <c r="D1185" s="515">
        <v>2.7388860440286576E-2</v>
      </c>
      <c r="E1185" s="516">
        <v>2.4695496450564307E-3</v>
      </c>
      <c r="F1185" s="145">
        <v>1.934750696278973E-2</v>
      </c>
      <c r="G1185" s="145">
        <v>5.5354974477177439E-4</v>
      </c>
      <c r="H1185" s="517">
        <v>2.0000009999999999E-3</v>
      </c>
      <c r="I1185" s="517">
        <v>1.5750005000000001E-2</v>
      </c>
      <c r="J1185" s="148">
        <v>6.0113510607666008E-4</v>
      </c>
      <c r="K1185" s="518">
        <v>2.1252980589446044E-5</v>
      </c>
      <c r="L1185" s="519">
        <v>2.2213943305176981E-5</v>
      </c>
    </row>
    <row r="1186" spans="1:12" ht="15.5" x14ac:dyDescent="0.35">
      <c r="A1186" s="143" t="s">
        <v>907</v>
      </c>
      <c r="B1186" s="229">
        <v>2040</v>
      </c>
      <c r="C1186" s="514" t="s">
        <v>2064</v>
      </c>
      <c r="D1186" s="515">
        <v>2.7184148230630128E-2</v>
      </c>
      <c r="E1186" s="516">
        <v>2.3360790631669786E-3</v>
      </c>
      <c r="F1186" s="145">
        <v>1.8995366725634157E-2</v>
      </c>
      <c r="G1186" s="145">
        <v>5.3406282733558478E-4</v>
      </c>
      <c r="H1186" s="517">
        <v>2.0000009999999999E-3</v>
      </c>
      <c r="I1186" s="517">
        <v>1.5750005000000001E-2</v>
      </c>
      <c r="J1186" s="148">
        <v>5.799668053171925E-4</v>
      </c>
      <c r="K1186" s="518">
        <v>2.0644261080728432E-5</v>
      </c>
      <c r="L1186" s="519">
        <v>2.1577698512415895E-5</v>
      </c>
    </row>
    <row r="1187" spans="1:12" ht="15.5" x14ac:dyDescent="0.35">
      <c r="A1187" s="143" t="s">
        <v>907</v>
      </c>
      <c r="B1187" s="229">
        <v>2041</v>
      </c>
      <c r="C1187" s="514" t="s">
        <v>2065</v>
      </c>
      <c r="D1187" s="515">
        <v>2.7011336375571876E-2</v>
      </c>
      <c r="E1187" s="516">
        <v>2.2310327603208818E-3</v>
      </c>
      <c r="F1187" s="145">
        <v>1.8718811337271775E-2</v>
      </c>
      <c r="G1187" s="145">
        <v>5.1870937864843033E-4</v>
      </c>
      <c r="H1187" s="517">
        <v>2.0000009999999995E-3</v>
      </c>
      <c r="I1187" s="517">
        <v>1.5750005000000001E-2</v>
      </c>
      <c r="J1187" s="148">
        <v>5.6329020172163314E-4</v>
      </c>
      <c r="K1187" s="518">
        <v>2.0145064699187215E-5</v>
      </c>
      <c r="L1187" s="519">
        <v>2.1055937342913073E-5</v>
      </c>
    </row>
    <row r="1188" spans="1:12" ht="15.5" x14ac:dyDescent="0.35">
      <c r="A1188" s="143" t="s">
        <v>907</v>
      </c>
      <c r="B1188" s="229">
        <v>2042</v>
      </c>
      <c r="C1188" s="514" t="s">
        <v>2066</v>
      </c>
      <c r="D1188" s="515">
        <v>2.6863368339148416E-2</v>
      </c>
      <c r="E1188" s="516">
        <v>2.139412933387604E-3</v>
      </c>
      <c r="F1188" s="145">
        <v>1.8462239906178731E-2</v>
      </c>
      <c r="G1188" s="145">
        <v>5.0574364387636402E-4</v>
      </c>
      <c r="H1188" s="517">
        <v>2.0000009999999999E-3</v>
      </c>
      <c r="I1188" s="517">
        <v>1.5750005000000004E-2</v>
      </c>
      <c r="J1188" s="148">
        <v>5.4920588504718353E-4</v>
      </c>
      <c r="K1188" s="518">
        <v>1.97415456928762E-5</v>
      </c>
      <c r="L1188" s="519">
        <v>2.063416796955219E-5</v>
      </c>
    </row>
    <row r="1189" spans="1:12" ht="15.5" x14ac:dyDescent="0.35">
      <c r="A1189" s="143" t="s">
        <v>907</v>
      </c>
      <c r="B1189" s="229">
        <v>2043</v>
      </c>
      <c r="C1189" s="514" t="s">
        <v>2067</v>
      </c>
      <c r="D1189" s="515">
        <v>2.6738733679096897E-2</v>
      </c>
      <c r="E1189" s="516">
        <v>2.0695073008488553E-3</v>
      </c>
      <c r="F1189" s="145">
        <v>1.8270411256584254E-2</v>
      </c>
      <c r="G1189" s="145">
        <v>4.9489253080314908E-4</v>
      </c>
      <c r="H1189" s="517">
        <v>2.0000009999999999E-3</v>
      </c>
      <c r="I1189" s="517">
        <v>1.5750004999999997E-2</v>
      </c>
      <c r="J1189" s="148">
        <v>5.3741866806633284E-4</v>
      </c>
      <c r="K1189" s="518">
        <v>1.9408077201824656E-5</v>
      </c>
      <c r="L1189" s="519">
        <v>2.0285623493912275E-5</v>
      </c>
    </row>
    <row r="1190" spans="1:12" ht="15.5" x14ac:dyDescent="0.35">
      <c r="A1190" s="143" t="s">
        <v>907</v>
      </c>
      <c r="B1190" s="229">
        <v>2044</v>
      </c>
      <c r="C1190" s="514" t="s">
        <v>2068</v>
      </c>
      <c r="D1190" s="515">
        <v>2.6632375063915973E-2</v>
      </c>
      <c r="E1190" s="516">
        <v>2.0175330820984198E-3</v>
      </c>
      <c r="F1190" s="145">
        <v>1.8120305979958649E-2</v>
      </c>
      <c r="G1190" s="145">
        <v>4.8584987060791123E-4</v>
      </c>
      <c r="H1190" s="517">
        <v>2.0000009999999999E-3</v>
      </c>
      <c r="I1190" s="517">
        <v>1.5750005000000004E-2</v>
      </c>
      <c r="J1190" s="148">
        <v>5.2759449687056459E-4</v>
      </c>
      <c r="K1190" s="518">
        <v>1.9146222316036158E-5</v>
      </c>
      <c r="L1190" s="519">
        <v>2.0011927584925416E-5</v>
      </c>
    </row>
    <row r="1191" spans="1:12" ht="15.5" x14ac:dyDescent="0.35">
      <c r="A1191" s="143" t="s">
        <v>907</v>
      </c>
      <c r="B1191" s="229">
        <v>2045</v>
      </c>
      <c r="C1191" s="514" t="s">
        <v>2069</v>
      </c>
      <c r="D1191" s="515">
        <v>2.6540241160241788E-2</v>
      </c>
      <c r="E1191" s="516">
        <v>1.9819031248857334E-3</v>
      </c>
      <c r="F1191" s="145">
        <v>1.8018287975500674E-2</v>
      </c>
      <c r="G1191" s="145">
        <v>4.7830589846095423E-4</v>
      </c>
      <c r="H1191" s="517">
        <v>2.0000009999999999E-3</v>
      </c>
      <c r="I1191" s="517">
        <v>1.5750005000000001E-2</v>
      </c>
      <c r="J1191" s="148">
        <v>5.193986529796349E-4</v>
      </c>
      <c r="K1191" s="518">
        <v>1.8934799597180048E-5</v>
      </c>
      <c r="L1191" s="519">
        <v>1.9790952742084267E-5</v>
      </c>
    </row>
    <row r="1192" spans="1:12" ht="15.5" x14ac:dyDescent="0.35">
      <c r="A1192" s="143" t="s">
        <v>907</v>
      </c>
      <c r="B1192" s="229">
        <v>2046</v>
      </c>
      <c r="C1192" s="514" t="s">
        <v>2070</v>
      </c>
      <c r="D1192" s="515">
        <v>2.6460790046001822E-2</v>
      </c>
      <c r="E1192" s="516">
        <v>1.9506268428281692E-3</v>
      </c>
      <c r="F1192" s="145">
        <v>1.7931472358615398E-2</v>
      </c>
      <c r="G1192" s="145">
        <v>4.7206232598985342E-4</v>
      </c>
      <c r="H1192" s="517">
        <v>2.0000009999999995E-3</v>
      </c>
      <c r="I1192" s="517">
        <v>1.5750005000000001E-2</v>
      </c>
      <c r="J1192" s="148">
        <v>5.126158839916852E-4</v>
      </c>
      <c r="K1192" s="518">
        <v>1.8765370434998327E-5</v>
      </c>
      <c r="L1192" s="519">
        <v>1.9613861854023011E-5</v>
      </c>
    </row>
    <row r="1193" spans="1:12" ht="15.5" x14ac:dyDescent="0.35">
      <c r="A1193" s="143" t="s">
        <v>907</v>
      </c>
      <c r="B1193" s="229">
        <v>2047</v>
      </c>
      <c r="C1193" s="514" t="s">
        <v>2071</v>
      </c>
      <c r="D1193" s="515">
        <v>2.6394974360878148E-2</v>
      </c>
      <c r="E1193" s="516">
        <v>1.9223940657408876E-3</v>
      </c>
      <c r="F1193" s="145">
        <v>1.7846966315609922E-2</v>
      </c>
      <c r="G1193" s="145">
        <v>4.6690529976066122E-4</v>
      </c>
      <c r="H1193" s="517">
        <v>2.0000009999999999E-3</v>
      </c>
      <c r="I1193" s="517">
        <v>1.5750005000000001E-2</v>
      </c>
      <c r="J1193" s="148">
        <v>5.0701355077963322E-4</v>
      </c>
      <c r="K1193" s="518">
        <v>1.8615554581452959E-5</v>
      </c>
      <c r="L1193" s="519">
        <v>1.9457268999858965E-5</v>
      </c>
    </row>
    <row r="1194" spans="1:12" ht="15.5" x14ac:dyDescent="0.35">
      <c r="A1194" s="143" t="s">
        <v>907</v>
      </c>
      <c r="B1194" s="229">
        <v>2048</v>
      </c>
      <c r="C1194" s="514" t="s">
        <v>2072</v>
      </c>
      <c r="D1194" s="515">
        <v>2.6339079895134013E-2</v>
      </c>
      <c r="E1194" s="516">
        <v>1.899900363455853E-3</v>
      </c>
      <c r="F1194" s="145">
        <v>1.7779100048441396E-2</v>
      </c>
      <c r="G1194" s="145">
        <v>4.626538603046102E-4</v>
      </c>
      <c r="H1194" s="517">
        <v>2.0000009999999999E-3</v>
      </c>
      <c r="I1194" s="517">
        <v>1.5750005000000004E-2</v>
      </c>
      <c r="J1194" s="148">
        <v>5.0239517740068495E-4</v>
      </c>
      <c r="K1194" s="518">
        <v>1.8472604243838316E-5</v>
      </c>
      <c r="L1194" s="519">
        <v>1.9307854552757953E-5</v>
      </c>
    </row>
    <row r="1195" spans="1:12" ht="15.5" x14ac:dyDescent="0.35">
      <c r="A1195" s="143" t="s">
        <v>907</v>
      </c>
      <c r="B1195" s="229">
        <v>2049</v>
      </c>
      <c r="C1195" s="514" t="s">
        <v>2073</v>
      </c>
      <c r="D1195" s="515">
        <v>2.6291495592407722E-2</v>
      </c>
      <c r="E1195" s="516">
        <v>1.890921271592231E-3</v>
      </c>
      <c r="F1195" s="145">
        <v>1.7787158247556001E-2</v>
      </c>
      <c r="G1195" s="145">
        <v>4.5987469187327247E-4</v>
      </c>
      <c r="H1195" s="517">
        <v>2.0000010000000004E-3</v>
      </c>
      <c r="I1195" s="517">
        <v>1.5750005000000001E-2</v>
      </c>
      <c r="J1195" s="148">
        <v>4.9937740584762283E-4</v>
      </c>
      <c r="K1195" s="518">
        <v>1.8377102234671148E-5</v>
      </c>
      <c r="L1195" s="519">
        <v>1.9208035629102112E-5</v>
      </c>
    </row>
    <row r="1196" spans="1:12" ht="15.5" x14ac:dyDescent="0.35">
      <c r="A1196" s="143" t="s">
        <v>907</v>
      </c>
      <c r="B1196" s="229">
        <v>2050</v>
      </c>
      <c r="C1196" s="514" t="s">
        <v>2074</v>
      </c>
      <c r="D1196" s="515">
        <v>2.6253659916288447E-2</v>
      </c>
      <c r="E1196" s="516">
        <v>1.8837221136598396E-3</v>
      </c>
      <c r="F1196" s="145">
        <v>1.7795793816237679E-2</v>
      </c>
      <c r="G1196" s="145">
        <v>4.5764110729220133E-4</v>
      </c>
      <c r="H1196" s="517">
        <v>2.0000009999999995E-3</v>
      </c>
      <c r="I1196" s="517">
        <v>1.5750004999999997E-2</v>
      </c>
      <c r="J1196" s="148">
        <v>4.9695208445204155E-4</v>
      </c>
      <c r="K1196" s="518">
        <v>1.8281700991388729E-5</v>
      </c>
      <c r="L1196" s="519">
        <v>1.9108316322142041E-5</v>
      </c>
    </row>
    <row r="1197" spans="1:12" ht="15.5" x14ac:dyDescent="0.35">
      <c r="A1197" s="143" t="s">
        <v>910</v>
      </c>
      <c r="B1197" s="229">
        <v>2015</v>
      </c>
      <c r="C1197" s="514" t="s">
        <v>911</v>
      </c>
      <c r="D1197" s="515">
        <v>4.5901134511664103E-2</v>
      </c>
      <c r="E1197" s="516">
        <v>0.12627469595873797</v>
      </c>
      <c r="F1197" s="145">
        <v>0.38495996595851445</v>
      </c>
      <c r="G1197" s="145">
        <v>3.7865724716169892E-3</v>
      </c>
      <c r="H1197" s="517">
        <v>2.0000009999999999E-3</v>
      </c>
      <c r="I1197" s="517">
        <v>1.5750005000000001E-2</v>
      </c>
      <c r="J1197" s="148">
        <v>4.0927749318727157E-3</v>
      </c>
      <c r="K1197" s="518">
        <v>3.3033051647831453E-4</v>
      </c>
      <c r="L1197" s="519">
        <v>3.4526660077346748E-4</v>
      </c>
    </row>
    <row r="1198" spans="1:12" ht="15.5" x14ac:dyDescent="0.35">
      <c r="A1198" s="143" t="s">
        <v>910</v>
      </c>
      <c r="B1198" s="229">
        <v>2016</v>
      </c>
      <c r="C1198" s="514" t="s">
        <v>912</v>
      </c>
      <c r="D1198" s="515">
        <v>4.511136773229573E-2</v>
      </c>
      <c r="E1198" s="516">
        <v>0.10968829045505137</v>
      </c>
      <c r="F1198" s="145">
        <v>0.34157488953729009</v>
      </c>
      <c r="G1198" s="145">
        <v>3.5346752877587284E-3</v>
      </c>
      <c r="H1198" s="517">
        <v>2.0000009999999995E-3</v>
      </c>
      <c r="I1198" s="517">
        <v>1.5750005000000004E-2</v>
      </c>
      <c r="J1198" s="148">
        <v>3.8221343684270207E-3</v>
      </c>
      <c r="K1198" s="518">
        <v>3.0757390954904958E-4</v>
      </c>
      <c r="L1198" s="519">
        <v>3.2148103683680984E-4</v>
      </c>
    </row>
    <row r="1199" spans="1:12" ht="15.5" x14ac:dyDescent="0.35">
      <c r="A1199" s="143" t="s">
        <v>910</v>
      </c>
      <c r="B1199" s="229">
        <v>2017</v>
      </c>
      <c r="C1199" s="514" t="s">
        <v>2075</v>
      </c>
      <c r="D1199" s="515">
        <v>4.4112569801788688E-2</v>
      </c>
      <c r="E1199" s="516">
        <v>9.2903583604309475E-2</v>
      </c>
      <c r="F1199" s="145">
        <v>0.29862801496347824</v>
      </c>
      <c r="G1199" s="145">
        <v>3.3105839377425765E-3</v>
      </c>
      <c r="H1199" s="517">
        <v>2.0000010000000004E-3</v>
      </c>
      <c r="I1199" s="517">
        <v>1.5750005000000001E-2</v>
      </c>
      <c r="J1199" s="148">
        <v>3.5819076350205991E-3</v>
      </c>
      <c r="K1199" s="518">
        <v>2.8285832950370685E-4</v>
      </c>
      <c r="L1199" s="519">
        <v>2.9564792220814254E-4</v>
      </c>
    </row>
    <row r="1200" spans="1:12" ht="15.5" x14ac:dyDescent="0.35">
      <c r="A1200" s="143" t="s">
        <v>910</v>
      </c>
      <c r="B1200" s="229">
        <v>2018</v>
      </c>
      <c r="C1200" s="514" t="s">
        <v>2076</v>
      </c>
      <c r="D1200" s="515">
        <v>4.3015336416927591E-2</v>
      </c>
      <c r="E1200" s="516">
        <v>7.8107393766649311E-2</v>
      </c>
      <c r="F1200" s="145">
        <v>0.25994442664042577</v>
      </c>
      <c r="G1200" s="145">
        <v>3.1395818354946555E-3</v>
      </c>
      <c r="H1200" s="517">
        <v>2.0000009999999999E-3</v>
      </c>
      <c r="I1200" s="517">
        <v>1.5750005000000004E-2</v>
      </c>
      <c r="J1200" s="148">
        <v>3.3988766161537403E-3</v>
      </c>
      <c r="K1200" s="518">
        <v>2.6092328561352099E-4</v>
      </c>
      <c r="L1200" s="519">
        <v>2.7272107553111724E-4</v>
      </c>
    </row>
    <row r="1201" spans="1:12" ht="15.5" x14ac:dyDescent="0.35">
      <c r="A1201" s="143" t="s">
        <v>910</v>
      </c>
      <c r="B1201" s="229">
        <v>2019</v>
      </c>
      <c r="C1201" s="514" t="s">
        <v>2077</v>
      </c>
      <c r="D1201" s="515">
        <v>4.1799062783319844E-2</v>
      </c>
      <c r="E1201" s="516">
        <v>6.5355145168895137E-2</v>
      </c>
      <c r="F1201" s="145">
        <v>0.22592552633191845</v>
      </c>
      <c r="G1201" s="145">
        <v>2.9988511068062057E-3</v>
      </c>
      <c r="H1201" s="517">
        <v>2.0000009999999999E-3</v>
      </c>
      <c r="I1201" s="517">
        <v>1.5750005000000001E-2</v>
      </c>
      <c r="J1201" s="148">
        <v>3.248287275472357E-3</v>
      </c>
      <c r="K1201" s="518">
        <v>2.4074655984543313E-4</v>
      </c>
      <c r="L1201" s="519">
        <v>2.5163204628978679E-4</v>
      </c>
    </row>
    <row r="1202" spans="1:12" ht="15.5" x14ac:dyDescent="0.35">
      <c r="A1202" s="143" t="s">
        <v>910</v>
      </c>
      <c r="B1202" s="229">
        <v>2020</v>
      </c>
      <c r="C1202" s="514" t="s">
        <v>2078</v>
      </c>
      <c r="D1202" s="515">
        <v>4.0618259065777276E-2</v>
      </c>
      <c r="E1202" s="516">
        <v>5.5344398579686302E-2</v>
      </c>
      <c r="F1202" s="145">
        <v>0.19662499299777808</v>
      </c>
      <c r="G1202" s="145">
        <v>2.8442391346589361E-3</v>
      </c>
      <c r="H1202" s="517">
        <v>2.0000009999999999E-3</v>
      </c>
      <c r="I1202" s="517">
        <v>1.5750005000000001E-2</v>
      </c>
      <c r="J1202" s="148">
        <v>3.0817823305379806E-3</v>
      </c>
      <c r="K1202" s="518">
        <v>2.2250402904482123E-4</v>
      </c>
      <c r="L1202" s="519">
        <v>2.3256467855806858E-4</v>
      </c>
    </row>
    <row r="1203" spans="1:12" ht="15.5" x14ac:dyDescent="0.35">
      <c r="A1203" s="143" t="s">
        <v>910</v>
      </c>
      <c r="B1203" s="229">
        <v>2021</v>
      </c>
      <c r="C1203" s="514" t="s">
        <v>2079</v>
      </c>
      <c r="D1203" s="515">
        <v>3.9411674126291617E-2</v>
      </c>
      <c r="E1203" s="516">
        <v>4.667340744295715E-2</v>
      </c>
      <c r="F1203" s="145">
        <v>0.16986329889484331</v>
      </c>
      <c r="G1203" s="145">
        <v>2.6530274192600139E-3</v>
      </c>
      <c r="H1203" s="517">
        <v>2.0000009999999999E-3</v>
      </c>
      <c r="I1203" s="517">
        <v>1.5750005000000001E-2</v>
      </c>
      <c r="J1203" s="148">
        <v>2.875259609020409E-3</v>
      </c>
      <c r="K1203" s="518">
        <v>2.0474116732498764E-4</v>
      </c>
      <c r="L1203" s="519">
        <v>2.1399866153001847E-4</v>
      </c>
    </row>
    <row r="1204" spans="1:12" ht="15.5" x14ac:dyDescent="0.35">
      <c r="A1204" s="143" t="s">
        <v>910</v>
      </c>
      <c r="B1204" s="229">
        <v>2022</v>
      </c>
      <c r="C1204" s="514" t="s">
        <v>2080</v>
      </c>
      <c r="D1204" s="515">
        <v>3.8208966336568853E-2</v>
      </c>
      <c r="E1204" s="516">
        <v>3.7252960379348297E-2</v>
      </c>
      <c r="F1204" s="145">
        <v>0.14511676863215009</v>
      </c>
      <c r="G1204" s="145">
        <v>2.4672399324055525E-3</v>
      </c>
      <c r="H1204" s="517">
        <v>2.0000009999999999E-3</v>
      </c>
      <c r="I1204" s="517">
        <v>1.5750004999999997E-2</v>
      </c>
      <c r="J1204" s="148">
        <v>2.6750950297367488E-3</v>
      </c>
      <c r="K1204" s="518">
        <v>1.8513109720720043E-4</v>
      </c>
      <c r="L1204" s="519">
        <v>1.9350190355089185E-4</v>
      </c>
    </row>
    <row r="1205" spans="1:12" ht="15.5" x14ac:dyDescent="0.35">
      <c r="A1205" s="143" t="s">
        <v>910</v>
      </c>
      <c r="B1205" s="229">
        <v>2023</v>
      </c>
      <c r="C1205" s="514" t="s">
        <v>2081</v>
      </c>
      <c r="D1205" s="515">
        <v>3.7014056811565194E-2</v>
      </c>
      <c r="E1205" s="516">
        <v>3.1931120534373587E-2</v>
      </c>
      <c r="F1205" s="145">
        <v>0.1259479665754033</v>
      </c>
      <c r="G1205" s="145">
        <v>2.2956537620805011E-3</v>
      </c>
      <c r="H1205" s="517">
        <v>2.0000009999999995E-3</v>
      </c>
      <c r="I1205" s="517">
        <v>1.5750005000000001E-2</v>
      </c>
      <c r="J1205" s="148">
        <v>2.4896201742530153E-3</v>
      </c>
      <c r="K1205" s="518">
        <v>1.6272512219426045E-4</v>
      </c>
      <c r="L1205" s="519">
        <v>1.7008282602962993E-4</v>
      </c>
    </row>
    <row r="1206" spans="1:12" ht="15.5" x14ac:dyDescent="0.35">
      <c r="A1206" s="143" t="s">
        <v>910</v>
      </c>
      <c r="B1206" s="229">
        <v>2024</v>
      </c>
      <c r="C1206" s="514" t="s">
        <v>2082</v>
      </c>
      <c r="D1206" s="515">
        <v>3.5831720708225032E-2</v>
      </c>
      <c r="E1206" s="516">
        <v>2.7410580674064881E-2</v>
      </c>
      <c r="F1206" s="145">
        <v>0.10968131309321918</v>
      </c>
      <c r="G1206" s="145">
        <v>2.1438436370955953E-3</v>
      </c>
      <c r="H1206" s="517">
        <v>2.0000009999999995E-3</v>
      </c>
      <c r="I1206" s="517">
        <v>1.5750005000000001E-2</v>
      </c>
      <c r="J1206" s="148">
        <v>2.3255381110936953E-3</v>
      </c>
      <c r="K1206" s="518">
        <v>1.4236902786168306E-4</v>
      </c>
      <c r="L1206" s="519">
        <v>1.4880632681382944E-4</v>
      </c>
    </row>
    <row r="1207" spans="1:12" ht="15.5" x14ac:dyDescent="0.35">
      <c r="A1207" s="143" t="s">
        <v>910</v>
      </c>
      <c r="B1207" s="229">
        <v>2025</v>
      </c>
      <c r="C1207" s="514" t="s">
        <v>2083</v>
      </c>
      <c r="D1207" s="515">
        <v>3.4670576250560158E-2</v>
      </c>
      <c r="E1207" s="516">
        <v>2.4076137596661183E-2</v>
      </c>
      <c r="F1207" s="145">
        <v>9.7214224790324363E-2</v>
      </c>
      <c r="G1207" s="145">
        <v>2.0279203088832071E-3</v>
      </c>
      <c r="H1207" s="517">
        <v>2.0000009999999995E-3</v>
      </c>
      <c r="I1207" s="517">
        <v>1.5750005000000001E-2</v>
      </c>
      <c r="J1207" s="148">
        <v>2.2002690798605075E-3</v>
      </c>
      <c r="K1207" s="518">
        <v>1.2434239113293775E-4</v>
      </c>
      <c r="L1207" s="519">
        <v>1.299646007346805E-4</v>
      </c>
    </row>
    <row r="1208" spans="1:12" ht="15.5" x14ac:dyDescent="0.35">
      <c r="A1208" s="143" t="s">
        <v>910</v>
      </c>
      <c r="B1208" s="229">
        <v>2026</v>
      </c>
      <c r="C1208" s="514" t="s">
        <v>2084</v>
      </c>
      <c r="D1208" s="515">
        <v>3.3599014692697035E-2</v>
      </c>
      <c r="E1208" s="516">
        <v>2.1194156233008358E-2</v>
      </c>
      <c r="F1208" s="145">
        <v>8.6714994935583961E-2</v>
      </c>
      <c r="G1208" s="145">
        <v>1.9230840873535769E-3</v>
      </c>
      <c r="H1208" s="517">
        <v>2.0000009999999999E-3</v>
      </c>
      <c r="I1208" s="517">
        <v>1.5750005000000001E-2</v>
      </c>
      <c r="J1208" s="148">
        <v>2.0868044073075521E-3</v>
      </c>
      <c r="K1208" s="518">
        <v>1.1146907661484766E-4</v>
      </c>
      <c r="L1208" s="519">
        <v>1.1650921217346005E-4</v>
      </c>
    </row>
    <row r="1209" spans="1:12" ht="15.5" x14ac:dyDescent="0.35">
      <c r="A1209" s="143" t="s">
        <v>910</v>
      </c>
      <c r="B1209" s="229">
        <v>2027</v>
      </c>
      <c r="C1209" s="514" t="s">
        <v>2085</v>
      </c>
      <c r="D1209" s="515">
        <v>3.2606519640201066E-2</v>
      </c>
      <c r="E1209" s="516">
        <v>1.8838925793943594E-2</v>
      </c>
      <c r="F1209" s="145">
        <v>7.7899004651559106E-2</v>
      </c>
      <c r="G1209" s="145">
        <v>1.8119753050742813E-3</v>
      </c>
      <c r="H1209" s="517">
        <v>2.0000009999999999E-3</v>
      </c>
      <c r="I1209" s="517">
        <v>1.5750005000000001E-2</v>
      </c>
      <c r="J1209" s="148">
        <v>1.9666575478151406E-3</v>
      </c>
      <c r="K1209" s="518">
        <v>9.511968324311063E-5</v>
      </c>
      <c r="L1209" s="519">
        <v>9.942057605201469E-5</v>
      </c>
    </row>
    <row r="1210" spans="1:12" ht="15.5" x14ac:dyDescent="0.35">
      <c r="A1210" s="143" t="s">
        <v>910</v>
      </c>
      <c r="B1210" s="229">
        <v>2028</v>
      </c>
      <c r="C1210" s="514" t="s">
        <v>2086</v>
      </c>
      <c r="D1210" s="515">
        <v>3.169990097525778E-2</v>
      </c>
      <c r="E1210" s="516">
        <v>1.6795358795453196E-2</v>
      </c>
      <c r="F1210" s="145">
        <v>7.0275388662935354E-2</v>
      </c>
      <c r="G1210" s="145">
        <v>1.6902668801336983E-3</v>
      </c>
      <c r="H1210" s="517">
        <v>2.0000009999999999E-3</v>
      </c>
      <c r="I1210" s="517">
        <v>1.5750005000000001E-2</v>
      </c>
      <c r="J1210" s="148">
        <v>1.8351383873744585E-3</v>
      </c>
      <c r="K1210" s="518">
        <v>7.5069652322780179E-5</v>
      </c>
      <c r="L1210" s="519">
        <v>7.8463965377322675E-5</v>
      </c>
    </row>
    <row r="1211" spans="1:12" ht="15.5" x14ac:dyDescent="0.35">
      <c r="A1211" s="143" t="s">
        <v>910</v>
      </c>
      <c r="B1211" s="229">
        <v>2029</v>
      </c>
      <c r="C1211" s="514" t="s">
        <v>2087</v>
      </c>
      <c r="D1211" s="515">
        <v>3.0875268836161009E-2</v>
      </c>
      <c r="E1211" s="516">
        <v>1.4819143510044501E-2</v>
      </c>
      <c r="F1211" s="145">
        <v>6.317473253796807E-2</v>
      </c>
      <c r="G1211" s="145">
        <v>1.5776609446685162E-3</v>
      </c>
      <c r="H1211" s="517">
        <v>2.0000009999999999E-3</v>
      </c>
      <c r="I1211" s="517">
        <v>1.5750004999999997E-2</v>
      </c>
      <c r="J1211" s="148">
        <v>1.7131272237045855E-3</v>
      </c>
      <c r="K1211" s="518">
        <v>6.4259938942414334E-5</v>
      </c>
      <c r="L1211" s="519">
        <v>6.7165484713633405E-5</v>
      </c>
    </row>
    <row r="1212" spans="1:12" ht="15.5" x14ac:dyDescent="0.35">
      <c r="A1212" s="143" t="s">
        <v>910</v>
      </c>
      <c r="B1212" s="229">
        <v>2030</v>
      </c>
      <c r="C1212" s="514" t="s">
        <v>2088</v>
      </c>
      <c r="D1212" s="515">
        <v>3.0130029472070257E-2</v>
      </c>
      <c r="E1212" s="516">
        <v>1.3241544706536127E-2</v>
      </c>
      <c r="F1212" s="145">
        <v>5.719872404102519E-2</v>
      </c>
      <c r="G1212" s="145">
        <v>1.476304780317931E-3</v>
      </c>
      <c r="H1212" s="517">
        <v>2.0000009999999999E-3</v>
      </c>
      <c r="I1212" s="517">
        <v>1.5750004999999997E-2</v>
      </c>
      <c r="J1212" s="148">
        <v>1.6030858925930188E-3</v>
      </c>
      <c r="K1212" s="518">
        <v>5.9706286880541079E-5</v>
      </c>
      <c r="L1212" s="519">
        <v>6.2405937045334416E-5</v>
      </c>
    </row>
    <row r="1213" spans="1:12" ht="15.5" x14ac:dyDescent="0.35">
      <c r="A1213" s="143" t="s">
        <v>910</v>
      </c>
      <c r="B1213" s="229">
        <v>2031</v>
      </c>
      <c r="C1213" s="514" t="s">
        <v>2089</v>
      </c>
      <c r="D1213" s="515">
        <v>2.9460292958503883E-2</v>
      </c>
      <c r="E1213" s="516">
        <v>1.1789358440702159E-2</v>
      </c>
      <c r="F1213" s="145">
        <v>5.1777403023950917E-2</v>
      </c>
      <c r="G1213" s="145">
        <v>1.3768343443932361E-3</v>
      </c>
      <c r="H1213" s="517">
        <v>2.0000009999999999E-3</v>
      </c>
      <c r="I1213" s="517">
        <v>1.5750005000000004E-2</v>
      </c>
      <c r="J1213" s="148">
        <v>1.4951657759678884E-3</v>
      </c>
      <c r="K1213" s="518">
        <v>5.350610173848584E-5</v>
      </c>
      <c r="L1213" s="519">
        <v>5.5925407172077932E-5</v>
      </c>
    </row>
    <row r="1214" spans="1:12" ht="15.5" x14ac:dyDescent="0.35">
      <c r="A1214" s="143" t="s">
        <v>910</v>
      </c>
      <c r="B1214" s="229">
        <v>2032</v>
      </c>
      <c r="C1214" s="514" t="s">
        <v>2090</v>
      </c>
      <c r="D1214" s="515">
        <v>2.8863987316443129E-2</v>
      </c>
      <c r="E1214" s="516">
        <v>1.0547406568833104E-2</v>
      </c>
      <c r="F1214" s="145">
        <v>4.7302277135622926E-2</v>
      </c>
      <c r="G1214" s="145">
        <v>1.286544629760214E-3</v>
      </c>
      <c r="H1214" s="517">
        <v>2.0000009999999999E-3</v>
      </c>
      <c r="I1214" s="517">
        <v>1.5750005000000001E-2</v>
      </c>
      <c r="J1214" s="148">
        <v>1.397193926460095E-3</v>
      </c>
      <c r="K1214" s="518">
        <v>4.8150816348591426E-5</v>
      </c>
      <c r="L1214" s="519">
        <v>5.0327986639739779E-5</v>
      </c>
    </row>
    <row r="1215" spans="1:12" ht="15.5" x14ac:dyDescent="0.35">
      <c r="A1215" s="143" t="s">
        <v>910</v>
      </c>
      <c r="B1215" s="229">
        <v>2033</v>
      </c>
      <c r="C1215" s="514" t="s">
        <v>2091</v>
      </c>
      <c r="D1215" s="515">
        <v>2.8334196339155796E-2</v>
      </c>
      <c r="E1215" s="516">
        <v>9.4029336597032092E-3</v>
      </c>
      <c r="F1215" s="145">
        <v>4.3220924690681069E-2</v>
      </c>
      <c r="G1215" s="145">
        <v>1.2023372409963266E-3</v>
      </c>
      <c r="H1215" s="517">
        <v>2.0000009999999999E-3</v>
      </c>
      <c r="I1215" s="517">
        <v>1.5750005000000004E-2</v>
      </c>
      <c r="J1215" s="148">
        <v>1.3057452327170764E-3</v>
      </c>
      <c r="K1215" s="518">
        <v>4.4997753233125127E-5</v>
      </c>
      <c r="L1215" s="519">
        <v>4.7032354812940157E-5</v>
      </c>
    </row>
    <row r="1216" spans="1:12" ht="15.5" x14ac:dyDescent="0.35">
      <c r="A1216" s="143" t="s">
        <v>910</v>
      </c>
      <c r="B1216" s="229">
        <v>2034</v>
      </c>
      <c r="C1216" s="514" t="s">
        <v>2092</v>
      </c>
      <c r="D1216" s="515">
        <v>2.7864312565871754E-2</v>
      </c>
      <c r="E1216" s="516">
        <v>8.3746938653153479E-3</v>
      </c>
      <c r="F1216" s="145">
        <v>3.9697180240955011E-2</v>
      </c>
      <c r="G1216" s="145">
        <v>1.124976317399246E-3</v>
      </c>
      <c r="H1216" s="517">
        <v>2.0000010000000004E-3</v>
      </c>
      <c r="I1216" s="517">
        <v>1.5750005000000001E-2</v>
      </c>
      <c r="J1216" s="148">
        <v>1.2217290539021204E-3</v>
      </c>
      <c r="K1216" s="518">
        <v>4.212627919213768E-5</v>
      </c>
      <c r="L1216" s="519">
        <v>4.4031043322256162E-5</v>
      </c>
    </row>
    <row r="1217" spans="1:12" ht="15.5" x14ac:dyDescent="0.35">
      <c r="A1217" s="143" t="s">
        <v>910</v>
      </c>
      <c r="B1217" s="229">
        <v>2035</v>
      </c>
      <c r="C1217" s="514" t="s">
        <v>2093</v>
      </c>
      <c r="D1217" s="515">
        <v>2.7451326178160138E-2</v>
      </c>
      <c r="E1217" s="516">
        <v>7.4539144190944517E-3</v>
      </c>
      <c r="F1217" s="145">
        <v>3.6668917886039688E-2</v>
      </c>
      <c r="G1217" s="145">
        <v>1.0525396098280421E-3</v>
      </c>
      <c r="H1217" s="517">
        <v>2.0000010000000004E-3</v>
      </c>
      <c r="I1217" s="517">
        <v>1.5750005000000004E-2</v>
      </c>
      <c r="J1217" s="148">
        <v>1.1430783464536226E-3</v>
      </c>
      <c r="K1217" s="518">
        <v>3.904632842012192E-5</v>
      </c>
      <c r="L1217" s="519">
        <v>4.0811828375023279E-5</v>
      </c>
    </row>
    <row r="1218" spans="1:12" ht="15.5" x14ac:dyDescent="0.35">
      <c r="A1218" s="143" t="s">
        <v>910</v>
      </c>
      <c r="B1218" s="229">
        <v>2036</v>
      </c>
      <c r="C1218" s="514" t="s">
        <v>2094</v>
      </c>
      <c r="D1218" s="515">
        <v>2.7091226497041661E-2</v>
      </c>
      <c r="E1218" s="516">
        <v>6.6930228967013172E-3</v>
      </c>
      <c r="F1218" s="145">
        <v>3.4181255097098961E-2</v>
      </c>
      <c r="G1218" s="145">
        <v>9.9376906915528787E-4</v>
      </c>
      <c r="H1218" s="517">
        <v>2.0000010000000004E-3</v>
      </c>
      <c r="I1218" s="517">
        <v>1.5750005000000001E-2</v>
      </c>
      <c r="J1218" s="148">
        <v>1.0792765973936995E-3</v>
      </c>
      <c r="K1218" s="518">
        <v>3.6301814418868774E-5</v>
      </c>
      <c r="L1218" s="519">
        <v>3.7943226567556578E-5</v>
      </c>
    </row>
    <row r="1219" spans="1:12" ht="15.5" x14ac:dyDescent="0.35">
      <c r="A1219" s="143" t="s">
        <v>910</v>
      </c>
      <c r="B1219" s="229">
        <v>2037</v>
      </c>
      <c r="C1219" s="514" t="s">
        <v>2095</v>
      </c>
      <c r="D1219" s="515">
        <v>2.6778605394695322E-2</v>
      </c>
      <c r="E1219" s="516">
        <v>6.0157924172194151E-3</v>
      </c>
      <c r="F1219" s="145">
        <v>3.2021959489912939E-2</v>
      </c>
      <c r="G1219" s="145">
        <v>9.4058948498468482E-4</v>
      </c>
      <c r="H1219" s="517">
        <v>2.0000009999999999E-3</v>
      </c>
      <c r="I1219" s="517">
        <v>1.5750005000000004E-2</v>
      </c>
      <c r="J1219" s="148">
        <v>1.0215395548051739E-3</v>
      </c>
      <c r="K1219" s="518">
        <v>3.3920198095656063E-5</v>
      </c>
      <c r="L1219" s="519">
        <v>3.5453915573976959E-5</v>
      </c>
    </row>
    <row r="1220" spans="1:12" ht="15.5" x14ac:dyDescent="0.35">
      <c r="A1220" s="143" t="s">
        <v>910</v>
      </c>
      <c r="B1220" s="229">
        <v>2038</v>
      </c>
      <c r="C1220" s="514" t="s">
        <v>2096</v>
      </c>
      <c r="D1220" s="515">
        <v>2.6509886757861739E-2</v>
      </c>
      <c r="E1220" s="516">
        <v>5.3835567471773047E-3</v>
      </c>
      <c r="F1220" s="145">
        <v>2.9999364864148604E-2</v>
      </c>
      <c r="G1220" s="145">
        <v>8.9244648542764283E-4</v>
      </c>
      <c r="H1220" s="517">
        <v>2.0000009999999995E-3</v>
      </c>
      <c r="I1220" s="517">
        <v>1.5750004999999997E-2</v>
      </c>
      <c r="J1220" s="148">
        <v>9.6925111061828338E-4</v>
      </c>
      <c r="K1220" s="518">
        <v>3.2228896587211955E-5</v>
      </c>
      <c r="L1220" s="519">
        <v>3.3686143284854104E-5</v>
      </c>
    </row>
    <row r="1221" spans="1:12" ht="15.5" x14ac:dyDescent="0.35">
      <c r="A1221" s="143" t="s">
        <v>910</v>
      </c>
      <c r="B1221" s="229">
        <v>2039</v>
      </c>
      <c r="C1221" s="514" t="s">
        <v>2097</v>
      </c>
      <c r="D1221" s="515">
        <v>2.6277590373886321E-2</v>
      </c>
      <c r="E1221" s="516">
        <v>4.7971614300207147E-3</v>
      </c>
      <c r="F1221" s="145">
        <v>2.8142876354071557E-2</v>
      </c>
      <c r="G1221" s="145">
        <v>8.4922038257360965E-4</v>
      </c>
      <c r="H1221" s="517">
        <v>2.0000009999999995E-3</v>
      </c>
      <c r="I1221" s="517">
        <v>1.5750005000000001E-2</v>
      </c>
      <c r="J1221" s="148">
        <v>9.2230129152190041E-4</v>
      </c>
      <c r="K1221" s="518">
        <v>3.0756116939590222E-5</v>
      </c>
      <c r="L1221" s="519">
        <v>3.2146768698173189E-5</v>
      </c>
    </row>
    <row r="1222" spans="1:12" ht="15.5" x14ac:dyDescent="0.35">
      <c r="A1222" s="143" t="s">
        <v>910</v>
      </c>
      <c r="B1222" s="229">
        <v>2040</v>
      </c>
      <c r="C1222" s="514" t="s">
        <v>2098</v>
      </c>
      <c r="D1222" s="515">
        <v>2.607762447419262E-2</v>
      </c>
      <c r="E1222" s="516">
        <v>4.2796123825140494E-3</v>
      </c>
      <c r="F1222" s="145">
        <v>2.6598117465847677E-2</v>
      </c>
      <c r="G1222" s="145">
        <v>8.1014197202209693E-4</v>
      </c>
      <c r="H1222" s="517">
        <v>2.0000009999999999E-3</v>
      </c>
      <c r="I1222" s="517">
        <v>1.5750005000000001E-2</v>
      </c>
      <c r="J1222" s="148">
        <v>8.7985958202436878E-4</v>
      </c>
      <c r="K1222" s="518">
        <v>2.935488031248126E-5</v>
      </c>
      <c r="L1222" s="519">
        <v>3.0682179575587143E-5</v>
      </c>
    </row>
    <row r="1223" spans="1:12" ht="15.5" x14ac:dyDescent="0.35">
      <c r="A1223" s="143" t="s">
        <v>910</v>
      </c>
      <c r="B1223" s="229">
        <v>2041</v>
      </c>
      <c r="C1223" s="514" t="s">
        <v>2099</v>
      </c>
      <c r="D1223" s="515">
        <v>2.5908517905986597E-2</v>
      </c>
      <c r="E1223" s="516">
        <v>3.9034379951736779E-3</v>
      </c>
      <c r="F1223" s="145">
        <v>2.5383097154921267E-2</v>
      </c>
      <c r="G1223" s="145">
        <v>7.8166217235512965E-4</v>
      </c>
      <c r="H1223" s="517">
        <v>2.0000009999999999E-3</v>
      </c>
      <c r="I1223" s="517">
        <v>1.5750004999999997E-2</v>
      </c>
      <c r="J1223" s="148">
        <v>8.4893943454335892E-4</v>
      </c>
      <c r="K1223" s="518">
        <v>2.8074084604240513E-5</v>
      </c>
      <c r="L1223" s="519">
        <v>2.9343466684560046E-5</v>
      </c>
    </row>
    <row r="1224" spans="1:12" ht="15.5" x14ac:dyDescent="0.35">
      <c r="A1224" s="143" t="s">
        <v>910</v>
      </c>
      <c r="B1224" s="229">
        <v>2042</v>
      </c>
      <c r="C1224" s="514" t="s">
        <v>2100</v>
      </c>
      <c r="D1224" s="515">
        <v>2.5761994318423447E-2</v>
      </c>
      <c r="E1224" s="516">
        <v>3.5841560439187469E-3</v>
      </c>
      <c r="F1224" s="145">
        <v>2.4287329329421559E-2</v>
      </c>
      <c r="G1224" s="145">
        <v>7.564964804747217E-4</v>
      </c>
      <c r="H1224" s="517">
        <v>2.0000009999999999E-3</v>
      </c>
      <c r="I1224" s="517">
        <v>1.5750005000000001E-2</v>
      </c>
      <c r="J1224" s="148">
        <v>8.2162659111665432E-4</v>
      </c>
      <c r="K1224" s="518">
        <v>2.6718538326817978E-5</v>
      </c>
      <c r="L1224" s="519">
        <v>2.7926627227235523E-5</v>
      </c>
    </row>
    <row r="1225" spans="1:12" ht="15.5" x14ac:dyDescent="0.35">
      <c r="A1225" s="143" t="s">
        <v>910</v>
      </c>
      <c r="B1225" s="229">
        <v>2043</v>
      </c>
      <c r="C1225" s="514" t="s">
        <v>2101</v>
      </c>
      <c r="D1225" s="515">
        <v>2.5636808958859968E-2</v>
      </c>
      <c r="E1225" s="516">
        <v>3.337680962563623E-3</v>
      </c>
      <c r="F1225" s="145">
        <v>2.3434587452081553E-2</v>
      </c>
      <c r="G1225" s="145">
        <v>7.3484047905828529E-4</v>
      </c>
      <c r="H1225" s="517">
        <v>2.0000010000000004E-3</v>
      </c>
      <c r="I1225" s="517">
        <v>1.5750005000000004E-2</v>
      </c>
      <c r="J1225" s="148">
        <v>7.9811303565509046E-4</v>
      </c>
      <c r="K1225" s="518">
        <v>2.5790829455955311E-5</v>
      </c>
      <c r="L1225" s="519">
        <v>2.6956980835124577E-5</v>
      </c>
    </row>
    <row r="1226" spans="1:12" ht="15.5" x14ac:dyDescent="0.35">
      <c r="A1226" s="143" t="s">
        <v>910</v>
      </c>
      <c r="B1226" s="229">
        <v>2044</v>
      </c>
      <c r="C1226" s="514" t="s">
        <v>2102</v>
      </c>
      <c r="D1226" s="515">
        <v>2.5527776608023169E-2</v>
      </c>
      <c r="E1226" s="516">
        <v>3.1544480680940523E-3</v>
      </c>
      <c r="F1226" s="145">
        <v>2.276756169059211E-2</v>
      </c>
      <c r="G1226" s="145">
        <v>7.1612463761242732E-4</v>
      </c>
      <c r="H1226" s="517">
        <v>2.0000009999999999E-3</v>
      </c>
      <c r="I1226" s="517">
        <v>1.5750005000000001E-2</v>
      </c>
      <c r="J1226" s="148">
        <v>7.7779043971061123E-4</v>
      </c>
      <c r="K1226" s="518">
        <v>2.5023122004331074E-5</v>
      </c>
      <c r="L1226" s="519">
        <v>2.6154556424310027E-5</v>
      </c>
    </row>
    <row r="1227" spans="1:12" ht="15.5" x14ac:dyDescent="0.35">
      <c r="A1227" s="143" t="s">
        <v>910</v>
      </c>
      <c r="B1227" s="229">
        <v>2045</v>
      </c>
      <c r="C1227" s="514" t="s">
        <v>2103</v>
      </c>
      <c r="D1227" s="515">
        <v>2.5431716392364124E-2</v>
      </c>
      <c r="E1227" s="516">
        <v>3.0386542632602105E-3</v>
      </c>
      <c r="F1227" s="145">
        <v>2.2350579938739453E-2</v>
      </c>
      <c r="G1227" s="145">
        <v>7.0019236864362038E-4</v>
      </c>
      <c r="H1227" s="517">
        <v>2.0000010000000004E-3</v>
      </c>
      <c r="I1227" s="517">
        <v>1.5750005000000001E-2</v>
      </c>
      <c r="J1227" s="148">
        <v>7.6048620850242496E-4</v>
      </c>
      <c r="K1227" s="518">
        <v>2.4462003661493499E-5</v>
      </c>
      <c r="L1227" s="519">
        <v>2.5568063574579666E-5</v>
      </c>
    </row>
    <row r="1228" spans="1:12" ht="15.5" x14ac:dyDescent="0.35">
      <c r="A1228" s="143" t="s">
        <v>910</v>
      </c>
      <c r="B1228" s="229">
        <v>2046</v>
      </c>
      <c r="C1228" s="514" t="s">
        <v>2104</v>
      </c>
      <c r="D1228" s="515">
        <v>2.5348530724092693E-2</v>
      </c>
      <c r="E1228" s="516">
        <v>2.9292068383157443E-3</v>
      </c>
      <c r="F1228" s="145">
        <v>2.1964068815700948E-2</v>
      </c>
      <c r="G1228" s="145">
        <v>6.8609037201530765E-4</v>
      </c>
      <c r="H1228" s="517">
        <v>2.0000009999999999E-3</v>
      </c>
      <c r="I1228" s="517">
        <v>1.5750005000000001E-2</v>
      </c>
      <c r="J1228" s="148">
        <v>7.4517882901255553E-4</v>
      </c>
      <c r="K1228" s="518">
        <v>2.3767992065339286E-5</v>
      </c>
      <c r="L1228" s="519">
        <v>2.4842674349504416E-5</v>
      </c>
    </row>
    <row r="1229" spans="1:12" ht="15.5" x14ac:dyDescent="0.35">
      <c r="A1229" s="143" t="s">
        <v>910</v>
      </c>
      <c r="B1229" s="229">
        <v>2047</v>
      </c>
      <c r="C1229" s="514" t="s">
        <v>2105</v>
      </c>
      <c r="D1229" s="515">
        <v>2.5276851191059661E-2</v>
      </c>
      <c r="E1229" s="516">
        <v>2.8368877762735144E-3</v>
      </c>
      <c r="F1229" s="145">
        <v>2.1637577301548992E-2</v>
      </c>
      <c r="G1229" s="145">
        <v>6.7432387073215381E-4</v>
      </c>
      <c r="H1229" s="517">
        <v>2.0000009999999999E-3</v>
      </c>
      <c r="I1229" s="517">
        <v>1.5750005000000001E-2</v>
      </c>
      <c r="J1229" s="148">
        <v>7.3239931582447866E-4</v>
      </c>
      <c r="K1229" s="518">
        <v>2.3345649034345373E-5</v>
      </c>
      <c r="L1229" s="519">
        <v>2.4401228143214128E-5</v>
      </c>
    </row>
    <row r="1230" spans="1:12" ht="15.5" x14ac:dyDescent="0.35">
      <c r="A1230" s="143" t="s">
        <v>910</v>
      </c>
      <c r="B1230" s="229">
        <v>2048</v>
      </c>
      <c r="C1230" s="514" t="s">
        <v>2106</v>
      </c>
      <c r="D1230" s="515">
        <v>2.5215263240846955E-2</v>
      </c>
      <c r="E1230" s="516">
        <v>2.7602651996096236E-3</v>
      </c>
      <c r="F1230" s="145">
        <v>2.1353812972599726E-2</v>
      </c>
      <c r="G1230" s="145">
        <v>6.6401347426897888E-4</v>
      </c>
      <c r="H1230" s="517">
        <v>2.0000010000000004E-3</v>
      </c>
      <c r="I1230" s="517">
        <v>1.5750005000000001E-2</v>
      </c>
      <c r="J1230" s="148">
        <v>7.212143377698058E-4</v>
      </c>
      <c r="K1230" s="518">
        <v>2.2674060654798811E-5</v>
      </c>
      <c r="L1230" s="519">
        <v>2.369928767519233E-5</v>
      </c>
    </row>
    <row r="1231" spans="1:12" ht="15.5" x14ac:dyDescent="0.35">
      <c r="A1231" s="143" t="s">
        <v>910</v>
      </c>
      <c r="B1231" s="229">
        <v>2049</v>
      </c>
      <c r="C1231" s="514" t="s">
        <v>2107</v>
      </c>
      <c r="D1231" s="515">
        <v>2.5162118841573253E-2</v>
      </c>
      <c r="E1231" s="516">
        <v>2.7345016595066995E-3</v>
      </c>
      <c r="F1231" s="145">
        <v>2.1334373244807876E-2</v>
      </c>
      <c r="G1231" s="145">
        <v>6.5806284429856764E-4</v>
      </c>
      <c r="H1231" s="517">
        <v>2.0000009999999999E-3</v>
      </c>
      <c r="I1231" s="517">
        <v>1.5750005000000001E-2</v>
      </c>
      <c r="J1231" s="148">
        <v>7.1475639407378628E-4</v>
      </c>
      <c r="K1231" s="518">
        <v>2.2336744574582428E-5</v>
      </c>
      <c r="L1231" s="519">
        <v>2.3346718384746814E-5</v>
      </c>
    </row>
    <row r="1232" spans="1:12" ht="15.5" x14ac:dyDescent="0.35">
      <c r="A1232" s="143" t="s">
        <v>910</v>
      </c>
      <c r="B1232" s="229">
        <v>2050</v>
      </c>
      <c r="C1232" s="514" t="s">
        <v>2108</v>
      </c>
      <c r="D1232" s="515">
        <v>2.5116166641311451E-2</v>
      </c>
      <c r="E1232" s="516">
        <v>2.7125412173091053E-3</v>
      </c>
      <c r="F1232" s="145">
        <v>2.1318345251057587E-2</v>
      </c>
      <c r="G1232" s="145">
        <v>6.5314018461994387E-4</v>
      </c>
      <c r="H1232" s="517">
        <v>2.0000009999999995E-3</v>
      </c>
      <c r="I1232" s="517">
        <v>1.5750005000000001E-2</v>
      </c>
      <c r="J1232" s="148">
        <v>7.0941703145042858E-4</v>
      </c>
      <c r="K1232" s="518">
        <v>2.2004683599942306E-5</v>
      </c>
      <c r="L1232" s="519">
        <v>2.299964140354893E-5</v>
      </c>
    </row>
    <row r="1233" spans="1:12" ht="15.5" x14ac:dyDescent="0.35">
      <c r="A1233" s="143" t="s">
        <v>913</v>
      </c>
      <c r="B1233" s="229">
        <v>2015</v>
      </c>
      <c r="C1233" s="514" t="s">
        <v>914</v>
      </c>
      <c r="D1233" s="515">
        <v>4.2766053783953518E-2</v>
      </c>
      <c r="E1233" s="516">
        <v>4.4100768237014511E-2</v>
      </c>
      <c r="F1233" s="145">
        <v>0.17143861298895169</v>
      </c>
      <c r="G1233" s="145">
        <v>1.6048158218603529E-3</v>
      </c>
      <c r="H1233" s="517">
        <v>2.0000009999999999E-3</v>
      </c>
      <c r="I1233" s="517">
        <v>1.5750005000000004E-2</v>
      </c>
      <c r="J1233" s="148">
        <v>1.7372532731392202E-3</v>
      </c>
      <c r="K1233" s="518">
        <v>1.1206847422658291E-4</v>
      </c>
      <c r="L1233" s="519">
        <v>1.1713571665827489E-4</v>
      </c>
    </row>
    <row r="1234" spans="1:12" ht="15.5" x14ac:dyDescent="0.35">
      <c r="A1234" s="143" t="s">
        <v>913</v>
      </c>
      <c r="B1234" s="229">
        <v>2016</v>
      </c>
      <c r="C1234" s="514" t="s">
        <v>915</v>
      </c>
      <c r="D1234" s="515">
        <v>4.1930314831698644E-2</v>
      </c>
      <c r="E1234" s="516">
        <v>3.6694989310677543E-2</v>
      </c>
      <c r="F1234" s="145">
        <v>0.14670374739326955</v>
      </c>
      <c r="G1234" s="145">
        <v>1.5430491758289338E-3</v>
      </c>
      <c r="H1234" s="517">
        <v>2.0000009999999999E-3</v>
      </c>
      <c r="I1234" s="517">
        <v>1.5750005000000001E-2</v>
      </c>
      <c r="J1234" s="148">
        <v>1.6716802803437702E-3</v>
      </c>
      <c r="K1234" s="518">
        <v>9.7833021073997511E-5</v>
      </c>
      <c r="L1234" s="519">
        <v>1.0225659572066513E-4</v>
      </c>
    </row>
    <row r="1235" spans="1:12" ht="15.5" x14ac:dyDescent="0.35">
      <c r="A1235" s="143" t="s">
        <v>913</v>
      </c>
      <c r="B1235" s="229">
        <v>2017</v>
      </c>
      <c r="C1235" s="514" t="s">
        <v>2109</v>
      </c>
      <c r="D1235" s="515">
        <v>4.0879477167176229E-2</v>
      </c>
      <c r="E1235" s="516">
        <v>3.0349392084192132E-2</v>
      </c>
      <c r="F1235" s="145">
        <v>0.12513402626789277</v>
      </c>
      <c r="G1235" s="145">
        <v>1.5181910142801072E-3</v>
      </c>
      <c r="H1235" s="517">
        <v>2.0000009999999999E-3</v>
      </c>
      <c r="I1235" s="517">
        <v>1.5750005000000004E-2</v>
      </c>
      <c r="J1235" s="148">
        <v>1.6458297817280065E-3</v>
      </c>
      <c r="K1235" s="518">
        <v>8.9658204885771544E-5</v>
      </c>
      <c r="L1235" s="519">
        <v>9.3712152607089292E-5</v>
      </c>
    </row>
    <row r="1236" spans="1:12" ht="15.5" x14ac:dyDescent="0.35">
      <c r="A1236" s="143" t="s">
        <v>913</v>
      </c>
      <c r="B1236" s="229">
        <v>2018</v>
      </c>
      <c r="C1236" s="514" t="s">
        <v>2110</v>
      </c>
      <c r="D1236" s="515">
        <v>3.9789468713426139E-2</v>
      </c>
      <c r="E1236" s="516">
        <v>2.5018883986363861E-2</v>
      </c>
      <c r="F1236" s="145">
        <v>0.10675931664438738</v>
      </c>
      <c r="G1236" s="145">
        <v>1.517384248965204E-3</v>
      </c>
      <c r="H1236" s="517">
        <v>2.0000009999999995E-3</v>
      </c>
      <c r="I1236" s="517">
        <v>1.5750005000000001E-2</v>
      </c>
      <c r="J1236" s="148">
        <v>1.6458738502897767E-3</v>
      </c>
      <c r="K1236" s="518">
        <v>8.3444514380383756E-5</v>
      </c>
      <c r="L1236" s="519">
        <v>8.7217507197942989E-5</v>
      </c>
    </row>
    <row r="1237" spans="1:12" ht="15.5" x14ac:dyDescent="0.35">
      <c r="A1237" s="143" t="s">
        <v>913</v>
      </c>
      <c r="B1237" s="229">
        <v>2019</v>
      </c>
      <c r="C1237" s="514" t="s">
        <v>2111</v>
      </c>
      <c r="D1237" s="515">
        <v>3.8670100590269527E-2</v>
      </c>
      <c r="E1237" s="516">
        <v>2.0755307463466866E-2</v>
      </c>
      <c r="F1237" s="145">
        <v>9.1436498949387338E-2</v>
      </c>
      <c r="G1237" s="145">
        <v>1.522483987338541E-3</v>
      </c>
      <c r="H1237" s="517">
        <v>2.0000010000000004E-3</v>
      </c>
      <c r="I1237" s="517">
        <v>1.5750005000000001E-2</v>
      </c>
      <c r="J1237" s="148">
        <v>1.6521180434678484E-3</v>
      </c>
      <c r="K1237" s="518">
        <v>7.7758189377316573E-5</v>
      </c>
      <c r="L1237" s="519">
        <v>8.1274067044791005E-5</v>
      </c>
    </row>
    <row r="1238" spans="1:12" ht="15.5" x14ac:dyDescent="0.35">
      <c r="A1238" s="143" t="s">
        <v>913</v>
      </c>
      <c r="B1238" s="229">
        <v>2020</v>
      </c>
      <c r="C1238" s="514" t="s">
        <v>2112</v>
      </c>
      <c r="D1238" s="515">
        <v>3.7534339079016134E-2</v>
      </c>
      <c r="E1238" s="516">
        <v>1.7610301842053245E-2</v>
      </c>
      <c r="F1238" s="145">
        <v>7.8890869826662172E-2</v>
      </c>
      <c r="G1238" s="145">
        <v>1.4905602303783775E-3</v>
      </c>
      <c r="H1238" s="517">
        <v>2.0000009999999999E-3</v>
      </c>
      <c r="I1238" s="517">
        <v>1.5750005000000001E-2</v>
      </c>
      <c r="J1238" s="148">
        <v>1.617749522736188E-3</v>
      </c>
      <c r="K1238" s="518">
        <v>7.315761085972495E-5</v>
      </c>
      <c r="L1238" s="519">
        <v>7.646547498734734E-5</v>
      </c>
    </row>
    <row r="1239" spans="1:12" ht="15.5" x14ac:dyDescent="0.35">
      <c r="A1239" s="143" t="s">
        <v>913</v>
      </c>
      <c r="B1239" s="229">
        <v>2021</v>
      </c>
      <c r="C1239" s="514" t="s">
        <v>2113</v>
      </c>
      <c r="D1239" s="515">
        <v>3.6386463879793447E-2</v>
      </c>
      <c r="E1239" s="516">
        <v>1.5142235904636448E-2</v>
      </c>
      <c r="F1239" s="145">
        <v>6.8381276852950021E-2</v>
      </c>
      <c r="G1239" s="145">
        <v>1.4197347758638562E-3</v>
      </c>
      <c r="H1239" s="517">
        <v>2.0000009999999999E-3</v>
      </c>
      <c r="I1239" s="517">
        <v>1.5750004999999997E-2</v>
      </c>
      <c r="J1239" s="148">
        <v>1.5410367141598937E-3</v>
      </c>
      <c r="K1239" s="518">
        <v>6.7839657555246376E-5</v>
      </c>
      <c r="L1239" s="519">
        <v>7.0907063168035097E-5</v>
      </c>
    </row>
    <row r="1240" spans="1:12" ht="15.5" x14ac:dyDescent="0.35">
      <c r="A1240" s="143" t="s">
        <v>913</v>
      </c>
      <c r="B1240" s="229">
        <v>2022</v>
      </c>
      <c r="C1240" s="514" t="s">
        <v>2114</v>
      </c>
      <c r="D1240" s="515">
        <v>3.5257780439273051E-2</v>
      </c>
      <c r="E1240" s="516">
        <v>1.2856383833041317E-2</v>
      </c>
      <c r="F1240" s="145">
        <v>5.9373634688536361E-2</v>
      </c>
      <c r="G1240" s="145">
        <v>1.3453891591922271E-3</v>
      </c>
      <c r="H1240" s="517">
        <v>2.0000010000000004E-3</v>
      </c>
      <c r="I1240" s="517">
        <v>1.5750005000000001E-2</v>
      </c>
      <c r="J1240" s="148">
        <v>1.4605230218691962E-3</v>
      </c>
      <c r="K1240" s="518">
        <v>6.2751770707420229E-5</v>
      </c>
      <c r="L1240" s="519">
        <v>6.5589128748614727E-5</v>
      </c>
    </row>
    <row r="1241" spans="1:12" ht="15.5" x14ac:dyDescent="0.35">
      <c r="A1241" s="143" t="s">
        <v>913</v>
      </c>
      <c r="B1241" s="229">
        <v>2023</v>
      </c>
      <c r="C1241" s="514" t="s">
        <v>2115</v>
      </c>
      <c r="D1241" s="515">
        <v>3.4139241887284628E-2</v>
      </c>
      <c r="E1241" s="516">
        <v>1.1191548761160897E-2</v>
      </c>
      <c r="F1241" s="145">
        <v>5.2121348014019728E-2</v>
      </c>
      <c r="G1241" s="145">
        <v>1.2786485209734129E-3</v>
      </c>
      <c r="H1241" s="517">
        <v>2.0000010000000004E-3</v>
      </c>
      <c r="I1241" s="517">
        <v>1.5750005000000001E-2</v>
      </c>
      <c r="J1241" s="148">
        <v>1.3881782024556082E-3</v>
      </c>
      <c r="K1241" s="518">
        <v>5.7602377679441786E-5</v>
      </c>
      <c r="L1241" s="519">
        <v>6.020690358601518E-5</v>
      </c>
    </row>
    <row r="1242" spans="1:12" ht="15.5" x14ac:dyDescent="0.35">
      <c r="A1242" s="143" t="s">
        <v>913</v>
      </c>
      <c r="B1242" s="229">
        <v>2024</v>
      </c>
      <c r="C1242" s="514" t="s">
        <v>2116</v>
      </c>
      <c r="D1242" s="515">
        <v>3.3039139369314109E-2</v>
      </c>
      <c r="E1242" s="516">
        <v>9.9107359494055216E-3</v>
      </c>
      <c r="F1242" s="145">
        <v>4.6175957109843964E-2</v>
      </c>
      <c r="G1242" s="145">
        <v>1.2336074885272183E-3</v>
      </c>
      <c r="H1242" s="517">
        <v>2.0000009999999999E-3</v>
      </c>
      <c r="I1242" s="517">
        <v>1.5750005000000004E-2</v>
      </c>
      <c r="J1242" s="148">
        <v>1.3394647033206678E-3</v>
      </c>
      <c r="K1242" s="518">
        <v>5.1653596690419434E-5</v>
      </c>
      <c r="L1242" s="519">
        <v>5.3989137124750954E-5</v>
      </c>
    </row>
    <row r="1243" spans="1:12" ht="15.5" x14ac:dyDescent="0.35">
      <c r="A1243" s="143" t="s">
        <v>913</v>
      </c>
      <c r="B1243" s="229">
        <v>2025</v>
      </c>
      <c r="C1243" s="514" t="s">
        <v>2117</v>
      </c>
      <c r="D1243" s="515">
        <v>3.1955256354807386E-2</v>
      </c>
      <c r="E1243" s="516">
        <v>8.7356520267637076E-3</v>
      </c>
      <c r="F1243" s="145">
        <v>4.1295162183243174E-2</v>
      </c>
      <c r="G1243" s="145">
        <v>1.1832956804114371E-3</v>
      </c>
      <c r="H1243" s="517">
        <v>2.0000009999999995E-3</v>
      </c>
      <c r="I1243" s="517">
        <v>1.5750004999999997E-2</v>
      </c>
      <c r="J1243" s="148">
        <v>1.2849382124260767E-3</v>
      </c>
      <c r="K1243" s="518">
        <v>4.7249625951493845E-5</v>
      </c>
      <c r="L1243" s="519">
        <v>4.9386040230497798E-5</v>
      </c>
    </row>
    <row r="1244" spans="1:12" ht="15.5" x14ac:dyDescent="0.35">
      <c r="A1244" s="143" t="s">
        <v>913</v>
      </c>
      <c r="B1244" s="229">
        <v>2026</v>
      </c>
      <c r="C1244" s="514" t="s">
        <v>2118</v>
      </c>
      <c r="D1244" s="515">
        <v>3.0966193509538831E-2</v>
      </c>
      <c r="E1244" s="516">
        <v>7.7555290754777089E-3</v>
      </c>
      <c r="F1244" s="145">
        <v>3.7331415625703947E-2</v>
      </c>
      <c r="G1244" s="145">
        <v>1.1299172949032783E-3</v>
      </c>
      <c r="H1244" s="517">
        <v>2.0000009999999999E-3</v>
      </c>
      <c r="I1244" s="517">
        <v>1.5750004999999997E-2</v>
      </c>
      <c r="J1244" s="148">
        <v>1.2270945871789582E-3</v>
      </c>
      <c r="K1244" s="518">
        <v>4.2321906551552926E-5</v>
      </c>
      <c r="L1244" s="519">
        <v>4.4235515832305709E-5</v>
      </c>
    </row>
    <row r="1245" spans="1:12" ht="15.5" x14ac:dyDescent="0.35">
      <c r="A1245" s="143" t="s">
        <v>913</v>
      </c>
      <c r="B1245" s="229">
        <v>2027</v>
      </c>
      <c r="C1245" s="514" t="s">
        <v>2119</v>
      </c>
      <c r="D1245" s="515">
        <v>3.0061651573565801E-2</v>
      </c>
      <c r="E1245" s="516">
        <v>6.9221003260555962E-3</v>
      </c>
      <c r="F1245" s="145">
        <v>3.4018459116845541E-2</v>
      </c>
      <c r="G1245" s="145">
        <v>1.0689301201194739E-3</v>
      </c>
      <c r="H1245" s="517">
        <v>2.0000009999999999E-3</v>
      </c>
      <c r="I1245" s="517">
        <v>1.5750005000000001E-2</v>
      </c>
      <c r="J1245" s="148">
        <v>1.1609730670626968E-3</v>
      </c>
      <c r="K1245" s="518">
        <v>3.7423405774710467E-5</v>
      </c>
      <c r="L1245" s="519">
        <v>3.9115529964565309E-5</v>
      </c>
    </row>
    <row r="1246" spans="1:12" ht="15.5" x14ac:dyDescent="0.35">
      <c r="A1246" s="143" t="s">
        <v>913</v>
      </c>
      <c r="B1246" s="229">
        <v>2028</v>
      </c>
      <c r="C1246" s="514" t="s">
        <v>2120</v>
      </c>
      <c r="D1246" s="515">
        <v>2.924541285756399E-2</v>
      </c>
      <c r="E1246" s="516">
        <v>6.229475372358486E-3</v>
      </c>
      <c r="F1246" s="145">
        <v>3.1292116210461275E-2</v>
      </c>
      <c r="G1246" s="145">
        <v>1.0023611407709422E-3</v>
      </c>
      <c r="H1246" s="517">
        <v>2.0000009999999999E-3</v>
      </c>
      <c r="I1246" s="517">
        <v>1.5750005000000001E-2</v>
      </c>
      <c r="J1246" s="148">
        <v>1.0887442692773508E-3</v>
      </c>
      <c r="K1246" s="518">
        <v>3.3402868001517426E-5</v>
      </c>
      <c r="L1246" s="519">
        <v>3.4913192976746917E-5</v>
      </c>
    </row>
    <row r="1247" spans="1:12" ht="15.5" x14ac:dyDescent="0.35">
      <c r="A1247" s="143" t="s">
        <v>913</v>
      </c>
      <c r="B1247" s="229">
        <v>2029</v>
      </c>
      <c r="C1247" s="514" t="s">
        <v>2121</v>
      </c>
      <c r="D1247" s="515">
        <v>2.8512895790003049E-2</v>
      </c>
      <c r="E1247" s="516">
        <v>5.6241206965250371E-3</v>
      </c>
      <c r="F1247" s="145">
        <v>2.898037506421812E-2</v>
      </c>
      <c r="G1247" s="145">
        <v>9.3937056804568072E-4</v>
      </c>
      <c r="H1247" s="517">
        <v>2.0000009999999999E-3</v>
      </c>
      <c r="I1247" s="517">
        <v>1.5750005000000001E-2</v>
      </c>
      <c r="J1247" s="148">
        <v>1.0203615297526619E-3</v>
      </c>
      <c r="K1247" s="518">
        <v>3.043710983309535E-5</v>
      </c>
      <c r="L1247" s="519">
        <v>3.1813340340607823E-5</v>
      </c>
    </row>
    <row r="1248" spans="1:12" ht="15.5" x14ac:dyDescent="0.35">
      <c r="A1248" s="143" t="s">
        <v>913</v>
      </c>
      <c r="B1248" s="229">
        <v>2030</v>
      </c>
      <c r="C1248" s="514" t="s">
        <v>2122</v>
      </c>
      <c r="D1248" s="515">
        <v>2.7860297800954184E-2</v>
      </c>
      <c r="E1248" s="516">
        <v>5.1152766895478452E-3</v>
      </c>
      <c r="F1248" s="145">
        <v>2.7070041491551403E-2</v>
      </c>
      <c r="G1248" s="145">
        <v>8.8086711189684001E-4</v>
      </c>
      <c r="H1248" s="517">
        <v>2.0000009999999999E-3</v>
      </c>
      <c r="I1248" s="517">
        <v>1.5750005000000001E-2</v>
      </c>
      <c r="J1248" s="148">
        <v>9.5684482030836712E-4</v>
      </c>
      <c r="K1248" s="518">
        <v>2.7811626795539318E-5</v>
      </c>
      <c r="L1248" s="519">
        <v>2.9069142386269156E-5</v>
      </c>
    </row>
    <row r="1249" spans="1:12" ht="15.5" x14ac:dyDescent="0.35">
      <c r="A1249" s="143" t="s">
        <v>913</v>
      </c>
      <c r="B1249" s="229">
        <v>2031</v>
      </c>
      <c r="C1249" s="514" t="s">
        <v>2123</v>
      </c>
      <c r="D1249" s="515">
        <v>2.7281368352087287E-2</v>
      </c>
      <c r="E1249" s="516">
        <v>4.7514577824592993E-3</v>
      </c>
      <c r="F1249" s="145">
        <v>2.5512071058986698E-2</v>
      </c>
      <c r="G1249" s="145">
        <v>8.398864011672848E-4</v>
      </c>
      <c r="H1249" s="517">
        <v>2.0000009999999995E-3</v>
      </c>
      <c r="I1249" s="517">
        <v>1.5750005000000001E-2</v>
      </c>
      <c r="J1249" s="148">
        <v>9.1233005408449517E-4</v>
      </c>
      <c r="K1249" s="518">
        <v>2.6502169557424475E-5</v>
      </c>
      <c r="L1249" s="519">
        <v>2.7700482812310787E-5</v>
      </c>
    </row>
    <row r="1250" spans="1:12" ht="15.5" x14ac:dyDescent="0.35">
      <c r="A1250" s="143" t="s">
        <v>913</v>
      </c>
      <c r="B1250" s="229">
        <v>2032</v>
      </c>
      <c r="C1250" s="514" t="s">
        <v>2124</v>
      </c>
      <c r="D1250" s="515">
        <v>2.6769754039953089E-2</v>
      </c>
      <c r="E1250" s="516">
        <v>4.358150306807921E-3</v>
      </c>
      <c r="F1250" s="145">
        <v>2.4146458540550045E-2</v>
      </c>
      <c r="G1250" s="145">
        <v>7.8970353999682221E-4</v>
      </c>
      <c r="H1250" s="517">
        <v>2.0000009999999999E-3</v>
      </c>
      <c r="I1250" s="517">
        <v>1.5750005000000001E-2</v>
      </c>
      <c r="J1250" s="148">
        <v>8.5782387041810236E-4</v>
      </c>
      <c r="K1250" s="518">
        <v>2.4799315356732384E-5</v>
      </c>
      <c r="L1250" s="519">
        <v>2.5920637804707055E-5</v>
      </c>
    </row>
    <row r="1251" spans="1:12" ht="15.5" x14ac:dyDescent="0.35">
      <c r="A1251" s="143" t="s">
        <v>913</v>
      </c>
      <c r="B1251" s="229">
        <v>2033</v>
      </c>
      <c r="C1251" s="514" t="s">
        <v>2125</v>
      </c>
      <c r="D1251" s="515">
        <v>2.6320424871346403E-2</v>
      </c>
      <c r="E1251" s="516">
        <v>4.0113290274493216E-3</v>
      </c>
      <c r="F1251" s="145">
        <v>2.2988771630268256E-2</v>
      </c>
      <c r="G1251" s="145">
        <v>7.4398915583756922E-4</v>
      </c>
      <c r="H1251" s="517">
        <v>2.0000009999999999E-3</v>
      </c>
      <c r="I1251" s="517">
        <v>1.5750005000000001E-2</v>
      </c>
      <c r="J1251" s="148">
        <v>8.0815352528447622E-4</v>
      </c>
      <c r="K1251" s="518">
        <v>2.3652869254490616E-5</v>
      </c>
      <c r="L1251" s="519">
        <v>2.4722349094841838E-5</v>
      </c>
    </row>
    <row r="1252" spans="1:12" ht="15.5" x14ac:dyDescent="0.35">
      <c r="A1252" s="143" t="s">
        <v>913</v>
      </c>
      <c r="B1252" s="229">
        <v>2034</v>
      </c>
      <c r="C1252" s="514" t="s">
        <v>2126</v>
      </c>
      <c r="D1252" s="515">
        <v>2.5926873686305064E-2</v>
      </c>
      <c r="E1252" s="516">
        <v>3.6985672715188693E-3</v>
      </c>
      <c r="F1252" s="145">
        <v>2.1996392356484994E-2</v>
      </c>
      <c r="G1252" s="145">
        <v>7.0190825612320424E-4</v>
      </c>
      <c r="H1252" s="517">
        <v>2.0000009999999999E-3</v>
      </c>
      <c r="I1252" s="517">
        <v>1.5750005000000001E-2</v>
      </c>
      <c r="J1252" s="148">
        <v>7.6243258755398968E-4</v>
      </c>
      <c r="K1252" s="518">
        <v>2.2580270090438344E-5</v>
      </c>
      <c r="L1252" s="519">
        <v>2.3601252774750861E-5</v>
      </c>
    </row>
    <row r="1253" spans="1:12" ht="15.5" x14ac:dyDescent="0.35">
      <c r="A1253" s="143" t="s">
        <v>913</v>
      </c>
      <c r="B1253" s="229">
        <v>2035</v>
      </c>
      <c r="C1253" s="514" t="s">
        <v>2127</v>
      </c>
      <c r="D1253" s="515">
        <v>2.5585164832253003E-2</v>
      </c>
      <c r="E1253" s="516">
        <v>3.422879236353117E-3</v>
      </c>
      <c r="F1253" s="145">
        <v>2.117099312944588E-2</v>
      </c>
      <c r="G1253" s="145">
        <v>6.6368668067024784E-4</v>
      </c>
      <c r="H1253" s="517">
        <v>2.0000009999999999E-3</v>
      </c>
      <c r="I1253" s="517">
        <v>1.5750005000000001E-2</v>
      </c>
      <c r="J1253" s="148">
        <v>7.2090468213002789E-4</v>
      </c>
      <c r="K1253" s="518">
        <v>2.159510834823197E-5</v>
      </c>
      <c r="L1253" s="519">
        <v>2.2571538846335087E-5</v>
      </c>
    </row>
    <row r="1254" spans="1:12" ht="15.5" x14ac:dyDescent="0.35">
      <c r="A1254" s="143" t="s">
        <v>913</v>
      </c>
      <c r="B1254" s="229">
        <v>2036</v>
      </c>
      <c r="C1254" s="514" t="s">
        <v>2128</v>
      </c>
      <c r="D1254" s="515">
        <v>2.5290911864450639E-2</v>
      </c>
      <c r="E1254" s="516">
        <v>3.1816419127314918E-3</v>
      </c>
      <c r="F1254" s="145">
        <v>2.047819836097288E-2</v>
      </c>
      <c r="G1254" s="145">
        <v>6.3043814251086865E-4</v>
      </c>
      <c r="H1254" s="517">
        <v>2.0000009999999995E-3</v>
      </c>
      <c r="I1254" s="517">
        <v>1.5750005000000001E-2</v>
      </c>
      <c r="J1254" s="148">
        <v>6.8478190970671759E-4</v>
      </c>
      <c r="K1254" s="518">
        <v>2.0703775535695076E-5</v>
      </c>
      <c r="L1254" s="519">
        <v>2.1639903936723878E-5</v>
      </c>
    </row>
    <row r="1255" spans="1:12" ht="15.5" x14ac:dyDescent="0.35">
      <c r="A1255" s="143" t="s">
        <v>913</v>
      </c>
      <c r="B1255" s="229">
        <v>2037</v>
      </c>
      <c r="C1255" s="514" t="s">
        <v>2129</v>
      </c>
      <c r="D1255" s="515">
        <v>2.5040205516384122E-2</v>
      </c>
      <c r="E1255" s="516">
        <v>2.9742385027171116E-3</v>
      </c>
      <c r="F1255" s="145">
        <v>1.990709249139859E-2</v>
      </c>
      <c r="G1255" s="145">
        <v>6.0083200645980809E-4</v>
      </c>
      <c r="H1255" s="517">
        <v>2.0000009999999995E-3</v>
      </c>
      <c r="I1255" s="517">
        <v>1.5750005000000001E-2</v>
      </c>
      <c r="J1255" s="148">
        <v>6.5261696226040164E-4</v>
      </c>
      <c r="K1255" s="518">
        <v>1.9881047102461679E-5</v>
      </c>
      <c r="L1255" s="519">
        <v>2.0779984874391611E-5</v>
      </c>
    </row>
    <row r="1256" spans="1:12" ht="15.5" x14ac:dyDescent="0.35">
      <c r="A1256" s="143" t="s">
        <v>913</v>
      </c>
      <c r="B1256" s="229">
        <v>2038</v>
      </c>
      <c r="C1256" s="514" t="s">
        <v>2130</v>
      </c>
      <c r="D1256" s="515">
        <v>2.4828341706045084E-2</v>
      </c>
      <c r="E1256" s="516">
        <v>2.7840161470026985E-3</v>
      </c>
      <c r="F1256" s="145">
        <v>1.9383261681947768E-2</v>
      </c>
      <c r="G1256" s="145">
        <v>5.7457634713904639E-4</v>
      </c>
      <c r="H1256" s="517">
        <v>2.0000009999999995E-3</v>
      </c>
      <c r="I1256" s="517">
        <v>1.5750004999999997E-2</v>
      </c>
      <c r="J1256" s="148">
        <v>6.2408949361885205E-4</v>
      </c>
      <c r="K1256" s="518">
        <v>1.922622227308192E-5</v>
      </c>
      <c r="L1256" s="519">
        <v>2.0095544518616757E-5</v>
      </c>
    </row>
    <row r="1257" spans="1:12" ht="15.5" x14ac:dyDescent="0.35">
      <c r="A1257" s="143" t="s">
        <v>913</v>
      </c>
      <c r="B1257" s="229">
        <v>2039</v>
      </c>
      <c r="C1257" s="514" t="s">
        <v>2131</v>
      </c>
      <c r="D1257" s="515">
        <v>2.4650409103865858E-2</v>
      </c>
      <c r="E1257" s="516">
        <v>2.6058497419044796E-3</v>
      </c>
      <c r="F1257" s="145">
        <v>1.8896106666948895E-2</v>
      </c>
      <c r="G1257" s="145">
        <v>5.5143190605583844E-4</v>
      </c>
      <c r="H1257" s="517">
        <v>2.0000009999999999E-3</v>
      </c>
      <c r="I1257" s="517">
        <v>1.5750005000000001E-2</v>
      </c>
      <c r="J1257" s="148">
        <v>5.9894133787065569E-4</v>
      </c>
      <c r="K1257" s="518">
        <v>1.8669485292483469E-5</v>
      </c>
      <c r="L1257" s="519">
        <v>1.9513634077447718E-5</v>
      </c>
    </row>
    <row r="1258" spans="1:12" ht="15.5" x14ac:dyDescent="0.35">
      <c r="A1258" s="143" t="s">
        <v>913</v>
      </c>
      <c r="B1258" s="229">
        <v>2040</v>
      </c>
      <c r="C1258" s="514" t="s">
        <v>2132</v>
      </c>
      <c r="D1258" s="515">
        <v>2.4500598222676893E-2</v>
      </c>
      <c r="E1258" s="516">
        <v>2.4463991224754097E-3</v>
      </c>
      <c r="F1258" s="145">
        <v>1.8486706078222934E-2</v>
      </c>
      <c r="G1258" s="145">
        <v>5.3127481653660643E-4</v>
      </c>
      <c r="H1258" s="517">
        <v>2.0000009999999999E-3</v>
      </c>
      <c r="I1258" s="517">
        <v>1.5750005000000001E-2</v>
      </c>
      <c r="J1258" s="148">
        <v>5.7703950184663044E-4</v>
      </c>
      <c r="K1258" s="518">
        <v>1.8191760239675797E-5</v>
      </c>
      <c r="L1258" s="519">
        <v>1.9014306810814467E-5</v>
      </c>
    </row>
    <row r="1259" spans="1:12" ht="15.5" x14ac:dyDescent="0.35">
      <c r="A1259" s="143" t="s">
        <v>913</v>
      </c>
      <c r="B1259" s="229">
        <v>2041</v>
      </c>
      <c r="C1259" s="514" t="s">
        <v>2133</v>
      </c>
      <c r="D1259" s="515">
        <v>2.4378240617827472E-2</v>
      </c>
      <c r="E1259" s="516">
        <v>2.3206145367653313E-3</v>
      </c>
      <c r="F1259" s="145">
        <v>1.8161208726967901E-2</v>
      </c>
      <c r="G1259" s="145">
        <v>5.1545342437210649E-4</v>
      </c>
      <c r="H1259" s="517">
        <v>2.0000009999999999E-3</v>
      </c>
      <c r="I1259" s="517">
        <v>1.5750005000000001E-2</v>
      </c>
      <c r="J1259" s="148">
        <v>5.5984833428308932E-4</v>
      </c>
      <c r="K1259" s="518">
        <v>1.7797295444553116E-5</v>
      </c>
      <c r="L1259" s="519">
        <v>1.8602006369369021E-5</v>
      </c>
    </row>
    <row r="1260" spans="1:12" ht="15.5" x14ac:dyDescent="0.35">
      <c r="A1260" s="143" t="s">
        <v>913</v>
      </c>
      <c r="B1260" s="229">
        <v>2042</v>
      </c>
      <c r="C1260" s="514" t="s">
        <v>2134</v>
      </c>
      <c r="D1260" s="515">
        <v>2.4277597773112912E-2</v>
      </c>
      <c r="E1260" s="516">
        <v>2.2109842494725334E-3</v>
      </c>
      <c r="F1260" s="145">
        <v>1.7857783361421201E-2</v>
      </c>
      <c r="G1260" s="145">
        <v>5.0199742108503068E-4</v>
      </c>
      <c r="H1260" s="517">
        <v>2.0000009999999999E-3</v>
      </c>
      <c r="I1260" s="517">
        <v>1.5750005000000001E-2</v>
      </c>
      <c r="J1260" s="148">
        <v>5.4522707294913297E-4</v>
      </c>
      <c r="K1260" s="518">
        <v>1.747716954739112E-5</v>
      </c>
      <c r="L1260" s="519">
        <v>1.8267408623644547E-5</v>
      </c>
    </row>
    <row r="1261" spans="1:12" ht="15.5" x14ac:dyDescent="0.35">
      <c r="A1261" s="143" t="s">
        <v>913</v>
      </c>
      <c r="B1261" s="229">
        <v>2043</v>
      </c>
      <c r="C1261" s="514" t="s">
        <v>2135</v>
      </c>
      <c r="D1261" s="515">
        <v>2.4194924909471741E-2</v>
      </c>
      <c r="E1261" s="516">
        <v>2.1259869407868185E-3</v>
      </c>
      <c r="F1261" s="145">
        <v>1.7623226878344209E-2</v>
      </c>
      <c r="G1261" s="145">
        <v>4.9062032555894513E-4</v>
      </c>
      <c r="H1261" s="517">
        <v>2.0000009999999999E-3</v>
      </c>
      <c r="I1261" s="517">
        <v>1.5750005000000001E-2</v>
      </c>
      <c r="J1261" s="148">
        <v>5.328643404055633E-4</v>
      </c>
      <c r="K1261" s="518">
        <v>1.722047920089954E-5</v>
      </c>
      <c r="L1261" s="519">
        <v>1.7999110707119068E-5</v>
      </c>
    </row>
    <row r="1262" spans="1:12" ht="15.5" x14ac:dyDescent="0.35">
      <c r="A1262" s="143" t="s">
        <v>913</v>
      </c>
      <c r="B1262" s="229">
        <v>2044</v>
      </c>
      <c r="C1262" s="514" t="s">
        <v>2136</v>
      </c>
      <c r="D1262" s="515">
        <v>2.4126888706405069E-2</v>
      </c>
      <c r="E1262" s="516">
        <v>2.0623555666533415E-3</v>
      </c>
      <c r="F1262" s="145">
        <v>1.7435233348394672E-2</v>
      </c>
      <c r="G1262" s="145">
        <v>4.8101997045224868E-4</v>
      </c>
      <c r="H1262" s="517">
        <v>2.0000009999999999E-3</v>
      </c>
      <c r="I1262" s="517">
        <v>1.5750005000000004E-2</v>
      </c>
      <c r="J1262" s="148">
        <v>5.2243133464432599E-4</v>
      </c>
      <c r="K1262" s="518">
        <v>1.701981564691397E-5</v>
      </c>
      <c r="L1262" s="519">
        <v>1.7789376945589297E-5</v>
      </c>
    </row>
    <row r="1263" spans="1:12" ht="15.5" x14ac:dyDescent="0.35">
      <c r="A1263" s="143" t="s">
        <v>913</v>
      </c>
      <c r="B1263" s="229">
        <v>2045</v>
      </c>
      <c r="C1263" s="514" t="s">
        <v>2137</v>
      </c>
      <c r="D1263" s="515">
        <v>2.4069257876353715E-2</v>
      </c>
      <c r="E1263" s="516">
        <v>2.0192095656414574E-3</v>
      </c>
      <c r="F1263" s="145">
        <v>1.7305859303972448E-2</v>
      </c>
      <c r="G1263" s="145">
        <v>4.7291881448525925E-4</v>
      </c>
      <c r="H1263" s="517">
        <v>2.0000009999999999E-3</v>
      </c>
      <c r="I1263" s="517">
        <v>1.5750005000000004E-2</v>
      </c>
      <c r="J1263" s="148">
        <v>5.1362788860836615E-4</v>
      </c>
      <c r="K1263" s="518">
        <v>1.6864685163466219E-5</v>
      </c>
      <c r="L1263" s="519">
        <v>1.7627228806537904E-5</v>
      </c>
    </row>
    <row r="1264" spans="1:12" ht="15.5" x14ac:dyDescent="0.35">
      <c r="A1264" s="143" t="s">
        <v>913</v>
      </c>
      <c r="B1264" s="229">
        <v>2046</v>
      </c>
      <c r="C1264" s="514" t="s">
        <v>2138</v>
      </c>
      <c r="D1264" s="515">
        <v>2.4021675321925343E-2</v>
      </c>
      <c r="E1264" s="516">
        <v>1.9816722201357094E-3</v>
      </c>
      <c r="F1264" s="145">
        <v>1.719872012558386E-2</v>
      </c>
      <c r="G1264" s="145">
        <v>4.6618817524727045E-4</v>
      </c>
      <c r="H1264" s="517">
        <v>2.0000009999999999E-3</v>
      </c>
      <c r="I1264" s="517">
        <v>1.5750005000000001E-2</v>
      </c>
      <c r="J1264" s="148">
        <v>5.0631248766652172E-4</v>
      </c>
      <c r="K1264" s="518">
        <v>1.6743386104492581E-5</v>
      </c>
      <c r="L1264" s="519">
        <v>1.7500444055850123E-5</v>
      </c>
    </row>
    <row r="1265" spans="1:12" ht="15.5" x14ac:dyDescent="0.35">
      <c r="A1265" s="143" t="s">
        <v>913</v>
      </c>
      <c r="B1265" s="229">
        <v>2047</v>
      </c>
      <c r="C1265" s="514" t="s">
        <v>2139</v>
      </c>
      <c r="D1265" s="515">
        <v>2.3981861871451883E-2</v>
      </c>
      <c r="E1265" s="516">
        <v>1.9476284858554202E-3</v>
      </c>
      <c r="F1265" s="145">
        <v>1.7094969052399173E-2</v>
      </c>
      <c r="G1265" s="145">
        <v>4.6060293806821746E-4</v>
      </c>
      <c r="H1265" s="517">
        <v>2.0000009999999999E-3</v>
      </c>
      <c r="I1265" s="517">
        <v>1.5750005000000001E-2</v>
      </c>
      <c r="J1265" s="148">
        <v>5.0024253840263652E-4</v>
      </c>
      <c r="K1265" s="518">
        <v>1.6644912872309413E-5</v>
      </c>
      <c r="L1265" s="519">
        <v>1.7397518657145159E-5</v>
      </c>
    </row>
    <row r="1266" spans="1:12" ht="15.5" x14ac:dyDescent="0.35">
      <c r="A1266" s="143" t="s">
        <v>913</v>
      </c>
      <c r="B1266" s="229">
        <v>2048</v>
      </c>
      <c r="C1266" s="514" t="s">
        <v>2140</v>
      </c>
      <c r="D1266" s="515">
        <v>2.3949401579102681E-2</v>
      </c>
      <c r="E1266" s="516">
        <v>1.9189716100067736E-3</v>
      </c>
      <c r="F1266" s="145">
        <v>1.7003248000104713E-2</v>
      </c>
      <c r="G1266" s="145">
        <v>4.5595631333367176E-4</v>
      </c>
      <c r="H1266" s="517">
        <v>2.0000009999999999E-3</v>
      </c>
      <c r="I1266" s="517">
        <v>1.5750005000000001E-2</v>
      </c>
      <c r="J1266" s="148">
        <v>4.9519234226197179E-4</v>
      </c>
      <c r="K1266" s="518">
        <v>1.65636493525513E-5</v>
      </c>
      <c r="L1266" s="519">
        <v>1.7312581797853204E-5</v>
      </c>
    </row>
    <row r="1267" spans="1:12" ht="15.5" x14ac:dyDescent="0.35">
      <c r="A1267" s="143" t="s">
        <v>913</v>
      </c>
      <c r="B1267" s="229">
        <v>2049</v>
      </c>
      <c r="C1267" s="514" t="s">
        <v>2141</v>
      </c>
      <c r="D1267" s="515">
        <v>2.3922030657843308E-2</v>
      </c>
      <c r="E1267" s="516">
        <v>1.908576109251272E-3</v>
      </c>
      <c r="F1267" s="145">
        <v>1.7011661840239698E-2</v>
      </c>
      <c r="G1267" s="145">
        <v>4.5304043845844272E-4</v>
      </c>
      <c r="H1267" s="517">
        <v>2.0000009999999999E-3</v>
      </c>
      <c r="I1267" s="517">
        <v>1.5750005000000001E-2</v>
      </c>
      <c r="J1267" s="148">
        <v>4.9202311529554477E-4</v>
      </c>
      <c r="K1267" s="518">
        <v>1.6508514595940802E-5</v>
      </c>
      <c r="L1267" s="519">
        <v>1.7254965647652543E-5</v>
      </c>
    </row>
    <row r="1268" spans="1:12" ht="15.5" x14ac:dyDescent="0.35">
      <c r="A1268" s="143" t="s">
        <v>913</v>
      </c>
      <c r="B1268" s="229">
        <v>2050</v>
      </c>
      <c r="C1268" s="514" t="s">
        <v>2142</v>
      </c>
      <c r="D1268" s="515">
        <v>2.3900485726010411E-2</v>
      </c>
      <c r="E1268" s="516">
        <v>1.9004105139608827E-3</v>
      </c>
      <c r="F1268" s="145">
        <v>1.7022238402222726E-2</v>
      </c>
      <c r="G1268" s="145">
        <v>4.5068424842581152E-4</v>
      </c>
      <c r="H1268" s="517">
        <v>2.0000009999999995E-3</v>
      </c>
      <c r="I1268" s="517">
        <v>1.5750005000000001E-2</v>
      </c>
      <c r="J1268" s="148">
        <v>4.8946291510847367E-4</v>
      </c>
      <c r="K1268" s="518">
        <v>1.6449944792684579E-5</v>
      </c>
      <c r="L1268" s="519">
        <v>1.7193742177472839E-5</v>
      </c>
    </row>
    <row r="1269" spans="1:12" ht="15.5" x14ac:dyDescent="0.35">
      <c r="A1269" s="143" t="s">
        <v>917</v>
      </c>
      <c r="B1269" s="229">
        <v>2015</v>
      </c>
      <c r="C1269" s="514" t="s">
        <v>918</v>
      </c>
      <c r="D1269" s="515">
        <v>4.560671128122095E-2</v>
      </c>
      <c r="E1269" s="516">
        <v>4.8788609043185632E-2</v>
      </c>
      <c r="F1269" s="145">
        <v>0.19040453844581165</v>
      </c>
      <c r="G1269" s="145">
        <v>1.8301305668918207E-3</v>
      </c>
      <c r="H1269" s="517">
        <v>2.0000010000000004E-3</v>
      </c>
      <c r="I1269" s="517">
        <v>1.5750005000000001E-2</v>
      </c>
      <c r="J1269" s="148">
        <v>1.9815398029067594E-3</v>
      </c>
      <c r="K1269" s="518">
        <v>1.4932936991560506E-4</v>
      </c>
      <c r="L1269" s="519">
        <v>1.5608138365411119E-4</v>
      </c>
    </row>
    <row r="1270" spans="1:12" ht="15.5" x14ac:dyDescent="0.35">
      <c r="A1270" s="143" t="s">
        <v>917</v>
      </c>
      <c r="B1270" s="229">
        <v>2016</v>
      </c>
      <c r="C1270" s="514" t="s">
        <v>919</v>
      </c>
      <c r="D1270" s="515">
        <v>4.4858562186045316E-2</v>
      </c>
      <c r="E1270" s="516">
        <v>4.0549117701585986E-2</v>
      </c>
      <c r="F1270" s="145">
        <v>0.16103316909903564</v>
      </c>
      <c r="G1270" s="145">
        <v>1.7122269961617473E-3</v>
      </c>
      <c r="H1270" s="517">
        <v>2.0000009999999999E-3</v>
      </c>
      <c r="I1270" s="517">
        <v>1.5750004999999997E-2</v>
      </c>
      <c r="J1270" s="148">
        <v>1.8550118381841884E-3</v>
      </c>
      <c r="K1270" s="518">
        <v>1.2748656125410933E-4</v>
      </c>
      <c r="L1270" s="519">
        <v>1.3325093688144828E-4</v>
      </c>
    </row>
    <row r="1271" spans="1:12" ht="15.5" x14ac:dyDescent="0.35">
      <c r="A1271" s="143" t="s">
        <v>917</v>
      </c>
      <c r="B1271" s="229">
        <v>2017</v>
      </c>
      <c r="C1271" s="514" t="s">
        <v>2143</v>
      </c>
      <c r="D1271" s="515">
        <v>4.3905655904712043E-2</v>
      </c>
      <c r="E1271" s="516">
        <v>3.3823084037696051E-2</v>
      </c>
      <c r="F1271" s="145">
        <v>0.1370976436127633</v>
      </c>
      <c r="G1271" s="145">
        <v>1.6580453660268836E-3</v>
      </c>
      <c r="H1271" s="517">
        <v>2.0000009999999995E-3</v>
      </c>
      <c r="I1271" s="517">
        <v>1.5750004999999997E-2</v>
      </c>
      <c r="J1271" s="148">
        <v>1.7972576543939392E-3</v>
      </c>
      <c r="K1271" s="518">
        <v>1.143091918500165E-4</v>
      </c>
      <c r="L1271" s="519">
        <v>1.1947774719262629E-4</v>
      </c>
    </row>
    <row r="1272" spans="1:12" ht="15.5" x14ac:dyDescent="0.35">
      <c r="A1272" s="143" t="s">
        <v>917</v>
      </c>
      <c r="B1272" s="229">
        <v>2018</v>
      </c>
      <c r="C1272" s="514" t="s">
        <v>2144</v>
      </c>
      <c r="D1272" s="515">
        <v>4.2882566665423789E-2</v>
      </c>
      <c r="E1272" s="516">
        <v>2.8136468704187369E-2</v>
      </c>
      <c r="F1272" s="145">
        <v>0.11653951670114382</v>
      </c>
      <c r="G1272" s="145">
        <v>1.638146028222292E-3</v>
      </c>
      <c r="H1272" s="517">
        <v>2.0000009999999999E-3</v>
      </c>
      <c r="I1272" s="517">
        <v>1.5750005000000004E-2</v>
      </c>
      <c r="J1272" s="148">
        <v>1.7765265985293355E-3</v>
      </c>
      <c r="K1272" s="518">
        <v>1.0361167223378724E-4</v>
      </c>
      <c r="L1272" s="519">
        <v>1.0829653175333499E-4</v>
      </c>
    </row>
    <row r="1273" spans="1:12" ht="15.5" x14ac:dyDescent="0.35">
      <c r="A1273" s="143" t="s">
        <v>917</v>
      </c>
      <c r="B1273" s="229">
        <v>2019</v>
      </c>
      <c r="C1273" s="514" t="s">
        <v>2145</v>
      </c>
      <c r="D1273" s="515">
        <v>4.1800242699364762E-2</v>
      </c>
      <c r="E1273" s="516">
        <v>2.3264265757434691E-2</v>
      </c>
      <c r="F1273" s="145">
        <v>9.8949628596845779E-2</v>
      </c>
      <c r="G1273" s="145">
        <v>1.6190632890796704E-3</v>
      </c>
      <c r="H1273" s="517">
        <v>2.0000009999999999E-3</v>
      </c>
      <c r="I1273" s="517">
        <v>1.5750005000000001E-2</v>
      </c>
      <c r="J1273" s="148">
        <v>1.7565183627310124E-3</v>
      </c>
      <c r="K1273" s="518">
        <v>9.3660037038904896E-5</v>
      </c>
      <c r="L1273" s="519">
        <v>9.7894930023806537E-5</v>
      </c>
    </row>
    <row r="1274" spans="1:12" ht="15.5" x14ac:dyDescent="0.35">
      <c r="A1274" s="143" t="s">
        <v>917</v>
      </c>
      <c r="B1274" s="229">
        <v>2020</v>
      </c>
      <c r="C1274" s="514" t="s">
        <v>2146</v>
      </c>
      <c r="D1274" s="515">
        <v>4.0676359611331134E-2</v>
      </c>
      <c r="E1274" s="516">
        <v>1.9526150338735847E-2</v>
      </c>
      <c r="F1274" s="145">
        <v>8.44519515972222E-2</v>
      </c>
      <c r="G1274" s="145">
        <v>1.5870688776878814E-3</v>
      </c>
      <c r="H1274" s="517">
        <v>2.0000009999999999E-3</v>
      </c>
      <c r="I1274" s="517">
        <v>1.5750005000000004E-2</v>
      </c>
      <c r="J1274" s="148">
        <v>1.7221899003394756E-3</v>
      </c>
      <c r="K1274" s="518">
        <v>8.6227116630688031E-5</v>
      </c>
      <c r="L1274" s="519">
        <v>9.0125927288545261E-5</v>
      </c>
    </row>
    <row r="1275" spans="1:12" ht="15.5" x14ac:dyDescent="0.35">
      <c r="A1275" s="143" t="s">
        <v>917</v>
      </c>
      <c r="B1275" s="229">
        <v>2021</v>
      </c>
      <c r="C1275" s="514" t="s">
        <v>2147</v>
      </c>
      <c r="D1275" s="515">
        <v>3.9519704760786423E-2</v>
      </c>
      <c r="E1275" s="516">
        <v>1.6599466505876143E-2</v>
      </c>
      <c r="F1275" s="145">
        <v>7.2455776487889229E-2</v>
      </c>
      <c r="G1275" s="145">
        <v>1.5216383563281287E-3</v>
      </c>
      <c r="H1275" s="517">
        <v>2.0000010000000004E-3</v>
      </c>
      <c r="I1275" s="517">
        <v>1.5750005000000004E-2</v>
      </c>
      <c r="J1275" s="148">
        <v>1.6514334387488564E-3</v>
      </c>
      <c r="K1275" s="518">
        <v>7.8342542600349949E-5</v>
      </c>
      <c r="L1275" s="519">
        <v>8.1884844435897743E-5</v>
      </c>
    </row>
    <row r="1276" spans="1:12" ht="15.5" x14ac:dyDescent="0.35">
      <c r="A1276" s="143" t="s">
        <v>917</v>
      </c>
      <c r="B1276" s="229">
        <v>2022</v>
      </c>
      <c r="C1276" s="514" t="s">
        <v>2148</v>
      </c>
      <c r="D1276" s="515">
        <v>3.8357960541052234E-2</v>
      </c>
      <c r="E1276" s="516">
        <v>1.3902273163227714E-2</v>
      </c>
      <c r="F1276" s="145">
        <v>6.2182733111160328E-2</v>
      </c>
      <c r="G1276" s="145">
        <v>1.4533901593000418E-3</v>
      </c>
      <c r="H1276" s="517">
        <v>2.0000009999999995E-3</v>
      </c>
      <c r="I1276" s="517">
        <v>1.5750004999999997E-2</v>
      </c>
      <c r="J1276" s="148">
        <v>1.5776396513551717E-3</v>
      </c>
      <c r="K1276" s="518">
        <v>7.120635203236632E-5</v>
      </c>
      <c r="L1276" s="519">
        <v>7.4425991141953781E-5</v>
      </c>
    </row>
    <row r="1277" spans="1:12" ht="15.5" x14ac:dyDescent="0.35">
      <c r="A1277" s="143" t="s">
        <v>917</v>
      </c>
      <c r="B1277" s="229">
        <v>2023</v>
      </c>
      <c r="C1277" s="514" t="s">
        <v>2149</v>
      </c>
      <c r="D1277" s="515">
        <v>3.7200115781196447E-2</v>
      </c>
      <c r="E1277" s="516">
        <v>1.1976445488785289E-2</v>
      </c>
      <c r="F1277" s="145">
        <v>5.4041244439651415E-2</v>
      </c>
      <c r="G1277" s="145">
        <v>1.3908927287340173E-3</v>
      </c>
      <c r="H1277" s="517">
        <v>2.0000009999999999E-3</v>
      </c>
      <c r="I1277" s="517">
        <v>1.5750005000000001E-2</v>
      </c>
      <c r="J1277" s="148">
        <v>1.5099734598501531E-3</v>
      </c>
      <c r="K1277" s="518">
        <v>6.4383481326019484E-5</v>
      </c>
      <c r="L1277" s="519">
        <v>6.7294622715318665E-5</v>
      </c>
    </row>
    <row r="1278" spans="1:12" ht="15.5" x14ac:dyDescent="0.35">
      <c r="A1278" s="143" t="s">
        <v>917</v>
      </c>
      <c r="B1278" s="229">
        <v>2024</v>
      </c>
      <c r="C1278" s="514" t="s">
        <v>2150</v>
      </c>
      <c r="D1278" s="515">
        <v>3.6050533152509584E-2</v>
      </c>
      <c r="E1278" s="516">
        <v>1.038652812217389E-2</v>
      </c>
      <c r="F1278" s="145">
        <v>4.7388978539916346E-2</v>
      </c>
      <c r="G1278" s="145">
        <v>1.3341309223483314E-3</v>
      </c>
      <c r="H1278" s="517">
        <v>2.0000009999999999E-3</v>
      </c>
      <c r="I1278" s="517">
        <v>1.5750004999999997E-2</v>
      </c>
      <c r="J1278" s="148">
        <v>1.4485156605846142E-3</v>
      </c>
      <c r="K1278" s="518">
        <v>5.8131983152834598E-5</v>
      </c>
      <c r="L1278" s="519">
        <v>6.0760450571950932E-5</v>
      </c>
    </row>
    <row r="1279" spans="1:12" ht="15.5" x14ac:dyDescent="0.35">
      <c r="A1279" s="143" t="s">
        <v>917</v>
      </c>
      <c r="B1279" s="229">
        <v>2025</v>
      </c>
      <c r="C1279" s="514" t="s">
        <v>2151</v>
      </c>
      <c r="D1279" s="515">
        <v>3.4914641664636689E-2</v>
      </c>
      <c r="E1279" s="516">
        <v>9.0404440838522775E-3</v>
      </c>
      <c r="F1279" s="145">
        <v>4.1908905315412387E-2</v>
      </c>
      <c r="G1279" s="145">
        <v>1.2826412543201805E-3</v>
      </c>
      <c r="H1279" s="517">
        <v>2.0000010000000004E-3</v>
      </c>
      <c r="I1279" s="517">
        <v>1.5750005000000001E-2</v>
      </c>
      <c r="J1279" s="148">
        <v>1.3927504123496222E-3</v>
      </c>
      <c r="K1279" s="518">
        <v>5.2804804754604763E-5</v>
      </c>
      <c r="L1279" s="519">
        <v>5.5192397478220567E-5</v>
      </c>
    </row>
    <row r="1280" spans="1:12" ht="15.5" x14ac:dyDescent="0.35">
      <c r="A1280" s="143" t="s">
        <v>917</v>
      </c>
      <c r="B1280" s="229">
        <v>2026</v>
      </c>
      <c r="C1280" s="514" t="s">
        <v>2152</v>
      </c>
      <c r="D1280" s="515">
        <v>3.3852906651378745E-2</v>
      </c>
      <c r="E1280" s="516">
        <v>7.9667094359527971E-3</v>
      </c>
      <c r="F1280" s="145">
        <v>3.7596902329982515E-2</v>
      </c>
      <c r="G1280" s="145">
        <v>1.229526185291545E-3</v>
      </c>
      <c r="H1280" s="517">
        <v>2.0000009999999999E-3</v>
      </c>
      <c r="I1280" s="517">
        <v>1.5750005000000001E-2</v>
      </c>
      <c r="J1280" s="148">
        <v>1.3351838006878483E-3</v>
      </c>
      <c r="K1280" s="518">
        <v>4.8102737678319892E-5</v>
      </c>
      <c r="L1280" s="519">
        <v>5.0277728863829602E-5</v>
      </c>
    </row>
    <row r="1281" spans="1:12" ht="15.5" x14ac:dyDescent="0.35">
      <c r="A1281" s="143" t="s">
        <v>917</v>
      </c>
      <c r="B1281" s="229">
        <v>2027</v>
      </c>
      <c r="C1281" s="514" t="s">
        <v>2153</v>
      </c>
      <c r="D1281" s="515">
        <v>3.2856972524548292E-2</v>
      </c>
      <c r="E1281" s="516">
        <v>7.0647783503763146E-3</v>
      </c>
      <c r="F1281" s="145">
        <v>3.4045417701662431E-2</v>
      </c>
      <c r="G1281" s="145">
        <v>1.1674661478371417E-3</v>
      </c>
      <c r="H1281" s="517">
        <v>2.0000009999999995E-3</v>
      </c>
      <c r="I1281" s="517">
        <v>1.5750004999999997E-2</v>
      </c>
      <c r="J1281" s="148">
        <v>1.2679332683492846E-3</v>
      </c>
      <c r="K1281" s="518">
        <v>4.2298347387044085E-5</v>
      </c>
      <c r="L1281" s="519">
        <v>4.421088857085358E-5</v>
      </c>
    </row>
    <row r="1282" spans="1:12" ht="15.5" x14ac:dyDescent="0.35">
      <c r="A1282" s="143" t="s">
        <v>917</v>
      </c>
      <c r="B1282" s="229">
        <v>2028</v>
      </c>
      <c r="C1282" s="514" t="s">
        <v>2154</v>
      </c>
      <c r="D1282" s="515">
        <v>3.1937820180069139E-2</v>
      </c>
      <c r="E1282" s="516">
        <v>6.3160788377950557E-3</v>
      </c>
      <c r="F1282" s="145">
        <v>3.116775802089581E-2</v>
      </c>
      <c r="G1282" s="145">
        <v>1.099505252558019E-3</v>
      </c>
      <c r="H1282" s="517">
        <v>2.0000009999999995E-3</v>
      </c>
      <c r="I1282" s="517">
        <v>1.5750005000000001E-2</v>
      </c>
      <c r="J1282" s="148">
        <v>1.1941998312168564E-3</v>
      </c>
      <c r="K1282" s="518">
        <v>3.8047072275069823E-5</v>
      </c>
      <c r="L1282" s="519">
        <v>3.9767385462166303E-5</v>
      </c>
    </row>
    <row r="1283" spans="1:12" ht="15.5" x14ac:dyDescent="0.35">
      <c r="A1283" s="143" t="s">
        <v>917</v>
      </c>
      <c r="B1283" s="229">
        <v>2029</v>
      </c>
      <c r="C1283" s="514" t="s">
        <v>2155</v>
      </c>
      <c r="D1283" s="515">
        <v>3.1093259265042982E-2</v>
      </c>
      <c r="E1283" s="516">
        <v>5.6752996859335868E-3</v>
      </c>
      <c r="F1283" s="145">
        <v>2.8791962416904675E-2</v>
      </c>
      <c r="G1283" s="145">
        <v>1.0328629548891921E-3</v>
      </c>
      <c r="H1283" s="517">
        <v>2.0000009999999999E-3</v>
      </c>
      <c r="I1283" s="517">
        <v>1.5750004999999997E-2</v>
      </c>
      <c r="J1283" s="148">
        <v>1.1218668338008931E-3</v>
      </c>
      <c r="K1283" s="518">
        <v>3.4596203507061895E-5</v>
      </c>
      <c r="L1283" s="519">
        <v>3.6160496529820453E-5</v>
      </c>
    </row>
    <row r="1284" spans="1:12" ht="15.5" x14ac:dyDescent="0.35">
      <c r="A1284" s="143" t="s">
        <v>917</v>
      </c>
      <c r="B1284" s="229">
        <v>2030</v>
      </c>
      <c r="C1284" s="514" t="s">
        <v>2156</v>
      </c>
      <c r="D1284" s="515">
        <v>3.0320716886216213E-2</v>
      </c>
      <c r="E1284" s="516">
        <v>5.1378243712448864E-3</v>
      </c>
      <c r="F1284" s="145">
        <v>2.6862320274429252E-2</v>
      </c>
      <c r="G1284" s="145">
        <v>9.6944563750414028E-4</v>
      </c>
      <c r="H1284" s="517">
        <v>2.0000009999999999E-3</v>
      </c>
      <c r="I1284" s="517">
        <v>1.5750005000000001E-2</v>
      </c>
      <c r="J1284" s="148">
        <v>1.0530131306821422E-3</v>
      </c>
      <c r="K1284" s="518">
        <v>3.1787970861887953E-5</v>
      </c>
      <c r="L1284" s="519">
        <v>3.3225283655635907E-5</v>
      </c>
    </row>
    <row r="1285" spans="1:12" ht="15.5" x14ac:dyDescent="0.35">
      <c r="A1285" s="143" t="s">
        <v>917</v>
      </c>
      <c r="B1285" s="229">
        <v>2031</v>
      </c>
      <c r="C1285" s="514" t="s">
        <v>2157</v>
      </c>
      <c r="D1285" s="515">
        <v>2.9617461071422643E-2</v>
      </c>
      <c r="E1285" s="516">
        <v>4.6710980011774317E-3</v>
      </c>
      <c r="F1285" s="145">
        <v>2.5253914885637298E-2</v>
      </c>
      <c r="G1285" s="145">
        <v>9.0977458198608326E-4</v>
      </c>
      <c r="H1285" s="517">
        <v>2.0000009999999999E-3</v>
      </c>
      <c r="I1285" s="517">
        <v>1.5750005000000001E-2</v>
      </c>
      <c r="J1285" s="148">
        <v>9.8821217400333955E-4</v>
      </c>
      <c r="K1285" s="518">
        <v>2.9514460428033118E-5</v>
      </c>
      <c r="L1285" s="519">
        <v>3.084897611059595E-5</v>
      </c>
    </row>
    <row r="1286" spans="1:12" ht="15.5" x14ac:dyDescent="0.35">
      <c r="A1286" s="143" t="s">
        <v>917</v>
      </c>
      <c r="B1286" s="229">
        <v>2032</v>
      </c>
      <c r="C1286" s="514" t="s">
        <v>2158</v>
      </c>
      <c r="D1286" s="515">
        <v>2.8984775130422746E-2</v>
      </c>
      <c r="E1286" s="516">
        <v>4.2655276763053996E-3</v>
      </c>
      <c r="F1286" s="145">
        <v>2.3930558148973144E-2</v>
      </c>
      <c r="G1286" s="145">
        <v>8.5395784405931042E-4</v>
      </c>
      <c r="H1286" s="517">
        <v>2.0000010000000004E-3</v>
      </c>
      <c r="I1286" s="517">
        <v>1.5750005000000001E-2</v>
      </c>
      <c r="J1286" s="148">
        <v>9.2759331615702113E-4</v>
      </c>
      <c r="K1286" s="518">
        <v>2.746977149391224E-5</v>
      </c>
      <c r="L1286" s="519">
        <v>2.8711833454210937E-5</v>
      </c>
    </row>
    <row r="1287" spans="1:12" ht="15.5" x14ac:dyDescent="0.35">
      <c r="A1287" s="143" t="s">
        <v>917</v>
      </c>
      <c r="B1287" s="229">
        <v>2033</v>
      </c>
      <c r="C1287" s="514" t="s">
        <v>2159</v>
      </c>
      <c r="D1287" s="515">
        <v>2.8415955978894406E-2</v>
      </c>
      <c r="E1287" s="516">
        <v>3.9157524065081151E-3</v>
      </c>
      <c r="F1287" s="145">
        <v>2.2853219204407384E-2</v>
      </c>
      <c r="G1287" s="145">
        <v>8.0267894252099693E-4</v>
      </c>
      <c r="H1287" s="517">
        <v>2.0000010000000004E-3</v>
      </c>
      <c r="I1287" s="517">
        <v>1.5750005000000001E-2</v>
      </c>
      <c r="J1287" s="148">
        <v>8.7189064348770068E-4</v>
      </c>
      <c r="K1287" s="518">
        <v>2.5871622691543436E-5</v>
      </c>
      <c r="L1287" s="519">
        <v>2.7041417936542488E-5</v>
      </c>
    </row>
    <row r="1288" spans="1:12" ht="15.5" x14ac:dyDescent="0.35">
      <c r="A1288" s="143" t="s">
        <v>917</v>
      </c>
      <c r="B1288" s="229">
        <v>2034</v>
      </c>
      <c r="C1288" s="514" t="s">
        <v>2160</v>
      </c>
      <c r="D1288" s="515">
        <v>2.7904578378136986E-2</v>
      </c>
      <c r="E1288" s="516">
        <v>3.6040027633405503E-3</v>
      </c>
      <c r="F1288" s="145">
        <v>2.194334287935967E-2</v>
      </c>
      <c r="G1288" s="145">
        <v>7.5545819193724906E-4</v>
      </c>
      <c r="H1288" s="517">
        <v>2.0000009999999999E-3</v>
      </c>
      <c r="I1288" s="517">
        <v>1.5750005000000001E-2</v>
      </c>
      <c r="J1288" s="148">
        <v>8.2059369252036733E-4</v>
      </c>
      <c r="K1288" s="518">
        <v>2.4449598336227345E-5</v>
      </c>
      <c r="L1288" s="519">
        <v>2.5555100893740176E-5</v>
      </c>
    </row>
    <row r="1289" spans="1:12" ht="15.5" x14ac:dyDescent="0.35">
      <c r="A1289" s="143" t="s">
        <v>917</v>
      </c>
      <c r="B1289" s="229">
        <v>2035</v>
      </c>
      <c r="C1289" s="514" t="s">
        <v>2161</v>
      </c>
      <c r="D1289" s="515">
        <v>2.7451087886058764E-2</v>
      </c>
      <c r="E1289" s="516">
        <v>3.3323026404907105E-3</v>
      </c>
      <c r="F1289" s="145">
        <v>2.119597963953598E-2</v>
      </c>
      <c r="G1289" s="145">
        <v>7.1254889269750188E-4</v>
      </c>
      <c r="H1289" s="517">
        <v>2.0000009999999999E-3</v>
      </c>
      <c r="I1289" s="517">
        <v>1.5750005000000004E-2</v>
      </c>
      <c r="J1289" s="148">
        <v>7.739799740339473E-4</v>
      </c>
      <c r="K1289" s="518">
        <v>2.3180476479862664E-5</v>
      </c>
      <c r="L1289" s="519">
        <v>2.4228591129357841E-5</v>
      </c>
    </row>
    <row r="1290" spans="1:12" ht="15.5" x14ac:dyDescent="0.35">
      <c r="A1290" s="143" t="s">
        <v>917</v>
      </c>
      <c r="B1290" s="229">
        <v>2036</v>
      </c>
      <c r="C1290" s="514" t="s">
        <v>2162</v>
      </c>
      <c r="D1290" s="515">
        <v>2.7050217725773294E-2</v>
      </c>
      <c r="E1290" s="516">
        <v>3.0960036816250064E-3</v>
      </c>
      <c r="F1290" s="145">
        <v>2.0577744952427587E-2</v>
      </c>
      <c r="G1290" s="145">
        <v>6.7466349406456448E-4</v>
      </c>
      <c r="H1290" s="517">
        <v>2.0000010000000004E-3</v>
      </c>
      <c r="I1290" s="517">
        <v>1.5750005000000004E-2</v>
      </c>
      <c r="J1290" s="148">
        <v>7.3281940813214972E-4</v>
      </c>
      <c r="K1290" s="518">
        <v>2.2139022239758154E-5</v>
      </c>
      <c r="L1290" s="519">
        <v>2.3140049791363939E-5</v>
      </c>
    </row>
    <row r="1291" spans="1:12" ht="15.5" x14ac:dyDescent="0.35">
      <c r="A1291" s="143" t="s">
        <v>917</v>
      </c>
      <c r="B1291" s="229">
        <v>2037</v>
      </c>
      <c r="C1291" s="514" t="s">
        <v>2163</v>
      </c>
      <c r="D1291" s="515">
        <v>2.669935563243165E-2</v>
      </c>
      <c r="E1291" s="516">
        <v>2.8926329152273063E-3</v>
      </c>
      <c r="F1291" s="145">
        <v>2.0071436758457295E-2</v>
      </c>
      <c r="G1291" s="145">
        <v>6.409759732091256E-4</v>
      </c>
      <c r="H1291" s="517">
        <v>2.0000009999999999E-3</v>
      </c>
      <c r="I1291" s="517">
        <v>1.5750005000000001E-2</v>
      </c>
      <c r="J1291" s="148">
        <v>6.9622177697964492E-4</v>
      </c>
      <c r="K1291" s="518">
        <v>2.1180865260841878E-5</v>
      </c>
      <c r="L1291" s="519">
        <v>2.2138567990712935E-5</v>
      </c>
    </row>
    <row r="1292" spans="1:12" ht="15.5" x14ac:dyDescent="0.35">
      <c r="A1292" s="143" t="s">
        <v>917</v>
      </c>
      <c r="B1292" s="229">
        <v>2038</v>
      </c>
      <c r="C1292" s="514" t="s">
        <v>2164</v>
      </c>
      <c r="D1292" s="515">
        <v>2.6394087879635562E-2</v>
      </c>
      <c r="E1292" s="516">
        <v>2.7157953520757856E-3</v>
      </c>
      <c r="F1292" s="145">
        <v>1.9643979985903372E-2</v>
      </c>
      <c r="G1292" s="145">
        <v>6.1142935364032224E-4</v>
      </c>
      <c r="H1292" s="517">
        <v>2.0000009999999999E-3</v>
      </c>
      <c r="I1292" s="517">
        <v>1.5750005000000001E-2</v>
      </c>
      <c r="J1292" s="148">
        <v>6.6412010373665255E-4</v>
      </c>
      <c r="K1292" s="518">
        <v>2.0414175289241257E-5</v>
      </c>
      <c r="L1292" s="519">
        <v>2.1337212084927524E-5</v>
      </c>
    </row>
    <row r="1293" spans="1:12" ht="15.5" x14ac:dyDescent="0.35">
      <c r="A1293" s="143" t="s">
        <v>917</v>
      </c>
      <c r="B1293" s="229">
        <v>2039</v>
      </c>
      <c r="C1293" s="514" t="s">
        <v>2165</v>
      </c>
      <c r="D1293" s="515">
        <v>2.6127722250344539E-2</v>
      </c>
      <c r="E1293" s="516">
        <v>2.5500843360090303E-3</v>
      </c>
      <c r="F1293" s="145">
        <v>1.9241075491397339E-2</v>
      </c>
      <c r="G1293" s="145">
        <v>5.8549999369799288E-4</v>
      </c>
      <c r="H1293" s="517">
        <v>2.0000009999999999E-3</v>
      </c>
      <c r="I1293" s="517">
        <v>1.5750005000000004E-2</v>
      </c>
      <c r="J1293" s="148">
        <v>6.3594687614754923E-4</v>
      </c>
      <c r="K1293" s="518">
        <v>1.977118300635837E-5</v>
      </c>
      <c r="L1293" s="519">
        <v>2.0665148842974675E-5</v>
      </c>
    </row>
    <row r="1294" spans="1:12" ht="15.5" x14ac:dyDescent="0.35">
      <c r="A1294" s="143" t="s">
        <v>917</v>
      </c>
      <c r="B1294" s="229">
        <v>2040</v>
      </c>
      <c r="C1294" s="514" t="s">
        <v>2166</v>
      </c>
      <c r="D1294" s="515">
        <v>2.5896908145194412E-2</v>
      </c>
      <c r="E1294" s="516">
        <v>2.4120144649386233E-3</v>
      </c>
      <c r="F1294" s="145">
        <v>1.8928849206659888E-2</v>
      </c>
      <c r="G1294" s="145">
        <v>5.6325165390865906E-4</v>
      </c>
      <c r="H1294" s="517">
        <v>2.0000009999999999E-3</v>
      </c>
      <c r="I1294" s="517">
        <v>1.5750005000000001E-2</v>
      </c>
      <c r="J1294" s="148">
        <v>6.1177240391651548E-4</v>
      </c>
      <c r="K1294" s="518">
        <v>1.9223552879190731E-5</v>
      </c>
      <c r="L1294" s="519">
        <v>2.0092758617930542E-5</v>
      </c>
    </row>
    <row r="1295" spans="1:12" ht="15.5" x14ac:dyDescent="0.35">
      <c r="A1295" s="143" t="s">
        <v>917</v>
      </c>
      <c r="B1295" s="229">
        <v>2041</v>
      </c>
      <c r="C1295" s="514" t="s">
        <v>2167</v>
      </c>
      <c r="D1295" s="515">
        <v>2.5699960668562772E-2</v>
      </c>
      <c r="E1295" s="516">
        <v>2.3058814984510362E-3</v>
      </c>
      <c r="F1295" s="145">
        <v>1.8688634201830461E-2</v>
      </c>
      <c r="G1295" s="145">
        <v>5.4515712331065867E-4</v>
      </c>
      <c r="H1295" s="517">
        <v>2.0000009999999995E-3</v>
      </c>
      <c r="I1295" s="517">
        <v>1.5750004999999997E-2</v>
      </c>
      <c r="J1295" s="148">
        <v>5.9211233652404485E-4</v>
      </c>
      <c r="K1295" s="518">
        <v>1.8772933411648903E-5</v>
      </c>
      <c r="L1295" s="519">
        <v>1.9621762348282694E-5</v>
      </c>
    </row>
    <row r="1296" spans="1:12" ht="15.5" x14ac:dyDescent="0.35">
      <c r="A1296" s="143" t="s">
        <v>917</v>
      </c>
      <c r="B1296" s="229">
        <v>2042</v>
      </c>
      <c r="C1296" s="514" t="s">
        <v>2168</v>
      </c>
      <c r="D1296" s="515">
        <v>2.552754090170286E-2</v>
      </c>
      <c r="E1296" s="516">
        <v>2.2168738407328742E-3</v>
      </c>
      <c r="F1296" s="145">
        <v>1.8473159744965849E-2</v>
      </c>
      <c r="G1296" s="145">
        <v>5.2987022182432984E-4</v>
      </c>
      <c r="H1296" s="517">
        <v>2.0000009999999999E-3</v>
      </c>
      <c r="I1296" s="517">
        <v>1.5750005000000001E-2</v>
      </c>
      <c r="J1296" s="148">
        <v>5.7550256771320195E-4</v>
      </c>
      <c r="K1296" s="518">
        <v>1.8402480952450948E-5</v>
      </c>
      <c r="L1296" s="519">
        <v>1.923455528056721E-5</v>
      </c>
    </row>
    <row r="1297" spans="1:12" ht="15.5" x14ac:dyDescent="0.35">
      <c r="A1297" s="143" t="s">
        <v>917</v>
      </c>
      <c r="B1297" s="229">
        <v>2043</v>
      </c>
      <c r="C1297" s="514" t="s">
        <v>2169</v>
      </c>
      <c r="D1297" s="515">
        <v>2.5378992551891685E-2</v>
      </c>
      <c r="E1297" s="516">
        <v>2.1493407541634374E-3</v>
      </c>
      <c r="F1297" s="145">
        <v>1.8314302218820005E-2</v>
      </c>
      <c r="G1297" s="145">
        <v>5.1711121943271603E-4</v>
      </c>
      <c r="H1297" s="517">
        <v>2.0000010000000004E-3</v>
      </c>
      <c r="I1297" s="517">
        <v>1.5750005000000004E-2</v>
      </c>
      <c r="J1297" s="148">
        <v>5.616387262969225E-4</v>
      </c>
      <c r="K1297" s="518">
        <v>1.8109675081352651E-5</v>
      </c>
      <c r="L1297" s="519">
        <v>1.8928507889156569E-5</v>
      </c>
    </row>
    <row r="1298" spans="1:12" ht="15.5" x14ac:dyDescent="0.35">
      <c r="A1298" s="143" t="s">
        <v>917</v>
      </c>
      <c r="B1298" s="229">
        <v>2044</v>
      </c>
      <c r="C1298" s="514" t="s">
        <v>2170</v>
      </c>
      <c r="D1298" s="515">
        <v>2.5246606366893465E-2</v>
      </c>
      <c r="E1298" s="516">
        <v>2.096631998938725E-3</v>
      </c>
      <c r="F1298" s="145">
        <v>1.8180453521260694E-2</v>
      </c>
      <c r="G1298" s="145">
        <v>5.0649540891365102E-4</v>
      </c>
      <c r="H1298" s="517">
        <v>2.0000009999999999E-3</v>
      </c>
      <c r="I1298" s="517">
        <v>1.5750005000000001E-2</v>
      </c>
      <c r="J1298" s="148">
        <v>5.5010278432582934E-4</v>
      </c>
      <c r="K1298" s="518">
        <v>1.7878279693325287E-5</v>
      </c>
      <c r="L1298" s="519">
        <v>1.8686653285429341E-5</v>
      </c>
    </row>
    <row r="1299" spans="1:12" ht="15.5" x14ac:dyDescent="0.35">
      <c r="A1299" s="143" t="s">
        <v>917</v>
      </c>
      <c r="B1299" s="229">
        <v>2045</v>
      </c>
      <c r="C1299" s="514" t="s">
        <v>2171</v>
      </c>
      <c r="D1299" s="515">
        <v>2.5128490184267969E-2</v>
      </c>
      <c r="E1299" s="516">
        <v>2.0587114572460556E-3</v>
      </c>
      <c r="F1299" s="145">
        <v>1.8087310921080228E-2</v>
      </c>
      <c r="G1299" s="145">
        <v>4.9774743469145274E-4</v>
      </c>
      <c r="H1299" s="517">
        <v>2.0000009999999999E-3</v>
      </c>
      <c r="I1299" s="517">
        <v>1.5750005000000001E-2</v>
      </c>
      <c r="J1299" s="148">
        <v>5.4059539282037025E-4</v>
      </c>
      <c r="K1299" s="518">
        <v>1.7701257937881675E-5</v>
      </c>
      <c r="L1299" s="519">
        <v>1.8501628587571383E-5</v>
      </c>
    </row>
    <row r="1300" spans="1:12" ht="15.5" x14ac:dyDescent="0.35">
      <c r="A1300" s="143" t="s">
        <v>917</v>
      </c>
      <c r="B1300" s="229">
        <v>2046</v>
      </c>
      <c r="C1300" s="514" t="s">
        <v>2172</v>
      </c>
      <c r="D1300" s="515">
        <v>2.5026160099421369E-2</v>
      </c>
      <c r="E1300" s="516">
        <v>2.0259908224841074E-3</v>
      </c>
      <c r="F1300" s="145">
        <v>1.8009113713656488E-2</v>
      </c>
      <c r="G1300" s="145">
        <v>4.9060884186554073E-4</v>
      </c>
      <c r="H1300" s="517">
        <v>2.0000009999999999E-3</v>
      </c>
      <c r="I1300" s="517">
        <v>1.5750005000000004E-2</v>
      </c>
      <c r="J1300" s="148">
        <v>5.328382408895107E-4</v>
      </c>
      <c r="K1300" s="518">
        <v>1.7562527958131476E-5</v>
      </c>
      <c r="L1300" s="519">
        <v>1.8356626320062686E-5</v>
      </c>
    </row>
    <row r="1301" spans="1:12" ht="15.5" x14ac:dyDescent="0.35">
      <c r="A1301" s="143" t="s">
        <v>917</v>
      </c>
      <c r="B1301" s="229">
        <v>2047</v>
      </c>
      <c r="C1301" s="514" t="s">
        <v>2173</v>
      </c>
      <c r="D1301" s="515">
        <v>2.4936457608797136E-2</v>
      </c>
      <c r="E1301" s="516">
        <v>1.9967567131317712E-3</v>
      </c>
      <c r="F1301" s="145">
        <v>1.7932294719543537E-2</v>
      </c>
      <c r="G1301" s="145">
        <v>4.8482702787842099E-4</v>
      </c>
      <c r="H1301" s="517">
        <v>2.0000009999999999E-3</v>
      </c>
      <c r="I1301" s="517">
        <v>1.5750004999999997E-2</v>
      </c>
      <c r="J1301" s="148">
        <v>5.2655449755302703E-4</v>
      </c>
      <c r="K1301" s="518">
        <v>1.7452537000328859E-5</v>
      </c>
      <c r="L1301" s="519">
        <v>1.8241656438969494E-5</v>
      </c>
    </row>
    <row r="1302" spans="1:12" ht="15.5" x14ac:dyDescent="0.35">
      <c r="A1302" s="143" t="s">
        <v>917</v>
      </c>
      <c r="B1302" s="229">
        <v>2048</v>
      </c>
      <c r="C1302" s="514" t="s">
        <v>2174</v>
      </c>
      <c r="D1302" s="515">
        <v>2.4859563019592992E-2</v>
      </c>
      <c r="E1302" s="516">
        <v>1.9741362225704526E-3</v>
      </c>
      <c r="F1302" s="145">
        <v>1.78741008598002E-2</v>
      </c>
      <c r="G1302" s="145">
        <v>4.802088832486509E-4</v>
      </c>
      <c r="H1302" s="517">
        <v>2.0000009999999999E-3</v>
      </c>
      <c r="I1302" s="517">
        <v>1.5750005000000001E-2</v>
      </c>
      <c r="J1302" s="148">
        <v>5.2153509496429148E-4</v>
      </c>
      <c r="K1302" s="518">
        <v>1.7368554996038846E-5</v>
      </c>
      <c r="L1302" s="519">
        <v>1.815387911361062E-5</v>
      </c>
    </row>
    <row r="1303" spans="1:12" ht="15.5" x14ac:dyDescent="0.35">
      <c r="A1303" s="143" t="s">
        <v>917</v>
      </c>
      <c r="B1303" s="229">
        <v>2049</v>
      </c>
      <c r="C1303" s="514" t="s">
        <v>2175</v>
      </c>
      <c r="D1303" s="515">
        <v>2.4791220655657305E-2</v>
      </c>
      <c r="E1303" s="516">
        <v>1.9647137509569055E-3</v>
      </c>
      <c r="F1303" s="145">
        <v>1.7883033077482145E-2</v>
      </c>
      <c r="G1303" s="145">
        <v>4.770893681796796E-4</v>
      </c>
      <c r="H1303" s="517">
        <v>2.0000010000000004E-3</v>
      </c>
      <c r="I1303" s="517">
        <v>1.5750005000000004E-2</v>
      </c>
      <c r="J1303" s="148">
        <v>5.1814496866299672E-4</v>
      </c>
      <c r="K1303" s="518">
        <v>1.7306906544578195E-5</v>
      </c>
      <c r="L1303" s="519">
        <v>1.8089446015888904E-5</v>
      </c>
    </row>
    <row r="1304" spans="1:12" ht="15.5" x14ac:dyDescent="0.35">
      <c r="A1304" s="143" t="s">
        <v>917</v>
      </c>
      <c r="B1304" s="229">
        <v>2050</v>
      </c>
      <c r="C1304" s="514" t="s">
        <v>2176</v>
      </c>
      <c r="D1304" s="515">
        <v>2.4732610713939746E-2</v>
      </c>
      <c r="E1304" s="516">
        <v>1.9572523060286651E-3</v>
      </c>
      <c r="F1304" s="145">
        <v>1.7892062278163017E-2</v>
      </c>
      <c r="G1304" s="145">
        <v>4.7463127186609327E-4</v>
      </c>
      <c r="H1304" s="517">
        <v>2.0000009999999995E-3</v>
      </c>
      <c r="I1304" s="517">
        <v>1.5750005000000001E-2</v>
      </c>
      <c r="J1304" s="148">
        <v>5.1547364545746082E-4</v>
      </c>
      <c r="K1304" s="518">
        <v>1.7251240309008723E-5</v>
      </c>
      <c r="L1304" s="519">
        <v>1.8031262275908156E-5</v>
      </c>
    </row>
    <row r="1305" spans="1:12" ht="15.5" x14ac:dyDescent="0.35">
      <c r="A1305" s="143" t="s">
        <v>921</v>
      </c>
      <c r="B1305" s="229">
        <v>2015</v>
      </c>
      <c r="C1305" s="514" t="s">
        <v>922</v>
      </c>
      <c r="D1305" s="515">
        <v>4.6570336280070221E-2</v>
      </c>
      <c r="E1305" s="516">
        <v>5.4008106722493295E-2</v>
      </c>
      <c r="F1305" s="145">
        <v>0.22952391414862641</v>
      </c>
      <c r="G1305" s="145">
        <v>1.9362466974551383E-3</v>
      </c>
      <c r="H1305" s="517">
        <v>2.0000009999999999E-3</v>
      </c>
      <c r="I1305" s="517">
        <v>1.5750005000000001E-2</v>
      </c>
      <c r="J1305" s="148">
        <v>2.0941268124959507E-3</v>
      </c>
      <c r="K1305" s="518">
        <v>1.9576702807560167E-4</v>
      </c>
      <c r="L1305" s="519">
        <v>2.0461873748923727E-4</v>
      </c>
    </row>
    <row r="1306" spans="1:12" ht="15.5" x14ac:dyDescent="0.35">
      <c r="A1306" s="143" t="s">
        <v>921</v>
      </c>
      <c r="B1306" s="229">
        <v>2016</v>
      </c>
      <c r="C1306" s="514" t="s">
        <v>923</v>
      </c>
      <c r="D1306" s="515">
        <v>4.5673256900856843E-2</v>
      </c>
      <c r="E1306" s="516">
        <v>4.4082032851495444E-2</v>
      </c>
      <c r="F1306" s="145">
        <v>0.19288666057524184</v>
      </c>
      <c r="G1306" s="145">
        <v>1.7916677832464916E-3</v>
      </c>
      <c r="H1306" s="517">
        <v>2.0000009999999999E-3</v>
      </c>
      <c r="I1306" s="517">
        <v>1.5750005000000001E-2</v>
      </c>
      <c r="J1306" s="148">
        <v>1.9393647143429486E-3</v>
      </c>
      <c r="K1306" s="518">
        <v>1.6524991749704605E-4</v>
      </c>
      <c r="L1306" s="519">
        <v>1.7272178775240397E-4</v>
      </c>
    </row>
    <row r="1307" spans="1:12" ht="15.5" x14ac:dyDescent="0.35">
      <c r="A1307" s="143" t="s">
        <v>921</v>
      </c>
      <c r="B1307" s="229">
        <v>2017</v>
      </c>
      <c r="C1307" s="514" t="s">
        <v>2177</v>
      </c>
      <c r="D1307" s="515">
        <v>4.4594328801265772E-2</v>
      </c>
      <c r="E1307" s="516">
        <v>3.6126340952576247E-2</v>
      </c>
      <c r="F1307" s="145">
        <v>0.16262166232986502</v>
      </c>
      <c r="G1307" s="145">
        <v>1.7176032729685532E-3</v>
      </c>
      <c r="H1307" s="517">
        <v>2.0000009999999999E-3</v>
      </c>
      <c r="I1307" s="517">
        <v>1.5750004999999997E-2</v>
      </c>
      <c r="J1307" s="148">
        <v>1.8603139560106001E-3</v>
      </c>
      <c r="K1307" s="518">
        <v>1.5043996174857646E-4</v>
      </c>
      <c r="L1307" s="519">
        <v>1.572421846281282E-4</v>
      </c>
    </row>
    <row r="1308" spans="1:12" ht="15.5" x14ac:dyDescent="0.35">
      <c r="A1308" s="143" t="s">
        <v>921</v>
      </c>
      <c r="B1308" s="229">
        <v>2018</v>
      </c>
      <c r="C1308" s="514" t="s">
        <v>2178</v>
      </c>
      <c r="D1308" s="515">
        <v>4.3455276241070123E-2</v>
      </c>
      <c r="E1308" s="516">
        <v>2.9488726832371685E-2</v>
      </c>
      <c r="F1308" s="145">
        <v>0.13675171581308293</v>
      </c>
      <c r="G1308" s="145">
        <v>1.678824193027897E-3</v>
      </c>
      <c r="H1308" s="517">
        <v>2.0000009999999999E-3</v>
      </c>
      <c r="I1308" s="517">
        <v>1.5750005000000001E-2</v>
      </c>
      <c r="J1308" s="148">
        <v>1.819306313539327E-3</v>
      </c>
      <c r="K1308" s="518">
        <v>1.3821787321337348E-4</v>
      </c>
      <c r="L1308" s="519">
        <v>1.4446747289652211E-4</v>
      </c>
    </row>
    <row r="1309" spans="1:12" ht="15.5" x14ac:dyDescent="0.35">
      <c r="A1309" s="143" t="s">
        <v>921</v>
      </c>
      <c r="B1309" s="229">
        <v>2019</v>
      </c>
      <c r="C1309" s="514" t="s">
        <v>2179</v>
      </c>
      <c r="D1309" s="515">
        <v>4.227871428291944E-2</v>
      </c>
      <c r="E1309" s="516">
        <v>2.4012084449542292E-2</v>
      </c>
      <c r="F1309" s="145">
        <v>0.11504380789418042</v>
      </c>
      <c r="G1309" s="145">
        <v>1.6525334139123849E-3</v>
      </c>
      <c r="H1309" s="517">
        <v>2.0000010000000004E-3</v>
      </c>
      <c r="I1309" s="517">
        <v>1.5750005000000001E-2</v>
      </c>
      <c r="J1309" s="148">
        <v>1.7916905324002056E-3</v>
      </c>
      <c r="K1309" s="518">
        <v>1.2611868667284843E-4</v>
      </c>
      <c r="L1309" s="519">
        <v>1.3182121672982011E-4</v>
      </c>
    </row>
    <row r="1310" spans="1:12" ht="15.5" x14ac:dyDescent="0.35">
      <c r="A1310" s="143" t="s">
        <v>921</v>
      </c>
      <c r="B1310" s="229">
        <v>2020</v>
      </c>
      <c r="C1310" s="514" t="s">
        <v>2180</v>
      </c>
      <c r="D1310" s="515">
        <v>4.1081112582827518E-2</v>
      </c>
      <c r="E1310" s="516">
        <v>2.005886003758222E-2</v>
      </c>
      <c r="F1310" s="145">
        <v>9.7162029004515343E-2</v>
      </c>
      <c r="G1310" s="145">
        <v>1.6073860693473852E-3</v>
      </c>
      <c r="H1310" s="517">
        <v>2.0000009999999999E-3</v>
      </c>
      <c r="I1310" s="517">
        <v>1.5750005000000001E-2</v>
      </c>
      <c r="J1310" s="148">
        <v>1.7430795015518667E-3</v>
      </c>
      <c r="K1310" s="518">
        <v>1.1710867903246157E-4</v>
      </c>
      <c r="L1310" s="519">
        <v>1.2240380967007999E-4</v>
      </c>
    </row>
    <row r="1311" spans="1:12" ht="15.5" x14ac:dyDescent="0.35">
      <c r="A1311" s="143" t="s">
        <v>921</v>
      </c>
      <c r="B1311" s="229">
        <v>2021</v>
      </c>
      <c r="C1311" s="514" t="s">
        <v>2181</v>
      </c>
      <c r="D1311" s="515">
        <v>3.9874917631042256E-2</v>
      </c>
      <c r="E1311" s="516">
        <v>1.7356203017893115E-2</v>
      </c>
      <c r="F1311" s="145">
        <v>8.297845455827417E-2</v>
      </c>
      <c r="G1311" s="145">
        <v>1.5593848436231217E-3</v>
      </c>
      <c r="H1311" s="517">
        <v>2.0000009999999999E-3</v>
      </c>
      <c r="I1311" s="517">
        <v>1.5750005000000001E-2</v>
      </c>
      <c r="J1311" s="148">
        <v>1.6912571571503212E-3</v>
      </c>
      <c r="K1311" s="518">
        <v>1.0894461943851019E-4</v>
      </c>
      <c r="L1311" s="519">
        <v>1.1387061053602994E-4</v>
      </c>
    </row>
    <row r="1312" spans="1:12" ht="15.5" x14ac:dyDescent="0.35">
      <c r="A1312" s="143" t="s">
        <v>921</v>
      </c>
      <c r="B1312" s="229">
        <v>2022</v>
      </c>
      <c r="C1312" s="514" t="s">
        <v>2182</v>
      </c>
      <c r="D1312" s="515">
        <v>3.8681601513941469E-2</v>
      </c>
      <c r="E1312" s="516">
        <v>1.4730807561874285E-2</v>
      </c>
      <c r="F1312" s="145">
        <v>7.0985921643169872E-2</v>
      </c>
      <c r="G1312" s="145">
        <v>1.4832433687570691E-3</v>
      </c>
      <c r="H1312" s="517">
        <v>2.0000010000000004E-3</v>
      </c>
      <c r="I1312" s="517">
        <v>1.5750005000000001E-2</v>
      </c>
      <c r="J1312" s="148">
        <v>1.6088676612792483E-3</v>
      </c>
      <c r="K1312" s="518">
        <v>1.0029758171183031E-4</v>
      </c>
      <c r="L1312" s="519">
        <v>1.0483259581510171E-4</v>
      </c>
    </row>
    <row r="1313" spans="1:12" ht="15.5" x14ac:dyDescent="0.35">
      <c r="A1313" s="143" t="s">
        <v>921</v>
      </c>
      <c r="B1313" s="229">
        <v>2023</v>
      </c>
      <c r="C1313" s="514" t="s">
        <v>2183</v>
      </c>
      <c r="D1313" s="515">
        <v>3.7498807721349191E-2</v>
      </c>
      <c r="E1313" s="516">
        <v>1.2579121698333799E-2</v>
      </c>
      <c r="F1313" s="145">
        <v>6.1001196396246127E-2</v>
      </c>
      <c r="G1313" s="145">
        <v>1.4087004806897555E-3</v>
      </c>
      <c r="H1313" s="517">
        <v>2.0000009999999999E-3</v>
      </c>
      <c r="I1313" s="517">
        <v>1.5750005000000001E-2</v>
      </c>
      <c r="J1313" s="148">
        <v>1.5283080138848088E-3</v>
      </c>
      <c r="K1313" s="518">
        <v>8.8739844976442025E-5</v>
      </c>
      <c r="L1313" s="519">
        <v>9.2752270254783364E-5</v>
      </c>
    </row>
    <row r="1314" spans="1:12" ht="15.5" x14ac:dyDescent="0.35">
      <c r="A1314" s="143" t="s">
        <v>921</v>
      </c>
      <c r="B1314" s="229">
        <v>2024</v>
      </c>
      <c r="C1314" s="514" t="s">
        <v>2184</v>
      </c>
      <c r="D1314" s="515">
        <v>3.6332772531656059E-2</v>
      </c>
      <c r="E1314" s="516">
        <v>1.0818326645959631E-2</v>
      </c>
      <c r="F1314" s="145">
        <v>5.2895189393639928E-2</v>
      </c>
      <c r="G1314" s="145">
        <v>1.3426881840778737E-3</v>
      </c>
      <c r="H1314" s="517">
        <v>2.0000009999999995E-3</v>
      </c>
      <c r="I1314" s="517">
        <v>1.5750005000000001E-2</v>
      </c>
      <c r="J1314" s="148">
        <v>1.4569670955476939E-3</v>
      </c>
      <c r="K1314" s="518">
        <v>7.843997900352606E-5</v>
      </c>
      <c r="L1314" s="519">
        <v>8.1986689748045854E-5</v>
      </c>
    </row>
    <row r="1315" spans="1:12" ht="15.5" x14ac:dyDescent="0.35">
      <c r="A1315" s="143" t="s">
        <v>921</v>
      </c>
      <c r="B1315" s="229">
        <v>2025</v>
      </c>
      <c r="C1315" s="514" t="s">
        <v>2185</v>
      </c>
      <c r="D1315" s="515">
        <v>3.5185126526642539E-2</v>
      </c>
      <c r="E1315" s="516">
        <v>9.3924117746395884E-3</v>
      </c>
      <c r="F1315" s="145">
        <v>4.640403873410133E-2</v>
      </c>
      <c r="G1315" s="145">
        <v>1.287986953221358E-3</v>
      </c>
      <c r="H1315" s="517">
        <v>2.0000009999999995E-3</v>
      </c>
      <c r="I1315" s="517">
        <v>1.5750005000000001E-2</v>
      </c>
      <c r="J1315" s="148">
        <v>1.3977746740157896E-3</v>
      </c>
      <c r="K1315" s="518">
        <v>7.1450844798428127E-5</v>
      </c>
      <c r="L1315" s="519">
        <v>7.4681537689173864E-5</v>
      </c>
    </row>
    <row r="1316" spans="1:12" ht="15.5" x14ac:dyDescent="0.35">
      <c r="A1316" s="143" t="s">
        <v>921</v>
      </c>
      <c r="B1316" s="229">
        <v>2026</v>
      </c>
      <c r="C1316" s="514" t="s">
        <v>2186</v>
      </c>
      <c r="D1316" s="515">
        <v>3.4074721905973437E-2</v>
      </c>
      <c r="E1316" s="516">
        <v>8.1674600712913267E-3</v>
      </c>
      <c r="F1316" s="145">
        <v>4.1137504131429838E-2</v>
      </c>
      <c r="G1316" s="145">
        <v>1.2238368945828733E-3</v>
      </c>
      <c r="H1316" s="517">
        <v>2.0000009999999999E-3</v>
      </c>
      <c r="I1316" s="517">
        <v>1.5750005000000001E-2</v>
      </c>
      <c r="J1316" s="148">
        <v>1.3283101616725554E-3</v>
      </c>
      <c r="K1316" s="518">
        <v>6.4278663788347541E-5</v>
      </c>
      <c r="L1316" s="519">
        <v>6.7185064808114741E-5</v>
      </c>
    </row>
    <row r="1317" spans="1:12" ht="15.5" x14ac:dyDescent="0.35">
      <c r="A1317" s="143" t="s">
        <v>921</v>
      </c>
      <c r="B1317" s="229">
        <v>2027</v>
      </c>
      <c r="C1317" s="514" t="s">
        <v>2187</v>
      </c>
      <c r="D1317" s="515">
        <v>3.3097259967923523E-2</v>
      </c>
      <c r="E1317" s="516">
        <v>7.2054132620188284E-3</v>
      </c>
      <c r="F1317" s="145">
        <v>3.6885821696013579E-2</v>
      </c>
      <c r="G1317" s="145">
        <v>1.1589683945876143E-3</v>
      </c>
      <c r="H1317" s="517">
        <v>2.0000009999999999E-3</v>
      </c>
      <c r="I1317" s="517">
        <v>1.5750005000000001E-2</v>
      </c>
      <c r="J1317" s="148">
        <v>1.2581788411388586E-3</v>
      </c>
      <c r="K1317" s="518">
        <v>5.4390628503566871E-5</v>
      </c>
      <c r="L1317" s="519">
        <v>5.6849937287037721E-5</v>
      </c>
    </row>
    <row r="1318" spans="1:12" ht="15.5" x14ac:dyDescent="0.35">
      <c r="A1318" s="143" t="s">
        <v>921</v>
      </c>
      <c r="B1318" s="229">
        <v>2028</v>
      </c>
      <c r="C1318" s="514" t="s">
        <v>2188</v>
      </c>
      <c r="D1318" s="515">
        <v>3.2206304333074975E-2</v>
      </c>
      <c r="E1318" s="516">
        <v>6.4195210514485148E-3</v>
      </c>
      <c r="F1318" s="145">
        <v>3.3487878297199479E-2</v>
      </c>
      <c r="G1318" s="145">
        <v>1.0911344138876541E-3</v>
      </c>
      <c r="H1318" s="517">
        <v>2.0000009999999999E-3</v>
      </c>
      <c r="I1318" s="517">
        <v>1.5750005000000001E-2</v>
      </c>
      <c r="J1318" s="148">
        <v>1.184708968550796E-3</v>
      </c>
      <c r="K1318" s="518">
        <v>4.718997579231516E-5</v>
      </c>
      <c r="L1318" s="519">
        <v>4.9323690565885144E-5</v>
      </c>
    </row>
    <row r="1319" spans="1:12" ht="15.5" x14ac:dyDescent="0.35">
      <c r="A1319" s="143" t="s">
        <v>921</v>
      </c>
      <c r="B1319" s="229">
        <v>2029</v>
      </c>
      <c r="C1319" s="514" t="s">
        <v>2189</v>
      </c>
      <c r="D1319" s="515">
        <v>3.1397686438933273E-2</v>
      </c>
      <c r="E1319" s="516">
        <v>5.7565997965875722E-3</v>
      </c>
      <c r="F1319" s="145">
        <v>3.0711113135154559E-2</v>
      </c>
      <c r="G1319" s="145">
        <v>1.0275234192368605E-3</v>
      </c>
      <c r="H1319" s="517">
        <v>2.0000009999999999E-3</v>
      </c>
      <c r="I1319" s="517">
        <v>1.5750005000000001E-2</v>
      </c>
      <c r="J1319" s="148">
        <v>1.1156879276703342E-3</v>
      </c>
      <c r="K1319" s="518">
        <v>4.337451744600493E-5</v>
      </c>
      <c r="L1319" s="519">
        <v>4.5335723488546097E-5</v>
      </c>
    </row>
    <row r="1320" spans="1:12" ht="15.5" x14ac:dyDescent="0.35">
      <c r="A1320" s="143" t="s">
        <v>921</v>
      </c>
      <c r="B1320" s="229">
        <v>2030</v>
      </c>
      <c r="C1320" s="514" t="s">
        <v>2190</v>
      </c>
      <c r="D1320" s="515">
        <v>3.0669460759957148E-2</v>
      </c>
      <c r="E1320" s="516">
        <v>5.1960958296898641E-3</v>
      </c>
      <c r="F1320" s="145">
        <v>2.8436406347929873E-2</v>
      </c>
      <c r="G1320" s="145">
        <v>9.6495044840416635E-4</v>
      </c>
      <c r="H1320" s="517">
        <v>2.0000009999999999E-3</v>
      </c>
      <c r="I1320" s="517">
        <v>1.5750005000000001E-2</v>
      </c>
      <c r="J1320" s="148">
        <v>1.0478516797029238E-3</v>
      </c>
      <c r="K1320" s="518">
        <v>3.8239684861378252E-5</v>
      </c>
      <c r="L1320" s="519">
        <v>3.9968712080083667E-5</v>
      </c>
    </row>
    <row r="1321" spans="1:12" ht="15.5" x14ac:dyDescent="0.35">
      <c r="A1321" s="143" t="s">
        <v>921</v>
      </c>
      <c r="B1321" s="229">
        <v>2031</v>
      </c>
      <c r="C1321" s="514" t="s">
        <v>2191</v>
      </c>
      <c r="D1321" s="515">
        <v>3.001598282708896E-2</v>
      </c>
      <c r="E1321" s="516">
        <v>4.7262940265708079E-3</v>
      </c>
      <c r="F1321" s="145">
        <v>2.6605459389781424E-2</v>
      </c>
      <c r="G1321" s="145">
        <v>9.0758826287142078E-4</v>
      </c>
      <c r="H1321" s="517">
        <v>2.0000009999999999E-3</v>
      </c>
      <c r="I1321" s="517">
        <v>1.5750005000000001E-2</v>
      </c>
      <c r="J1321" s="148">
        <v>9.8561132214728818E-4</v>
      </c>
      <c r="K1321" s="518">
        <v>3.4765684507850192E-5</v>
      </c>
      <c r="L1321" s="519">
        <v>3.6337635625718124E-5</v>
      </c>
    </row>
    <row r="1322" spans="1:12" ht="15.5" x14ac:dyDescent="0.35">
      <c r="A1322" s="143" t="s">
        <v>921</v>
      </c>
      <c r="B1322" s="229">
        <v>2032</v>
      </c>
      <c r="C1322" s="514" t="s">
        <v>2192</v>
      </c>
      <c r="D1322" s="515">
        <v>2.943243165838141E-2</v>
      </c>
      <c r="E1322" s="516">
        <v>4.3149829532275214E-3</v>
      </c>
      <c r="F1322" s="145">
        <v>2.5088852368660243E-2</v>
      </c>
      <c r="G1322" s="145">
        <v>8.535264984124532E-4</v>
      </c>
      <c r="H1322" s="517">
        <v>2.0000009999999999E-3</v>
      </c>
      <c r="I1322" s="517">
        <v>1.5750005000000001E-2</v>
      </c>
      <c r="J1322" s="148">
        <v>9.2695122526535788E-4</v>
      </c>
      <c r="K1322" s="518">
        <v>3.1536152168168912E-5</v>
      </c>
      <c r="L1322" s="519">
        <v>3.2962074058553215E-5</v>
      </c>
    </row>
    <row r="1323" spans="1:12" ht="15.5" x14ac:dyDescent="0.35">
      <c r="A1323" s="143" t="s">
        <v>921</v>
      </c>
      <c r="B1323" s="229">
        <v>2033</v>
      </c>
      <c r="C1323" s="514" t="s">
        <v>2193</v>
      </c>
      <c r="D1323" s="515">
        <v>2.8913406996985105E-2</v>
      </c>
      <c r="E1323" s="516">
        <v>3.9628972982400324E-3</v>
      </c>
      <c r="F1323" s="145">
        <v>2.3857858703360373E-2</v>
      </c>
      <c r="G1323" s="145">
        <v>8.0419579025437112E-4</v>
      </c>
      <c r="H1323" s="517">
        <v>2.0000010000000004E-3</v>
      </c>
      <c r="I1323" s="517">
        <v>1.5750005000000001E-2</v>
      </c>
      <c r="J1323" s="148">
        <v>8.7338828374353421E-4</v>
      </c>
      <c r="K1323" s="518">
        <v>2.9460512939634417E-5</v>
      </c>
      <c r="L1323" s="519">
        <v>3.0792587293477365E-5</v>
      </c>
    </row>
    <row r="1324" spans="1:12" ht="15.5" x14ac:dyDescent="0.35">
      <c r="A1324" s="143" t="s">
        <v>921</v>
      </c>
      <c r="B1324" s="229">
        <v>2034</v>
      </c>
      <c r="C1324" s="514" t="s">
        <v>2194</v>
      </c>
      <c r="D1324" s="515">
        <v>2.8453027390336817E-2</v>
      </c>
      <c r="E1324" s="516">
        <v>3.6499122289013926E-3</v>
      </c>
      <c r="F1324" s="145">
        <v>2.2830142633995316E-2</v>
      </c>
      <c r="G1324" s="145">
        <v>7.5815009734315629E-4</v>
      </c>
      <c r="H1324" s="517">
        <v>2.0000009999999995E-3</v>
      </c>
      <c r="I1324" s="517">
        <v>1.5750005000000001E-2</v>
      </c>
      <c r="J1324" s="148">
        <v>8.2338536331446959E-4</v>
      </c>
      <c r="K1324" s="518">
        <v>2.765257278156035E-5</v>
      </c>
      <c r="L1324" s="519">
        <v>2.8902899894965621E-5</v>
      </c>
    </row>
    <row r="1325" spans="1:12" ht="15.5" x14ac:dyDescent="0.35">
      <c r="A1325" s="143" t="s">
        <v>921</v>
      </c>
      <c r="B1325" s="229">
        <v>2035</v>
      </c>
      <c r="C1325" s="514" t="s">
        <v>2195</v>
      </c>
      <c r="D1325" s="515">
        <v>2.8046643965099396E-2</v>
      </c>
      <c r="E1325" s="516">
        <v>3.3690646140059188E-3</v>
      </c>
      <c r="F1325" s="145">
        <v>2.1967090612158069E-2</v>
      </c>
      <c r="G1325" s="145">
        <v>7.1522671996616255E-4</v>
      </c>
      <c r="H1325" s="517">
        <v>2.0000010000000004E-3</v>
      </c>
      <c r="I1325" s="517">
        <v>1.5750005000000001E-2</v>
      </c>
      <c r="J1325" s="148">
        <v>7.76772310584942E-4</v>
      </c>
      <c r="K1325" s="518">
        <v>2.600100905337021E-5</v>
      </c>
      <c r="L1325" s="519">
        <v>2.7176663608679965E-5</v>
      </c>
    </row>
    <row r="1326" spans="1:12" ht="15.5" x14ac:dyDescent="0.35">
      <c r="A1326" s="143" t="s">
        <v>921</v>
      </c>
      <c r="B1326" s="229">
        <v>2036</v>
      </c>
      <c r="C1326" s="514" t="s">
        <v>2196</v>
      </c>
      <c r="D1326" s="515">
        <v>2.76898729613415E-2</v>
      </c>
      <c r="E1326" s="516">
        <v>3.1234638573593093E-3</v>
      </c>
      <c r="F1326" s="145">
        <v>2.1253659670992679E-2</v>
      </c>
      <c r="G1326" s="145">
        <v>6.7722267339842838E-4</v>
      </c>
      <c r="H1326" s="517">
        <v>2.0000009999999995E-3</v>
      </c>
      <c r="I1326" s="517">
        <v>1.5750005000000001E-2</v>
      </c>
      <c r="J1326" s="148">
        <v>7.3550990626547225E-4</v>
      </c>
      <c r="K1326" s="518">
        <v>2.4334285253100364E-5</v>
      </c>
      <c r="L1326" s="519">
        <v>2.5434570398438037E-5</v>
      </c>
    </row>
    <row r="1327" spans="1:12" ht="15.5" x14ac:dyDescent="0.35">
      <c r="A1327" s="143" t="s">
        <v>921</v>
      </c>
      <c r="B1327" s="229">
        <v>2037</v>
      </c>
      <c r="C1327" s="514" t="s">
        <v>2197</v>
      </c>
      <c r="D1327" s="515">
        <v>2.7380638271553799E-2</v>
      </c>
      <c r="E1327" s="516">
        <v>2.9123777708948708E-3</v>
      </c>
      <c r="F1327" s="145">
        <v>2.067663262408051E-2</v>
      </c>
      <c r="G1327" s="145">
        <v>6.4306273530550075E-4</v>
      </c>
      <c r="H1327" s="517">
        <v>2.0000010000000004E-3</v>
      </c>
      <c r="I1327" s="517">
        <v>1.5750005000000001E-2</v>
      </c>
      <c r="J1327" s="148">
        <v>6.9841881145499426E-4</v>
      </c>
      <c r="K1327" s="518">
        <v>2.2894348432640804E-5</v>
      </c>
      <c r="L1327" s="519">
        <v>2.3929533599455502E-5</v>
      </c>
    </row>
    <row r="1328" spans="1:12" ht="15.5" x14ac:dyDescent="0.35">
      <c r="A1328" s="143" t="s">
        <v>921</v>
      </c>
      <c r="B1328" s="229">
        <v>2038</v>
      </c>
      <c r="C1328" s="514" t="s">
        <v>2198</v>
      </c>
      <c r="D1328" s="515">
        <v>2.7113608704974063E-2</v>
      </c>
      <c r="E1328" s="516">
        <v>2.7242672113293683E-3</v>
      </c>
      <c r="F1328" s="145">
        <v>2.0179928599487768E-2</v>
      </c>
      <c r="G1328" s="145">
        <v>6.1266793909357808E-4</v>
      </c>
      <c r="H1328" s="517">
        <v>2.0000010000000004E-3</v>
      </c>
      <c r="I1328" s="517">
        <v>1.5750005000000001E-2</v>
      </c>
      <c r="J1328" s="148">
        <v>6.654082011749255E-4</v>
      </c>
      <c r="K1328" s="518">
        <v>2.1794223569452907E-5</v>
      </c>
      <c r="L1328" s="519">
        <v>2.2779660124837625E-5</v>
      </c>
    </row>
    <row r="1329" spans="1:12" ht="15.5" x14ac:dyDescent="0.35">
      <c r="A1329" s="143" t="s">
        <v>921</v>
      </c>
      <c r="B1329" s="229">
        <v>2039</v>
      </c>
      <c r="C1329" s="514" t="s">
        <v>2199</v>
      </c>
      <c r="D1329" s="515">
        <v>2.6883435715116966E-2</v>
      </c>
      <c r="E1329" s="516">
        <v>2.5471439752470983E-3</v>
      </c>
      <c r="F1329" s="145">
        <v>1.97165726113347E-2</v>
      </c>
      <c r="G1329" s="145">
        <v>5.8557609040670901E-4</v>
      </c>
      <c r="H1329" s="517">
        <v>2.0000009999999999E-3</v>
      </c>
      <c r="I1329" s="517">
        <v>1.5750005000000001E-2</v>
      </c>
      <c r="J1329" s="148">
        <v>6.3598436581526635E-4</v>
      </c>
      <c r="K1329" s="518">
        <v>2.0833768756470789E-5</v>
      </c>
      <c r="L1329" s="519">
        <v>2.1775774584854174E-5</v>
      </c>
    </row>
    <row r="1330" spans="1:12" ht="15.5" x14ac:dyDescent="0.35">
      <c r="A1330" s="143" t="s">
        <v>921</v>
      </c>
      <c r="B1330" s="229">
        <v>2040</v>
      </c>
      <c r="C1330" s="514" t="s">
        <v>2200</v>
      </c>
      <c r="D1330" s="515">
        <v>2.668635552226049E-2</v>
      </c>
      <c r="E1330" s="516">
        <v>2.3880701646781942E-3</v>
      </c>
      <c r="F1330" s="145">
        <v>1.9327774122211826E-2</v>
      </c>
      <c r="G1330" s="145">
        <v>5.6172462914733372E-4</v>
      </c>
      <c r="H1330" s="517">
        <v>2.0000009999999999E-3</v>
      </c>
      <c r="I1330" s="517">
        <v>1.5750005000000004E-2</v>
      </c>
      <c r="J1330" s="148">
        <v>6.1007729308214264E-4</v>
      </c>
      <c r="K1330" s="518">
        <v>2.0046347771441972E-5</v>
      </c>
      <c r="L1330" s="519">
        <v>2.0952750958959868E-5</v>
      </c>
    </row>
    <row r="1331" spans="1:12" ht="15.5" x14ac:dyDescent="0.35">
      <c r="A1331" s="143" t="s">
        <v>921</v>
      </c>
      <c r="B1331" s="229">
        <v>2041</v>
      </c>
      <c r="C1331" s="514" t="s">
        <v>2201</v>
      </c>
      <c r="D1331" s="515">
        <v>2.6520089684295974E-2</v>
      </c>
      <c r="E1331" s="516">
        <v>2.2550135267694052E-3</v>
      </c>
      <c r="F1331" s="145">
        <v>1.9013762996805808E-2</v>
      </c>
      <c r="G1331" s="145">
        <v>5.4251555813537335E-4</v>
      </c>
      <c r="H1331" s="517">
        <v>2.0000009999999999E-3</v>
      </c>
      <c r="I1331" s="517">
        <v>1.5750005000000001E-2</v>
      </c>
      <c r="J1331" s="148">
        <v>5.8921467698242196E-4</v>
      </c>
      <c r="K1331" s="518">
        <v>1.9366535975114064E-5</v>
      </c>
      <c r="L1331" s="519">
        <v>2.024220452256329E-5</v>
      </c>
    </row>
    <row r="1332" spans="1:12" ht="15.5" x14ac:dyDescent="0.35">
      <c r="A1332" s="143" t="s">
        <v>921</v>
      </c>
      <c r="B1332" s="229">
        <v>2042</v>
      </c>
      <c r="C1332" s="514" t="s">
        <v>2202</v>
      </c>
      <c r="D1332" s="515">
        <v>2.6377778084098073E-2</v>
      </c>
      <c r="E1332" s="516">
        <v>2.1403446647509069E-3</v>
      </c>
      <c r="F1332" s="145">
        <v>1.8736530001898507E-2</v>
      </c>
      <c r="G1332" s="145">
        <v>5.2603930001285588E-4</v>
      </c>
      <c r="H1332" s="517">
        <v>2.0000009999999999E-3</v>
      </c>
      <c r="I1332" s="517">
        <v>1.5750005000000004E-2</v>
      </c>
      <c r="J1332" s="148">
        <v>5.7131951643718461E-4</v>
      </c>
      <c r="K1332" s="518">
        <v>1.8798699634781118E-5</v>
      </c>
      <c r="L1332" s="519">
        <v>1.9648695720921244E-5</v>
      </c>
    </row>
    <row r="1333" spans="1:12" ht="15.5" x14ac:dyDescent="0.35">
      <c r="A1333" s="143" t="s">
        <v>921</v>
      </c>
      <c r="B1333" s="229">
        <v>2043</v>
      </c>
      <c r="C1333" s="514" t="s">
        <v>2203</v>
      </c>
      <c r="D1333" s="515">
        <v>2.6258155853205813E-2</v>
      </c>
      <c r="E1333" s="516">
        <v>2.0545518179778733E-3</v>
      </c>
      <c r="F1333" s="145">
        <v>1.8536463138971341E-2</v>
      </c>
      <c r="G1333" s="145">
        <v>5.1202012811393371E-4</v>
      </c>
      <c r="H1333" s="517">
        <v>2.0000009999999995E-3</v>
      </c>
      <c r="I1333" s="517">
        <v>1.5750004999999997E-2</v>
      </c>
      <c r="J1333" s="148">
        <v>5.5609234018410485E-4</v>
      </c>
      <c r="K1333" s="518">
        <v>1.8330098673146957E-5</v>
      </c>
      <c r="L1333" s="519">
        <v>1.9158908720790092E-5</v>
      </c>
    </row>
    <row r="1334" spans="1:12" ht="15.5" x14ac:dyDescent="0.35">
      <c r="A1334" s="143" t="s">
        <v>921</v>
      </c>
      <c r="B1334" s="229">
        <v>2044</v>
      </c>
      <c r="C1334" s="514" t="s">
        <v>2204</v>
      </c>
      <c r="D1334" s="515">
        <v>2.6156492886605209E-2</v>
      </c>
      <c r="E1334" s="516">
        <v>1.9940111359815294E-3</v>
      </c>
      <c r="F1334" s="145">
        <v>1.8400390989547166E-2</v>
      </c>
      <c r="G1334" s="145">
        <v>5.0018056013846721E-4</v>
      </c>
      <c r="H1334" s="517">
        <v>2.0000009999999995E-3</v>
      </c>
      <c r="I1334" s="517">
        <v>1.5750004999999997E-2</v>
      </c>
      <c r="J1334" s="148">
        <v>5.432327556632241E-4</v>
      </c>
      <c r="K1334" s="518">
        <v>1.7918319350456517E-5</v>
      </c>
      <c r="L1334" s="519">
        <v>1.8728508924456638E-5</v>
      </c>
    </row>
    <row r="1335" spans="1:12" ht="15.5" x14ac:dyDescent="0.35">
      <c r="A1335" s="143" t="s">
        <v>921</v>
      </c>
      <c r="B1335" s="229">
        <v>2045</v>
      </c>
      <c r="C1335" s="514" t="s">
        <v>2205</v>
      </c>
      <c r="D1335" s="515">
        <v>2.6068311986896735E-2</v>
      </c>
      <c r="E1335" s="516">
        <v>1.9567523836008993E-3</v>
      </c>
      <c r="F1335" s="145">
        <v>1.832881853030869E-2</v>
      </c>
      <c r="G1335" s="145">
        <v>4.9034525050514852E-4</v>
      </c>
      <c r="H1335" s="517">
        <v>2.0000009999999999E-3</v>
      </c>
      <c r="I1335" s="517">
        <v>1.5750004999999997E-2</v>
      </c>
      <c r="J1335" s="148">
        <v>5.3254774188643767E-4</v>
      </c>
      <c r="K1335" s="518">
        <v>1.7651584145980963E-5</v>
      </c>
      <c r="L1335" s="519">
        <v>1.8449713216695595E-5</v>
      </c>
    </row>
    <row r="1336" spans="1:12" ht="15.5" x14ac:dyDescent="0.35">
      <c r="A1336" s="143" t="s">
        <v>921</v>
      </c>
      <c r="B1336" s="229">
        <v>2046</v>
      </c>
      <c r="C1336" s="514" t="s">
        <v>2206</v>
      </c>
      <c r="D1336" s="515">
        <v>2.599251306868422E-2</v>
      </c>
      <c r="E1336" s="516">
        <v>1.9255379183705378E-3</v>
      </c>
      <c r="F1336" s="145">
        <v>1.8271337528683006E-2</v>
      </c>
      <c r="G1336" s="145">
        <v>4.8216832906090493E-4</v>
      </c>
      <c r="H1336" s="517">
        <v>2.0000009999999999E-3</v>
      </c>
      <c r="I1336" s="517">
        <v>1.5750004999999997E-2</v>
      </c>
      <c r="J1336" s="148">
        <v>5.2366444748543181E-4</v>
      </c>
      <c r="K1336" s="518">
        <v>1.7405640741758506E-5</v>
      </c>
      <c r="L1336" s="519">
        <v>1.8192647495389721E-5</v>
      </c>
    </row>
    <row r="1337" spans="1:12" ht="15.5" x14ac:dyDescent="0.35">
      <c r="A1337" s="143" t="s">
        <v>921</v>
      </c>
      <c r="B1337" s="229">
        <v>2047</v>
      </c>
      <c r="C1337" s="514" t="s">
        <v>2207</v>
      </c>
      <c r="D1337" s="515">
        <v>2.5929842380306017E-2</v>
      </c>
      <c r="E1337" s="516">
        <v>1.8999643472000856E-3</v>
      </c>
      <c r="F1337" s="145">
        <v>1.8224803335100903E-2</v>
      </c>
      <c r="G1337" s="145">
        <v>4.7548080478688586E-4</v>
      </c>
      <c r="H1337" s="517">
        <v>2.0000009999999999E-3</v>
      </c>
      <c r="I1337" s="517">
        <v>1.5750005000000001E-2</v>
      </c>
      <c r="J1337" s="148">
        <v>5.1640049447914077E-4</v>
      </c>
      <c r="K1337" s="518">
        <v>1.7170719396741386E-5</v>
      </c>
      <c r="L1337" s="519">
        <v>1.7947095783670528E-5</v>
      </c>
    </row>
    <row r="1338" spans="1:12" ht="15.5" x14ac:dyDescent="0.35">
      <c r="A1338" s="143" t="s">
        <v>921</v>
      </c>
      <c r="B1338" s="229">
        <v>2048</v>
      </c>
      <c r="C1338" s="514" t="s">
        <v>2208</v>
      </c>
      <c r="D1338" s="515">
        <v>2.5877127347133634E-2</v>
      </c>
      <c r="E1338" s="516">
        <v>1.8801916942212797E-3</v>
      </c>
      <c r="F1338" s="145">
        <v>1.8192057817767445E-2</v>
      </c>
      <c r="G1338" s="145">
        <v>4.7006219606569589E-4</v>
      </c>
      <c r="H1338" s="517">
        <v>2.0000009999999999E-3</v>
      </c>
      <c r="I1338" s="517">
        <v>1.5750004999999997E-2</v>
      </c>
      <c r="J1338" s="148">
        <v>5.1051695128594013E-4</v>
      </c>
      <c r="K1338" s="518">
        <v>1.6955728903292416E-5</v>
      </c>
      <c r="L1338" s="519">
        <v>1.7722390620963585E-5</v>
      </c>
    </row>
    <row r="1339" spans="1:12" ht="15.5" x14ac:dyDescent="0.35">
      <c r="A1339" s="143" t="s">
        <v>921</v>
      </c>
      <c r="B1339" s="229">
        <v>2049</v>
      </c>
      <c r="C1339" s="514" t="s">
        <v>2209</v>
      </c>
      <c r="D1339" s="515">
        <v>2.5832013580301214E-2</v>
      </c>
      <c r="E1339" s="516">
        <v>1.8708943021429692E-3</v>
      </c>
      <c r="F1339" s="145">
        <v>1.8211250260123976E-2</v>
      </c>
      <c r="G1339" s="145">
        <v>4.663658143230028E-4</v>
      </c>
      <c r="H1339" s="517">
        <v>2.0000010000000008E-3</v>
      </c>
      <c r="I1339" s="517">
        <v>1.5750005000000001E-2</v>
      </c>
      <c r="J1339" s="148">
        <v>5.0650162214011408E-4</v>
      </c>
      <c r="K1339" s="518">
        <v>1.6843190805370803E-5</v>
      </c>
      <c r="L1339" s="519">
        <v>1.7604757621468995E-5</v>
      </c>
    </row>
    <row r="1340" spans="1:12" ht="15.5" x14ac:dyDescent="0.35">
      <c r="A1340" s="143" t="s">
        <v>921</v>
      </c>
      <c r="B1340" s="229">
        <v>2050</v>
      </c>
      <c r="C1340" s="514" t="s">
        <v>2210</v>
      </c>
      <c r="D1340" s="515">
        <v>2.5795992311868448E-2</v>
      </c>
      <c r="E1340" s="516">
        <v>1.8635832320299691E-3</v>
      </c>
      <c r="F1340" s="145">
        <v>1.8228823249386066E-2</v>
      </c>
      <c r="G1340" s="145">
        <v>4.6344636151376473E-4</v>
      </c>
      <c r="H1340" s="517">
        <v>2.0000009999999995E-3</v>
      </c>
      <c r="I1340" s="517">
        <v>1.5750005000000001E-2</v>
      </c>
      <c r="J1340" s="148">
        <v>5.0333201643250585E-4</v>
      </c>
      <c r="K1340" s="518">
        <v>1.6721068117648042E-5</v>
      </c>
      <c r="L1340" s="519">
        <v>1.7477118834724876E-5</v>
      </c>
    </row>
    <row r="1341" spans="1:12" ht="15.5" x14ac:dyDescent="0.35">
      <c r="A1341" s="143" t="s">
        <v>924</v>
      </c>
      <c r="B1341" s="229">
        <v>2015</v>
      </c>
      <c r="C1341" s="514" t="s">
        <v>925</v>
      </c>
      <c r="D1341" s="515">
        <v>4.6251531514556625E-2</v>
      </c>
      <c r="E1341" s="516">
        <v>5.0667315553370784E-2</v>
      </c>
      <c r="F1341" s="145">
        <v>0.19249024415386345</v>
      </c>
      <c r="G1341" s="145">
        <v>1.7887906180706035E-3</v>
      </c>
      <c r="H1341" s="517">
        <v>2.0000010000000004E-3</v>
      </c>
      <c r="I1341" s="517">
        <v>1.5750005000000001E-2</v>
      </c>
      <c r="J1341" s="148">
        <v>1.9368151089167876E-3</v>
      </c>
      <c r="K1341" s="518">
        <v>1.1546152858667149E-4</v>
      </c>
      <c r="L1341" s="519">
        <v>1.2068218650555431E-4</v>
      </c>
    </row>
    <row r="1342" spans="1:12" ht="15.5" x14ac:dyDescent="0.35">
      <c r="A1342" s="143" t="s">
        <v>924</v>
      </c>
      <c r="B1342" s="229">
        <v>2016</v>
      </c>
      <c r="C1342" s="514" t="s">
        <v>926</v>
      </c>
      <c r="D1342" s="515">
        <v>4.5434103373794291E-2</v>
      </c>
      <c r="E1342" s="516">
        <v>4.1843373656335565E-2</v>
      </c>
      <c r="F1342" s="145">
        <v>0.16400161497091775</v>
      </c>
      <c r="G1342" s="145">
        <v>1.6951215882528463E-3</v>
      </c>
      <c r="H1342" s="517">
        <v>2.0000009999999995E-3</v>
      </c>
      <c r="I1342" s="517">
        <v>1.5750005000000001E-2</v>
      </c>
      <c r="J1342" s="148">
        <v>1.8367943786237577E-3</v>
      </c>
      <c r="K1342" s="518">
        <v>9.9613445435502349E-5</v>
      </c>
      <c r="L1342" s="519">
        <v>1.0411752259720872E-4</v>
      </c>
    </row>
    <row r="1343" spans="1:12" ht="15.5" x14ac:dyDescent="0.35">
      <c r="A1343" s="143" t="s">
        <v>924</v>
      </c>
      <c r="B1343" s="229">
        <v>2017</v>
      </c>
      <c r="C1343" s="514" t="s">
        <v>2211</v>
      </c>
      <c r="D1343" s="515">
        <v>4.4426908733121863E-2</v>
      </c>
      <c r="E1343" s="516">
        <v>3.4733976521139631E-2</v>
      </c>
      <c r="F1343" s="145">
        <v>0.13990607138838665</v>
      </c>
      <c r="G1343" s="145">
        <v>1.6509178318590224E-3</v>
      </c>
      <c r="H1343" s="517">
        <v>2.0000009999999999E-3</v>
      </c>
      <c r="I1343" s="517">
        <v>1.5750005000000004E-2</v>
      </c>
      <c r="J1343" s="148">
        <v>1.7899497530470332E-3</v>
      </c>
      <c r="K1343" s="518">
        <v>9.0735535532039712E-5</v>
      </c>
      <c r="L1343" s="519">
        <v>9.4838195184734493E-5</v>
      </c>
    </row>
    <row r="1344" spans="1:12" ht="15.5" x14ac:dyDescent="0.35">
      <c r="A1344" s="143" t="s">
        <v>924</v>
      </c>
      <c r="B1344" s="229">
        <v>2018</v>
      </c>
      <c r="C1344" s="514" t="s">
        <v>2212</v>
      </c>
      <c r="D1344" s="515">
        <v>4.3351846070796826E-2</v>
      </c>
      <c r="E1344" s="516">
        <v>2.8597075809692209E-2</v>
      </c>
      <c r="F1344" s="145">
        <v>0.11914598324037461</v>
      </c>
      <c r="G1344" s="145">
        <v>1.6343193947425539E-3</v>
      </c>
      <c r="H1344" s="517">
        <v>2.0000009999999999E-3</v>
      </c>
      <c r="I1344" s="517">
        <v>1.5750005000000001E-2</v>
      </c>
      <c r="J1344" s="148">
        <v>1.7729006371457257E-3</v>
      </c>
      <c r="K1344" s="518">
        <v>8.3908701903546458E-5</v>
      </c>
      <c r="L1344" s="519">
        <v>8.7702683826828748E-5</v>
      </c>
    </row>
    <row r="1345" spans="1:12" ht="15.5" x14ac:dyDescent="0.35">
      <c r="A1345" s="143" t="s">
        <v>924</v>
      </c>
      <c r="B1345" s="229">
        <v>2019</v>
      </c>
      <c r="C1345" s="514" t="s">
        <v>2213</v>
      </c>
      <c r="D1345" s="515">
        <v>4.2221821996479329E-2</v>
      </c>
      <c r="E1345" s="516">
        <v>2.3409743966763982E-2</v>
      </c>
      <c r="F1345" s="145">
        <v>0.10159454588294453</v>
      </c>
      <c r="G1345" s="145">
        <v>1.6083218720619006E-3</v>
      </c>
      <c r="H1345" s="517">
        <v>2.0000010000000004E-3</v>
      </c>
      <c r="I1345" s="517">
        <v>1.5750005000000001E-2</v>
      </c>
      <c r="J1345" s="148">
        <v>1.7453866584034609E-3</v>
      </c>
      <c r="K1345" s="518">
        <v>7.7583442906164387E-5</v>
      </c>
      <c r="L1345" s="519">
        <v>8.1091417022098521E-5</v>
      </c>
    </row>
    <row r="1346" spans="1:12" ht="15.5" x14ac:dyDescent="0.35">
      <c r="A1346" s="143" t="s">
        <v>924</v>
      </c>
      <c r="B1346" s="229">
        <v>2020</v>
      </c>
      <c r="C1346" s="514" t="s">
        <v>2214</v>
      </c>
      <c r="D1346" s="515">
        <v>4.1058461650947897E-2</v>
      </c>
      <c r="E1346" s="516">
        <v>1.9754397789092441E-2</v>
      </c>
      <c r="F1346" s="145">
        <v>8.731201150956848E-2</v>
      </c>
      <c r="G1346" s="145">
        <v>1.5686806449658453E-3</v>
      </c>
      <c r="H1346" s="517">
        <v>2.0000010000000004E-3</v>
      </c>
      <c r="I1346" s="517">
        <v>1.5750004999999997E-2</v>
      </c>
      <c r="J1346" s="148">
        <v>1.7026466434356328E-3</v>
      </c>
      <c r="K1346" s="518">
        <v>7.3241597703551677E-5</v>
      </c>
      <c r="L1346" s="519">
        <v>7.6553259460331662E-5</v>
      </c>
    </row>
    <row r="1347" spans="1:12" ht="15.5" x14ac:dyDescent="0.35">
      <c r="A1347" s="143" t="s">
        <v>924</v>
      </c>
      <c r="B1347" s="229">
        <v>2021</v>
      </c>
      <c r="C1347" s="514" t="s">
        <v>2215</v>
      </c>
      <c r="D1347" s="515">
        <v>3.9865267180318263E-2</v>
      </c>
      <c r="E1347" s="516">
        <v>1.7025215112027741E-2</v>
      </c>
      <c r="F1347" s="145">
        <v>7.5465194088117804E-2</v>
      </c>
      <c r="G1347" s="145">
        <v>1.5036142312372608E-3</v>
      </c>
      <c r="H1347" s="517">
        <v>2.0000009999999999E-3</v>
      </c>
      <c r="I1347" s="517">
        <v>1.5750004999999997E-2</v>
      </c>
      <c r="J1347" s="148">
        <v>1.6322109588323567E-3</v>
      </c>
      <c r="K1347" s="518">
        <v>6.7861741648018599E-5</v>
      </c>
      <c r="L1347" s="519">
        <v>7.0930147149866809E-5</v>
      </c>
    </row>
    <row r="1348" spans="1:12" ht="15.5" x14ac:dyDescent="0.35">
      <c r="A1348" s="143" t="s">
        <v>924</v>
      </c>
      <c r="B1348" s="229">
        <v>2022</v>
      </c>
      <c r="C1348" s="514" t="s">
        <v>2216</v>
      </c>
      <c r="D1348" s="515">
        <v>3.8675546200384693E-2</v>
      </c>
      <c r="E1348" s="516">
        <v>1.4304732952070036E-2</v>
      </c>
      <c r="F1348" s="145">
        <v>6.5140557065695118E-2</v>
      </c>
      <c r="G1348" s="145">
        <v>1.424836609913768E-3</v>
      </c>
      <c r="H1348" s="517">
        <v>2.0000010000000004E-3</v>
      </c>
      <c r="I1348" s="517">
        <v>1.5750005000000001E-2</v>
      </c>
      <c r="J1348" s="148">
        <v>1.5469148531850406E-3</v>
      </c>
      <c r="K1348" s="518">
        <v>6.2793287127729016E-5</v>
      </c>
      <c r="L1348" s="519">
        <v>6.5632521578014351E-5</v>
      </c>
    </row>
    <row r="1349" spans="1:12" ht="15.5" x14ac:dyDescent="0.35">
      <c r="A1349" s="143" t="s">
        <v>924</v>
      </c>
      <c r="B1349" s="229">
        <v>2023</v>
      </c>
      <c r="C1349" s="514" t="s">
        <v>2217</v>
      </c>
      <c r="D1349" s="515">
        <v>3.7489910554870817E-2</v>
      </c>
      <c r="E1349" s="516">
        <v>1.2377310476556201E-2</v>
      </c>
      <c r="F1349" s="145">
        <v>5.6888835974073203E-2</v>
      </c>
      <c r="G1349" s="145">
        <v>1.3539775079458678E-3</v>
      </c>
      <c r="H1349" s="517">
        <v>2.0000009999999999E-3</v>
      </c>
      <c r="I1349" s="517">
        <v>1.5750005000000001E-2</v>
      </c>
      <c r="J1349" s="148">
        <v>1.4700986506289001E-3</v>
      </c>
      <c r="K1349" s="518">
        <v>5.7575141526191879E-5</v>
      </c>
      <c r="L1349" s="519">
        <v>6.0178434273874591E-5</v>
      </c>
    </row>
    <row r="1350" spans="1:12" ht="15.5" x14ac:dyDescent="0.35">
      <c r="A1350" s="143" t="s">
        <v>924</v>
      </c>
      <c r="B1350" s="229">
        <v>2024</v>
      </c>
      <c r="C1350" s="514" t="s">
        <v>2218</v>
      </c>
      <c r="D1350" s="515">
        <v>3.6317207686506599E-2</v>
      </c>
      <c r="E1350" s="516">
        <v>1.094140515296373E-2</v>
      </c>
      <c r="F1350" s="145">
        <v>5.0176000565411737E-2</v>
      </c>
      <c r="G1350" s="145">
        <v>1.3137252177227144E-3</v>
      </c>
      <c r="H1350" s="517">
        <v>2.0000009999999999E-3</v>
      </c>
      <c r="I1350" s="517">
        <v>1.5750005000000001E-2</v>
      </c>
      <c r="J1350" s="148">
        <v>1.4265755256503939E-3</v>
      </c>
      <c r="K1350" s="518">
        <v>5.2149548362141866E-5</v>
      </c>
      <c r="L1350" s="519">
        <v>5.4507515305158175E-5</v>
      </c>
    </row>
    <row r="1351" spans="1:12" ht="15.5" x14ac:dyDescent="0.35">
      <c r="A1351" s="143" t="s">
        <v>924</v>
      </c>
      <c r="B1351" s="229">
        <v>2025</v>
      </c>
      <c r="C1351" s="514" t="s">
        <v>2219</v>
      </c>
      <c r="D1351" s="515">
        <v>3.5164276161777253E-2</v>
      </c>
      <c r="E1351" s="516">
        <v>9.5892350141380603E-3</v>
      </c>
      <c r="F1351" s="145">
        <v>4.463935174973066E-2</v>
      </c>
      <c r="G1351" s="145">
        <v>1.2600260843241753E-3</v>
      </c>
      <c r="H1351" s="517">
        <v>2.0000009999999999E-3</v>
      </c>
      <c r="I1351" s="517">
        <v>1.5750005000000004E-2</v>
      </c>
      <c r="J1351" s="148">
        <v>1.3683676352785976E-3</v>
      </c>
      <c r="K1351" s="518">
        <v>4.7769189073618899E-5</v>
      </c>
      <c r="L1351" s="519">
        <v>4.9929095840661636E-5</v>
      </c>
    </row>
    <row r="1352" spans="1:12" ht="15.5" x14ac:dyDescent="0.35">
      <c r="A1352" s="143" t="s">
        <v>924</v>
      </c>
      <c r="B1352" s="229">
        <v>2026</v>
      </c>
      <c r="C1352" s="514" t="s">
        <v>2220</v>
      </c>
      <c r="D1352" s="515">
        <v>3.409070011004782E-2</v>
      </c>
      <c r="E1352" s="516">
        <v>8.486082378548452E-3</v>
      </c>
      <c r="F1352" s="145">
        <v>4.0201780217120876E-2</v>
      </c>
      <c r="G1352" s="145">
        <v>1.2044444551441292E-3</v>
      </c>
      <c r="H1352" s="517">
        <v>2.0000009999999999E-3</v>
      </c>
      <c r="I1352" s="517">
        <v>1.5750005000000001E-2</v>
      </c>
      <c r="J1352" s="148">
        <v>1.308107136081639E-3</v>
      </c>
      <c r="K1352" s="518">
        <v>4.3324457687490779E-5</v>
      </c>
      <c r="L1352" s="519">
        <v>4.5283392936925205E-5</v>
      </c>
    </row>
    <row r="1353" spans="1:12" ht="15.5" x14ac:dyDescent="0.35">
      <c r="A1353" s="143" t="s">
        <v>924</v>
      </c>
      <c r="B1353" s="229">
        <v>2027</v>
      </c>
      <c r="C1353" s="514" t="s">
        <v>2221</v>
      </c>
      <c r="D1353" s="515">
        <v>3.3104293615048283E-2</v>
      </c>
      <c r="E1353" s="516">
        <v>7.5435768784200274E-3</v>
      </c>
      <c r="F1353" s="145">
        <v>3.6475023262284446E-2</v>
      </c>
      <c r="G1353" s="145">
        <v>1.1396964948331742E-3</v>
      </c>
      <c r="H1353" s="517">
        <v>2.0000009999999999E-3</v>
      </c>
      <c r="I1353" s="517">
        <v>1.5750005000000001E-2</v>
      </c>
      <c r="J1353" s="148">
        <v>1.2379282620267572E-3</v>
      </c>
      <c r="K1353" s="518">
        <v>3.765234911256008E-5</v>
      </c>
      <c r="L1353" s="519">
        <v>3.9354819276367135E-5</v>
      </c>
    </row>
    <row r="1354" spans="1:12" ht="15.5" x14ac:dyDescent="0.35">
      <c r="A1354" s="143" t="s">
        <v>924</v>
      </c>
      <c r="B1354" s="229">
        <v>2028</v>
      </c>
      <c r="C1354" s="514" t="s">
        <v>2222</v>
      </c>
      <c r="D1354" s="515">
        <v>3.2202351156422747E-2</v>
      </c>
      <c r="E1354" s="516">
        <v>6.7556864125444521E-3</v>
      </c>
      <c r="F1354" s="145">
        <v>3.3398382907259619E-2</v>
      </c>
      <c r="G1354" s="145">
        <v>1.069821316876039E-3</v>
      </c>
      <c r="H1354" s="517">
        <v>2.0000009999999999E-3</v>
      </c>
      <c r="I1354" s="517">
        <v>1.5750005000000001E-2</v>
      </c>
      <c r="J1354" s="148">
        <v>1.1621015242873603E-3</v>
      </c>
      <c r="K1354" s="518">
        <v>3.3667745564637908E-5</v>
      </c>
      <c r="L1354" s="519">
        <v>3.5190048859568274E-5</v>
      </c>
    </row>
    <row r="1355" spans="1:12" ht="15.5" x14ac:dyDescent="0.35">
      <c r="A1355" s="143" t="s">
        <v>924</v>
      </c>
      <c r="B1355" s="229">
        <v>2029</v>
      </c>
      <c r="C1355" s="514" t="s">
        <v>2223</v>
      </c>
      <c r="D1355" s="515">
        <v>3.1380952351740043E-2</v>
      </c>
      <c r="E1355" s="516">
        <v>6.0688395292723858E-3</v>
      </c>
      <c r="F1355" s="145">
        <v>3.0780734238455929E-2</v>
      </c>
      <c r="G1355" s="145">
        <v>1.0029944083432311E-3</v>
      </c>
      <c r="H1355" s="517">
        <v>2.0000009999999999E-3</v>
      </c>
      <c r="I1355" s="517">
        <v>1.5750005000000004E-2</v>
      </c>
      <c r="J1355" s="148">
        <v>1.0895587711428443E-3</v>
      </c>
      <c r="K1355" s="518">
        <v>3.0413335009273898E-5</v>
      </c>
      <c r="L1355" s="519">
        <v>3.1788491772766953E-5</v>
      </c>
    </row>
    <row r="1356" spans="1:12" ht="15.5" x14ac:dyDescent="0.35">
      <c r="A1356" s="143" t="s">
        <v>924</v>
      </c>
      <c r="B1356" s="229">
        <v>2030</v>
      </c>
      <c r="C1356" s="514" t="s">
        <v>2224</v>
      </c>
      <c r="D1356" s="515">
        <v>3.063542960248548E-2</v>
      </c>
      <c r="E1356" s="516">
        <v>5.4943770290695236E-3</v>
      </c>
      <c r="F1356" s="145">
        <v>2.8618624669771681E-2</v>
      </c>
      <c r="G1356" s="145">
        <v>9.4083624818230209E-4</v>
      </c>
      <c r="H1356" s="517">
        <v>2.0000009999999999E-3</v>
      </c>
      <c r="I1356" s="517">
        <v>1.5750005000000004E-2</v>
      </c>
      <c r="J1356" s="148">
        <v>1.0220659338525302E-3</v>
      </c>
      <c r="K1356" s="518">
        <v>2.7829970925696088E-5</v>
      </c>
      <c r="L1356" s="519">
        <v>2.9088318864116853E-5</v>
      </c>
    </row>
    <row r="1357" spans="1:12" ht="15.5" x14ac:dyDescent="0.35">
      <c r="A1357" s="143" t="s">
        <v>924</v>
      </c>
      <c r="B1357" s="229">
        <v>2031</v>
      </c>
      <c r="C1357" s="514" t="s">
        <v>2225</v>
      </c>
      <c r="D1357" s="515">
        <v>2.9961827366705777E-2</v>
      </c>
      <c r="E1357" s="516">
        <v>5.0343272315718831E-3</v>
      </c>
      <c r="F1357" s="145">
        <v>2.6808247201922555E-2</v>
      </c>
      <c r="G1357" s="145">
        <v>8.9039303005253106E-4</v>
      </c>
      <c r="H1357" s="517">
        <v>2.0000009999999995E-3</v>
      </c>
      <c r="I1357" s="517">
        <v>1.5750005000000001E-2</v>
      </c>
      <c r="J1357" s="148">
        <v>9.6726898046998479E-4</v>
      </c>
      <c r="K1357" s="518">
        <v>2.6305101101473483E-5</v>
      </c>
      <c r="L1357" s="519">
        <v>2.7494511132611776E-5</v>
      </c>
    </row>
    <row r="1358" spans="1:12" ht="15.5" x14ac:dyDescent="0.35">
      <c r="A1358" s="143" t="s">
        <v>924</v>
      </c>
      <c r="B1358" s="229">
        <v>2032</v>
      </c>
      <c r="C1358" s="514" t="s">
        <v>2226</v>
      </c>
      <c r="D1358" s="515">
        <v>2.9357544582911572E-2</v>
      </c>
      <c r="E1358" s="516">
        <v>4.5988343859265065E-3</v>
      </c>
      <c r="F1358" s="145">
        <v>2.5275931437430395E-2</v>
      </c>
      <c r="G1358" s="145">
        <v>8.3693484147150837E-4</v>
      </c>
      <c r="H1358" s="517">
        <v>2.0000009999999995E-3</v>
      </c>
      <c r="I1358" s="517">
        <v>1.5750005000000001E-2</v>
      </c>
      <c r="J1358" s="148">
        <v>9.0919624969330144E-4</v>
      </c>
      <c r="K1358" s="518">
        <v>2.469752318776044E-5</v>
      </c>
      <c r="L1358" s="519">
        <v>2.5814233697093775E-5</v>
      </c>
    </row>
    <row r="1359" spans="1:12" ht="15.5" x14ac:dyDescent="0.35">
      <c r="A1359" s="143" t="s">
        <v>924</v>
      </c>
      <c r="B1359" s="229">
        <v>2033</v>
      </c>
      <c r="C1359" s="514" t="s">
        <v>2227</v>
      </c>
      <c r="D1359" s="515">
        <v>2.8818385797641878E-2</v>
      </c>
      <c r="E1359" s="516">
        <v>4.2153851479363362E-3</v>
      </c>
      <c r="F1359" s="145">
        <v>2.3975134652876651E-2</v>
      </c>
      <c r="G1359" s="145">
        <v>7.8786773106109386E-4</v>
      </c>
      <c r="H1359" s="517">
        <v>2.0000009999999999E-3</v>
      </c>
      <c r="I1359" s="517">
        <v>1.5750005000000004E-2</v>
      </c>
      <c r="J1359" s="148">
        <v>8.5587857008659362E-4</v>
      </c>
      <c r="K1359" s="518">
        <v>2.3592853416686204E-5</v>
      </c>
      <c r="L1359" s="519">
        <v>2.4659616406254895E-5</v>
      </c>
    </row>
    <row r="1360" spans="1:12" ht="15.5" x14ac:dyDescent="0.35">
      <c r="A1360" s="143" t="s">
        <v>924</v>
      </c>
      <c r="B1360" s="229">
        <v>2034</v>
      </c>
      <c r="C1360" s="514" t="s">
        <v>2228</v>
      </c>
      <c r="D1360" s="515">
        <v>2.8336626045271093E-2</v>
      </c>
      <c r="E1360" s="516">
        <v>3.8710935034384588E-3</v>
      </c>
      <c r="F1360" s="145">
        <v>2.285985161612885E-2</v>
      </c>
      <c r="G1360" s="145">
        <v>7.4250647272891014E-4</v>
      </c>
      <c r="H1360" s="517">
        <v>2.0000009999999999E-3</v>
      </c>
      <c r="I1360" s="517">
        <v>1.5750005000000004E-2</v>
      </c>
      <c r="J1360" s="148">
        <v>8.0658871724870998E-4</v>
      </c>
      <c r="K1360" s="518">
        <v>2.2535957337093524E-5</v>
      </c>
      <c r="L1360" s="519">
        <v>2.3554929931301243E-5</v>
      </c>
    </row>
    <row r="1361" spans="1:12" ht="15.5" x14ac:dyDescent="0.35">
      <c r="A1361" s="143" t="s">
        <v>924</v>
      </c>
      <c r="B1361" s="229">
        <v>2035</v>
      </c>
      <c r="C1361" s="514" t="s">
        <v>2229</v>
      </c>
      <c r="D1361" s="515">
        <v>2.7910964161820571E-2</v>
      </c>
      <c r="E1361" s="516">
        <v>3.5713473744892481E-3</v>
      </c>
      <c r="F1361" s="145">
        <v>2.1943839181602094E-2</v>
      </c>
      <c r="G1361" s="145">
        <v>7.0124895639801018E-4</v>
      </c>
      <c r="H1361" s="517">
        <v>2.0000009999999999E-3</v>
      </c>
      <c r="I1361" s="517">
        <v>1.5750005000000001E-2</v>
      </c>
      <c r="J1361" s="148">
        <v>7.6175872990874799E-4</v>
      </c>
      <c r="K1361" s="518">
        <v>2.1554542488081211E-5</v>
      </c>
      <c r="L1361" s="519">
        <v>2.2529143404491861E-5</v>
      </c>
    </row>
    <row r="1362" spans="1:12" ht="15.5" x14ac:dyDescent="0.35">
      <c r="A1362" s="143" t="s">
        <v>924</v>
      </c>
      <c r="B1362" s="229">
        <v>2036</v>
      </c>
      <c r="C1362" s="514" t="s">
        <v>2230</v>
      </c>
      <c r="D1362" s="515">
        <v>2.7535538578785723E-2</v>
      </c>
      <c r="E1362" s="516">
        <v>3.3067929456903275E-3</v>
      </c>
      <c r="F1362" s="145">
        <v>2.1164444897618536E-2</v>
      </c>
      <c r="G1362" s="145">
        <v>6.6515904573167162E-4</v>
      </c>
      <c r="H1362" s="517">
        <v>2.0000009999999995E-3</v>
      </c>
      <c r="I1362" s="517">
        <v>1.5750005000000001E-2</v>
      </c>
      <c r="J1362" s="148">
        <v>7.2254568127705214E-4</v>
      </c>
      <c r="K1362" s="518">
        <v>2.0654361934319174E-5</v>
      </c>
      <c r="L1362" s="519">
        <v>2.1588263824293118E-5</v>
      </c>
    </row>
    <row r="1363" spans="1:12" ht="15.5" x14ac:dyDescent="0.35">
      <c r="A1363" s="143" t="s">
        <v>924</v>
      </c>
      <c r="B1363" s="229">
        <v>2037</v>
      </c>
      <c r="C1363" s="514" t="s">
        <v>2231</v>
      </c>
      <c r="D1363" s="515">
        <v>2.7209609948574399E-2</v>
      </c>
      <c r="E1363" s="516">
        <v>3.078742658050828E-3</v>
      </c>
      <c r="F1363" s="145">
        <v>2.0516499559393407E-2</v>
      </c>
      <c r="G1363" s="145">
        <v>6.3300681798970806E-4</v>
      </c>
      <c r="H1363" s="517">
        <v>2.0000010000000008E-3</v>
      </c>
      <c r="I1363" s="517">
        <v>1.5750005000000008E-2</v>
      </c>
      <c r="J1363" s="148">
        <v>6.8761090843764473E-4</v>
      </c>
      <c r="K1363" s="518">
        <v>1.9863378522738333E-5</v>
      </c>
      <c r="L1363" s="519">
        <v>2.0761516924198145E-5</v>
      </c>
    </row>
    <row r="1364" spans="1:12" ht="15.5" x14ac:dyDescent="0.35">
      <c r="A1364" s="143" t="s">
        <v>924</v>
      </c>
      <c r="B1364" s="229">
        <v>2038</v>
      </c>
      <c r="C1364" s="514" t="s">
        <v>2232</v>
      </c>
      <c r="D1364" s="515">
        <v>2.692700924453701E-2</v>
      </c>
      <c r="E1364" s="516">
        <v>2.8731523995665525E-3</v>
      </c>
      <c r="F1364" s="145">
        <v>1.9935467987276443E-2</v>
      </c>
      <c r="G1364" s="145">
        <v>6.0452785756421657E-4</v>
      </c>
      <c r="H1364" s="517">
        <v>2.0000009999999995E-3</v>
      </c>
      <c r="I1364" s="517">
        <v>1.5750004999999997E-2</v>
      </c>
      <c r="J1364" s="148">
        <v>6.5666550553583408E-4</v>
      </c>
      <c r="K1364" s="518">
        <v>1.9210567199566185E-5</v>
      </c>
      <c r="L1364" s="519">
        <v>2.0079184088935514E-5</v>
      </c>
    </row>
    <row r="1365" spans="1:12" ht="15.5" x14ac:dyDescent="0.35">
      <c r="A1365" s="143" t="s">
        <v>924</v>
      </c>
      <c r="B1365" s="229">
        <v>2039</v>
      </c>
      <c r="C1365" s="514" t="s">
        <v>2233</v>
      </c>
      <c r="D1365" s="515">
        <v>2.668255507101764E-2</v>
      </c>
      <c r="E1365" s="516">
        <v>2.679655555327625E-3</v>
      </c>
      <c r="F1365" s="145">
        <v>1.9391024302529508E-2</v>
      </c>
      <c r="G1365" s="145">
        <v>5.7938191507584476E-4</v>
      </c>
      <c r="H1365" s="517">
        <v>2.0000010000000004E-3</v>
      </c>
      <c r="I1365" s="517">
        <v>1.5750005000000004E-2</v>
      </c>
      <c r="J1365" s="148">
        <v>6.2934118410662779E-4</v>
      </c>
      <c r="K1365" s="518">
        <v>1.8637006755129911E-5</v>
      </c>
      <c r="L1365" s="519">
        <v>1.9479693362592833E-5</v>
      </c>
    </row>
    <row r="1366" spans="1:12" ht="15.5" x14ac:dyDescent="0.35">
      <c r="A1366" s="143" t="s">
        <v>924</v>
      </c>
      <c r="B1366" s="229">
        <v>2040</v>
      </c>
      <c r="C1366" s="514" t="s">
        <v>2234</v>
      </c>
      <c r="D1366" s="515">
        <v>2.6472164767552046E-2</v>
      </c>
      <c r="E1366" s="516">
        <v>2.5100151062697963E-3</v>
      </c>
      <c r="F1366" s="145">
        <v>1.8942860437647372E-2</v>
      </c>
      <c r="G1366" s="145">
        <v>5.57555423940462E-4</v>
      </c>
      <c r="H1366" s="517">
        <v>2.0000009999999995E-3</v>
      </c>
      <c r="I1366" s="517">
        <v>1.5750005000000001E-2</v>
      </c>
      <c r="J1366" s="148">
        <v>6.0562307392926376E-4</v>
      </c>
      <c r="K1366" s="518">
        <v>1.8144574637296037E-5</v>
      </c>
      <c r="L1366" s="519">
        <v>1.896499299870984E-5</v>
      </c>
    </row>
    <row r="1367" spans="1:12" ht="15.5" x14ac:dyDescent="0.35">
      <c r="A1367" s="143" t="s">
        <v>924</v>
      </c>
      <c r="B1367" s="229">
        <v>2041</v>
      </c>
      <c r="C1367" s="514" t="s">
        <v>2235</v>
      </c>
      <c r="D1367" s="515">
        <v>2.6294093990838006E-2</v>
      </c>
      <c r="E1367" s="516">
        <v>2.3813039985930689E-3</v>
      </c>
      <c r="F1367" s="145">
        <v>1.859970943964926E-2</v>
      </c>
      <c r="G1367" s="145">
        <v>5.4039265066986965E-4</v>
      </c>
      <c r="H1367" s="517">
        <v>2.0000009999999999E-3</v>
      </c>
      <c r="I1367" s="517">
        <v>1.5750005000000001E-2</v>
      </c>
      <c r="J1367" s="148">
        <v>5.8697497567921123E-4</v>
      </c>
      <c r="K1367" s="518">
        <v>1.7736142930118103E-5</v>
      </c>
      <c r="L1367" s="519">
        <v>1.8538092341108926E-5</v>
      </c>
    </row>
    <row r="1368" spans="1:12" ht="15.5" x14ac:dyDescent="0.35">
      <c r="A1368" s="143" t="s">
        <v>924</v>
      </c>
      <c r="B1368" s="229">
        <v>2042</v>
      </c>
      <c r="C1368" s="514" t="s">
        <v>2236</v>
      </c>
      <c r="D1368" s="515">
        <v>2.6140497371367425E-2</v>
      </c>
      <c r="E1368" s="516">
        <v>2.2695156892320197E-3</v>
      </c>
      <c r="F1368" s="145">
        <v>1.82772996259273E-2</v>
      </c>
      <c r="G1368" s="145">
        <v>5.2583991291184958E-4</v>
      </c>
      <c r="H1368" s="517">
        <v>2.0000009999999995E-3</v>
      </c>
      <c r="I1368" s="517">
        <v>1.5750005000000001E-2</v>
      </c>
      <c r="J1368" s="148">
        <v>5.7116170583975615E-4</v>
      </c>
      <c r="K1368" s="518">
        <v>1.7406741223676654E-5</v>
      </c>
      <c r="L1368" s="519">
        <v>1.8193795390083848E-5</v>
      </c>
    </row>
    <row r="1369" spans="1:12" ht="15.5" x14ac:dyDescent="0.35">
      <c r="A1369" s="143" t="s">
        <v>924</v>
      </c>
      <c r="B1369" s="229">
        <v>2043</v>
      </c>
      <c r="C1369" s="514" t="s">
        <v>2237</v>
      </c>
      <c r="D1369" s="515">
        <v>2.6010564391197817E-2</v>
      </c>
      <c r="E1369" s="516">
        <v>2.184791786820542E-3</v>
      </c>
      <c r="F1369" s="145">
        <v>1.8035885617733099E-2</v>
      </c>
      <c r="G1369" s="145">
        <v>5.1360583451104164E-4</v>
      </c>
      <c r="H1369" s="517">
        <v>2.0000010000000004E-3</v>
      </c>
      <c r="I1369" s="517">
        <v>1.5750005000000001E-2</v>
      </c>
      <c r="J1369" s="148">
        <v>5.5786659979135836E-4</v>
      </c>
      <c r="K1369" s="518">
        <v>1.7145381404784182E-5</v>
      </c>
      <c r="L1369" s="519">
        <v>1.792061474822751E-5</v>
      </c>
    </row>
    <row r="1370" spans="1:12" ht="15.5" x14ac:dyDescent="0.35">
      <c r="A1370" s="143" t="s">
        <v>924</v>
      </c>
      <c r="B1370" s="229">
        <v>2044</v>
      </c>
      <c r="C1370" s="514" t="s">
        <v>2238</v>
      </c>
      <c r="D1370" s="515">
        <v>2.5900403531509179E-2</v>
      </c>
      <c r="E1370" s="516">
        <v>2.1197374687840905E-3</v>
      </c>
      <c r="F1370" s="145">
        <v>1.7834120940775793E-2</v>
      </c>
      <c r="G1370" s="145">
        <v>5.0331280650830416E-4</v>
      </c>
      <c r="H1370" s="517">
        <v>2.0000009999999999E-3</v>
      </c>
      <c r="I1370" s="517">
        <v>1.5750005000000001E-2</v>
      </c>
      <c r="J1370" s="148">
        <v>5.4668082986468849E-4</v>
      </c>
      <c r="K1370" s="518">
        <v>1.693170367168531E-5</v>
      </c>
      <c r="L1370" s="519">
        <v>1.7697283810219365E-5</v>
      </c>
    </row>
    <row r="1371" spans="1:12" ht="15.5" x14ac:dyDescent="0.35">
      <c r="A1371" s="143" t="s">
        <v>924</v>
      </c>
      <c r="B1371" s="229">
        <v>2045</v>
      </c>
      <c r="C1371" s="514" t="s">
        <v>2239</v>
      </c>
      <c r="D1371" s="515">
        <v>2.5803767744538676E-2</v>
      </c>
      <c r="E1371" s="516">
        <v>2.0750693253797818E-3</v>
      </c>
      <c r="F1371" s="145">
        <v>1.7696784669929671E-2</v>
      </c>
      <c r="G1371" s="145">
        <v>4.947145441568017E-4</v>
      </c>
      <c r="H1371" s="517">
        <v>2.0000010000000004E-3</v>
      </c>
      <c r="I1371" s="517">
        <v>1.5750005000000004E-2</v>
      </c>
      <c r="J1371" s="148">
        <v>5.3733636849500428E-4</v>
      </c>
      <c r="K1371" s="518">
        <v>1.6770385632836872E-5</v>
      </c>
      <c r="L1371" s="519">
        <v>1.752865967607884E-5</v>
      </c>
    </row>
    <row r="1372" spans="1:12" ht="15.5" x14ac:dyDescent="0.35">
      <c r="A1372" s="143" t="s">
        <v>924</v>
      </c>
      <c r="B1372" s="229">
        <v>2046</v>
      </c>
      <c r="C1372" s="514" t="s">
        <v>2240</v>
      </c>
      <c r="D1372" s="515">
        <v>2.5722132253061424E-2</v>
      </c>
      <c r="E1372" s="516">
        <v>2.0366901363886767E-3</v>
      </c>
      <c r="F1372" s="145">
        <v>1.7585231586651342E-2</v>
      </c>
      <c r="G1372" s="145">
        <v>4.8762061290672914E-4</v>
      </c>
      <c r="H1372" s="517">
        <v>2.0000009999999999E-3</v>
      </c>
      <c r="I1372" s="517">
        <v>1.5750005000000001E-2</v>
      </c>
      <c r="J1372" s="148">
        <v>5.2962607053157933E-4</v>
      </c>
      <c r="K1372" s="518">
        <v>1.6640019086004305E-5</v>
      </c>
      <c r="L1372" s="519">
        <v>1.7392410223376751E-5</v>
      </c>
    </row>
    <row r="1373" spans="1:12" ht="15.5" x14ac:dyDescent="0.35">
      <c r="A1373" s="143" t="s">
        <v>924</v>
      </c>
      <c r="B1373" s="229">
        <v>2047</v>
      </c>
      <c r="C1373" s="514" t="s">
        <v>2241</v>
      </c>
      <c r="D1373" s="515">
        <v>2.565292275898199E-2</v>
      </c>
      <c r="E1373" s="516">
        <v>2.0020796564827535E-3</v>
      </c>
      <c r="F1373" s="145">
        <v>1.7477722755354277E-2</v>
      </c>
      <c r="G1373" s="145">
        <v>4.817883810593003E-4</v>
      </c>
      <c r="H1373" s="517">
        <v>2.0000009999999995E-3</v>
      </c>
      <c r="I1373" s="517">
        <v>1.5750004999999997E-2</v>
      </c>
      <c r="J1373" s="148">
        <v>5.2328802182508623E-4</v>
      </c>
      <c r="K1373" s="518">
        <v>1.6538978376162329E-5</v>
      </c>
      <c r="L1373" s="519">
        <v>1.7286798709974085E-5</v>
      </c>
    </row>
    <row r="1374" spans="1:12" ht="15.5" x14ac:dyDescent="0.35">
      <c r="A1374" s="143" t="s">
        <v>924</v>
      </c>
      <c r="B1374" s="229">
        <v>2048</v>
      </c>
      <c r="C1374" s="514" t="s">
        <v>2242</v>
      </c>
      <c r="D1374" s="515">
        <v>2.5593985458523788E-2</v>
      </c>
      <c r="E1374" s="516">
        <v>1.9735823509960614E-3</v>
      </c>
      <c r="F1374" s="145">
        <v>1.7385693338903326E-2</v>
      </c>
      <c r="G1374" s="145">
        <v>4.7698890808861724E-4</v>
      </c>
      <c r="H1374" s="517">
        <v>2.0000010000000004E-3</v>
      </c>
      <c r="I1374" s="517">
        <v>1.5750005000000001E-2</v>
      </c>
      <c r="J1374" s="148">
        <v>5.1807197431884213E-4</v>
      </c>
      <c r="K1374" s="518">
        <v>1.6451304654332827E-5</v>
      </c>
      <c r="L1374" s="519">
        <v>1.7195158074315424E-5</v>
      </c>
    </row>
    <row r="1375" spans="1:12" ht="15.5" x14ac:dyDescent="0.35">
      <c r="A1375" s="143" t="s">
        <v>924</v>
      </c>
      <c r="B1375" s="229">
        <v>2049</v>
      </c>
      <c r="C1375" s="514" t="s">
        <v>2243</v>
      </c>
      <c r="D1375" s="515">
        <v>2.5543414429396852E-2</v>
      </c>
      <c r="E1375" s="516">
        <v>1.9629832861767726E-3</v>
      </c>
      <c r="F1375" s="145">
        <v>1.7388575478465774E-2</v>
      </c>
      <c r="G1375" s="145">
        <v>4.7392385168398273E-4</v>
      </c>
      <c r="H1375" s="517">
        <v>2.0000009999999991E-3</v>
      </c>
      <c r="I1375" s="517">
        <v>1.5750004999999997E-2</v>
      </c>
      <c r="J1375" s="148">
        <v>5.1474057819660764E-4</v>
      </c>
      <c r="K1375" s="518">
        <v>1.6385911691306674E-5</v>
      </c>
      <c r="L1375" s="519">
        <v>1.7126801956496505E-5</v>
      </c>
    </row>
    <row r="1376" spans="1:12" ht="15.5" x14ac:dyDescent="0.35">
      <c r="A1376" s="143" t="s">
        <v>924</v>
      </c>
      <c r="B1376" s="229">
        <v>2050</v>
      </c>
      <c r="C1376" s="514" t="s">
        <v>2244</v>
      </c>
      <c r="D1376" s="515">
        <v>2.5501804824678832E-2</v>
      </c>
      <c r="E1376" s="516">
        <v>1.9546580942569605E-3</v>
      </c>
      <c r="F1376" s="145">
        <v>1.739381186953395E-2</v>
      </c>
      <c r="G1376" s="145">
        <v>4.7147165277957665E-4</v>
      </c>
      <c r="H1376" s="517">
        <v>2.0000009999999995E-3</v>
      </c>
      <c r="I1376" s="517">
        <v>1.5750004999999997E-2</v>
      </c>
      <c r="J1376" s="148">
        <v>5.1207656029128796E-4</v>
      </c>
      <c r="K1376" s="518">
        <v>1.6326643557091155E-5</v>
      </c>
      <c r="L1376" s="519">
        <v>1.7064862643662897E-5</v>
      </c>
    </row>
    <row r="1377" spans="1:12" ht="15.5" x14ac:dyDescent="0.35">
      <c r="A1377" s="143" t="s">
        <v>928</v>
      </c>
      <c r="B1377" s="229">
        <v>2015</v>
      </c>
      <c r="C1377" s="514" t="s">
        <v>929</v>
      </c>
      <c r="D1377" s="515">
        <v>4.8300995672682076E-2</v>
      </c>
      <c r="E1377" s="516">
        <v>4.3577524297083031E-2</v>
      </c>
      <c r="F1377" s="145">
        <v>0.16384107301584919</v>
      </c>
      <c r="G1377" s="145">
        <v>1.7919358750129266E-3</v>
      </c>
      <c r="H1377" s="517">
        <v>2.0000009999999999E-3</v>
      </c>
      <c r="I1377" s="517">
        <v>1.5750005000000004E-2</v>
      </c>
      <c r="J1377" s="148">
        <v>1.9393378550252194E-3</v>
      </c>
      <c r="K1377" s="518">
        <v>1.585483496907653E-4</v>
      </c>
      <c r="L1377" s="519">
        <v>1.6571719762669131E-4</v>
      </c>
    </row>
    <row r="1378" spans="1:12" ht="15.5" x14ac:dyDescent="0.35">
      <c r="A1378" s="143" t="s">
        <v>928</v>
      </c>
      <c r="B1378" s="229">
        <v>2016</v>
      </c>
      <c r="C1378" s="514" t="s">
        <v>930</v>
      </c>
      <c r="D1378" s="515">
        <v>4.7389717618855562E-2</v>
      </c>
      <c r="E1378" s="516">
        <v>3.6246820052449183E-2</v>
      </c>
      <c r="F1378" s="145">
        <v>0.13976161797703487</v>
      </c>
      <c r="G1378" s="145">
        <v>1.7240288078710351E-3</v>
      </c>
      <c r="H1378" s="517">
        <v>2.0000009999999999E-3</v>
      </c>
      <c r="I1378" s="517">
        <v>1.5750005000000001E-2</v>
      </c>
      <c r="J1378" s="148">
        <v>1.8672948511490467E-3</v>
      </c>
      <c r="K1378" s="518">
        <v>1.3695155728484242E-4</v>
      </c>
      <c r="L1378" s="519">
        <v>1.4314389530780972E-4</v>
      </c>
    </row>
    <row r="1379" spans="1:12" ht="15.5" x14ac:dyDescent="0.35">
      <c r="A1379" s="143" t="s">
        <v>928</v>
      </c>
      <c r="B1379" s="229">
        <v>2017</v>
      </c>
      <c r="C1379" s="514" t="s">
        <v>2245</v>
      </c>
      <c r="D1379" s="515">
        <v>4.6251626457771859E-2</v>
      </c>
      <c r="E1379" s="516">
        <v>3.0239007121928767E-2</v>
      </c>
      <c r="F1379" s="145">
        <v>0.11924646341627188</v>
      </c>
      <c r="G1379" s="145">
        <v>1.7002580370331646E-3</v>
      </c>
      <c r="H1379" s="517">
        <v>2.0000009999999999E-3</v>
      </c>
      <c r="I1379" s="517">
        <v>1.5750005000000001E-2</v>
      </c>
      <c r="J1379" s="148">
        <v>1.8426587070331174E-3</v>
      </c>
      <c r="K1379" s="518">
        <v>1.2371874319558977E-4</v>
      </c>
      <c r="L1379" s="519">
        <v>1.293127576733216E-4</v>
      </c>
    </row>
    <row r="1380" spans="1:12" ht="15.5" x14ac:dyDescent="0.35">
      <c r="A1380" s="143" t="s">
        <v>928</v>
      </c>
      <c r="B1380" s="229">
        <v>2018</v>
      </c>
      <c r="C1380" s="514" t="s">
        <v>2246</v>
      </c>
      <c r="D1380" s="515">
        <v>4.5072678191934397E-2</v>
      </c>
      <c r="E1380" s="516">
        <v>2.5113338490153386E-2</v>
      </c>
      <c r="F1380" s="145">
        <v>0.10165287590719763</v>
      </c>
      <c r="G1380" s="145">
        <v>1.7035545791888593E-3</v>
      </c>
      <c r="H1380" s="517">
        <v>2.0000009999999999E-3</v>
      </c>
      <c r="I1380" s="517">
        <v>1.5750004999999997E-2</v>
      </c>
      <c r="J1380" s="148">
        <v>1.8472349370467571E-3</v>
      </c>
      <c r="K1380" s="518">
        <v>1.1278933988767762E-4</v>
      </c>
      <c r="L1380" s="519">
        <v>1.1788916847100936E-4</v>
      </c>
    </row>
    <row r="1381" spans="1:12" ht="15.5" x14ac:dyDescent="0.35">
      <c r="A1381" s="143" t="s">
        <v>928</v>
      </c>
      <c r="B1381" s="229">
        <v>2019</v>
      </c>
      <c r="C1381" s="514" t="s">
        <v>2247</v>
      </c>
      <c r="D1381" s="515">
        <v>4.3842199661519268E-2</v>
      </c>
      <c r="E1381" s="516">
        <v>2.0877220169370436E-2</v>
      </c>
      <c r="F1381" s="145">
        <v>8.6906610547000399E-2</v>
      </c>
      <c r="G1381" s="145">
        <v>1.7094454058286645E-3</v>
      </c>
      <c r="H1381" s="517">
        <v>2.0000009999999999E-3</v>
      </c>
      <c r="I1381" s="517">
        <v>1.5750005000000001E-2</v>
      </c>
      <c r="J1381" s="148">
        <v>1.8544417860168738E-3</v>
      </c>
      <c r="K1381" s="518">
        <v>1.0307738838402274E-4</v>
      </c>
      <c r="L1381" s="519">
        <v>1.0773809073660096E-4</v>
      </c>
    </row>
    <row r="1382" spans="1:12" ht="15.5" x14ac:dyDescent="0.35">
      <c r="A1382" s="143" t="s">
        <v>928</v>
      </c>
      <c r="B1382" s="229">
        <v>2020</v>
      </c>
      <c r="C1382" s="514" t="s">
        <v>2248</v>
      </c>
      <c r="D1382" s="515">
        <v>4.2588061170798483E-2</v>
      </c>
      <c r="E1382" s="516">
        <v>1.7724325509344985E-2</v>
      </c>
      <c r="F1382" s="145">
        <v>7.4820577423199378E-2</v>
      </c>
      <c r="G1382" s="145">
        <v>1.6743987801388378E-3</v>
      </c>
      <c r="H1382" s="517">
        <v>2.0000009999999995E-3</v>
      </c>
      <c r="I1382" s="517">
        <v>1.5750005000000001E-2</v>
      </c>
      <c r="J1382" s="148">
        <v>1.816798772925336E-3</v>
      </c>
      <c r="K1382" s="518">
        <v>9.5221085029971008E-5</v>
      </c>
      <c r="L1382" s="519">
        <v>9.9526561664925719E-5</v>
      </c>
    </row>
    <row r="1383" spans="1:12" ht="15.5" x14ac:dyDescent="0.35">
      <c r="A1383" s="143" t="s">
        <v>928</v>
      </c>
      <c r="B1383" s="229">
        <v>2021</v>
      </c>
      <c r="C1383" s="514" t="s">
        <v>2249</v>
      </c>
      <c r="D1383" s="515">
        <v>4.1314240583857784E-2</v>
      </c>
      <c r="E1383" s="516">
        <v>1.540430087223674E-2</v>
      </c>
      <c r="F1383" s="145">
        <v>6.4848495951904991E-2</v>
      </c>
      <c r="G1383" s="145">
        <v>1.6097921421151819E-3</v>
      </c>
      <c r="H1383" s="517">
        <v>2.0000009999999999E-3</v>
      </c>
      <c r="I1383" s="517">
        <v>1.5750005000000001E-2</v>
      </c>
      <c r="J1383" s="148">
        <v>1.7469662987496272E-3</v>
      </c>
      <c r="K1383" s="518">
        <v>8.6703387084307573E-5</v>
      </c>
      <c r="L1383" s="519">
        <v>9.0623724326633045E-5</v>
      </c>
    </row>
    <row r="1384" spans="1:12" ht="15.5" x14ac:dyDescent="0.35">
      <c r="A1384" s="143" t="s">
        <v>928</v>
      </c>
      <c r="B1384" s="229">
        <v>2022</v>
      </c>
      <c r="C1384" s="514" t="s">
        <v>2250</v>
      </c>
      <c r="D1384" s="515">
        <v>4.0044323485534918E-2</v>
      </c>
      <c r="E1384" s="516">
        <v>1.3112943979192625E-2</v>
      </c>
      <c r="F1384" s="145">
        <v>5.6325773413730892E-2</v>
      </c>
      <c r="G1384" s="145">
        <v>1.5320142771967627E-3</v>
      </c>
      <c r="H1384" s="517">
        <v>2.0000009999999995E-3</v>
      </c>
      <c r="I1384" s="517">
        <v>1.5750005000000001E-2</v>
      </c>
      <c r="J1384" s="148">
        <v>1.6628271069872628E-3</v>
      </c>
      <c r="K1384" s="518">
        <v>7.8726050730124086E-5</v>
      </c>
      <c r="L1384" s="519">
        <v>8.2285695789515714E-5</v>
      </c>
    </row>
    <row r="1385" spans="1:12" ht="15.5" x14ac:dyDescent="0.35">
      <c r="A1385" s="143" t="s">
        <v>928</v>
      </c>
      <c r="B1385" s="229">
        <v>2023</v>
      </c>
      <c r="C1385" s="514" t="s">
        <v>2251</v>
      </c>
      <c r="D1385" s="515">
        <v>3.8792241019137627E-2</v>
      </c>
      <c r="E1385" s="516">
        <v>1.1426779057941329E-2</v>
      </c>
      <c r="F1385" s="145">
        <v>4.9476065175761884E-2</v>
      </c>
      <c r="G1385" s="145">
        <v>1.4634831728472973E-3</v>
      </c>
      <c r="H1385" s="517">
        <v>2.0000010000000004E-3</v>
      </c>
      <c r="I1385" s="517">
        <v>1.5750005000000001E-2</v>
      </c>
      <c r="J1385" s="148">
        <v>1.5886572685044243E-3</v>
      </c>
      <c r="K1385" s="518">
        <v>7.0599650983137871E-5</v>
      </c>
      <c r="L1385" s="519">
        <v>7.379184637538697E-5</v>
      </c>
    </row>
    <row r="1386" spans="1:12" ht="15.5" x14ac:dyDescent="0.35">
      <c r="A1386" s="143" t="s">
        <v>928</v>
      </c>
      <c r="B1386" s="229">
        <v>2024</v>
      </c>
      <c r="C1386" s="514" t="s">
        <v>2252</v>
      </c>
      <c r="D1386" s="515">
        <v>3.7560006165120285E-2</v>
      </c>
      <c r="E1386" s="516">
        <v>1.000992880256352E-2</v>
      </c>
      <c r="F1386" s="145">
        <v>4.38433325305711E-2</v>
      </c>
      <c r="G1386" s="145">
        <v>1.4026705392406547E-3</v>
      </c>
      <c r="H1386" s="517">
        <v>2.0000009999999999E-3</v>
      </c>
      <c r="I1386" s="517">
        <v>1.5750005000000001E-2</v>
      </c>
      <c r="J1386" s="148">
        <v>1.5228637971426756E-3</v>
      </c>
      <c r="K1386" s="518">
        <v>6.2827355209684827E-5</v>
      </c>
      <c r="L1386" s="519">
        <v>6.5668129046258551E-5</v>
      </c>
    </row>
    <row r="1387" spans="1:12" ht="15.5" x14ac:dyDescent="0.35">
      <c r="A1387" s="143" t="s">
        <v>928</v>
      </c>
      <c r="B1387" s="229">
        <v>2025</v>
      </c>
      <c r="C1387" s="514" t="s">
        <v>2253</v>
      </c>
      <c r="D1387" s="515">
        <v>3.6353883815801298E-2</v>
      </c>
      <c r="E1387" s="516">
        <v>8.8333205095306767E-3</v>
      </c>
      <c r="F1387" s="145">
        <v>3.9290843527275701E-2</v>
      </c>
      <c r="G1387" s="145">
        <v>1.3498162676515329E-3</v>
      </c>
      <c r="H1387" s="517">
        <v>2.0000009999999999E-3</v>
      </c>
      <c r="I1387" s="517">
        <v>1.5750005000000001E-2</v>
      </c>
      <c r="J1387" s="148">
        <v>1.4656534149496013E-3</v>
      </c>
      <c r="K1387" s="518">
        <v>5.650804705134752E-5</v>
      </c>
      <c r="L1387" s="519">
        <v>5.9063086889131408E-5</v>
      </c>
    </row>
    <row r="1388" spans="1:12" ht="15.5" x14ac:dyDescent="0.35">
      <c r="A1388" s="143" t="s">
        <v>928</v>
      </c>
      <c r="B1388" s="229">
        <v>2026</v>
      </c>
      <c r="C1388" s="514" t="s">
        <v>2254</v>
      </c>
      <c r="D1388" s="515">
        <v>3.5253093407672867E-2</v>
      </c>
      <c r="E1388" s="516">
        <v>7.8560143237252234E-3</v>
      </c>
      <c r="F1388" s="145">
        <v>3.5612191093060408E-2</v>
      </c>
      <c r="G1388" s="145">
        <v>1.2906064820572916E-3</v>
      </c>
      <c r="H1388" s="517">
        <v>2.0000009999999999E-3</v>
      </c>
      <c r="I1388" s="517">
        <v>1.5750005000000001E-2</v>
      </c>
      <c r="J1388" s="148">
        <v>1.4015247467070993E-3</v>
      </c>
      <c r="K1388" s="518">
        <v>5.019125477369847E-5</v>
      </c>
      <c r="L1388" s="519">
        <v>5.2460680521098324E-5</v>
      </c>
    </row>
    <row r="1389" spans="1:12" ht="15.5" x14ac:dyDescent="0.35">
      <c r="A1389" s="143" t="s">
        <v>928</v>
      </c>
      <c r="B1389" s="229">
        <v>2027</v>
      </c>
      <c r="C1389" s="514" t="s">
        <v>2255</v>
      </c>
      <c r="D1389" s="515">
        <v>3.4242990421461172E-2</v>
      </c>
      <c r="E1389" s="516">
        <v>7.0185391826210241E-3</v>
      </c>
      <c r="F1389" s="145">
        <v>3.2527441614965874E-2</v>
      </c>
      <c r="G1389" s="145">
        <v>1.2200601709617238E-3</v>
      </c>
      <c r="H1389" s="517">
        <v>2.0000009999999999E-3</v>
      </c>
      <c r="I1389" s="517">
        <v>1.5750005000000001E-2</v>
      </c>
      <c r="J1389" s="148">
        <v>1.32508809485768E-3</v>
      </c>
      <c r="K1389" s="518">
        <v>4.3390041173832562E-5</v>
      </c>
      <c r="L1389" s="519">
        <v>4.5351947242080008E-5</v>
      </c>
    </row>
    <row r="1390" spans="1:12" ht="15.5" x14ac:dyDescent="0.35">
      <c r="A1390" s="143" t="s">
        <v>928</v>
      </c>
      <c r="B1390" s="229">
        <v>2028</v>
      </c>
      <c r="C1390" s="514" t="s">
        <v>2256</v>
      </c>
      <c r="D1390" s="515">
        <v>3.3328614981324715E-2</v>
      </c>
      <c r="E1390" s="516">
        <v>6.3154224165177138E-3</v>
      </c>
      <c r="F1390" s="145">
        <v>2.997965594817141E-2</v>
      </c>
      <c r="G1390" s="145">
        <v>1.1419123945559655E-3</v>
      </c>
      <c r="H1390" s="517">
        <v>2.0000009999999999E-3</v>
      </c>
      <c r="I1390" s="517">
        <v>1.5750005000000004E-2</v>
      </c>
      <c r="J1390" s="148">
        <v>1.2403275833664184E-3</v>
      </c>
      <c r="K1390" s="518">
        <v>3.7908777240299245E-5</v>
      </c>
      <c r="L1390" s="519">
        <v>3.9622843311983194E-5</v>
      </c>
    </row>
    <row r="1391" spans="1:12" ht="15.5" x14ac:dyDescent="0.35">
      <c r="A1391" s="143" t="s">
        <v>928</v>
      </c>
      <c r="B1391" s="229">
        <v>2029</v>
      </c>
      <c r="C1391" s="514" t="s">
        <v>2257</v>
      </c>
      <c r="D1391" s="515">
        <v>3.2501080037755786E-2</v>
      </c>
      <c r="E1391" s="516">
        <v>5.7009482982978586E-3</v>
      </c>
      <c r="F1391" s="145">
        <v>2.7819121384018153E-2</v>
      </c>
      <c r="G1391" s="145">
        <v>1.0679865883941192E-3</v>
      </c>
      <c r="H1391" s="517">
        <v>2.0000010000000004E-3</v>
      </c>
      <c r="I1391" s="517">
        <v>1.5750005000000001E-2</v>
      </c>
      <c r="J1391" s="148">
        <v>1.1601005265757943E-3</v>
      </c>
      <c r="K1391" s="518">
        <v>3.3799697972910377E-5</v>
      </c>
      <c r="L1391" s="519">
        <v>3.5327965077213642E-5</v>
      </c>
    </row>
    <row r="1392" spans="1:12" ht="15.5" x14ac:dyDescent="0.35">
      <c r="A1392" s="143" t="s">
        <v>928</v>
      </c>
      <c r="B1392" s="229">
        <v>2030</v>
      </c>
      <c r="C1392" s="514" t="s">
        <v>2258</v>
      </c>
      <c r="D1392" s="515">
        <v>3.1756747512711229E-2</v>
      </c>
      <c r="E1392" s="516">
        <v>5.1766183297666411E-3</v>
      </c>
      <c r="F1392" s="145">
        <v>2.6006331917431097E-2</v>
      </c>
      <c r="G1392" s="145">
        <v>9.9919591943665401E-4</v>
      </c>
      <c r="H1392" s="517">
        <v>2.0000009999999999E-3</v>
      </c>
      <c r="I1392" s="517">
        <v>1.5750005000000001E-2</v>
      </c>
      <c r="J1392" s="148">
        <v>1.0854283889448323E-3</v>
      </c>
      <c r="K1392" s="518">
        <v>3.0392914926522503E-5</v>
      </c>
      <c r="L1392" s="519">
        <v>3.1767146718761485E-5</v>
      </c>
    </row>
    <row r="1393" spans="1:12" ht="15.5" x14ac:dyDescent="0.35">
      <c r="A1393" s="143" t="s">
        <v>928</v>
      </c>
      <c r="B1393" s="229">
        <v>2031</v>
      </c>
      <c r="C1393" s="514" t="s">
        <v>2259</v>
      </c>
      <c r="D1393" s="515">
        <v>3.109019208984793E-2</v>
      </c>
      <c r="E1393" s="516">
        <v>4.715661605025465E-3</v>
      </c>
      <c r="F1393" s="145">
        <v>2.4450326897430909E-2</v>
      </c>
      <c r="G1393" s="145">
        <v>9.3578731450345441E-4</v>
      </c>
      <c r="H1393" s="517">
        <v>2.0000009999999995E-3</v>
      </c>
      <c r="I1393" s="517">
        <v>1.5750005000000001E-2</v>
      </c>
      <c r="J1393" s="148">
        <v>1.0165687587117833E-3</v>
      </c>
      <c r="K1393" s="518">
        <v>2.7977627112235581E-5</v>
      </c>
      <c r="L1393" s="519">
        <v>2.9242652621593403E-5</v>
      </c>
    </row>
    <row r="1394" spans="1:12" ht="15.5" x14ac:dyDescent="0.35">
      <c r="A1394" s="143" t="s">
        <v>928</v>
      </c>
      <c r="B1394" s="229">
        <v>2032</v>
      </c>
      <c r="C1394" s="514" t="s">
        <v>2260</v>
      </c>
      <c r="D1394" s="515">
        <v>3.0497287439948128E-2</v>
      </c>
      <c r="E1394" s="516">
        <v>4.3146898590752485E-3</v>
      </c>
      <c r="F1394" s="145">
        <v>2.3152871648811753E-2</v>
      </c>
      <c r="G1394" s="145">
        <v>8.7728456714533665E-4</v>
      </c>
      <c r="H1394" s="517">
        <v>2.0000009999999999E-3</v>
      </c>
      <c r="I1394" s="517">
        <v>1.5750004999999997E-2</v>
      </c>
      <c r="J1394" s="148">
        <v>9.5303277586756229E-4</v>
      </c>
      <c r="K1394" s="518">
        <v>2.581271371421788E-5</v>
      </c>
      <c r="L1394" s="519">
        <v>2.6979844750613563E-5</v>
      </c>
    </row>
    <row r="1395" spans="1:12" ht="15.5" x14ac:dyDescent="0.35">
      <c r="A1395" s="143" t="s">
        <v>928</v>
      </c>
      <c r="B1395" s="229">
        <v>2033</v>
      </c>
      <c r="C1395" s="514" t="s">
        <v>2261</v>
      </c>
      <c r="D1395" s="515">
        <v>2.9970478234882209E-2</v>
      </c>
      <c r="E1395" s="516">
        <v>3.9668308972897921E-3</v>
      </c>
      <c r="F1395" s="145">
        <v>2.2078198550826121E-2</v>
      </c>
      <c r="G1395" s="145">
        <v>8.2408297429717523E-4</v>
      </c>
      <c r="H1395" s="517">
        <v>2.0000010000000004E-3</v>
      </c>
      <c r="I1395" s="517">
        <v>1.5750005000000001E-2</v>
      </c>
      <c r="J1395" s="148">
        <v>8.9523942072727131E-4</v>
      </c>
      <c r="K1395" s="518">
        <v>2.4226505907590859E-5</v>
      </c>
      <c r="L1395" s="519">
        <v>2.5321922604529233E-5</v>
      </c>
    </row>
    <row r="1396" spans="1:12" ht="15.5" x14ac:dyDescent="0.35">
      <c r="A1396" s="143" t="s">
        <v>928</v>
      </c>
      <c r="B1396" s="229">
        <v>2034</v>
      </c>
      <c r="C1396" s="514" t="s">
        <v>2262</v>
      </c>
      <c r="D1396" s="515">
        <v>2.950467415513355E-2</v>
      </c>
      <c r="E1396" s="516">
        <v>3.6579414748704169E-3</v>
      </c>
      <c r="F1396" s="145">
        <v>2.1175686789655219E-2</v>
      </c>
      <c r="G1396" s="145">
        <v>7.7549321097674631E-4</v>
      </c>
      <c r="H1396" s="517">
        <v>2.0000009999999999E-3</v>
      </c>
      <c r="I1396" s="517">
        <v>1.5750005000000001E-2</v>
      </c>
      <c r="J1396" s="148">
        <v>8.4245208012053178E-4</v>
      </c>
      <c r="K1396" s="518">
        <v>2.2826683828811422E-5</v>
      </c>
      <c r="L1396" s="519">
        <v>2.3858807064261176E-5</v>
      </c>
    </row>
    <row r="1397" spans="1:12" ht="15.5" x14ac:dyDescent="0.35">
      <c r="A1397" s="143" t="s">
        <v>928</v>
      </c>
      <c r="B1397" s="229">
        <v>2035</v>
      </c>
      <c r="C1397" s="514" t="s">
        <v>2263</v>
      </c>
      <c r="D1397" s="515">
        <v>2.9095618082408965E-2</v>
      </c>
      <c r="E1397" s="516">
        <v>3.3910515909265208E-3</v>
      </c>
      <c r="F1397" s="145">
        <v>2.0447915203042601E-2</v>
      </c>
      <c r="G1397" s="145">
        <v>7.3179641426972665E-4</v>
      </c>
      <c r="H1397" s="517">
        <v>2.0000009999999999E-3</v>
      </c>
      <c r="I1397" s="517">
        <v>1.5750005000000001E-2</v>
      </c>
      <c r="J1397" s="148">
        <v>7.9497974895322997E-4</v>
      </c>
      <c r="K1397" s="518">
        <v>2.1596572376088571E-5</v>
      </c>
      <c r="L1397" s="519">
        <v>2.2573068630889236E-5</v>
      </c>
    </row>
    <row r="1398" spans="1:12" ht="15.5" x14ac:dyDescent="0.35">
      <c r="A1398" s="143" t="s">
        <v>928</v>
      </c>
      <c r="B1398" s="229">
        <v>2036</v>
      </c>
      <c r="C1398" s="514" t="s">
        <v>2264</v>
      </c>
      <c r="D1398" s="515">
        <v>2.8739468259891654E-2</v>
      </c>
      <c r="E1398" s="516">
        <v>3.1570461466330704E-3</v>
      </c>
      <c r="F1398" s="145">
        <v>1.9831827579868334E-2</v>
      </c>
      <c r="G1398" s="145">
        <v>6.9377498280151094E-4</v>
      </c>
      <c r="H1398" s="517">
        <v>2.0000009999999999E-3</v>
      </c>
      <c r="I1398" s="517">
        <v>1.5750005000000004E-2</v>
      </c>
      <c r="J1398" s="148">
        <v>7.5367457770662122E-4</v>
      </c>
      <c r="K1398" s="518">
        <v>2.049744424241645E-5</v>
      </c>
      <c r="L1398" s="519">
        <v>2.1424253080222577E-5</v>
      </c>
    </row>
    <row r="1399" spans="1:12" ht="15.5" x14ac:dyDescent="0.35">
      <c r="A1399" s="143" t="s">
        <v>928</v>
      </c>
      <c r="B1399" s="229">
        <v>2037</v>
      </c>
      <c r="C1399" s="514" t="s">
        <v>2265</v>
      </c>
      <c r="D1399" s="515">
        <v>2.8431004449211518E-2</v>
      </c>
      <c r="E1399" s="516">
        <v>2.9589653756959986E-3</v>
      </c>
      <c r="F1399" s="145">
        <v>1.9335046739108193E-2</v>
      </c>
      <c r="G1399" s="145">
        <v>6.6047315092078495E-4</v>
      </c>
      <c r="H1399" s="517">
        <v>2.0000009999999999E-3</v>
      </c>
      <c r="I1399" s="517">
        <v>1.5750005000000001E-2</v>
      </c>
      <c r="J1399" s="148">
        <v>7.1749589904631544E-4</v>
      </c>
      <c r="K1399" s="518">
        <v>1.9554024738311917E-5</v>
      </c>
      <c r="L1399" s="519">
        <v>2.0438171941774217E-5</v>
      </c>
    </row>
    <row r="1400" spans="1:12" ht="15.5" x14ac:dyDescent="0.35">
      <c r="A1400" s="143" t="s">
        <v>928</v>
      </c>
      <c r="B1400" s="229">
        <v>2038</v>
      </c>
      <c r="C1400" s="514" t="s">
        <v>2266</v>
      </c>
      <c r="D1400" s="515">
        <v>2.8166894167233954E-2</v>
      </c>
      <c r="E1400" s="516">
        <v>2.7797141200153141E-3</v>
      </c>
      <c r="F1400" s="145">
        <v>1.8881852543837917E-2</v>
      </c>
      <c r="G1400" s="145">
        <v>6.3147779759777892E-4</v>
      </c>
      <c r="H1400" s="517">
        <v>2.0000009999999999E-3</v>
      </c>
      <c r="I1400" s="517">
        <v>1.5750005000000001E-2</v>
      </c>
      <c r="J1400" s="148">
        <v>6.8599252768726808E-4</v>
      </c>
      <c r="K1400" s="518">
        <v>1.8812325579587042E-5</v>
      </c>
      <c r="L1400" s="519">
        <v>1.9662936780998146E-5</v>
      </c>
    </row>
    <row r="1401" spans="1:12" ht="15.5" x14ac:dyDescent="0.35">
      <c r="A1401" s="143" t="s">
        <v>928</v>
      </c>
      <c r="B1401" s="229">
        <v>2039</v>
      </c>
      <c r="C1401" s="514" t="s">
        <v>2267</v>
      </c>
      <c r="D1401" s="515">
        <v>2.7939987711290082E-2</v>
      </c>
      <c r="E1401" s="516">
        <v>2.6173459836942191E-3</v>
      </c>
      <c r="F1401" s="145">
        <v>1.8476024925414163E-2</v>
      </c>
      <c r="G1401" s="145">
        <v>6.0646761052526681E-4</v>
      </c>
      <c r="H1401" s="517">
        <v>2.0000009999999999E-3</v>
      </c>
      <c r="I1401" s="517">
        <v>1.5750005000000001E-2</v>
      </c>
      <c r="J1401" s="148">
        <v>6.5881754319031555E-4</v>
      </c>
      <c r="K1401" s="518">
        <v>1.8194999339704768E-5</v>
      </c>
      <c r="L1401" s="519">
        <v>1.9017698661125042E-5</v>
      </c>
    </row>
    <row r="1402" spans="1:12" ht="15.5" x14ac:dyDescent="0.35">
      <c r="A1402" s="143" t="s">
        <v>928</v>
      </c>
      <c r="B1402" s="229">
        <v>2040</v>
      </c>
      <c r="C1402" s="514" t="s">
        <v>2268</v>
      </c>
      <c r="D1402" s="515">
        <v>2.7746957547728313E-2</v>
      </c>
      <c r="E1402" s="516">
        <v>2.4743284338437704E-3</v>
      </c>
      <c r="F1402" s="145">
        <v>1.8138105675827149E-2</v>
      </c>
      <c r="G1402" s="145">
        <v>5.8512522336613107E-4</v>
      </c>
      <c r="H1402" s="517">
        <v>2.0000009999999995E-3</v>
      </c>
      <c r="I1402" s="517">
        <v>1.5750004999999994E-2</v>
      </c>
      <c r="J1402" s="148">
        <v>6.3562828447497229E-4</v>
      </c>
      <c r="K1402" s="518">
        <v>1.7679609794690012E-5</v>
      </c>
      <c r="L1402" s="519">
        <v>1.8479006019115606E-5</v>
      </c>
    </row>
    <row r="1403" spans="1:12" ht="15.5" x14ac:dyDescent="0.35">
      <c r="A1403" s="143" t="s">
        <v>928</v>
      </c>
      <c r="B1403" s="229">
        <v>2041</v>
      </c>
      <c r="C1403" s="514" t="s">
        <v>2269</v>
      </c>
      <c r="D1403" s="515">
        <v>2.7586146622974188E-2</v>
      </c>
      <c r="E1403" s="516">
        <v>2.3609621545093592E-3</v>
      </c>
      <c r="F1403" s="145">
        <v>1.7869127323268397E-2</v>
      </c>
      <c r="G1403" s="145">
        <v>5.6839152289161034E-4</v>
      </c>
      <c r="H1403" s="517">
        <v>2.0000009999999999E-3</v>
      </c>
      <c r="I1403" s="517">
        <v>1.5750005000000001E-2</v>
      </c>
      <c r="J1403" s="148">
        <v>6.1744617028299431E-4</v>
      </c>
      <c r="K1403" s="518">
        <v>1.7261641822601623E-5</v>
      </c>
      <c r="L1403" s="519">
        <v>1.8042134197021911E-5</v>
      </c>
    </row>
    <row r="1404" spans="1:12" ht="15.5" x14ac:dyDescent="0.35">
      <c r="A1404" s="143" t="s">
        <v>928</v>
      </c>
      <c r="B1404" s="229">
        <v>2042</v>
      </c>
      <c r="C1404" s="514" t="s">
        <v>2270</v>
      </c>
      <c r="D1404" s="515">
        <v>2.7449062607135765E-2</v>
      </c>
      <c r="E1404" s="516">
        <v>2.2647850132124963E-3</v>
      </c>
      <c r="F1404" s="145">
        <v>1.7624044043060585E-2</v>
      </c>
      <c r="G1404" s="145">
        <v>5.5439242262251707E-4</v>
      </c>
      <c r="H1404" s="517">
        <v>2.0000009999999999E-3</v>
      </c>
      <c r="I1404" s="517">
        <v>1.5750005000000001E-2</v>
      </c>
      <c r="J1404" s="148">
        <v>6.0223581323166323E-4</v>
      </c>
      <c r="K1404" s="518">
        <v>1.6920707909080324E-5</v>
      </c>
      <c r="L1404" s="519">
        <v>1.7685790031974649E-5</v>
      </c>
    </row>
    <row r="1405" spans="1:12" ht="15.5" x14ac:dyDescent="0.35">
      <c r="A1405" s="143" t="s">
        <v>928</v>
      </c>
      <c r="B1405" s="229">
        <v>2043</v>
      </c>
      <c r="C1405" s="514" t="s">
        <v>2271</v>
      </c>
      <c r="D1405" s="515">
        <v>2.7333936477594929E-2</v>
      </c>
      <c r="E1405" s="516">
        <v>2.1903374047111362E-3</v>
      </c>
      <c r="F1405" s="145">
        <v>1.7432906803988499E-2</v>
      </c>
      <c r="G1405" s="145">
        <v>5.4277835463326465E-4</v>
      </c>
      <c r="H1405" s="517">
        <v>2.0000009999999999E-3</v>
      </c>
      <c r="I1405" s="517">
        <v>1.5750004999999997E-2</v>
      </c>
      <c r="J1405" s="148">
        <v>5.8961530641371551E-4</v>
      </c>
      <c r="K1405" s="518">
        <v>1.6655235758331229E-5</v>
      </c>
      <c r="L1405" s="519">
        <v>1.7408310955284034E-5</v>
      </c>
    </row>
    <row r="1406" spans="1:12" ht="15.5" x14ac:dyDescent="0.35">
      <c r="A1406" s="143" t="s">
        <v>928</v>
      </c>
      <c r="B1406" s="229">
        <v>2044</v>
      </c>
      <c r="C1406" s="514" t="s">
        <v>2272</v>
      </c>
      <c r="D1406" s="515">
        <v>2.7236153948297925E-2</v>
      </c>
      <c r="E1406" s="516">
        <v>2.1370830033092241E-3</v>
      </c>
      <c r="F1406" s="145">
        <v>1.7291044030007335E-2</v>
      </c>
      <c r="G1406" s="145">
        <v>5.3320663499910955E-4</v>
      </c>
      <c r="H1406" s="517">
        <v>2.0000010000000004E-3</v>
      </c>
      <c r="I1406" s="517">
        <v>1.5750005000000004E-2</v>
      </c>
      <c r="J1406" s="148">
        <v>5.7921418757535194E-4</v>
      </c>
      <c r="K1406" s="518">
        <v>1.6445959936997664E-5</v>
      </c>
      <c r="L1406" s="519">
        <v>1.7189573626921202E-5</v>
      </c>
    </row>
    <row r="1407" spans="1:12" ht="15.5" x14ac:dyDescent="0.35">
      <c r="A1407" s="143" t="s">
        <v>928</v>
      </c>
      <c r="B1407" s="229">
        <v>2045</v>
      </c>
      <c r="C1407" s="514" t="s">
        <v>2273</v>
      </c>
      <c r="D1407" s="515">
        <v>2.7151376362140992E-2</v>
      </c>
      <c r="E1407" s="516">
        <v>2.101483679538886E-3</v>
      </c>
      <c r="F1407" s="145">
        <v>1.7194456691269715E-2</v>
      </c>
      <c r="G1407" s="145">
        <v>5.2530127281142573E-4</v>
      </c>
      <c r="H1407" s="517">
        <v>2.0000009999999999E-3</v>
      </c>
      <c r="I1407" s="517">
        <v>1.5750005000000001E-2</v>
      </c>
      <c r="J1407" s="148">
        <v>5.7062321030325444E-4</v>
      </c>
      <c r="K1407" s="518">
        <v>1.6284983429371312E-5</v>
      </c>
      <c r="L1407" s="519">
        <v>1.7021314881272368E-5</v>
      </c>
    </row>
    <row r="1408" spans="1:12" ht="15.5" x14ac:dyDescent="0.35">
      <c r="A1408" s="143" t="s">
        <v>928</v>
      </c>
      <c r="B1408" s="229">
        <v>2046</v>
      </c>
      <c r="C1408" s="514" t="s">
        <v>2274</v>
      </c>
      <c r="D1408" s="515">
        <v>2.7079002185859111E-2</v>
      </c>
      <c r="E1408" s="516">
        <v>2.0718875018530167E-3</v>
      </c>
      <c r="F1408" s="145">
        <v>1.7118333168254712E-2</v>
      </c>
      <c r="G1408" s="145">
        <v>5.188861361484678E-4</v>
      </c>
      <c r="H1408" s="517">
        <v>2.0000009999999995E-3</v>
      </c>
      <c r="I1408" s="517">
        <v>1.5750005000000001E-2</v>
      </c>
      <c r="J1408" s="148">
        <v>5.6365123799153748E-4</v>
      </c>
      <c r="K1408" s="518">
        <v>1.6157177986932601E-5</v>
      </c>
      <c r="L1408" s="519">
        <v>1.6887726273932209E-5</v>
      </c>
    </row>
    <row r="1409" spans="1:12" ht="15.5" x14ac:dyDescent="0.35">
      <c r="A1409" s="143" t="s">
        <v>928</v>
      </c>
      <c r="B1409" s="229">
        <v>2047</v>
      </c>
      <c r="C1409" s="514" t="s">
        <v>2275</v>
      </c>
      <c r="D1409" s="515">
        <v>2.7018766059748595E-2</v>
      </c>
      <c r="E1409" s="516">
        <v>2.0453395538611507E-3</v>
      </c>
      <c r="F1409" s="145">
        <v>1.7044327464808762E-2</v>
      </c>
      <c r="G1409" s="145">
        <v>5.1366465097598768E-4</v>
      </c>
      <c r="H1409" s="517">
        <v>2.0000010000000008E-3</v>
      </c>
      <c r="I1409" s="517">
        <v>1.5750005000000001E-2</v>
      </c>
      <c r="J1409" s="148">
        <v>5.579771066142634E-4</v>
      </c>
      <c r="K1409" s="518">
        <v>1.6055168348408481E-5</v>
      </c>
      <c r="L1409" s="519">
        <v>1.6781115699367348E-5</v>
      </c>
    </row>
    <row r="1410" spans="1:12" ht="15.5" x14ac:dyDescent="0.35">
      <c r="A1410" s="143" t="s">
        <v>928</v>
      </c>
      <c r="B1410" s="229">
        <v>2048</v>
      </c>
      <c r="C1410" s="514" t="s">
        <v>2276</v>
      </c>
      <c r="D1410" s="515">
        <v>2.6968001135792855E-2</v>
      </c>
      <c r="E1410" s="516">
        <v>2.023656245563922E-3</v>
      </c>
      <c r="F1410" s="145">
        <v>1.6981131065035879E-2</v>
      </c>
      <c r="G1410" s="145">
        <v>5.0942275972957606E-4</v>
      </c>
      <c r="H1410" s="517">
        <v>2.0000009999999999E-3</v>
      </c>
      <c r="I1410" s="517">
        <v>1.5750004999999997E-2</v>
      </c>
      <c r="J1410" s="148">
        <v>5.5336675108278355E-4</v>
      </c>
      <c r="K1410" s="518">
        <v>1.5969790034401718E-5</v>
      </c>
      <c r="L1410" s="519">
        <v>1.6691870463795814E-5</v>
      </c>
    </row>
    <row r="1411" spans="1:12" ht="15.5" x14ac:dyDescent="0.35">
      <c r="A1411" s="143" t="s">
        <v>928</v>
      </c>
      <c r="B1411" s="229">
        <v>2049</v>
      </c>
      <c r="C1411" s="514" t="s">
        <v>2277</v>
      </c>
      <c r="D1411" s="515">
        <v>2.6923936393412957E-2</v>
      </c>
      <c r="E1411" s="516">
        <v>2.015083750896686E-3</v>
      </c>
      <c r="F1411" s="145">
        <v>1.698645201993473E-2</v>
      </c>
      <c r="G1411" s="145">
        <v>5.0665126702696488E-4</v>
      </c>
      <c r="H1411" s="517">
        <v>2.0000009999999995E-3</v>
      </c>
      <c r="I1411" s="517">
        <v>1.5750005000000001E-2</v>
      </c>
      <c r="J1411" s="148">
        <v>5.5035589767122434E-4</v>
      </c>
      <c r="K1411" s="518">
        <v>1.5902746765160703E-5</v>
      </c>
      <c r="L1411" s="519">
        <v>1.662180047117192E-5</v>
      </c>
    </row>
    <row r="1412" spans="1:12" ht="15.5" x14ac:dyDescent="0.35">
      <c r="A1412" s="143" t="s">
        <v>928</v>
      </c>
      <c r="B1412" s="229">
        <v>2050</v>
      </c>
      <c r="C1412" s="514" t="s">
        <v>2278</v>
      </c>
      <c r="D1412" s="515">
        <v>2.6886990041584929E-2</v>
      </c>
      <c r="E1412" s="516">
        <v>2.0083386783862137E-3</v>
      </c>
      <c r="F1412" s="145">
        <v>1.6992886378092618E-2</v>
      </c>
      <c r="G1412" s="145">
        <v>5.0444000050067046E-4</v>
      </c>
      <c r="H1412" s="517">
        <v>2.0000009999999999E-3</v>
      </c>
      <c r="I1412" s="517">
        <v>1.5750005000000001E-2</v>
      </c>
      <c r="J1412" s="148">
        <v>5.479532698565541E-4</v>
      </c>
      <c r="K1412" s="518">
        <v>1.584024415469183E-5</v>
      </c>
      <c r="L1412" s="519">
        <v>1.6556472631973406E-5</v>
      </c>
    </row>
    <row r="1413" spans="1:12" ht="15.5" x14ac:dyDescent="0.35">
      <c r="A1413" s="143" t="s">
        <v>932</v>
      </c>
      <c r="B1413" s="229">
        <v>2015</v>
      </c>
      <c r="C1413" s="514" t="s">
        <v>933</v>
      </c>
      <c r="D1413" s="515">
        <v>4.2889089084498282E-2</v>
      </c>
      <c r="E1413" s="516">
        <v>4.3764573715693318E-2</v>
      </c>
      <c r="F1413" s="145">
        <v>0.14416834694273409</v>
      </c>
      <c r="G1413" s="145">
        <v>2.0294511104289076E-3</v>
      </c>
      <c r="H1413" s="517">
        <v>2.0000009999999999E-3</v>
      </c>
      <c r="I1413" s="517">
        <v>1.5750004999999997E-2</v>
      </c>
      <c r="J1413" s="148">
        <v>2.1959257298246816E-3</v>
      </c>
      <c r="K1413" s="518">
        <v>2.1059642821439088E-4</v>
      </c>
      <c r="L1413" s="519">
        <v>2.2011865989674502E-4</v>
      </c>
    </row>
    <row r="1414" spans="1:12" ht="15.5" x14ac:dyDescent="0.35">
      <c r="A1414" s="143" t="s">
        <v>932</v>
      </c>
      <c r="B1414" s="229">
        <v>2016</v>
      </c>
      <c r="C1414" s="514" t="s">
        <v>934</v>
      </c>
      <c r="D1414" s="515">
        <v>4.2002041215806384E-2</v>
      </c>
      <c r="E1414" s="516">
        <v>3.5957190106842764E-2</v>
      </c>
      <c r="F1414" s="145">
        <v>0.12174482731930313</v>
      </c>
      <c r="G1414" s="145">
        <v>1.9710311925499385E-3</v>
      </c>
      <c r="H1414" s="517">
        <v>2.0000009999999995E-3</v>
      </c>
      <c r="I1414" s="517">
        <v>1.5750005000000001E-2</v>
      </c>
      <c r="J1414" s="148">
        <v>2.1347180926161472E-3</v>
      </c>
      <c r="K1414" s="518">
        <v>1.7523350800090017E-4</v>
      </c>
      <c r="L1414" s="519">
        <v>1.8315679625961555E-4</v>
      </c>
    </row>
    <row r="1415" spans="1:12" ht="15.5" x14ac:dyDescent="0.35">
      <c r="A1415" s="143" t="s">
        <v>932</v>
      </c>
      <c r="B1415" s="229">
        <v>2017</v>
      </c>
      <c r="C1415" s="514" t="s">
        <v>2279</v>
      </c>
      <c r="D1415" s="515">
        <v>4.1004422749356242E-2</v>
      </c>
      <c r="E1415" s="516">
        <v>2.9588031005400944E-2</v>
      </c>
      <c r="F1415" s="145">
        <v>0.10256858094835887</v>
      </c>
      <c r="G1415" s="145">
        <v>1.9711368276266682E-3</v>
      </c>
      <c r="H1415" s="517">
        <v>2.0000009999999995E-3</v>
      </c>
      <c r="I1415" s="517">
        <v>1.5750005000000001E-2</v>
      </c>
      <c r="J1415" s="148">
        <v>2.1361167725103278E-3</v>
      </c>
      <c r="K1415" s="518">
        <v>1.5826091818657538E-4</v>
      </c>
      <c r="L1415" s="519">
        <v>1.6541677343576789E-4</v>
      </c>
    </row>
    <row r="1416" spans="1:12" ht="15.5" x14ac:dyDescent="0.35">
      <c r="A1416" s="143" t="s">
        <v>932</v>
      </c>
      <c r="B1416" s="229">
        <v>2018</v>
      </c>
      <c r="C1416" s="514" t="s">
        <v>2280</v>
      </c>
      <c r="D1416" s="515">
        <v>3.9968223552220072E-2</v>
      </c>
      <c r="E1416" s="516">
        <v>2.4380145037153394E-2</v>
      </c>
      <c r="F1416" s="145">
        <v>8.6681796969362235E-2</v>
      </c>
      <c r="G1416" s="145">
        <v>2.0040396844750313E-3</v>
      </c>
      <c r="H1416" s="517">
        <v>2.0000009999999999E-3</v>
      </c>
      <c r="I1416" s="517">
        <v>1.5750005000000004E-2</v>
      </c>
      <c r="J1416" s="148">
        <v>2.1729073092300747E-3</v>
      </c>
      <c r="K1416" s="518">
        <v>1.4444603940942682E-4</v>
      </c>
      <c r="L1416" s="519">
        <v>1.5097725042032399E-4</v>
      </c>
    </row>
    <row r="1417" spans="1:12" ht="15.5" x14ac:dyDescent="0.35">
      <c r="A1417" s="143" t="s">
        <v>932</v>
      </c>
      <c r="B1417" s="229">
        <v>2019</v>
      </c>
      <c r="C1417" s="514" t="s">
        <v>2281</v>
      </c>
      <c r="D1417" s="515">
        <v>3.9016144240633759E-2</v>
      </c>
      <c r="E1417" s="516">
        <v>2.0089544943012912E-2</v>
      </c>
      <c r="F1417" s="145">
        <v>7.3661847875017658E-2</v>
      </c>
      <c r="G1417" s="145">
        <v>2.0344423872180519E-3</v>
      </c>
      <c r="H1417" s="517">
        <v>2.0000009999999999E-3</v>
      </c>
      <c r="I1417" s="517">
        <v>1.5750005000000001E-2</v>
      </c>
      <c r="J1417" s="148">
        <v>2.2067885791475393E-3</v>
      </c>
      <c r="K1417" s="518">
        <v>1.3291435841813708E-4</v>
      </c>
      <c r="L1417" s="519">
        <v>1.3892415781361947E-4</v>
      </c>
    </row>
    <row r="1418" spans="1:12" ht="15.5" x14ac:dyDescent="0.35">
      <c r="A1418" s="143" t="s">
        <v>932</v>
      </c>
      <c r="B1418" s="229">
        <v>2020</v>
      </c>
      <c r="C1418" s="514" t="s">
        <v>2282</v>
      </c>
      <c r="D1418" s="515">
        <v>3.7924793328489248E-2</v>
      </c>
      <c r="E1418" s="516">
        <v>1.6993225325124345E-2</v>
      </c>
      <c r="F1418" s="145">
        <v>6.3231640607924341E-2</v>
      </c>
      <c r="G1418" s="145">
        <v>2.0029763951857939E-3</v>
      </c>
      <c r="H1418" s="517">
        <v>2.0000009999999999E-3</v>
      </c>
      <c r="I1418" s="517">
        <v>1.5750005000000001E-2</v>
      </c>
      <c r="J1418" s="148">
        <v>2.1731078982893102E-3</v>
      </c>
      <c r="K1418" s="518">
        <v>1.2243645458931499E-4</v>
      </c>
      <c r="L1418" s="519">
        <v>1.2797248160835217E-4</v>
      </c>
    </row>
    <row r="1419" spans="1:12" ht="15.5" x14ac:dyDescent="0.35">
      <c r="A1419" s="143" t="s">
        <v>932</v>
      </c>
      <c r="B1419" s="229">
        <v>2021</v>
      </c>
      <c r="C1419" s="514" t="s">
        <v>2283</v>
      </c>
      <c r="D1419" s="515">
        <v>3.6842433431018527E-2</v>
      </c>
      <c r="E1419" s="516">
        <v>1.4601009504783817E-2</v>
      </c>
      <c r="F1419" s="145">
        <v>5.4832661892662199E-2</v>
      </c>
      <c r="G1419" s="145">
        <v>1.9051292614486036E-3</v>
      </c>
      <c r="H1419" s="517">
        <v>2.0000009999999999E-3</v>
      </c>
      <c r="I1419" s="517">
        <v>1.5750005000000001E-2</v>
      </c>
      <c r="J1419" s="148">
        <v>2.0672234208316096E-3</v>
      </c>
      <c r="K1419" s="518">
        <v>1.1080802034096326E-4</v>
      </c>
      <c r="L1419" s="519">
        <v>1.1581827096384597E-4</v>
      </c>
    </row>
    <row r="1420" spans="1:12" ht="15.5" x14ac:dyDescent="0.35">
      <c r="A1420" s="143" t="s">
        <v>932</v>
      </c>
      <c r="B1420" s="229">
        <v>2022</v>
      </c>
      <c r="C1420" s="514" t="s">
        <v>2284</v>
      </c>
      <c r="D1420" s="515">
        <v>3.5754276339765322E-2</v>
      </c>
      <c r="E1420" s="516">
        <v>1.2587874993431804E-2</v>
      </c>
      <c r="F1420" s="145">
        <v>4.7992464588563329E-2</v>
      </c>
      <c r="G1420" s="145">
        <v>1.8101601970341847E-3</v>
      </c>
      <c r="H1420" s="517">
        <v>2.0000010000000008E-3</v>
      </c>
      <c r="I1420" s="517">
        <v>1.5750005000000008E-2</v>
      </c>
      <c r="J1420" s="148">
        <v>1.9644500639864368E-3</v>
      </c>
      <c r="K1420" s="518">
        <v>9.9860926692847915E-5</v>
      </c>
      <c r="L1420" s="519">
        <v>1.0437620056772591E-4</v>
      </c>
    </row>
    <row r="1421" spans="1:12" ht="15.5" x14ac:dyDescent="0.35">
      <c r="A1421" s="143" t="s">
        <v>932</v>
      </c>
      <c r="B1421" s="229">
        <v>2023</v>
      </c>
      <c r="C1421" s="514" t="s">
        <v>2285</v>
      </c>
      <c r="D1421" s="515">
        <v>3.4672815227844968E-2</v>
      </c>
      <c r="E1421" s="516">
        <v>1.0988464144337498E-2</v>
      </c>
      <c r="F1421" s="145">
        <v>4.2416823409707552E-2</v>
      </c>
      <c r="G1421" s="145">
        <v>1.724798181578926E-3</v>
      </c>
      <c r="H1421" s="517">
        <v>2.0000009999999995E-3</v>
      </c>
      <c r="I1421" s="517">
        <v>1.5750005000000001E-2</v>
      </c>
      <c r="J1421" s="148">
        <v>1.872097791107661E-3</v>
      </c>
      <c r="K1421" s="518">
        <v>8.8720789099171508E-5</v>
      </c>
      <c r="L1421" s="519">
        <v>9.2732346590930102E-5</v>
      </c>
    </row>
    <row r="1422" spans="1:12" ht="15.5" x14ac:dyDescent="0.35">
      <c r="A1422" s="143" t="s">
        <v>932</v>
      </c>
      <c r="B1422" s="229">
        <v>2024</v>
      </c>
      <c r="C1422" s="514" t="s">
        <v>2286</v>
      </c>
      <c r="D1422" s="515">
        <v>3.3638520867632866E-2</v>
      </c>
      <c r="E1422" s="516">
        <v>9.6468781248751218E-3</v>
      </c>
      <c r="F1422" s="145">
        <v>3.7856919148102457E-2</v>
      </c>
      <c r="G1422" s="145">
        <v>1.6492669259251E-3</v>
      </c>
      <c r="H1422" s="517">
        <v>2.0000009999999995E-3</v>
      </c>
      <c r="I1422" s="517">
        <v>1.5750005000000004E-2</v>
      </c>
      <c r="J1422" s="148">
        <v>1.7903924805971023E-3</v>
      </c>
      <c r="K1422" s="518">
        <v>7.8645754095559478E-5</v>
      </c>
      <c r="L1422" s="519">
        <v>8.2201766744073324E-5</v>
      </c>
    </row>
    <row r="1423" spans="1:12" ht="15.5" x14ac:dyDescent="0.35">
      <c r="A1423" s="143" t="s">
        <v>932</v>
      </c>
      <c r="B1423" s="229">
        <v>2025</v>
      </c>
      <c r="C1423" s="514" t="s">
        <v>2287</v>
      </c>
      <c r="D1423" s="515">
        <v>3.257398379003773E-2</v>
      </c>
      <c r="E1423" s="516">
        <v>8.5500450037678082E-3</v>
      </c>
      <c r="F1423" s="145">
        <v>3.4238445963519597E-2</v>
      </c>
      <c r="G1423" s="145">
        <v>1.5843149443702956E-3</v>
      </c>
      <c r="H1423" s="517">
        <v>2.0000010000000004E-3</v>
      </c>
      <c r="I1423" s="517">
        <v>1.5750005000000001E-2</v>
      </c>
      <c r="J1423" s="148">
        <v>1.7200759025230705E-3</v>
      </c>
      <c r="K1423" s="518">
        <v>7.1044439245607286E-5</v>
      </c>
      <c r="L1423" s="519">
        <v>7.4256763609105393E-5</v>
      </c>
    </row>
    <row r="1424" spans="1:12" ht="15.5" x14ac:dyDescent="0.35">
      <c r="A1424" s="143" t="s">
        <v>932</v>
      </c>
      <c r="B1424" s="229">
        <v>2026</v>
      </c>
      <c r="C1424" s="514" t="s">
        <v>2288</v>
      </c>
      <c r="D1424" s="515">
        <v>3.1621859077178141E-2</v>
      </c>
      <c r="E1424" s="516">
        <v>7.6395659982240807E-3</v>
      </c>
      <c r="F1424" s="145">
        <v>3.1340430473691595E-2</v>
      </c>
      <c r="G1424" s="145">
        <v>1.5105112279111357E-3</v>
      </c>
      <c r="H1424" s="517">
        <v>2.0000010000000004E-3</v>
      </c>
      <c r="I1424" s="517">
        <v>1.5750005000000001E-2</v>
      </c>
      <c r="J1424" s="148">
        <v>1.6401623849629367E-3</v>
      </c>
      <c r="K1424" s="518">
        <v>6.2684121334265658E-5</v>
      </c>
      <c r="L1424" s="519">
        <v>6.5518408473489196E-5</v>
      </c>
    </row>
    <row r="1425" spans="1:12" ht="15.5" x14ac:dyDescent="0.35">
      <c r="A1425" s="143" t="s">
        <v>932</v>
      </c>
      <c r="B1425" s="229">
        <v>2027</v>
      </c>
      <c r="C1425" s="514" t="s">
        <v>2289</v>
      </c>
      <c r="D1425" s="515">
        <v>3.0767481715067928E-2</v>
      </c>
      <c r="E1425" s="516">
        <v>6.8639260200106366E-3</v>
      </c>
      <c r="F1425" s="145">
        <v>2.8944388428425734E-2</v>
      </c>
      <c r="G1425" s="145">
        <v>1.4231343304719846E-3</v>
      </c>
      <c r="H1425" s="517">
        <v>2.0000009999999999E-3</v>
      </c>
      <c r="I1425" s="517">
        <v>1.5750005000000004E-2</v>
      </c>
      <c r="J1425" s="148">
        <v>1.5454979223501915E-3</v>
      </c>
      <c r="K1425" s="518">
        <v>5.4039208497874844E-5</v>
      </c>
      <c r="L1425" s="519">
        <v>5.6482619882432879E-5</v>
      </c>
    </row>
    <row r="1426" spans="1:12" ht="15.5" x14ac:dyDescent="0.35">
      <c r="A1426" s="143" t="s">
        <v>932</v>
      </c>
      <c r="B1426" s="229">
        <v>2028</v>
      </c>
      <c r="C1426" s="514" t="s">
        <v>2290</v>
      </c>
      <c r="D1426" s="515">
        <v>3.0008455233380461E-2</v>
      </c>
      <c r="E1426" s="516">
        <v>6.209246218023423E-3</v>
      </c>
      <c r="F1426" s="145">
        <v>2.6989753326207226E-2</v>
      </c>
      <c r="G1426" s="145">
        <v>1.3268247398463733E-3</v>
      </c>
      <c r="H1426" s="517">
        <v>2.0000010000000004E-3</v>
      </c>
      <c r="I1426" s="517">
        <v>1.5750005000000001E-2</v>
      </c>
      <c r="J1426" s="148">
        <v>1.4410432005383127E-3</v>
      </c>
      <c r="K1426" s="518">
        <v>4.7199469197418548E-5</v>
      </c>
      <c r="L1426" s="519">
        <v>4.9333619307239846E-5</v>
      </c>
    </row>
    <row r="1427" spans="1:12" ht="15.5" x14ac:dyDescent="0.35">
      <c r="A1427" s="143" t="s">
        <v>932</v>
      </c>
      <c r="B1427" s="229">
        <v>2029</v>
      </c>
      <c r="C1427" s="514" t="s">
        <v>2291</v>
      </c>
      <c r="D1427" s="515">
        <v>2.9333505084710523E-2</v>
      </c>
      <c r="E1427" s="516">
        <v>5.6467095796338086E-3</v>
      </c>
      <c r="F1427" s="145">
        <v>2.5368701545105874E-2</v>
      </c>
      <c r="G1427" s="145">
        <v>1.2361517179907955E-3</v>
      </c>
      <c r="H1427" s="517">
        <v>2.0000009999999999E-3</v>
      </c>
      <c r="I1427" s="517">
        <v>1.5750005000000001E-2</v>
      </c>
      <c r="J1427" s="148">
        <v>1.3426703755778774E-3</v>
      </c>
      <c r="K1427" s="518">
        <v>4.1467648528650143E-5</v>
      </c>
      <c r="L1427" s="519">
        <v>4.3342629418560342E-5</v>
      </c>
    </row>
    <row r="1428" spans="1:12" ht="15.5" x14ac:dyDescent="0.35">
      <c r="A1428" s="143" t="s">
        <v>932</v>
      </c>
      <c r="B1428" s="229">
        <v>2030</v>
      </c>
      <c r="C1428" s="514" t="s">
        <v>2292</v>
      </c>
      <c r="D1428" s="515">
        <v>2.8735785944942492E-2</v>
      </c>
      <c r="E1428" s="516">
        <v>5.1729818519856896E-3</v>
      </c>
      <c r="F1428" s="145">
        <v>2.4061154886794927E-2</v>
      </c>
      <c r="G1428" s="145">
        <v>1.1531260614729417E-3</v>
      </c>
      <c r="H1428" s="517">
        <v>2.0000009999999999E-3</v>
      </c>
      <c r="I1428" s="517">
        <v>1.5750004999999997E-2</v>
      </c>
      <c r="J1428" s="148">
        <v>1.252568392913028E-3</v>
      </c>
      <c r="K1428" s="518">
        <v>3.6850733687068911E-5</v>
      </c>
      <c r="L1428" s="519">
        <v>3.8516964321485574E-5</v>
      </c>
    </row>
    <row r="1429" spans="1:12" ht="15.5" x14ac:dyDescent="0.35">
      <c r="A1429" s="143" t="s">
        <v>932</v>
      </c>
      <c r="B1429" s="229">
        <v>2031</v>
      </c>
      <c r="C1429" s="514" t="s">
        <v>2293</v>
      </c>
      <c r="D1429" s="515">
        <v>2.8163752297418906E-2</v>
      </c>
      <c r="E1429" s="516">
        <v>4.7592309285472926E-3</v>
      </c>
      <c r="F1429" s="145">
        <v>2.2960631187663536E-2</v>
      </c>
      <c r="G1429" s="145">
        <v>1.0782742596336953E-3</v>
      </c>
      <c r="H1429" s="517">
        <v>2.0000009999999995E-3</v>
      </c>
      <c r="I1429" s="517">
        <v>1.5750004999999997E-2</v>
      </c>
      <c r="J1429" s="148">
        <v>1.1712802794577595E-3</v>
      </c>
      <c r="K1429" s="518">
        <v>3.40183025333924E-5</v>
      </c>
      <c r="L1429" s="519">
        <v>3.555646641958033E-5</v>
      </c>
    </row>
    <row r="1430" spans="1:12" ht="15.5" x14ac:dyDescent="0.35">
      <c r="A1430" s="143" t="s">
        <v>932</v>
      </c>
      <c r="B1430" s="229">
        <v>2032</v>
      </c>
      <c r="C1430" s="514" t="s">
        <v>2294</v>
      </c>
      <c r="D1430" s="515">
        <v>2.7700809587872147E-2</v>
      </c>
      <c r="E1430" s="516">
        <v>4.3996430568247705E-3</v>
      </c>
      <c r="F1430" s="145">
        <v>2.2057087028475603E-2</v>
      </c>
      <c r="G1430" s="145">
        <v>1.0097217822268001E-3</v>
      </c>
      <c r="H1430" s="517">
        <v>2.0000009999999999E-3</v>
      </c>
      <c r="I1430" s="517">
        <v>1.5750005000000001E-2</v>
      </c>
      <c r="J1430" s="148">
        <v>1.096844467691148E-3</v>
      </c>
      <c r="K1430" s="518">
        <v>3.1155710708460334E-5</v>
      </c>
      <c r="L1430" s="519">
        <v>3.25644322039727E-5</v>
      </c>
    </row>
    <row r="1431" spans="1:12" ht="15.5" x14ac:dyDescent="0.35">
      <c r="A1431" s="143" t="s">
        <v>932</v>
      </c>
      <c r="B1431" s="229">
        <v>2033</v>
      </c>
      <c r="C1431" s="514" t="s">
        <v>2295</v>
      </c>
      <c r="D1431" s="515">
        <v>2.7296430162831391E-2</v>
      </c>
      <c r="E1431" s="516">
        <v>4.0894016422871066E-3</v>
      </c>
      <c r="F1431" s="145">
        <v>2.1322656159472479E-2</v>
      </c>
      <c r="G1431" s="145">
        <v>9.4839458696407562E-4</v>
      </c>
      <c r="H1431" s="517">
        <v>2.0000009999999995E-3</v>
      </c>
      <c r="I1431" s="517">
        <v>1.5750005000000004E-2</v>
      </c>
      <c r="J1431" s="148">
        <v>1.0302304911085547E-3</v>
      </c>
      <c r="K1431" s="518">
        <v>2.9152876215267024E-5</v>
      </c>
      <c r="L1431" s="519">
        <v>3.0471039568408039E-5</v>
      </c>
    </row>
    <row r="1432" spans="1:12" ht="15.5" x14ac:dyDescent="0.35">
      <c r="A1432" s="143" t="s">
        <v>932</v>
      </c>
      <c r="B1432" s="229">
        <v>2034</v>
      </c>
      <c r="C1432" s="514" t="s">
        <v>2296</v>
      </c>
      <c r="D1432" s="515">
        <v>2.6944638170446011E-2</v>
      </c>
      <c r="E1432" s="516">
        <v>3.8189118371743398E-3</v>
      </c>
      <c r="F1432" s="145">
        <v>2.0723694400972093E-2</v>
      </c>
      <c r="G1432" s="145">
        <v>8.9335264818924602E-4</v>
      </c>
      <c r="H1432" s="517">
        <v>2.0000010000000004E-3</v>
      </c>
      <c r="I1432" s="517">
        <v>1.5750005000000004E-2</v>
      </c>
      <c r="J1432" s="148">
        <v>9.7044160655025669E-4</v>
      </c>
      <c r="K1432" s="518">
        <v>2.7384602258047128E-5</v>
      </c>
      <c r="L1432" s="519">
        <v>2.8622817037917629E-5</v>
      </c>
    </row>
    <row r="1433" spans="1:12" ht="15.5" x14ac:dyDescent="0.35">
      <c r="A1433" s="143" t="s">
        <v>932</v>
      </c>
      <c r="B1433" s="229">
        <v>2035</v>
      </c>
      <c r="C1433" s="514" t="s">
        <v>2297</v>
      </c>
      <c r="D1433" s="515">
        <v>2.6641674563279021E-2</v>
      </c>
      <c r="E1433" s="516">
        <v>3.5812501117302715E-3</v>
      </c>
      <c r="F1433" s="145">
        <v>2.022804157314435E-2</v>
      </c>
      <c r="G1433" s="145">
        <v>8.442874593684763E-4</v>
      </c>
      <c r="H1433" s="517">
        <v>2.0000009999999995E-3</v>
      </c>
      <c r="I1433" s="517">
        <v>1.5750005000000001E-2</v>
      </c>
      <c r="J1433" s="148">
        <v>9.1714199758708835E-4</v>
      </c>
      <c r="K1433" s="518">
        <v>2.5903491206894664E-5</v>
      </c>
      <c r="L1433" s="519">
        <v>2.7074732304540729E-5</v>
      </c>
    </row>
    <row r="1434" spans="1:12" ht="15.5" x14ac:dyDescent="0.35">
      <c r="A1434" s="143" t="s">
        <v>932</v>
      </c>
      <c r="B1434" s="229">
        <v>2036</v>
      </c>
      <c r="C1434" s="514" t="s">
        <v>2298</v>
      </c>
      <c r="D1434" s="515">
        <v>2.6382252550291297E-2</v>
      </c>
      <c r="E1434" s="516">
        <v>3.3738068386903104E-3</v>
      </c>
      <c r="F1434" s="145">
        <v>1.9816011002506743E-2</v>
      </c>
      <c r="G1434" s="145">
        <v>8.0198634212259997E-4</v>
      </c>
      <c r="H1434" s="517">
        <v>2.0000009999999999E-3</v>
      </c>
      <c r="I1434" s="517">
        <v>1.5750005000000001E-2</v>
      </c>
      <c r="J1434" s="148">
        <v>8.711898048534987E-4</v>
      </c>
      <c r="K1434" s="518">
        <v>2.4623557979746925E-5</v>
      </c>
      <c r="L1434" s="519">
        <v>2.5736931397065772E-5</v>
      </c>
    </row>
    <row r="1435" spans="1:12" ht="15.5" x14ac:dyDescent="0.35">
      <c r="A1435" s="143" t="s">
        <v>932</v>
      </c>
      <c r="B1435" s="229">
        <v>2037</v>
      </c>
      <c r="C1435" s="514" t="s">
        <v>2299</v>
      </c>
      <c r="D1435" s="515">
        <v>2.6162199893589585E-2</v>
      </c>
      <c r="E1435" s="516">
        <v>3.2004905166901376E-3</v>
      </c>
      <c r="F1435" s="145">
        <v>1.9497172121433166E-2</v>
      </c>
      <c r="G1435" s="145">
        <v>7.6534982884930128E-4</v>
      </c>
      <c r="H1435" s="517">
        <v>2.0000009999999995E-3</v>
      </c>
      <c r="I1435" s="517">
        <v>1.5750005000000001E-2</v>
      </c>
      <c r="J1435" s="148">
        <v>8.313906463158409E-4</v>
      </c>
      <c r="K1435" s="518">
        <v>2.3542026553551576E-5</v>
      </c>
      <c r="L1435" s="519">
        <v>2.4606493416725895E-5</v>
      </c>
    </row>
    <row r="1436" spans="1:12" ht="15.5" x14ac:dyDescent="0.35">
      <c r="A1436" s="143" t="s">
        <v>932</v>
      </c>
      <c r="B1436" s="229">
        <v>2038</v>
      </c>
      <c r="C1436" s="514" t="s">
        <v>2300</v>
      </c>
      <c r="D1436" s="515">
        <v>2.5976743389226866E-2</v>
      </c>
      <c r="E1436" s="516">
        <v>3.0472135993530373E-3</v>
      </c>
      <c r="F1436" s="145">
        <v>1.9214155235254889E-2</v>
      </c>
      <c r="G1436" s="145">
        <v>7.3382301567760785E-4</v>
      </c>
      <c r="H1436" s="517">
        <v>2.0000010000000004E-3</v>
      </c>
      <c r="I1436" s="517">
        <v>1.5750005000000001E-2</v>
      </c>
      <c r="J1436" s="148">
        <v>7.971390174993507E-4</v>
      </c>
      <c r="K1436" s="518">
        <v>2.2663030835932094E-5</v>
      </c>
      <c r="L1436" s="519">
        <v>2.3687753872359282E-5</v>
      </c>
    </row>
    <row r="1437" spans="1:12" ht="15.5" x14ac:dyDescent="0.35">
      <c r="A1437" s="143" t="s">
        <v>932</v>
      </c>
      <c r="B1437" s="229">
        <v>2039</v>
      </c>
      <c r="C1437" s="514" t="s">
        <v>2301</v>
      </c>
      <c r="D1437" s="515">
        <v>2.5821440460321237E-2</v>
      </c>
      <c r="E1437" s="516">
        <v>2.9132779970131818E-3</v>
      </c>
      <c r="F1437" s="145">
        <v>1.8975818927760981E-2</v>
      </c>
      <c r="G1437" s="145">
        <v>7.0696659153465704E-4</v>
      </c>
      <c r="H1437" s="517">
        <v>2.0000009999999999E-3</v>
      </c>
      <c r="I1437" s="517">
        <v>1.5750005000000001E-2</v>
      </c>
      <c r="J1437" s="148">
        <v>7.6796066863280173E-4</v>
      </c>
      <c r="K1437" s="518">
        <v>2.1943648956663777E-5</v>
      </c>
      <c r="L1437" s="519">
        <v>2.2935848241277236E-5</v>
      </c>
    </row>
    <row r="1438" spans="1:12" ht="15.5" x14ac:dyDescent="0.35">
      <c r="A1438" s="143" t="s">
        <v>932</v>
      </c>
      <c r="B1438" s="229">
        <v>2040</v>
      </c>
      <c r="C1438" s="514" t="s">
        <v>2302</v>
      </c>
      <c r="D1438" s="515">
        <v>2.5692257874805464E-2</v>
      </c>
      <c r="E1438" s="516">
        <v>2.7925298740605945E-3</v>
      </c>
      <c r="F1438" s="145">
        <v>1.8769962707905308E-2</v>
      </c>
      <c r="G1438" s="145">
        <v>6.8416071848638688E-4</v>
      </c>
      <c r="H1438" s="517">
        <v>2.0000009999999999E-3</v>
      </c>
      <c r="I1438" s="517">
        <v>1.5750005000000004E-2</v>
      </c>
      <c r="J1438" s="148">
        <v>7.4318264395571991E-4</v>
      </c>
      <c r="K1438" s="518">
        <v>2.1338467955696174E-5</v>
      </c>
      <c r="L1438" s="519">
        <v>2.2303303298030249E-5</v>
      </c>
    </row>
    <row r="1439" spans="1:12" ht="15.5" x14ac:dyDescent="0.35">
      <c r="A1439" s="143" t="s">
        <v>932</v>
      </c>
      <c r="B1439" s="229">
        <v>2041</v>
      </c>
      <c r="C1439" s="514" t="s">
        <v>2303</v>
      </c>
      <c r="D1439" s="515">
        <v>2.5586589679428087E-2</v>
      </c>
      <c r="E1439" s="516">
        <v>2.6942074967214085E-3</v>
      </c>
      <c r="F1439" s="145">
        <v>1.8604053680669481E-2</v>
      </c>
      <c r="G1439" s="145">
        <v>6.6606877792748916E-4</v>
      </c>
      <c r="H1439" s="517">
        <v>2.0000009999999999E-3</v>
      </c>
      <c r="I1439" s="517">
        <v>1.5750004999999997E-2</v>
      </c>
      <c r="J1439" s="148">
        <v>7.235271822715832E-4</v>
      </c>
      <c r="K1439" s="518">
        <v>2.0844667399849421E-5</v>
      </c>
      <c r="L1439" s="519">
        <v>2.1787176280094264E-5</v>
      </c>
    </row>
    <row r="1440" spans="1:12" ht="15.5" x14ac:dyDescent="0.35">
      <c r="A1440" s="143" t="s">
        <v>932</v>
      </c>
      <c r="B1440" s="229">
        <v>2042</v>
      </c>
      <c r="C1440" s="514" t="s">
        <v>2304</v>
      </c>
      <c r="D1440" s="515">
        <v>2.5499190769890115E-2</v>
      </c>
      <c r="E1440" s="516">
        <v>2.6111540799488913E-3</v>
      </c>
      <c r="F1440" s="145">
        <v>1.8454435057086584E-2</v>
      </c>
      <c r="G1440" s="145">
        <v>6.510897692871716E-4</v>
      </c>
      <c r="H1440" s="517">
        <v>2.0000009999999999E-3</v>
      </c>
      <c r="I1440" s="517">
        <v>1.5750005000000001E-2</v>
      </c>
      <c r="J1440" s="148">
        <v>7.0725230937319168E-4</v>
      </c>
      <c r="K1440" s="518">
        <v>2.0463435958356828E-5</v>
      </c>
      <c r="L1440" s="519">
        <v>2.1388704330233082E-5</v>
      </c>
    </row>
    <row r="1441" spans="1:12" ht="15.5" x14ac:dyDescent="0.35">
      <c r="A1441" s="143" t="s">
        <v>932</v>
      </c>
      <c r="B1441" s="229">
        <v>2043</v>
      </c>
      <c r="C1441" s="514" t="s">
        <v>2305</v>
      </c>
      <c r="D1441" s="515">
        <v>2.5428026303324979E-2</v>
      </c>
      <c r="E1441" s="516">
        <v>2.5482678660345274E-3</v>
      </c>
      <c r="F1441" s="145">
        <v>1.8344378675049584E-2</v>
      </c>
      <c r="G1441" s="145">
        <v>6.387378908849613E-4</v>
      </c>
      <c r="H1441" s="517">
        <v>2.0000009999999999E-3</v>
      </c>
      <c r="I1441" s="517">
        <v>1.5750005000000001E-2</v>
      </c>
      <c r="J1441" s="148">
        <v>6.9383177733153378E-4</v>
      </c>
      <c r="K1441" s="518">
        <v>2.0150636436477455E-5</v>
      </c>
      <c r="L1441" s="519">
        <v>2.1061756638711433E-5</v>
      </c>
    </row>
    <row r="1442" spans="1:12" ht="15.5" x14ac:dyDescent="0.35">
      <c r="A1442" s="143" t="s">
        <v>932</v>
      </c>
      <c r="B1442" s="229">
        <v>2044</v>
      </c>
      <c r="C1442" s="514" t="s">
        <v>2306</v>
      </c>
      <c r="D1442" s="515">
        <v>2.5369368169309806E-2</v>
      </c>
      <c r="E1442" s="516">
        <v>2.5031283771707589E-3</v>
      </c>
      <c r="F1442" s="145">
        <v>1.8265675662731021E-2</v>
      </c>
      <c r="G1442" s="145">
        <v>6.2860160431388388E-4</v>
      </c>
      <c r="H1442" s="517">
        <v>2.0000009999999999E-3</v>
      </c>
      <c r="I1442" s="517">
        <v>1.5750005000000001E-2</v>
      </c>
      <c r="J1442" s="148">
        <v>6.8281805691083365E-4</v>
      </c>
      <c r="K1442" s="518">
        <v>1.9900188663286578E-5</v>
      </c>
      <c r="L1442" s="519">
        <v>2.0799989954938586E-5</v>
      </c>
    </row>
    <row r="1443" spans="1:12" ht="15.5" x14ac:dyDescent="0.35">
      <c r="A1443" s="143" t="s">
        <v>932</v>
      </c>
      <c r="B1443" s="229">
        <v>2045</v>
      </c>
      <c r="C1443" s="514" t="s">
        <v>2307</v>
      </c>
      <c r="D1443" s="515">
        <v>2.5319893045921152E-2</v>
      </c>
      <c r="E1443" s="516">
        <v>2.4735149702062235E-3</v>
      </c>
      <c r="F1443" s="145">
        <v>1.8217514543251316E-2</v>
      </c>
      <c r="G1443" s="145">
        <v>6.2030540407463923E-4</v>
      </c>
      <c r="H1443" s="517">
        <v>2.0000010000000004E-3</v>
      </c>
      <c r="I1443" s="517">
        <v>1.5750005000000004E-2</v>
      </c>
      <c r="J1443" s="148">
        <v>6.7380339740533742E-4</v>
      </c>
      <c r="K1443" s="518">
        <v>1.9702822365218558E-5</v>
      </c>
      <c r="L1443" s="519">
        <v>2.0593697193037431E-5</v>
      </c>
    </row>
    <row r="1444" spans="1:12" ht="15.5" x14ac:dyDescent="0.35">
      <c r="A1444" s="143" t="s">
        <v>932</v>
      </c>
      <c r="B1444" s="229">
        <v>2046</v>
      </c>
      <c r="C1444" s="514" t="s">
        <v>2308</v>
      </c>
      <c r="D1444" s="515">
        <v>2.5279032926888587E-2</v>
      </c>
      <c r="E1444" s="516">
        <v>2.4493201182088529E-3</v>
      </c>
      <c r="F1444" s="145">
        <v>1.8180247079761652E-2</v>
      </c>
      <c r="G1444" s="145">
        <v>6.1358329824141768E-4</v>
      </c>
      <c r="H1444" s="517">
        <v>2.0000009999999995E-3</v>
      </c>
      <c r="I1444" s="517">
        <v>1.5750005000000001E-2</v>
      </c>
      <c r="J1444" s="148">
        <v>6.6649979511998404E-4</v>
      </c>
      <c r="K1444" s="518">
        <v>1.95424235774417E-5</v>
      </c>
      <c r="L1444" s="519">
        <v>2.0426043223294261E-5</v>
      </c>
    </row>
    <row r="1445" spans="1:12" ht="15.5" x14ac:dyDescent="0.35">
      <c r="A1445" s="143" t="s">
        <v>932</v>
      </c>
      <c r="B1445" s="229">
        <v>2047</v>
      </c>
      <c r="C1445" s="514" t="s">
        <v>2309</v>
      </c>
      <c r="D1445" s="515">
        <v>2.5244714752291432E-2</v>
      </c>
      <c r="E1445" s="516">
        <v>2.4279680614392929E-3</v>
      </c>
      <c r="F1445" s="145">
        <v>1.8142768080684119E-2</v>
      </c>
      <c r="G1445" s="145">
        <v>6.0815424713364804E-4</v>
      </c>
      <c r="H1445" s="517">
        <v>2.0000010000000004E-3</v>
      </c>
      <c r="I1445" s="517">
        <v>1.5750005000000001E-2</v>
      </c>
      <c r="J1445" s="148">
        <v>6.6060034692869086E-4</v>
      </c>
      <c r="K1445" s="518">
        <v>1.9413908313066416E-5</v>
      </c>
      <c r="L1445" s="519">
        <v>2.0291715314258404E-5</v>
      </c>
    </row>
    <row r="1446" spans="1:12" ht="15.5" x14ac:dyDescent="0.35">
      <c r="A1446" s="143" t="s">
        <v>932</v>
      </c>
      <c r="B1446" s="229">
        <v>2048</v>
      </c>
      <c r="C1446" s="514" t="s">
        <v>2310</v>
      </c>
      <c r="D1446" s="515">
        <v>2.5215633075345679E-2</v>
      </c>
      <c r="E1446" s="516">
        <v>2.4114391246421404E-3</v>
      </c>
      <c r="F1446" s="145">
        <v>1.811479064548796E-2</v>
      </c>
      <c r="G1446" s="145">
        <v>6.0378232177647068E-4</v>
      </c>
      <c r="H1446" s="517">
        <v>2.0000009999999999E-3</v>
      </c>
      <c r="I1446" s="517">
        <v>1.5750005000000001E-2</v>
      </c>
      <c r="J1446" s="148">
        <v>6.558504209893363E-4</v>
      </c>
      <c r="K1446" s="518">
        <v>1.9303750702649154E-5</v>
      </c>
      <c r="L1446" s="519">
        <v>2.017658336969744E-5</v>
      </c>
    </row>
    <row r="1447" spans="1:12" ht="15.5" x14ac:dyDescent="0.35">
      <c r="A1447" s="143" t="s">
        <v>932</v>
      </c>
      <c r="B1447" s="229">
        <v>2049</v>
      </c>
      <c r="C1447" s="514" t="s">
        <v>2311</v>
      </c>
      <c r="D1447" s="515">
        <v>2.5191094469408065E-2</v>
      </c>
      <c r="E1447" s="516">
        <v>2.4034955380274055E-3</v>
      </c>
      <c r="F1447" s="145">
        <v>1.8123622594591791E-2</v>
      </c>
      <c r="G1447" s="145">
        <v>6.0069523389016455E-4</v>
      </c>
      <c r="H1447" s="517">
        <v>2.0000009999999999E-3</v>
      </c>
      <c r="I1447" s="517">
        <v>1.5750005000000001E-2</v>
      </c>
      <c r="J1447" s="148">
        <v>6.5249668757351757E-4</v>
      </c>
      <c r="K1447" s="518">
        <v>1.9213224635026811E-5</v>
      </c>
      <c r="L1447" s="519">
        <v>2.0081963570279349E-5</v>
      </c>
    </row>
    <row r="1448" spans="1:12" ht="15.5" x14ac:dyDescent="0.35">
      <c r="A1448" s="143" t="s">
        <v>932</v>
      </c>
      <c r="B1448" s="229">
        <v>2050</v>
      </c>
      <c r="C1448" s="514" t="s">
        <v>2312</v>
      </c>
      <c r="D1448" s="515">
        <v>2.5172032381081101E-2</v>
      </c>
      <c r="E1448" s="516">
        <v>2.3970513972027888E-3</v>
      </c>
      <c r="F1448" s="145">
        <v>1.8131351538206393E-2</v>
      </c>
      <c r="G1448" s="145">
        <v>5.9822423734120426E-4</v>
      </c>
      <c r="H1448" s="517">
        <v>2.0000009999999999E-3</v>
      </c>
      <c r="I1448" s="517">
        <v>1.5750005000000001E-2</v>
      </c>
      <c r="J1448" s="148">
        <v>6.4981275330934073E-4</v>
      </c>
      <c r="K1448" s="518">
        <v>1.9133989293216382E-5</v>
      </c>
      <c r="L1448" s="519">
        <v>1.9999147189590492E-5</v>
      </c>
    </row>
    <row r="1449" spans="1:12" ht="15.5" x14ac:dyDescent="0.35">
      <c r="A1449" s="143" t="s">
        <v>936</v>
      </c>
      <c r="B1449" s="229">
        <v>2015</v>
      </c>
      <c r="C1449" s="514" t="s">
        <v>937</v>
      </c>
      <c r="D1449" s="515">
        <v>4.3697041139731115E-2</v>
      </c>
      <c r="E1449" s="516">
        <v>4.8957670829500297E-2</v>
      </c>
      <c r="F1449" s="145">
        <v>0.20517971780819216</v>
      </c>
      <c r="G1449" s="145">
        <v>1.7333377795441069E-3</v>
      </c>
      <c r="H1449" s="517">
        <v>2.0000010000000004E-3</v>
      </c>
      <c r="I1449" s="517">
        <v>1.5750005000000001E-2</v>
      </c>
      <c r="J1449" s="148">
        <v>1.8773220889461931E-3</v>
      </c>
      <c r="K1449" s="518">
        <v>1.1265301940178523E-4</v>
      </c>
      <c r="L1449" s="519">
        <v>1.1774669176600907E-4</v>
      </c>
    </row>
    <row r="1450" spans="1:12" ht="15.5" x14ac:dyDescent="0.35">
      <c r="A1450" s="143" t="s">
        <v>936</v>
      </c>
      <c r="B1450" s="229">
        <v>2016</v>
      </c>
      <c r="C1450" s="514" t="s">
        <v>938</v>
      </c>
      <c r="D1450" s="515">
        <v>4.281138622758715E-2</v>
      </c>
      <c r="E1450" s="516">
        <v>4.0067530300748E-2</v>
      </c>
      <c r="F1450" s="145">
        <v>0.17231653883166936</v>
      </c>
      <c r="G1450" s="145">
        <v>1.6150321526038061E-3</v>
      </c>
      <c r="H1450" s="517">
        <v>2.0000009999999999E-3</v>
      </c>
      <c r="I1450" s="517">
        <v>1.5750004999999997E-2</v>
      </c>
      <c r="J1450" s="148">
        <v>1.7503200561580312E-3</v>
      </c>
      <c r="K1450" s="518">
        <v>9.689154033357399E-5</v>
      </c>
      <c r="L1450" s="519">
        <v>1.0127254661417373E-4</v>
      </c>
    </row>
    <row r="1451" spans="1:12" ht="15.5" x14ac:dyDescent="0.35">
      <c r="A1451" s="143" t="s">
        <v>936</v>
      </c>
      <c r="B1451" s="229">
        <v>2017</v>
      </c>
      <c r="C1451" s="514" t="s">
        <v>2313</v>
      </c>
      <c r="D1451" s="515">
        <v>4.1847789296430751E-2</v>
      </c>
      <c r="E1451" s="516">
        <v>3.2830758932328154E-2</v>
      </c>
      <c r="F1451" s="145">
        <v>0.14530033789065838</v>
      </c>
      <c r="G1451" s="145">
        <v>1.5567014834396264E-3</v>
      </c>
      <c r="H1451" s="517">
        <v>2.0000009999999995E-3</v>
      </c>
      <c r="I1451" s="517">
        <v>1.5750005000000001E-2</v>
      </c>
      <c r="J1451" s="148">
        <v>1.688078250722234E-3</v>
      </c>
      <c r="K1451" s="518">
        <v>8.7307214056283396E-5</v>
      </c>
      <c r="L1451" s="519">
        <v>9.1254857255659841E-5</v>
      </c>
    </row>
    <row r="1452" spans="1:12" ht="15.5" x14ac:dyDescent="0.35">
      <c r="A1452" s="143" t="s">
        <v>936</v>
      </c>
      <c r="B1452" s="229">
        <v>2018</v>
      </c>
      <c r="C1452" s="514" t="s">
        <v>2314</v>
      </c>
      <c r="D1452" s="515">
        <v>4.0793663067056035E-2</v>
      </c>
      <c r="E1452" s="516">
        <v>2.6829822707060566E-2</v>
      </c>
      <c r="F1452" s="145">
        <v>0.1221422583238409</v>
      </c>
      <c r="G1452" s="145">
        <v>1.5286828981555727E-3</v>
      </c>
      <c r="H1452" s="517">
        <v>2.0000009999999995E-3</v>
      </c>
      <c r="I1452" s="517">
        <v>1.5750005000000004E-2</v>
      </c>
      <c r="J1452" s="148">
        <v>1.6584878381330464E-3</v>
      </c>
      <c r="K1452" s="518">
        <v>7.9686305460416234E-5</v>
      </c>
      <c r="L1452" s="519">
        <v>8.328936107982741E-5</v>
      </c>
    </row>
    <row r="1453" spans="1:12" ht="15.5" x14ac:dyDescent="0.35">
      <c r="A1453" s="143" t="s">
        <v>936</v>
      </c>
      <c r="B1453" s="229">
        <v>2019</v>
      </c>
      <c r="C1453" s="514" t="s">
        <v>2315</v>
      </c>
      <c r="D1453" s="515">
        <v>3.9657560924861432E-2</v>
      </c>
      <c r="E1453" s="516">
        <v>2.2047961296834378E-2</v>
      </c>
      <c r="F1453" s="145">
        <v>0.10300694094531868</v>
      </c>
      <c r="G1453" s="145">
        <v>1.5168651526096192E-3</v>
      </c>
      <c r="H1453" s="517">
        <v>2.0000010000000004E-3</v>
      </c>
      <c r="I1453" s="517">
        <v>1.5750005000000004E-2</v>
      </c>
      <c r="J1453" s="148">
        <v>1.6462757585533612E-3</v>
      </c>
      <c r="K1453" s="518">
        <v>7.3023195590172648E-5</v>
      </c>
      <c r="L1453" s="519">
        <v>7.6324979926901406E-5</v>
      </c>
    </row>
    <row r="1454" spans="1:12" ht="15.5" x14ac:dyDescent="0.35">
      <c r="A1454" s="143" t="s">
        <v>936</v>
      </c>
      <c r="B1454" s="229">
        <v>2020</v>
      </c>
      <c r="C1454" s="514" t="s">
        <v>2316</v>
      </c>
      <c r="D1454" s="515">
        <v>3.8537007346307307E-2</v>
      </c>
      <c r="E1454" s="516">
        <v>1.8327245261970469E-2</v>
      </c>
      <c r="F1454" s="145">
        <v>8.7154044511627296E-2</v>
      </c>
      <c r="G1454" s="145">
        <v>1.4823349355541867E-3</v>
      </c>
      <c r="H1454" s="517">
        <v>2.0000009999999999E-3</v>
      </c>
      <c r="I1454" s="517">
        <v>1.5750005000000001E-2</v>
      </c>
      <c r="J1454" s="148">
        <v>1.6090738611883306E-3</v>
      </c>
      <c r="K1454" s="518">
        <v>6.8218409082686376E-5</v>
      </c>
      <c r="L1454" s="519">
        <v>7.1302941498714253E-5</v>
      </c>
    </row>
    <row r="1455" spans="1:12" ht="15.5" x14ac:dyDescent="0.35">
      <c r="A1455" s="143" t="s">
        <v>936</v>
      </c>
      <c r="B1455" s="229">
        <v>2021</v>
      </c>
      <c r="C1455" s="514" t="s">
        <v>2317</v>
      </c>
      <c r="D1455" s="515">
        <v>3.739653356666911E-2</v>
      </c>
      <c r="E1455" s="516">
        <v>1.5424564093913091E-2</v>
      </c>
      <c r="F1455" s="145">
        <v>7.3986679033486186E-2</v>
      </c>
      <c r="G1455" s="145">
        <v>1.4125514553045551E-3</v>
      </c>
      <c r="H1455" s="517">
        <v>2.0000009999999999E-3</v>
      </c>
      <c r="I1455" s="517">
        <v>1.5750004999999997E-2</v>
      </c>
      <c r="J1455" s="148">
        <v>1.5334779881342427E-3</v>
      </c>
      <c r="K1455" s="518">
        <v>6.2710135485355019E-5</v>
      </c>
      <c r="L1455" s="519">
        <v>6.5545608935240742E-5</v>
      </c>
    </row>
    <row r="1456" spans="1:12" ht="15.5" x14ac:dyDescent="0.35">
      <c r="A1456" s="143" t="s">
        <v>936</v>
      </c>
      <c r="B1456" s="229">
        <v>2022</v>
      </c>
      <c r="C1456" s="514" t="s">
        <v>2318</v>
      </c>
      <c r="D1456" s="515">
        <v>3.6266008633990744E-2</v>
      </c>
      <c r="E1456" s="516">
        <v>1.2878902412607937E-2</v>
      </c>
      <c r="F1456" s="145">
        <v>6.3078420835052398E-2</v>
      </c>
      <c r="G1456" s="145">
        <v>1.3448004864818799E-3</v>
      </c>
      <c r="H1456" s="517">
        <v>2.0000010000000004E-3</v>
      </c>
      <c r="I1456" s="517">
        <v>1.5750005000000001E-2</v>
      </c>
      <c r="J1456" s="148">
        <v>1.4601011469862161E-3</v>
      </c>
      <c r="K1456" s="518">
        <v>5.7863019171382104E-5</v>
      </c>
      <c r="L1456" s="519">
        <v>6.0479330794521408E-5</v>
      </c>
    </row>
    <row r="1457" spans="1:12" ht="15.5" x14ac:dyDescent="0.35">
      <c r="A1457" s="143" t="s">
        <v>936</v>
      </c>
      <c r="B1457" s="229">
        <v>2023</v>
      </c>
      <c r="C1457" s="514" t="s">
        <v>2319</v>
      </c>
      <c r="D1457" s="515">
        <v>3.5140858764593746E-2</v>
      </c>
      <c r="E1457" s="516">
        <v>1.0987795176425156E-2</v>
      </c>
      <c r="F1457" s="145">
        <v>5.4329774635988544E-2</v>
      </c>
      <c r="G1457" s="145">
        <v>1.2823054898038254E-3</v>
      </c>
      <c r="H1457" s="517">
        <v>2.0000009999999999E-3</v>
      </c>
      <c r="I1457" s="517">
        <v>1.5750004999999997E-2</v>
      </c>
      <c r="J1457" s="148">
        <v>1.3923750115628702E-3</v>
      </c>
      <c r="K1457" s="518">
        <v>5.256629613886944E-5</v>
      </c>
      <c r="L1457" s="519">
        <v>5.4943110636303557E-5</v>
      </c>
    </row>
    <row r="1458" spans="1:12" ht="15.5" x14ac:dyDescent="0.35">
      <c r="A1458" s="143" t="s">
        <v>936</v>
      </c>
      <c r="B1458" s="229">
        <v>2024</v>
      </c>
      <c r="C1458" s="514" t="s">
        <v>2320</v>
      </c>
      <c r="D1458" s="515">
        <v>3.4026304492025927E-2</v>
      </c>
      <c r="E1458" s="516">
        <v>9.3814583648589092E-3</v>
      </c>
      <c r="F1458" s="145">
        <v>4.7080931041717219E-2</v>
      </c>
      <c r="G1458" s="145">
        <v>1.2209575703939824E-3</v>
      </c>
      <c r="H1458" s="517">
        <v>2.0000010000000004E-3</v>
      </c>
      <c r="I1458" s="517">
        <v>1.5750005000000001E-2</v>
      </c>
      <c r="J1458" s="148">
        <v>1.3258923081045574E-3</v>
      </c>
      <c r="K1458" s="518">
        <v>4.7315537807917554E-5</v>
      </c>
      <c r="L1458" s="519">
        <v>4.945494260123157E-5</v>
      </c>
    </row>
    <row r="1459" spans="1:12" ht="15.5" x14ac:dyDescent="0.35">
      <c r="A1459" s="143" t="s">
        <v>936</v>
      </c>
      <c r="B1459" s="229">
        <v>2025</v>
      </c>
      <c r="C1459" s="514" t="s">
        <v>2321</v>
      </c>
      <c r="D1459" s="515">
        <v>3.292193119364354E-2</v>
      </c>
      <c r="E1459" s="516">
        <v>8.1161300821867965E-3</v>
      </c>
      <c r="F1459" s="145">
        <v>4.1380687078538453E-2</v>
      </c>
      <c r="G1459" s="145">
        <v>1.1734534405857522E-3</v>
      </c>
      <c r="H1459" s="517">
        <v>2.0000009999999999E-3</v>
      </c>
      <c r="I1459" s="517">
        <v>1.5750005000000001E-2</v>
      </c>
      <c r="J1459" s="148">
        <v>1.274396206369302E-3</v>
      </c>
      <c r="K1459" s="518">
        <v>4.3433503349485711E-5</v>
      </c>
      <c r="L1459" s="519">
        <v>4.5397372324201112E-5</v>
      </c>
    </row>
    <row r="1460" spans="1:12" ht="15.5" x14ac:dyDescent="0.35">
      <c r="A1460" s="143" t="s">
        <v>936</v>
      </c>
      <c r="B1460" s="229">
        <v>2026</v>
      </c>
      <c r="C1460" s="514" t="s">
        <v>2322</v>
      </c>
      <c r="D1460" s="515">
        <v>3.1918894922969156E-2</v>
      </c>
      <c r="E1460" s="516">
        <v>7.1545536860468809E-3</v>
      </c>
      <c r="F1460" s="145">
        <v>3.6908082611724048E-2</v>
      </c>
      <c r="G1460" s="145">
        <v>1.133039306914801E-3</v>
      </c>
      <c r="H1460" s="517">
        <v>2.0000009999999999E-3</v>
      </c>
      <c r="I1460" s="517">
        <v>1.5750005000000001E-2</v>
      </c>
      <c r="J1460" s="148">
        <v>1.2305825347417117E-3</v>
      </c>
      <c r="K1460" s="518">
        <v>4.013559068687499E-5</v>
      </c>
      <c r="L1460" s="519">
        <v>4.1950346336207072E-5</v>
      </c>
    </row>
    <row r="1461" spans="1:12" ht="15.5" x14ac:dyDescent="0.35">
      <c r="A1461" s="143" t="s">
        <v>936</v>
      </c>
      <c r="B1461" s="229">
        <v>2027</v>
      </c>
      <c r="C1461" s="514" t="s">
        <v>2323</v>
      </c>
      <c r="D1461" s="515">
        <v>3.1005865962659331E-2</v>
      </c>
      <c r="E1461" s="516">
        <v>6.3026669092474223E-3</v>
      </c>
      <c r="F1461" s="145">
        <v>3.3237007988114062E-2</v>
      </c>
      <c r="G1461" s="145">
        <v>1.0759237429545418E-3</v>
      </c>
      <c r="H1461" s="517">
        <v>2.0000009999999999E-3</v>
      </c>
      <c r="I1461" s="517">
        <v>1.5750005000000004E-2</v>
      </c>
      <c r="J1461" s="148">
        <v>1.1686749326601884E-3</v>
      </c>
      <c r="K1461" s="518">
        <v>3.5168631663189453E-5</v>
      </c>
      <c r="L1461" s="519">
        <v>3.6758800898768626E-5</v>
      </c>
    </row>
    <row r="1462" spans="1:12" ht="15.5" x14ac:dyDescent="0.35">
      <c r="A1462" s="143" t="s">
        <v>936</v>
      </c>
      <c r="B1462" s="229">
        <v>2028</v>
      </c>
      <c r="C1462" s="514" t="s">
        <v>2324</v>
      </c>
      <c r="D1462" s="515">
        <v>3.0184689718460354E-2</v>
      </c>
      <c r="E1462" s="516">
        <v>5.6081027766643416E-3</v>
      </c>
      <c r="F1462" s="145">
        <v>3.0300504214318839E-2</v>
      </c>
      <c r="G1462" s="145">
        <v>1.0139540481960477E-3</v>
      </c>
      <c r="H1462" s="517">
        <v>2.0000009999999999E-3</v>
      </c>
      <c r="I1462" s="517">
        <v>1.5750004999999997E-2</v>
      </c>
      <c r="J1462" s="148">
        <v>1.1014254472498431E-3</v>
      </c>
      <c r="K1462" s="518">
        <v>3.1671535109095308E-5</v>
      </c>
      <c r="L1462" s="519">
        <v>3.3103581612650976E-5</v>
      </c>
    </row>
    <row r="1463" spans="1:12" ht="15.5" x14ac:dyDescent="0.35">
      <c r="A1463" s="143" t="s">
        <v>936</v>
      </c>
      <c r="B1463" s="229">
        <v>2029</v>
      </c>
      <c r="C1463" s="514" t="s">
        <v>2325</v>
      </c>
      <c r="D1463" s="515">
        <v>2.9450048059133288E-2</v>
      </c>
      <c r="E1463" s="516">
        <v>5.024964867419989E-3</v>
      </c>
      <c r="F1463" s="145">
        <v>2.7914733180543487E-2</v>
      </c>
      <c r="G1463" s="145">
        <v>9.5365646750948262E-4</v>
      </c>
      <c r="H1463" s="517">
        <v>2.0000009999999995E-3</v>
      </c>
      <c r="I1463" s="517">
        <v>1.5750004999999994E-2</v>
      </c>
      <c r="J1463" s="148">
        <v>1.0359654341507299E-3</v>
      </c>
      <c r="K1463" s="518">
        <v>2.8860180288253735E-5</v>
      </c>
      <c r="L1463" s="519">
        <v>3.0165113415752857E-5</v>
      </c>
    </row>
    <row r="1464" spans="1:12" ht="15.5" x14ac:dyDescent="0.35">
      <c r="A1464" s="143" t="s">
        <v>936</v>
      </c>
      <c r="B1464" s="229">
        <v>2030</v>
      </c>
      <c r="C1464" s="514" t="s">
        <v>2326</v>
      </c>
      <c r="D1464" s="515">
        <v>2.8797045806564045E-2</v>
      </c>
      <c r="E1464" s="516">
        <v>4.5420627843697371E-3</v>
      </c>
      <c r="F1464" s="145">
        <v>2.5996189685738132E-2</v>
      </c>
      <c r="G1464" s="145">
        <v>8.964705339189053E-4</v>
      </c>
      <c r="H1464" s="517">
        <v>2.0000009999999995E-3</v>
      </c>
      <c r="I1464" s="517">
        <v>1.5750005000000001E-2</v>
      </c>
      <c r="J1464" s="148">
        <v>9.7386499186090868E-4</v>
      </c>
      <c r="K1464" s="518">
        <v>2.6635348787653332E-5</v>
      </c>
      <c r="L1464" s="519">
        <v>2.7839681325027465E-5</v>
      </c>
    </row>
    <row r="1465" spans="1:12" ht="15.5" x14ac:dyDescent="0.35">
      <c r="A1465" s="143" t="s">
        <v>936</v>
      </c>
      <c r="B1465" s="229">
        <v>2031</v>
      </c>
      <c r="C1465" s="514" t="s">
        <v>2327</v>
      </c>
      <c r="D1465" s="515">
        <v>2.8220411201537683E-2</v>
      </c>
      <c r="E1465" s="516">
        <v>4.1281517000512913E-3</v>
      </c>
      <c r="F1465" s="145">
        <v>2.4404633834886884E-2</v>
      </c>
      <c r="G1465" s="145">
        <v>8.4280117217204486E-4</v>
      </c>
      <c r="H1465" s="517">
        <v>2.0000009999999999E-3</v>
      </c>
      <c r="I1465" s="517">
        <v>1.5750005000000001E-2</v>
      </c>
      <c r="J1465" s="148">
        <v>9.1555636018196486E-4</v>
      </c>
      <c r="K1465" s="518">
        <v>2.516672172740901E-5</v>
      </c>
      <c r="L1465" s="519">
        <v>2.6304653300790694E-5</v>
      </c>
    </row>
    <row r="1466" spans="1:12" ht="15.5" x14ac:dyDescent="0.35">
      <c r="A1466" s="143" t="s">
        <v>936</v>
      </c>
      <c r="B1466" s="229">
        <v>2032</v>
      </c>
      <c r="C1466" s="514" t="s">
        <v>2328</v>
      </c>
      <c r="D1466" s="515">
        <v>2.7714058350652125E-2</v>
      </c>
      <c r="E1466" s="516">
        <v>3.7771573684000589E-3</v>
      </c>
      <c r="F1466" s="145">
        <v>2.3129322547243581E-2</v>
      </c>
      <c r="G1466" s="145">
        <v>7.9280966002827282E-4</v>
      </c>
      <c r="H1466" s="517">
        <v>2.0000009999999999E-3</v>
      </c>
      <c r="I1466" s="517">
        <v>1.5750005000000001E-2</v>
      </c>
      <c r="J1466" s="148">
        <v>8.6124349992472643E-4</v>
      </c>
      <c r="K1466" s="518">
        <v>2.3825962237099085E-5</v>
      </c>
      <c r="L1466" s="519">
        <v>2.490326904146267E-5</v>
      </c>
    </row>
    <row r="1467" spans="1:12" ht="15.5" x14ac:dyDescent="0.35">
      <c r="A1467" s="143" t="s">
        <v>936</v>
      </c>
      <c r="B1467" s="229">
        <v>2033</v>
      </c>
      <c r="C1467" s="514" t="s">
        <v>2329</v>
      </c>
      <c r="D1467" s="515">
        <v>2.7272404728907559E-2</v>
      </c>
      <c r="E1467" s="516">
        <v>3.4715975118870435E-3</v>
      </c>
      <c r="F1467" s="145">
        <v>2.2073808269229875E-2</v>
      </c>
      <c r="G1467" s="145">
        <v>7.4636667575837042E-4</v>
      </c>
      <c r="H1467" s="517">
        <v>2.0000009999999999E-3</v>
      </c>
      <c r="I1467" s="517">
        <v>1.5750005000000001E-2</v>
      </c>
      <c r="J1467" s="148">
        <v>8.107812300161125E-4</v>
      </c>
      <c r="K1467" s="518">
        <v>2.2663810174161015E-5</v>
      </c>
      <c r="L1467" s="519">
        <v>2.3688566669873363E-5</v>
      </c>
    </row>
    <row r="1468" spans="1:12" ht="15.5" x14ac:dyDescent="0.35">
      <c r="A1468" s="143" t="s">
        <v>936</v>
      </c>
      <c r="B1468" s="229">
        <v>2034</v>
      </c>
      <c r="C1468" s="514" t="s">
        <v>2330</v>
      </c>
      <c r="D1468" s="515">
        <v>2.6889404570928283E-2</v>
      </c>
      <c r="E1468" s="516">
        <v>3.20466074644439E-3</v>
      </c>
      <c r="F1468" s="145">
        <v>2.1208424285547711E-2</v>
      </c>
      <c r="G1468" s="145">
        <v>7.034368653582358E-4</v>
      </c>
      <c r="H1468" s="517">
        <v>2.0000009999999995E-3</v>
      </c>
      <c r="I1468" s="517">
        <v>1.5750005000000001E-2</v>
      </c>
      <c r="J1468" s="148">
        <v>7.6413627386922927E-4</v>
      </c>
      <c r="K1468" s="518">
        <v>2.1603795336213145E-5</v>
      </c>
      <c r="L1468" s="519">
        <v>2.2580621598017505E-5</v>
      </c>
    </row>
    <row r="1469" spans="1:12" ht="15.5" x14ac:dyDescent="0.35">
      <c r="A1469" s="143" t="s">
        <v>936</v>
      </c>
      <c r="B1469" s="229">
        <v>2035</v>
      </c>
      <c r="C1469" s="514" t="s">
        <v>2331</v>
      </c>
      <c r="D1469" s="515">
        <v>2.6560301888536173E-2</v>
      </c>
      <c r="E1469" s="516">
        <v>2.9734135373012064E-3</v>
      </c>
      <c r="F1469" s="145">
        <v>2.0510648672932223E-2</v>
      </c>
      <c r="G1469" s="145">
        <v>6.6417011995138938E-4</v>
      </c>
      <c r="H1469" s="517">
        <v>2.0000009999999995E-3</v>
      </c>
      <c r="I1469" s="517">
        <v>1.5750005000000004E-2</v>
      </c>
      <c r="J1469" s="148">
        <v>7.2147150879981218E-4</v>
      </c>
      <c r="K1469" s="518">
        <v>2.0630467830789699E-5</v>
      </c>
      <c r="L1469" s="519">
        <v>2.1563290907489416E-5</v>
      </c>
    </row>
    <row r="1470" spans="1:12" ht="15.5" x14ac:dyDescent="0.35">
      <c r="A1470" s="143" t="s">
        <v>936</v>
      </c>
      <c r="B1470" s="229">
        <v>2036</v>
      </c>
      <c r="C1470" s="514" t="s">
        <v>2332</v>
      </c>
      <c r="D1470" s="515">
        <v>2.6278710394808027E-2</v>
      </c>
      <c r="E1470" s="516">
        <v>2.7732343624834776E-3</v>
      </c>
      <c r="F1470" s="145">
        <v>1.9945336179445317E-2</v>
      </c>
      <c r="G1470" s="145">
        <v>6.2928370705338677E-4</v>
      </c>
      <c r="H1470" s="517">
        <v>2.0000009999999999E-3</v>
      </c>
      <c r="I1470" s="517">
        <v>1.5750005000000001E-2</v>
      </c>
      <c r="J1470" s="148">
        <v>6.8356754413367198E-4</v>
      </c>
      <c r="K1470" s="518">
        <v>1.973239477614904E-5</v>
      </c>
      <c r="L1470" s="519">
        <v>2.0624604051691344E-5</v>
      </c>
    </row>
    <row r="1471" spans="1:12" ht="15.5" x14ac:dyDescent="0.35">
      <c r="A1471" s="143" t="s">
        <v>936</v>
      </c>
      <c r="B1471" s="229">
        <v>2037</v>
      </c>
      <c r="C1471" s="514" t="s">
        <v>2333</v>
      </c>
      <c r="D1471" s="515">
        <v>2.6040365951108483E-2</v>
      </c>
      <c r="E1471" s="516">
        <v>2.6026598086838671E-3</v>
      </c>
      <c r="F1471" s="145">
        <v>1.9495950058301618E-2</v>
      </c>
      <c r="G1471" s="145">
        <v>5.9810535489158642E-4</v>
      </c>
      <c r="H1471" s="517">
        <v>2.0000009999999999E-3</v>
      </c>
      <c r="I1471" s="517">
        <v>1.5750005000000008E-2</v>
      </c>
      <c r="J1471" s="148">
        <v>6.4969140968523906E-4</v>
      </c>
      <c r="K1471" s="518">
        <v>1.8931945747832877E-5</v>
      </c>
      <c r="L1471" s="519">
        <v>1.978796328765286E-5</v>
      </c>
    </row>
    <row r="1472" spans="1:12" ht="15.5" x14ac:dyDescent="0.35">
      <c r="A1472" s="143" t="s">
        <v>936</v>
      </c>
      <c r="B1472" s="229">
        <v>2038</v>
      </c>
      <c r="C1472" s="514" t="s">
        <v>2334</v>
      </c>
      <c r="D1472" s="515">
        <v>2.5840266855800743E-2</v>
      </c>
      <c r="E1472" s="516">
        <v>2.451014047112187E-3</v>
      </c>
      <c r="F1472" s="145">
        <v>1.9107858482011266E-2</v>
      </c>
      <c r="G1472" s="145">
        <v>5.7037692058339406E-4</v>
      </c>
      <c r="H1472" s="517">
        <v>2.0000010000000004E-3</v>
      </c>
      <c r="I1472" s="517">
        <v>1.5750005000000001E-2</v>
      </c>
      <c r="J1472" s="148">
        <v>6.1956370243269811E-4</v>
      </c>
      <c r="K1472" s="518">
        <v>1.8237450087941796E-5</v>
      </c>
      <c r="L1472" s="519">
        <v>1.9062064051229925E-5</v>
      </c>
    </row>
    <row r="1473" spans="1:12" ht="15.5" x14ac:dyDescent="0.35">
      <c r="A1473" s="143" t="s">
        <v>936</v>
      </c>
      <c r="B1473" s="229">
        <v>2039</v>
      </c>
      <c r="C1473" s="514" t="s">
        <v>2335</v>
      </c>
      <c r="D1473" s="515">
        <v>2.5672785285798756E-2</v>
      </c>
      <c r="E1473" s="516">
        <v>2.312990636385316E-3</v>
      </c>
      <c r="F1473" s="145">
        <v>1.8762453247778439E-2</v>
      </c>
      <c r="G1473" s="145">
        <v>5.4600442022695371E-4</v>
      </c>
      <c r="H1473" s="517">
        <v>2.0000010000000004E-3</v>
      </c>
      <c r="I1473" s="517">
        <v>1.5750005000000004E-2</v>
      </c>
      <c r="J1473" s="148">
        <v>5.9308126027165522E-4</v>
      </c>
      <c r="K1473" s="518">
        <v>1.7651449498348896E-5</v>
      </c>
      <c r="L1473" s="519">
        <v>1.8449574120466658E-5</v>
      </c>
    </row>
    <row r="1474" spans="1:12" ht="15.5" x14ac:dyDescent="0.35">
      <c r="A1474" s="143" t="s">
        <v>936</v>
      </c>
      <c r="B1474" s="229">
        <v>2040</v>
      </c>
      <c r="C1474" s="514" t="s">
        <v>2336</v>
      </c>
      <c r="D1474" s="515">
        <v>2.5533172002639676E-2</v>
      </c>
      <c r="E1474" s="516">
        <v>2.1942048348741641E-3</v>
      </c>
      <c r="F1474" s="145">
        <v>1.8489284777396447E-2</v>
      </c>
      <c r="G1474" s="145">
        <v>5.249259957039752E-4</v>
      </c>
      <c r="H1474" s="517">
        <v>2.0000009999999999E-3</v>
      </c>
      <c r="I1474" s="517">
        <v>1.5750005000000001E-2</v>
      </c>
      <c r="J1474" s="148">
        <v>5.70178740120912E-4</v>
      </c>
      <c r="K1474" s="518">
        <v>1.7148877252069915E-5</v>
      </c>
      <c r="L1474" s="519">
        <v>1.7924275158587328E-5</v>
      </c>
    </row>
    <row r="1475" spans="1:12" ht="15.5" x14ac:dyDescent="0.35">
      <c r="A1475" s="143" t="s">
        <v>936</v>
      </c>
      <c r="B1475" s="229">
        <v>2041</v>
      </c>
      <c r="C1475" s="514" t="s">
        <v>2337</v>
      </c>
      <c r="D1475" s="515">
        <v>2.5418447986142977E-2</v>
      </c>
      <c r="E1475" s="516">
        <v>2.1004299622018638E-3</v>
      </c>
      <c r="F1475" s="145">
        <v>1.8276538283013639E-2</v>
      </c>
      <c r="G1475" s="145">
        <v>5.0772138757795588E-4</v>
      </c>
      <c r="H1475" s="517">
        <v>2.0000009999999999E-3</v>
      </c>
      <c r="I1475" s="517">
        <v>1.5750005000000001E-2</v>
      </c>
      <c r="J1475" s="148">
        <v>5.5148426905734865E-4</v>
      </c>
      <c r="K1475" s="518">
        <v>1.6736836364803535E-5</v>
      </c>
      <c r="L1475" s="519">
        <v>1.7493600156419306E-5</v>
      </c>
    </row>
    <row r="1476" spans="1:12" ht="15.5" x14ac:dyDescent="0.35">
      <c r="A1476" s="143" t="s">
        <v>936</v>
      </c>
      <c r="B1476" s="229">
        <v>2042</v>
      </c>
      <c r="C1476" s="514" t="s">
        <v>2338</v>
      </c>
      <c r="D1476" s="515">
        <v>2.5323467224430303E-2</v>
      </c>
      <c r="E1476" s="516">
        <v>2.0208597710104355E-3</v>
      </c>
      <c r="F1476" s="145">
        <v>1.8084608889813156E-2</v>
      </c>
      <c r="G1476" s="145">
        <v>4.9312924927768229E-4</v>
      </c>
      <c r="H1476" s="517">
        <v>2.0000009999999999E-3</v>
      </c>
      <c r="I1476" s="517">
        <v>1.5750005000000001E-2</v>
      </c>
      <c r="J1476" s="148">
        <v>5.3562828890679716E-4</v>
      </c>
      <c r="K1476" s="518">
        <v>1.6404547883408798E-5</v>
      </c>
      <c r="L1476" s="519">
        <v>1.7146281298352092E-5</v>
      </c>
    </row>
    <row r="1477" spans="1:12" ht="15.5" x14ac:dyDescent="0.35">
      <c r="A1477" s="143" t="s">
        <v>936</v>
      </c>
      <c r="B1477" s="229">
        <v>2043</v>
      </c>
      <c r="C1477" s="514" t="s">
        <v>2339</v>
      </c>
      <c r="D1477" s="515">
        <v>2.5245821849977267E-2</v>
      </c>
      <c r="E1477" s="516">
        <v>1.9596550070264921E-3</v>
      </c>
      <c r="F1477" s="145">
        <v>1.794405806205469E-2</v>
      </c>
      <c r="G1477" s="145">
        <v>4.8090833721234615E-4</v>
      </c>
      <c r="H1477" s="517">
        <v>2.0000010000000004E-3</v>
      </c>
      <c r="I1477" s="517">
        <v>1.5750005000000001E-2</v>
      </c>
      <c r="J1477" s="148">
        <v>5.2234762869771112E-4</v>
      </c>
      <c r="K1477" s="518">
        <v>1.6137185882186022E-5</v>
      </c>
      <c r="L1477" s="519">
        <v>1.6866831303669369E-5</v>
      </c>
    </row>
    <row r="1478" spans="1:12" ht="15.5" x14ac:dyDescent="0.35">
      <c r="A1478" s="143" t="s">
        <v>936</v>
      </c>
      <c r="B1478" s="229">
        <v>2044</v>
      </c>
      <c r="C1478" s="514" t="s">
        <v>2340</v>
      </c>
      <c r="D1478" s="515">
        <v>2.5181734530848997E-2</v>
      </c>
      <c r="E1478" s="516">
        <v>1.9135044246797084E-3</v>
      </c>
      <c r="F1478" s="145">
        <v>1.7836282399775812E-2</v>
      </c>
      <c r="G1478" s="145">
        <v>4.7074608131198055E-4</v>
      </c>
      <c r="H1478" s="517">
        <v>2.0000009999999999E-3</v>
      </c>
      <c r="I1478" s="517">
        <v>1.5750005000000001E-2</v>
      </c>
      <c r="J1478" s="148">
        <v>5.1130429775124464E-4</v>
      </c>
      <c r="K1478" s="518">
        <v>1.5932381340943279E-5</v>
      </c>
      <c r="L1478" s="519">
        <v>1.6652774770176494E-5</v>
      </c>
    </row>
    <row r="1479" spans="1:12" ht="15.5" x14ac:dyDescent="0.35">
      <c r="A1479" s="143" t="s">
        <v>936</v>
      </c>
      <c r="B1479" s="229">
        <v>2045</v>
      </c>
      <c r="C1479" s="514" t="s">
        <v>2341</v>
      </c>
      <c r="D1479" s="515">
        <v>2.5127895959997537E-2</v>
      </c>
      <c r="E1479" s="516">
        <v>1.8811439856032297E-3</v>
      </c>
      <c r="F1479" s="145">
        <v>1.7769322525060777E-2</v>
      </c>
      <c r="G1479" s="145">
        <v>4.6233577017373384E-4</v>
      </c>
      <c r="H1479" s="517">
        <v>2.0000009999999995E-3</v>
      </c>
      <c r="I1479" s="517">
        <v>1.5750005000000001E-2</v>
      </c>
      <c r="J1479" s="148">
        <v>5.0216397979885937E-4</v>
      </c>
      <c r="K1479" s="518">
        <v>1.5772806771934046E-5</v>
      </c>
      <c r="L1479" s="519">
        <v>1.6485981776981509E-5</v>
      </c>
    </row>
    <row r="1480" spans="1:12" ht="15.5" x14ac:dyDescent="0.35">
      <c r="A1480" s="143" t="s">
        <v>936</v>
      </c>
      <c r="B1480" s="229">
        <v>2046</v>
      </c>
      <c r="C1480" s="514" t="s">
        <v>2342</v>
      </c>
      <c r="D1480" s="515">
        <v>2.5082802871367896E-2</v>
      </c>
      <c r="E1480" s="516">
        <v>1.8532382429103621E-3</v>
      </c>
      <c r="F1480" s="145">
        <v>1.7713754617556147E-2</v>
      </c>
      <c r="G1480" s="145">
        <v>4.5544701311746864E-4</v>
      </c>
      <c r="H1480" s="517">
        <v>2.0000009999999995E-3</v>
      </c>
      <c r="I1480" s="517">
        <v>1.5750005000000001E-2</v>
      </c>
      <c r="J1480" s="148">
        <v>4.9467705764694809E-4</v>
      </c>
      <c r="K1480" s="518">
        <v>1.5650855887866271E-5</v>
      </c>
      <c r="L1480" s="519">
        <v>1.6358517988134649E-5</v>
      </c>
    </row>
    <row r="1481" spans="1:12" ht="15.5" x14ac:dyDescent="0.35">
      <c r="A1481" s="143" t="s">
        <v>936</v>
      </c>
      <c r="B1481" s="229">
        <v>2047</v>
      </c>
      <c r="C1481" s="514" t="s">
        <v>2343</v>
      </c>
      <c r="D1481" s="515">
        <v>2.504502962005507E-2</v>
      </c>
      <c r="E1481" s="516">
        <v>1.8290434639678978E-3</v>
      </c>
      <c r="F1481" s="145">
        <v>1.7660582352615521E-2</v>
      </c>
      <c r="G1481" s="145">
        <v>4.4986101472567632E-4</v>
      </c>
      <c r="H1481" s="517">
        <v>2.0000009999999999E-3</v>
      </c>
      <c r="I1481" s="517">
        <v>1.5750005000000001E-2</v>
      </c>
      <c r="J1481" s="148">
        <v>4.8860573732776094E-4</v>
      </c>
      <c r="K1481" s="518">
        <v>1.5555301340026312E-5</v>
      </c>
      <c r="L1481" s="519">
        <v>1.6258641251292577E-5</v>
      </c>
    </row>
    <row r="1482" spans="1:12" ht="15.5" x14ac:dyDescent="0.35">
      <c r="A1482" s="143" t="s">
        <v>936</v>
      </c>
      <c r="B1482" s="229">
        <v>2048</v>
      </c>
      <c r="C1482" s="514" t="s">
        <v>2344</v>
      </c>
      <c r="D1482" s="515">
        <v>2.5013528329466746E-2</v>
      </c>
      <c r="E1482" s="516">
        <v>1.8099453577993428E-3</v>
      </c>
      <c r="F1482" s="145">
        <v>1.7618989451235054E-2</v>
      </c>
      <c r="G1482" s="145">
        <v>4.4536536941265284E-4</v>
      </c>
      <c r="H1482" s="517">
        <v>2.0000010000000004E-3</v>
      </c>
      <c r="I1482" s="517">
        <v>1.5750005000000001E-2</v>
      </c>
      <c r="J1482" s="148">
        <v>4.8371949559049103E-4</v>
      </c>
      <c r="K1482" s="518">
        <v>1.5479326304646123E-5</v>
      </c>
      <c r="L1482" s="519">
        <v>1.6179231816801004E-5</v>
      </c>
    </row>
    <row r="1483" spans="1:12" ht="15.5" x14ac:dyDescent="0.35">
      <c r="A1483" s="143" t="s">
        <v>936</v>
      </c>
      <c r="B1483" s="229">
        <v>2049</v>
      </c>
      <c r="C1483" s="514" t="s">
        <v>2345</v>
      </c>
      <c r="D1483" s="515">
        <v>2.4986888612959189E-2</v>
      </c>
      <c r="E1483" s="516">
        <v>1.8019351038549513E-3</v>
      </c>
      <c r="F1483" s="145">
        <v>1.763484850770676E-2</v>
      </c>
      <c r="G1483" s="145">
        <v>4.4226110089101483E-4</v>
      </c>
      <c r="H1483" s="517">
        <v>2.0000010000000004E-3</v>
      </c>
      <c r="I1483" s="517">
        <v>1.5750005000000001E-2</v>
      </c>
      <c r="J1483" s="148">
        <v>4.803454356059205E-4</v>
      </c>
      <c r="K1483" s="518">
        <v>1.5429343841153257E-5</v>
      </c>
      <c r="L1483" s="519">
        <v>1.6126988472267587E-5</v>
      </c>
    </row>
    <row r="1484" spans="1:12" ht="15.5" x14ac:dyDescent="0.35">
      <c r="A1484" s="143" t="s">
        <v>936</v>
      </c>
      <c r="B1484" s="229">
        <v>2050</v>
      </c>
      <c r="C1484" s="514" t="s">
        <v>2346</v>
      </c>
      <c r="D1484" s="515">
        <v>2.4964995467615138E-2</v>
      </c>
      <c r="E1484" s="516">
        <v>1.795739034088412E-3</v>
      </c>
      <c r="F1484" s="145">
        <v>1.7650280668665572E-2</v>
      </c>
      <c r="G1484" s="145">
        <v>4.3981999260871656E-4</v>
      </c>
      <c r="H1484" s="517">
        <v>2.0000009999999999E-3</v>
      </c>
      <c r="I1484" s="517">
        <v>1.5750004999999997E-2</v>
      </c>
      <c r="J1484" s="148">
        <v>4.7769278228339333E-4</v>
      </c>
      <c r="K1484" s="518">
        <v>1.5381063355511383E-5</v>
      </c>
      <c r="L1484" s="519">
        <v>1.6076529283344752E-5</v>
      </c>
    </row>
    <row r="1485" spans="1:12" ht="15.5" x14ac:dyDescent="0.35">
      <c r="A1485" s="143" t="s">
        <v>939</v>
      </c>
      <c r="B1485" s="229">
        <v>2015</v>
      </c>
      <c r="C1485" s="514" t="s">
        <v>940</v>
      </c>
      <c r="D1485" s="515">
        <v>4.9722632512361691E-2</v>
      </c>
      <c r="E1485" s="516">
        <v>5.3800894857995746E-2</v>
      </c>
      <c r="F1485" s="145">
        <v>0.2201202014575433</v>
      </c>
      <c r="G1485" s="145">
        <v>1.9454378849889503E-3</v>
      </c>
      <c r="H1485" s="517">
        <v>2.0000009999999999E-3</v>
      </c>
      <c r="I1485" s="517">
        <v>1.5750005000000001E-2</v>
      </c>
      <c r="J1485" s="148">
        <v>2.0999820149035803E-3</v>
      </c>
      <c r="K1485" s="518">
        <v>2.6525965518544138E-4</v>
      </c>
      <c r="L1485" s="519">
        <v>2.7725352508482115E-4</v>
      </c>
    </row>
    <row r="1486" spans="1:12" ht="15.5" x14ac:dyDescent="0.35">
      <c r="A1486" s="143" t="s">
        <v>939</v>
      </c>
      <c r="B1486" s="229">
        <v>2016</v>
      </c>
      <c r="C1486" s="514" t="s">
        <v>941</v>
      </c>
      <c r="D1486" s="515">
        <v>4.8886369454175328E-2</v>
      </c>
      <c r="E1486" s="516">
        <v>4.4163147501451068E-2</v>
      </c>
      <c r="F1486" s="145">
        <v>0.18782555918777866</v>
      </c>
      <c r="G1486" s="145">
        <v>1.8025275699455462E-3</v>
      </c>
      <c r="H1486" s="517">
        <v>2.0000009999999995E-3</v>
      </c>
      <c r="I1486" s="517">
        <v>1.5750005000000001E-2</v>
      </c>
      <c r="J1486" s="148">
        <v>1.9475246040077613E-3</v>
      </c>
      <c r="K1486" s="518">
        <v>2.3094216212791226E-4</v>
      </c>
      <c r="L1486" s="519">
        <v>2.4138433447011784E-4</v>
      </c>
    </row>
    <row r="1487" spans="1:12" ht="15.5" x14ac:dyDescent="0.35">
      <c r="A1487" s="143" t="s">
        <v>939</v>
      </c>
      <c r="B1487" s="229">
        <v>2017</v>
      </c>
      <c r="C1487" s="514" t="s">
        <v>2347</v>
      </c>
      <c r="D1487" s="515">
        <v>4.7722905473462085E-2</v>
      </c>
      <c r="E1487" s="516">
        <v>3.6493786953823444E-2</v>
      </c>
      <c r="F1487" s="145">
        <v>0.16058967364365395</v>
      </c>
      <c r="G1487" s="145">
        <v>1.7218940086160602E-3</v>
      </c>
      <c r="H1487" s="517">
        <v>2.0000010000000004E-3</v>
      </c>
      <c r="I1487" s="517">
        <v>1.5750005000000001E-2</v>
      </c>
      <c r="J1487" s="148">
        <v>1.8617583883913124E-3</v>
      </c>
      <c r="K1487" s="518">
        <v>2.1047722146245662E-4</v>
      </c>
      <c r="L1487" s="519">
        <v>2.1999406634115582E-4</v>
      </c>
    </row>
    <row r="1488" spans="1:12" ht="15.5" x14ac:dyDescent="0.35">
      <c r="A1488" s="143" t="s">
        <v>939</v>
      </c>
      <c r="B1488" s="229">
        <v>2018</v>
      </c>
      <c r="C1488" s="514" t="s">
        <v>2348</v>
      </c>
      <c r="D1488" s="515">
        <v>4.6524374994581327E-2</v>
      </c>
      <c r="E1488" s="516">
        <v>3.005921997353803E-2</v>
      </c>
      <c r="F1488" s="145">
        <v>0.13706078299714028</v>
      </c>
      <c r="G1488" s="145">
        <v>1.6758142657420359E-3</v>
      </c>
      <c r="H1488" s="517">
        <v>2.0000010000000004E-3</v>
      </c>
      <c r="I1488" s="517">
        <v>1.5750005000000004E-2</v>
      </c>
      <c r="J1488" s="148">
        <v>1.8132236260405923E-3</v>
      </c>
      <c r="K1488" s="518">
        <v>1.9229342555470384E-4</v>
      </c>
      <c r="L1488" s="519">
        <v>2.0098807368790629E-4</v>
      </c>
    </row>
    <row r="1489" spans="1:12" ht="15.5" x14ac:dyDescent="0.35">
      <c r="A1489" s="143" t="s">
        <v>939</v>
      </c>
      <c r="B1489" s="229">
        <v>2019</v>
      </c>
      <c r="C1489" s="514" t="s">
        <v>2349</v>
      </c>
      <c r="D1489" s="515">
        <v>4.5268948151033543E-2</v>
      </c>
      <c r="E1489" s="516">
        <v>2.4654212640797708E-2</v>
      </c>
      <c r="F1489" s="145">
        <v>0.11701897768035457</v>
      </c>
      <c r="G1489" s="145">
        <v>1.6449473095750853E-3</v>
      </c>
      <c r="H1489" s="517">
        <v>2.0000009999999999E-3</v>
      </c>
      <c r="I1489" s="517">
        <v>1.5750005000000001E-2</v>
      </c>
      <c r="J1489" s="148">
        <v>1.7809275227701411E-3</v>
      </c>
      <c r="K1489" s="518">
        <v>1.769267311887467E-4</v>
      </c>
      <c r="L1489" s="519">
        <v>1.849265693982853E-4</v>
      </c>
    </row>
    <row r="1490" spans="1:12" ht="15.5" x14ac:dyDescent="0.35">
      <c r="A1490" s="143" t="s">
        <v>939</v>
      </c>
      <c r="B1490" s="229">
        <v>2020</v>
      </c>
      <c r="C1490" s="514" t="s">
        <v>2350</v>
      </c>
      <c r="D1490" s="515">
        <v>4.3979312559521443E-2</v>
      </c>
      <c r="E1490" s="516">
        <v>2.0665265434157358E-2</v>
      </c>
      <c r="F1490" s="145">
        <v>0.10029601210299062</v>
      </c>
      <c r="G1490" s="145">
        <v>1.59440752831995E-3</v>
      </c>
      <c r="H1490" s="517">
        <v>2.0000009999999999E-3</v>
      </c>
      <c r="I1490" s="517">
        <v>1.5750004999999997E-2</v>
      </c>
      <c r="J1490" s="148">
        <v>1.7268461861260189E-3</v>
      </c>
      <c r="K1490" s="518">
        <v>1.6168985941654844E-4</v>
      </c>
      <c r="L1490" s="519">
        <v>1.6900075492681931E-4</v>
      </c>
    </row>
    <row r="1491" spans="1:12" ht="15.5" x14ac:dyDescent="0.35">
      <c r="A1491" s="143" t="s">
        <v>939</v>
      </c>
      <c r="B1491" s="229">
        <v>2021</v>
      </c>
      <c r="C1491" s="514" t="s">
        <v>2351</v>
      </c>
      <c r="D1491" s="515">
        <v>4.2656573752638711E-2</v>
      </c>
      <c r="E1491" s="516">
        <v>1.7617958886868228E-2</v>
      </c>
      <c r="F1491" s="145">
        <v>8.6346103938498037E-2</v>
      </c>
      <c r="G1491" s="145">
        <v>1.5165908631323754E-3</v>
      </c>
      <c r="H1491" s="517">
        <v>2.0000009999999995E-3</v>
      </c>
      <c r="I1491" s="517">
        <v>1.5750005000000001E-2</v>
      </c>
      <c r="J1491" s="148">
        <v>1.6429727253970596E-3</v>
      </c>
      <c r="K1491" s="518">
        <v>1.4657889837827216E-4</v>
      </c>
      <c r="L1491" s="519">
        <v>1.5320654548347796E-4</v>
      </c>
    </row>
    <row r="1492" spans="1:12" ht="15.5" x14ac:dyDescent="0.35">
      <c r="A1492" s="143" t="s">
        <v>939</v>
      </c>
      <c r="B1492" s="229">
        <v>2022</v>
      </c>
      <c r="C1492" s="514" t="s">
        <v>2352</v>
      </c>
      <c r="D1492" s="515">
        <v>4.1336773469673967E-2</v>
      </c>
      <c r="E1492" s="516">
        <v>1.4789663904629387E-2</v>
      </c>
      <c r="F1492" s="145">
        <v>7.4381808529699306E-2</v>
      </c>
      <c r="G1492" s="145">
        <v>1.4417616744603749E-3</v>
      </c>
      <c r="H1492" s="517">
        <v>2.0000009999999995E-3</v>
      </c>
      <c r="I1492" s="517">
        <v>1.5750004999999997E-2</v>
      </c>
      <c r="J1492" s="148">
        <v>1.5623138305834246E-3</v>
      </c>
      <c r="K1492" s="518">
        <v>1.3361493988256977E-4</v>
      </c>
      <c r="L1492" s="519">
        <v>1.3965641465712913E-4</v>
      </c>
    </row>
    <row r="1493" spans="1:12" ht="15.5" x14ac:dyDescent="0.35">
      <c r="A1493" s="143" t="s">
        <v>939</v>
      </c>
      <c r="B1493" s="229">
        <v>2023</v>
      </c>
      <c r="C1493" s="514" t="s">
        <v>2353</v>
      </c>
      <c r="D1493" s="515">
        <v>4.003152389108517E-2</v>
      </c>
      <c r="E1493" s="516">
        <v>1.2790360643997052E-2</v>
      </c>
      <c r="F1493" s="145">
        <v>6.4764127980826203E-2</v>
      </c>
      <c r="G1493" s="145">
        <v>1.3730438629273793E-3</v>
      </c>
      <c r="H1493" s="517">
        <v>2.0000010000000004E-3</v>
      </c>
      <c r="I1493" s="517">
        <v>1.5750005000000004E-2</v>
      </c>
      <c r="J1493" s="148">
        <v>1.488142559903373E-3</v>
      </c>
      <c r="K1493" s="518">
        <v>1.2097017348942781E-4</v>
      </c>
      <c r="L1493" s="519">
        <v>1.2643990328570388E-4</v>
      </c>
    </row>
    <row r="1494" spans="1:12" ht="15.5" x14ac:dyDescent="0.35">
      <c r="A1494" s="143" t="s">
        <v>939</v>
      </c>
      <c r="B1494" s="229">
        <v>2024</v>
      </c>
      <c r="C1494" s="514" t="s">
        <v>2354</v>
      </c>
      <c r="D1494" s="515">
        <v>3.8746715307914278E-2</v>
      </c>
      <c r="E1494" s="516">
        <v>1.1079203442822143E-2</v>
      </c>
      <c r="F1494" s="145">
        <v>5.6653000181921362E-2</v>
      </c>
      <c r="G1494" s="145">
        <v>1.3092522123282109E-3</v>
      </c>
      <c r="H1494" s="517">
        <v>2.0000009999999999E-3</v>
      </c>
      <c r="I1494" s="517">
        <v>1.5750004999999997E-2</v>
      </c>
      <c r="J1494" s="148">
        <v>1.4193284166285022E-3</v>
      </c>
      <c r="K1494" s="518">
        <v>1.0837696796912135E-4</v>
      </c>
      <c r="L1494" s="519">
        <v>1.1327728716062435E-4</v>
      </c>
    </row>
    <row r="1495" spans="1:12" ht="15.5" x14ac:dyDescent="0.35">
      <c r="A1495" s="143" t="s">
        <v>939</v>
      </c>
      <c r="B1495" s="229">
        <v>2025</v>
      </c>
      <c r="C1495" s="514" t="s">
        <v>2355</v>
      </c>
      <c r="D1495" s="515">
        <v>3.7497079134935857E-2</v>
      </c>
      <c r="E1495" s="516">
        <v>9.7108361538018276E-3</v>
      </c>
      <c r="F1495" s="145">
        <v>5.0186154302572075E-2</v>
      </c>
      <c r="G1495" s="145">
        <v>1.255396512795911E-3</v>
      </c>
      <c r="H1495" s="517">
        <v>2.0000009999999995E-3</v>
      </c>
      <c r="I1495" s="517">
        <v>1.5750004999999997E-2</v>
      </c>
      <c r="J1495" s="148">
        <v>1.3612243698217499E-3</v>
      </c>
      <c r="K1495" s="518">
        <v>9.7539706037297124E-5</v>
      </c>
      <c r="L1495" s="519">
        <v>1.0195001586691961E-4</v>
      </c>
    </row>
    <row r="1496" spans="1:12" ht="15.5" x14ac:dyDescent="0.35">
      <c r="A1496" s="143" t="s">
        <v>939</v>
      </c>
      <c r="B1496" s="229">
        <v>2026</v>
      </c>
      <c r="C1496" s="514" t="s">
        <v>2356</v>
      </c>
      <c r="D1496" s="515">
        <v>3.6342880665705998E-2</v>
      </c>
      <c r="E1496" s="516">
        <v>8.5752433654963569E-3</v>
      </c>
      <c r="F1496" s="145">
        <v>4.491853117953528E-2</v>
      </c>
      <c r="G1496" s="145">
        <v>1.199008090585166E-3</v>
      </c>
      <c r="H1496" s="517">
        <v>2.0000009999999995E-3</v>
      </c>
      <c r="I1496" s="517">
        <v>1.5750005000000001E-2</v>
      </c>
      <c r="J1496" s="148">
        <v>1.3003927379585754E-3</v>
      </c>
      <c r="K1496" s="518">
        <v>8.5831226362387763E-5</v>
      </c>
      <c r="L1496" s="519">
        <v>8.9712132525092853E-5</v>
      </c>
    </row>
    <row r="1497" spans="1:12" ht="15.5" x14ac:dyDescent="0.35">
      <c r="A1497" s="143" t="s">
        <v>939</v>
      </c>
      <c r="B1497" s="229">
        <v>2027</v>
      </c>
      <c r="C1497" s="514" t="s">
        <v>2357</v>
      </c>
      <c r="D1497" s="515">
        <v>3.5276483912835707E-2</v>
      </c>
      <c r="E1497" s="516">
        <v>7.6065579467706956E-3</v>
      </c>
      <c r="F1497" s="145">
        <v>4.0482422195449681E-2</v>
      </c>
      <c r="G1497" s="145">
        <v>1.1322280294607525E-3</v>
      </c>
      <c r="H1497" s="517">
        <v>2.0000009999999999E-3</v>
      </c>
      <c r="I1497" s="517">
        <v>1.5750005000000004E-2</v>
      </c>
      <c r="J1497" s="148">
        <v>1.2284013538429732E-3</v>
      </c>
      <c r="K1497" s="518">
        <v>7.0794484813199745E-5</v>
      </c>
      <c r="L1497" s="519">
        <v>7.3995497666555629E-5</v>
      </c>
    </row>
    <row r="1498" spans="1:12" ht="15.5" x14ac:dyDescent="0.35">
      <c r="A1498" s="143" t="s">
        <v>939</v>
      </c>
      <c r="B1498" s="229">
        <v>2028</v>
      </c>
      <c r="C1498" s="514" t="s">
        <v>2358</v>
      </c>
      <c r="D1498" s="515">
        <v>3.4299692358146387E-2</v>
      </c>
      <c r="E1498" s="516">
        <v>6.8058982755046732E-3</v>
      </c>
      <c r="F1498" s="145">
        <v>3.6837669554834987E-2</v>
      </c>
      <c r="G1498" s="145">
        <v>1.0626550449567068E-3</v>
      </c>
      <c r="H1498" s="517">
        <v>2.0000009999999999E-3</v>
      </c>
      <c r="I1498" s="517">
        <v>1.5750005000000004E-2</v>
      </c>
      <c r="J1498" s="148">
        <v>1.1532110166867493E-3</v>
      </c>
      <c r="K1498" s="518">
        <v>5.9545925965141118E-5</v>
      </c>
      <c r="L1498" s="519">
        <v>6.2238327917686639E-5</v>
      </c>
    </row>
    <row r="1499" spans="1:12" ht="15.5" x14ac:dyDescent="0.35">
      <c r="A1499" s="143" t="s">
        <v>939</v>
      </c>
      <c r="B1499" s="229">
        <v>2029</v>
      </c>
      <c r="C1499" s="514" t="s">
        <v>2359</v>
      </c>
      <c r="D1499" s="515">
        <v>3.3401870015901509E-2</v>
      </c>
      <c r="E1499" s="516">
        <v>6.0958913466390464E-3</v>
      </c>
      <c r="F1499" s="145">
        <v>3.3722229168003069E-2</v>
      </c>
      <c r="G1499" s="145">
        <v>9.967946976786944E-4</v>
      </c>
      <c r="H1499" s="517">
        <v>2.0000009999999999E-3</v>
      </c>
      <c r="I1499" s="517">
        <v>1.5750005000000001E-2</v>
      </c>
      <c r="J1499" s="148">
        <v>1.0819055392049322E-3</v>
      </c>
      <c r="K1499" s="518">
        <v>5.1906914160346414E-5</v>
      </c>
      <c r="L1499" s="519">
        <v>5.4253916833889513E-5</v>
      </c>
    </row>
    <row r="1500" spans="1:12" ht="15.5" x14ac:dyDescent="0.35">
      <c r="A1500" s="143" t="s">
        <v>939</v>
      </c>
      <c r="B1500" s="229">
        <v>2030</v>
      </c>
      <c r="C1500" s="514" t="s">
        <v>2360</v>
      </c>
      <c r="D1500" s="515">
        <v>3.2587337489369581E-2</v>
      </c>
      <c r="E1500" s="516">
        <v>5.5050557481876022E-3</v>
      </c>
      <c r="F1500" s="145">
        <v>3.1160069883585009E-2</v>
      </c>
      <c r="G1500" s="145">
        <v>9.3331553977823154E-4</v>
      </c>
      <c r="H1500" s="517">
        <v>2.0000009999999999E-3</v>
      </c>
      <c r="I1500" s="517">
        <v>1.5750005000000001E-2</v>
      </c>
      <c r="J1500" s="148">
        <v>1.0131828175108085E-3</v>
      </c>
      <c r="K1500" s="518">
        <v>4.4435327095888072E-5</v>
      </c>
      <c r="L1500" s="519">
        <v>4.6444494683663639E-5</v>
      </c>
    </row>
    <row r="1501" spans="1:12" ht="15.5" x14ac:dyDescent="0.35">
      <c r="A1501" s="143" t="s">
        <v>939</v>
      </c>
      <c r="B1501" s="229">
        <v>2031</v>
      </c>
      <c r="C1501" s="514" t="s">
        <v>2361</v>
      </c>
      <c r="D1501" s="515">
        <v>3.1850452991460408E-2</v>
      </c>
      <c r="E1501" s="516">
        <v>4.9831069345206841E-3</v>
      </c>
      <c r="F1501" s="145">
        <v>2.8949224581537897E-2</v>
      </c>
      <c r="G1501" s="145">
        <v>8.7534061312733921E-4</v>
      </c>
      <c r="H1501" s="517">
        <v>2.0000009999999999E-3</v>
      </c>
      <c r="I1501" s="517">
        <v>1.5750005000000001E-2</v>
      </c>
      <c r="J1501" s="148">
        <v>9.5031240197574677E-4</v>
      </c>
      <c r="K1501" s="518">
        <v>4.0127125261986937E-5</v>
      </c>
      <c r="L1501" s="519">
        <v>4.1941499807961854E-5</v>
      </c>
    </row>
    <row r="1502" spans="1:12" ht="15.5" x14ac:dyDescent="0.35">
      <c r="A1502" s="143" t="s">
        <v>939</v>
      </c>
      <c r="B1502" s="229">
        <v>2032</v>
      </c>
      <c r="C1502" s="514" t="s">
        <v>2362</v>
      </c>
      <c r="D1502" s="515">
        <v>3.1191059947847787E-2</v>
      </c>
      <c r="E1502" s="516">
        <v>4.5318843242863581E-3</v>
      </c>
      <c r="F1502" s="145">
        <v>2.7108376511409033E-2</v>
      </c>
      <c r="G1502" s="145">
        <v>8.2077953987684537E-4</v>
      </c>
      <c r="H1502" s="517">
        <v>2.0000009999999999E-3</v>
      </c>
      <c r="I1502" s="517">
        <v>1.5750005000000001E-2</v>
      </c>
      <c r="J1502" s="148">
        <v>8.9115261405546141E-4</v>
      </c>
      <c r="K1502" s="518">
        <v>3.5870763939837212E-5</v>
      </c>
      <c r="L1502" s="519">
        <v>3.7492676868029392E-5</v>
      </c>
    </row>
    <row r="1503" spans="1:12" ht="15.5" x14ac:dyDescent="0.35">
      <c r="A1503" s="143" t="s">
        <v>939</v>
      </c>
      <c r="B1503" s="229">
        <v>2033</v>
      </c>
      <c r="C1503" s="514" t="s">
        <v>2363</v>
      </c>
      <c r="D1503" s="515">
        <v>3.0599106039668658E-2</v>
      </c>
      <c r="E1503" s="516">
        <v>4.1430813698929599E-3</v>
      </c>
      <c r="F1503" s="145">
        <v>2.5596646152047344E-2</v>
      </c>
      <c r="G1503" s="145">
        <v>7.7137143791538763E-4</v>
      </c>
      <c r="H1503" s="517">
        <v>2.0000009999999999E-3</v>
      </c>
      <c r="I1503" s="517">
        <v>1.5750005000000004E-2</v>
      </c>
      <c r="J1503" s="148">
        <v>8.3753493787898446E-4</v>
      </c>
      <c r="K1503" s="518">
        <v>3.3076648383338149E-5</v>
      </c>
      <c r="L1503" s="519">
        <v>3.4572228631793938E-5</v>
      </c>
    </row>
    <row r="1504" spans="1:12" ht="15.5" x14ac:dyDescent="0.35">
      <c r="A1504" s="143" t="s">
        <v>939</v>
      </c>
      <c r="B1504" s="229">
        <v>2034</v>
      </c>
      <c r="C1504" s="514" t="s">
        <v>2364</v>
      </c>
      <c r="D1504" s="515">
        <v>3.0072066506401596E-2</v>
      </c>
      <c r="E1504" s="516">
        <v>3.7963117318722322E-3</v>
      </c>
      <c r="F1504" s="145">
        <v>2.4307756334975648E-2</v>
      </c>
      <c r="G1504" s="145">
        <v>7.2546074765792584E-4</v>
      </c>
      <c r="H1504" s="517">
        <v>2.0000009999999999E-3</v>
      </c>
      <c r="I1504" s="517">
        <v>1.5750005000000001E-2</v>
      </c>
      <c r="J1504" s="148">
        <v>7.8771548254449224E-4</v>
      </c>
      <c r="K1504" s="518">
        <v>3.0425510132820796E-5</v>
      </c>
      <c r="L1504" s="519">
        <v>3.1801216381900112E-5</v>
      </c>
    </row>
    <row r="1505" spans="1:12" ht="15.5" x14ac:dyDescent="0.35">
      <c r="A1505" s="143" t="s">
        <v>939</v>
      </c>
      <c r="B1505" s="229">
        <v>2035</v>
      </c>
      <c r="C1505" s="514" t="s">
        <v>2365</v>
      </c>
      <c r="D1505" s="515">
        <v>2.9604695979467521E-2</v>
      </c>
      <c r="E1505" s="516">
        <v>3.486524123725679E-3</v>
      </c>
      <c r="F1505" s="145">
        <v>2.3212133707519643E-2</v>
      </c>
      <c r="G1505" s="145">
        <v>6.831548886006676E-4</v>
      </c>
      <c r="H1505" s="517">
        <v>2.0000010000000004E-3</v>
      </c>
      <c r="I1505" s="517">
        <v>1.5750005000000001E-2</v>
      </c>
      <c r="J1505" s="148">
        <v>7.4180363438979653E-4</v>
      </c>
      <c r="K1505" s="518">
        <v>2.8057147873782463E-5</v>
      </c>
      <c r="L1505" s="519">
        <v>2.9325770670403875E-5</v>
      </c>
    </row>
    <row r="1506" spans="1:12" ht="15.5" x14ac:dyDescent="0.35">
      <c r="A1506" s="143" t="s">
        <v>939</v>
      </c>
      <c r="B1506" s="229">
        <v>2036</v>
      </c>
      <c r="C1506" s="514" t="s">
        <v>2366</v>
      </c>
      <c r="D1506" s="515">
        <v>2.9198296931408158E-2</v>
      </c>
      <c r="E1506" s="516">
        <v>3.2197934258992736E-3</v>
      </c>
      <c r="F1506" s="145">
        <v>2.2312174321552414E-2</v>
      </c>
      <c r="G1506" s="145">
        <v>6.4657705030246636E-4</v>
      </c>
      <c r="H1506" s="517">
        <v>2.0000009999999999E-3</v>
      </c>
      <c r="I1506" s="517">
        <v>1.5750005000000001E-2</v>
      </c>
      <c r="J1506" s="148">
        <v>7.0210711125621994E-4</v>
      </c>
      <c r="K1506" s="518">
        <v>2.6059709346567493E-5</v>
      </c>
      <c r="L1506" s="519">
        <v>2.7238012867694739E-5</v>
      </c>
    </row>
    <row r="1507" spans="1:12" ht="15.5" x14ac:dyDescent="0.35">
      <c r="A1507" s="143" t="s">
        <v>939</v>
      </c>
      <c r="B1507" s="229">
        <v>2037</v>
      </c>
      <c r="C1507" s="514" t="s">
        <v>2367</v>
      </c>
      <c r="D1507" s="515">
        <v>2.8842556275642472E-2</v>
      </c>
      <c r="E1507" s="516">
        <v>2.9912735835271424E-3</v>
      </c>
      <c r="F1507" s="145">
        <v>2.1579041628987675E-2</v>
      </c>
      <c r="G1507" s="145">
        <v>6.1407240906706355E-4</v>
      </c>
      <c r="H1507" s="517">
        <v>2.0000009999999999E-3</v>
      </c>
      <c r="I1507" s="517">
        <v>1.5750005000000001E-2</v>
      </c>
      <c r="J1507" s="148">
        <v>6.6682296159638517E-4</v>
      </c>
      <c r="K1507" s="518">
        <v>2.446727047736207E-5</v>
      </c>
      <c r="L1507" s="519">
        <v>2.557357493938719E-5</v>
      </c>
    </row>
    <row r="1508" spans="1:12" ht="15.5" x14ac:dyDescent="0.35">
      <c r="A1508" s="143" t="s">
        <v>939</v>
      </c>
      <c r="B1508" s="229">
        <v>2038</v>
      </c>
      <c r="C1508" s="514" t="s">
        <v>2368</v>
      </c>
      <c r="D1508" s="515">
        <v>2.8535303240747802E-2</v>
      </c>
      <c r="E1508" s="516">
        <v>2.7811129293260311E-3</v>
      </c>
      <c r="F1508" s="145">
        <v>2.0908000374770294E-2</v>
      </c>
      <c r="G1508" s="145">
        <v>5.8509029445370949E-4</v>
      </c>
      <c r="H1508" s="517">
        <v>2.0000009999999995E-3</v>
      </c>
      <c r="I1508" s="517">
        <v>1.5750005000000004E-2</v>
      </c>
      <c r="J1508" s="148">
        <v>6.3535972138364721E-4</v>
      </c>
      <c r="K1508" s="518">
        <v>2.3113189367548637E-5</v>
      </c>
      <c r="L1508" s="519">
        <v>2.4158262794353754E-5</v>
      </c>
    </row>
    <row r="1509" spans="1:12" ht="15.5" x14ac:dyDescent="0.35">
      <c r="A1509" s="143" t="s">
        <v>939</v>
      </c>
      <c r="B1509" s="229">
        <v>2039</v>
      </c>
      <c r="C1509" s="514" t="s">
        <v>2369</v>
      </c>
      <c r="D1509" s="515">
        <v>2.8269611180648753E-2</v>
      </c>
      <c r="E1509" s="516">
        <v>2.5768154427536659E-3</v>
      </c>
      <c r="F1509" s="145">
        <v>2.0247774765427617E-2</v>
      </c>
      <c r="G1509" s="145">
        <v>5.5930622519726814E-4</v>
      </c>
      <c r="H1509" s="517">
        <v>2.0000009999999995E-3</v>
      </c>
      <c r="I1509" s="517">
        <v>1.5750005000000001E-2</v>
      </c>
      <c r="J1509" s="148">
        <v>6.0736507568042667E-4</v>
      </c>
      <c r="K1509" s="518">
        <v>2.1974185759742359E-5</v>
      </c>
      <c r="L1509" s="519">
        <v>2.2967757412155623E-5</v>
      </c>
    </row>
    <row r="1510" spans="1:12" ht="15.5" x14ac:dyDescent="0.35">
      <c r="A1510" s="143" t="s">
        <v>939</v>
      </c>
      <c r="B1510" s="229">
        <v>2040</v>
      </c>
      <c r="C1510" s="514" t="s">
        <v>2370</v>
      </c>
      <c r="D1510" s="515">
        <v>2.803951738537263E-2</v>
      </c>
      <c r="E1510" s="516">
        <v>2.3981851398564755E-3</v>
      </c>
      <c r="F1510" s="145">
        <v>1.9712841638301823E-2</v>
      </c>
      <c r="G1510" s="145">
        <v>5.3672537804976841E-4</v>
      </c>
      <c r="H1510" s="517">
        <v>2.0000009999999995E-3</v>
      </c>
      <c r="I1510" s="517">
        <v>1.5750005000000001E-2</v>
      </c>
      <c r="J1510" s="148">
        <v>5.8284792193887415E-4</v>
      </c>
      <c r="K1510" s="518">
        <v>2.0994693398713233E-5</v>
      </c>
      <c r="L1510" s="519">
        <v>2.194398049077358E-5</v>
      </c>
    </row>
    <row r="1511" spans="1:12" ht="15.5" x14ac:dyDescent="0.35">
      <c r="A1511" s="143" t="s">
        <v>939</v>
      </c>
      <c r="B1511" s="229">
        <v>2041</v>
      </c>
      <c r="C1511" s="514" t="s">
        <v>2371</v>
      </c>
      <c r="D1511" s="515">
        <v>2.7844032482170676E-2</v>
      </c>
      <c r="E1511" s="516">
        <v>2.2622033004912334E-3</v>
      </c>
      <c r="F1511" s="145">
        <v>1.9296696172905629E-2</v>
      </c>
      <c r="G1511" s="145">
        <v>5.1904640953022451E-4</v>
      </c>
      <c r="H1511" s="517">
        <v>2.0000010000000004E-3</v>
      </c>
      <c r="I1511" s="517">
        <v>1.5750004999999997E-2</v>
      </c>
      <c r="J1511" s="148">
        <v>5.63655086377255E-4</v>
      </c>
      <c r="K1511" s="518">
        <v>2.0180070699870576E-5</v>
      </c>
      <c r="L1511" s="519">
        <v>2.1092528519445091E-5</v>
      </c>
    </row>
    <row r="1512" spans="1:12" ht="15.5" x14ac:dyDescent="0.35">
      <c r="A1512" s="143" t="s">
        <v>939</v>
      </c>
      <c r="B1512" s="229">
        <v>2042</v>
      </c>
      <c r="C1512" s="514" t="s">
        <v>2372</v>
      </c>
      <c r="D1512" s="515">
        <v>2.7674149530121043E-2</v>
      </c>
      <c r="E1512" s="516">
        <v>2.1453994311084017E-3</v>
      </c>
      <c r="F1512" s="145">
        <v>1.8918002678785746E-2</v>
      </c>
      <c r="G1512" s="145">
        <v>5.0391594363476989E-4</v>
      </c>
      <c r="H1512" s="517">
        <v>2.0000009999999999E-3</v>
      </c>
      <c r="I1512" s="517">
        <v>1.5750005000000001E-2</v>
      </c>
      <c r="J1512" s="148">
        <v>5.4722802149056321E-4</v>
      </c>
      <c r="K1512" s="518">
        <v>1.949637427263233E-5</v>
      </c>
      <c r="L1512" s="519">
        <v>2.0377912277780314E-5</v>
      </c>
    </row>
    <row r="1513" spans="1:12" ht="15.5" x14ac:dyDescent="0.35">
      <c r="A1513" s="143" t="s">
        <v>939</v>
      </c>
      <c r="B1513" s="229">
        <v>2043</v>
      </c>
      <c r="C1513" s="514" t="s">
        <v>2373</v>
      </c>
      <c r="D1513" s="515">
        <v>2.7528994293118485E-2</v>
      </c>
      <c r="E1513" s="516">
        <v>2.054210767330051E-3</v>
      </c>
      <c r="F1513" s="145">
        <v>1.8624965398360446E-2</v>
      </c>
      <c r="G1513" s="145">
        <v>4.9107752630185662E-4</v>
      </c>
      <c r="H1513" s="517">
        <v>2.0000009999999991E-3</v>
      </c>
      <c r="I1513" s="517">
        <v>1.5750004999999997E-2</v>
      </c>
      <c r="J1513" s="148">
        <v>5.3328749292422739E-4</v>
      </c>
      <c r="K1513" s="518">
        <v>1.8963621901683896E-5</v>
      </c>
      <c r="L1513" s="519">
        <v>1.9821074317058711E-5</v>
      </c>
    </row>
    <row r="1514" spans="1:12" ht="15.5" x14ac:dyDescent="0.35">
      <c r="A1514" s="143" t="s">
        <v>939</v>
      </c>
      <c r="B1514" s="229">
        <v>2044</v>
      </c>
      <c r="C1514" s="514" t="s">
        <v>2374</v>
      </c>
      <c r="D1514" s="515">
        <v>2.7403120124454502E-2</v>
      </c>
      <c r="E1514" s="516">
        <v>1.984314791585486E-3</v>
      </c>
      <c r="F1514" s="145">
        <v>1.8386201019022292E-2</v>
      </c>
      <c r="G1514" s="145">
        <v>4.8019889859983233E-4</v>
      </c>
      <c r="H1514" s="517">
        <v>2.0000009999999995E-3</v>
      </c>
      <c r="I1514" s="517">
        <v>1.5750004999999997E-2</v>
      </c>
      <c r="J1514" s="148">
        <v>5.2147447447073328E-4</v>
      </c>
      <c r="K1514" s="518">
        <v>1.8543565419201729E-5</v>
      </c>
      <c r="L1514" s="519">
        <v>1.9382026010879653E-5</v>
      </c>
    </row>
    <row r="1515" spans="1:12" ht="15.5" x14ac:dyDescent="0.35">
      <c r="A1515" s="143" t="s">
        <v>939</v>
      </c>
      <c r="B1515" s="229">
        <v>2045</v>
      </c>
      <c r="C1515" s="514" t="s">
        <v>2375</v>
      </c>
      <c r="D1515" s="515">
        <v>2.7293724656749372E-2</v>
      </c>
      <c r="E1515" s="516">
        <v>1.9359644243169491E-3</v>
      </c>
      <c r="F1515" s="145">
        <v>1.8221339949813977E-2</v>
      </c>
      <c r="G1515" s="145">
        <v>4.7098859279880005E-4</v>
      </c>
      <c r="H1515" s="517">
        <v>2.0000009999999995E-3</v>
      </c>
      <c r="I1515" s="517">
        <v>1.5750005000000001E-2</v>
      </c>
      <c r="J1515" s="148">
        <v>5.1147141258764688E-4</v>
      </c>
      <c r="K1515" s="518">
        <v>1.8210048134209214E-5</v>
      </c>
      <c r="L1515" s="519">
        <v>1.903342149399362E-5</v>
      </c>
    </row>
    <row r="1516" spans="1:12" ht="15.5" x14ac:dyDescent="0.35">
      <c r="A1516" s="143" t="s">
        <v>939</v>
      </c>
      <c r="B1516" s="229">
        <v>2046</v>
      </c>
      <c r="C1516" s="514" t="s">
        <v>2376</v>
      </c>
      <c r="D1516" s="515">
        <v>2.7195510428877849E-2</v>
      </c>
      <c r="E1516" s="516">
        <v>1.8929978156073334E-3</v>
      </c>
      <c r="F1516" s="145">
        <v>1.8081100257862019E-2</v>
      </c>
      <c r="G1516" s="145">
        <v>4.6322888757797113E-4</v>
      </c>
      <c r="H1516" s="517">
        <v>2.0000010000000004E-3</v>
      </c>
      <c r="I1516" s="517">
        <v>1.5750005000000004E-2</v>
      </c>
      <c r="J1516" s="148">
        <v>5.0304382655561866E-4</v>
      </c>
      <c r="K1516" s="518">
        <v>1.7933948446704562E-5</v>
      </c>
      <c r="L1516" s="519">
        <v>1.874484070300587E-5</v>
      </c>
    </row>
    <row r="1517" spans="1:12" ht="15.5" x14ac:dyDescent="0.35">
      <c r="A1517" s="143" t="s">
        <v>939</v>
      </c>
      <c r="B1517" s="229">
        <v>2047</v>
      </c>
      <c r="C1517" s="514" t="s">
        <v>2377</v>
      </c>
      <c r="D1517" s="515">
        <v>2.711301893574616E-2</v>
      </c>
      <c r="E1517" s="516">
        <v>1.8535396230899884E-3</v>
      </c>
      <c r="F1517" s="145">
        <v>1.7944500699758999E-2</v>
      </c>
      <c r="G1517" s="145">
        <v>4.5670961220499234E-4</v>
      </c>
      <c r="H1517" s="517">
        <v>2.0000010000000004E-3</v>
      </c>
      <c r="I1517" s="517">
        <v>1.5750005000000004E-2</v>
      </c>
      <c r="J1517" s="148">
        <v>4.9596412136858738E-4</v>
      </c>
      <c r="K1517" s="518">
        <v>1.768759467445732E-5</v>
      </c>
      <c r="L1517" s="519">
        <v>1.8487348520291651E-5</v>
      </c>
    </row>
    <row r="1518" spans="1:12" ht="15.5" x14ac:dyDescent="0.35">
      <c r="A1518" s="143" t="s">
        <v>939</v>
      </c>
      <c r="B1518" s="229">
        <v>2048</v>
      </c>
      <c r="C1518" s="514" t="s">
        <v>2378</v>
      </c>
      <c r="D1518" s="515">
        <v>2.7041709774882423E-2</v>
      </c>
      <c r="E1518" s="516">
        <v>1.8217432833028458E-3</v>
      </c>
      <c r="F1518" s="145">
        <v>1.7831477263814351E-2</v>
      </c>
      <c r="G1518" s="145">
        <v>4.5129656864653026E-4</v>
      </c>
      <c r="H1518" s="517">
        <v>2.0000009999999995E-3</v>
      </c>
      <c r="I1518" s="517">
        <v>1.5750005000000001E-2</v>
      </c>
      <c r="J1518" s="148">
        <v>4.900857600025685E-4</v>
      </c>
      <c r="K1518" s="518">
        <v>1.746741750664129E-5</v>
      </c>
      <c r="L1518" s="519">
        <v>1.8257218813359221E-5</v>
      </c>
    </row>
    <row r="1519" spans="1:12" ht="15.5" x14ac:dyDescent="0.35">
      <c r="A1519" s="143" t="s">
        <v>939</v>
      </c>
      <c r="B1519" s="229">
        <v>2049</v>
      </c>
      <c r="C1519" s="514" t="s">
        <v>2379</v>
      </c>
      <c r="D1519" s="515">
        <v>2.6981092071355975E-2</v>
      </c>
      <c r="E1519" s="516">
        <v>1.8099740892500477E-3</v>
      </c>
      <c r="F1519" s="145">
        <v>1.7836499776255267E-2</v>
      </c>
      <c r="G1519" s="145">
        <v>4.4787898304988148E-4</v>
      </c>
      <c r="H1519" s="517">
        <v>2.0000009999999999E-3</v>
      </c>
      <c r="I1519" s="517">
        <v>1.5750005000000001E-2</v>
      </c>
      <c r="J1519" s="148">
        <v>4.8637578052961516E-4</v>
      </c>
      <c r="K1519" s="518">
        <v>1.7319467076143192E-5</v>
      </c>
      <c r="L1519" s="519">
        <v>1.8102576292116005E-5</v>
      </c>
    </row>
    <row r="1520" spans="1:12" ht="15.5" x14ac:dyDescent="0.35">
      <c r="A1520" s="143" t="s">
        <v>939</v>
      </c>
      <c r="B1520" s="229">
        <v>2050</v>
      </c>
      <c r="C1520" s="514" t="s">
        <v>2380</v>
      </c>
      <c r="D1520" s="515">
        <v>2.6927403947120336E-2</v>
      </c>
      <c r="E1520" s="516">
        <v>1.800547442941445E-3</v>
      </c>
      <c r="F1520" s="145">
        <v>1.7842616241207955E-2</v>
      </c>
      <c r="G1520" s="145">
        <v>4.4508068638499001E-4</v>
      </c>
      <c r="H1520" s="517">
        <v>2.0000009999999991E-3</v>
      </c>
      <c r="I1520" s="517">
        <v>1.5750005000000001E-2</v>
      </c>
      <c r="J1520" s="148">
        <v>4.8333944228639506E-4</v>
      </c>
      <c r="K1520" s="518">
        <v>1.7145520282578545E-5</v>
      </c>
      <c r="L1520" s="519">
        <v>1.7920771109094391E-5</v>
      </c>
    </row>
    <row r="1521" spans="1:12" ht="15.5" x14ac:dyDescent="0.35">
      <c r="A1521" s="143" t="s">
        <v>942</v>
      </c>
      <c r="B1521" s="229">
        <v>2015</v>
      </c>
      <c r="C1521" s="514" t="s">
        <v>943</v>
      </c>
      <c r="D1521" s="515">
        <v>4.3121658217007156E-2</v>
      </c>
      <c r="E1521" s="516">
        <v>3.5957152013177548E-2</v>
      </c>
      <c r="F1521" s="145">
        <v>0.14870768687395336</v>
      </c>
      <c r="G1521" s="145">
        <v>1.6490385761501101E-3</v>
      </c>
      <c r="H1521" s="517">
        <v>2.0000009999999995E-3</v>
      </c>
      <c r="I1521" s="517">
        <v>1.5750004999999997E-2</v>
      </c>
      <c r="J1521" s="148">
        <v>1.7859963860973552E-3</v>
      </c>
      <c r="K1521" s="518">
        <v>1.3417124463835841E-4</v>
      </c>
      <c r="L1521" s="519">
        <v>1.4023786876264091E-4</v>
      </c>
    </row>
    <row r="1522" spans="1:12" ht="15.5" x14ac:dyDescent="0.35">
      <c r="A1522" s="143" t="s">
        <v>942</v>
      </c>
      <c r="B1522" s="229">
        <v>2016</v>
      </c>
      <c r="C1522" s="514" t="s">
        <v>944</v>
      </c>
      <c r="D1522" s="515">
        <v>4.221506794956064E-2</v>
      </c>
      <c r="E1522" s="516">
        <v>2.9913280214975996E-2</v>
      </c>
      <c r="F1522" s="145">
        <v>0.1262639147267518</v>
      </c>
      <c r="G1522" s="145">
        <v>1.6182460958582457E-3</v>
      </c>
      <c r="H1522" s="517">
        <v>2.0000009999999999E-3</v>
      </c>
      <c r="I1522" s="517">
        <v>1.5750005000000001E-2</v>
      </c>
      <c r="J1522" s="148">
        <v>1.7539041415155607E-3</v>
      </c>
      <c r="K1522" s="518">
        <v>1.1477556849902631E-4</v>
      </c>
      <c r="L1522" s="519">
        <v>1.1996520932165659E-4</v>
      </c>
    </row>
    <row r="1523" spans="1:12" ht="15.5" x14ac:dyDescent="0.35">
      <c r="A1523" s="143" t="s">
        <v>942</v>
      </c>
      <c r="B1523" s="229">
        <v>2017</v>
      </c>
      <c r="C1523" s="514" t="s">
        <v>2381</v>
      </c>
      <c r="D1523" s="515">
        <v>4.1218945554002649E-2</v>
      </c>
      <c r="E1523" s="516">
        <v>2.4272019381788044E-2</v>
      </c>
      <c r="F1523" s="145">
        <v>0.10505662551706285</v>
      </c>
      <c r="G1523" s="145">
        <v>1.6066586532560063E-3</v>
      </c>
      <c r="H1523" s="517">
        <v>2.0000009999999995E-3</v>
      </c>
      <c r="I1523" s="517">
        <v>1.5750005000000001E-2</v>
      </c>
      <c r="J1523" s="148">
        <v>1.7423587532116719E-3</v>
      </c>
      <c r="K1523" s="518">
        <v>1.0145526879162678E-4</v>
      </c>
      <c r="L1523" s="519">
        <v>1.0604262136171993E-4</v>
      </c>
    </row>
    <row r="1524" spans="1:12" ht="15.5" x14ac:dyDescent="0.35">
      <c r="A1524" s="143" t="s">
        <v>942</v>
      </c>
      <c r="B1524" s="229">
        <v>2018</v>
      </c>
      <c r="C1524" s="514" t="s">
        <v>2382</v>
      </c>
      <c r="D1524" s="515">
        <v>4.0151491746056284E-2</v>
      </c>
      <c r="E1524" s="516">
        <v>1.9734747684303847E-2</v>
      </c>
      <c r="F1524" s="145">
        <v>8.7598943077177735E-2</v>
      </c>
      <c r="G1524" s="145">
        <v>1.6188234603624512E-3</v>
      </c>
      <c r="H1524" s="517">
        <v>2.0000009999999999E-3</v>
      </c>
      <c r="I1524" s="517">
        <v>1.5750005000000001E-2</v>
      </c>
      <c r="J1524" s="148">
        <v>1.7563712643964969E-3</v>
      </c>
      <c r="K1524" s="518">
        <v>9.103970467106917E-5</v>
      </c>
      <c r="L1524" s="519">
        <v>9.5156114171661351E-5</v>
      </c>
    </row>
    <row r="1525" spans="1:12" ht="15.5" x14ac:dyDescent="0.35">
      <c r="A1525" s="143" t="s">
        <v>942</v>
      </c>
      <c r="B1525" s="229">
        <v>2019</v>
      </c>
      <c r="C1525" s="514" t="s">
        <v>2383</v>
      </c>
      <c r="D1525" s="515">
        <v>3.9055479844100328E-2</v>
      </c>
      <c r="E1525" s="516">
        <v>1.6214568369141386E-2</v>
      </c>
      <c r="F1525" s="145">
        <v>7.3584811470420938E-2</v>
      </c>
      <c r="G1525" s="145">
        <v>1.6219646958442393E-3</v>
      </c>
      <c r="H1525" s="517">
        <v>2.0000009999999999E-3</v>
      </c>
      <c r="I1525" s="517">
        <v>1.5750005000000001E-2</v>
      </c>
      <c r="J1525" s="148">
        <v>1.7603712373817065E-3</v>
      </c>
      <c r="K1525" s="518">
        <v>8.2027743345299288E-5</v>
      </c>
      <c r="L1525" s="519">
        <v>8.5736676335484817E-5</v>
      </c>
    </row>
    <row r="1526" spans="1:12" ht="15.5" x14ac:dyDescent="0.35">
      <c r="A1526" s="143" t="s">
        <v>942</v>
      </c>
      <c r="B1526" s="229">
        <v>2020</v>
      </c>
      <c r="C1526" s="514" t="s">
        <v>2384</v>
      </c>
      <c r="D1526" s="515">
        <v>3.7944675375835797E-2</v>
      </c>
      <c r="E1526" s="516">
        <v>1.3579043216454451E-2</v>
      </c>
      <c r="F1526" s="145">
        <v>6.2494039311367815E-2</v>
      </c>
      <c r="G1526" s="145">
        <v>1.5595489603873851E-3</v>
      </c>
      <c r="H1526" s="517">
        <v>2.0000009999999999E-3</v>
      </c>
      <c r="I1526" s="517">
        <v>1.5750005000000001E-2</v>
      </c>
      <c r="J1526" s="148">
        <v>1.6928694884919084E-3</v>
      </c>
      <c r="K1526" s="518">
        <v>7.4717100687754422E-5</v>
      </c>
      <c r="L1526" s="519">
        <v>7.80954725987178E-5</v>
      </c>
    </row>
    <row r="1527" spans="1:12" ht="15.5" x14ac:dyDescent="0.35">
      <c r="A1527" s="143" t="s">
        <v>942</v>
      </c>
      <c r="B1527" s="229">
        <v>2021</v>
      </c>
      <c r="C1527" s="514" t="s">
        <v>2385</v>
      </c>
      <c r="D1527" s="515">
        <v>3.6894422616506939E-2</v>
      </c>
      <c r="E1527" s="516">
        <v>1.15711230160442E-2</v>
      </c>
      <c r="F1527" s="145">
        <v>5.3677385745573333E-2</v>
      </c>
      <c r="G1527" s="145">
        <v>1.4467140695452129E-3</v>
      </c>
      <c r="H1527" s="517">
        <v>2.0000009999999999E-3</v>
      </c>
      <c r="I1527" s="517">
        <v>1.5750005000000001E-2</v>
      </c>
      <c r="J1527" s="148">
        <v>1.5705423669169184E-3</v>
      </c>
      <c r="K1527" s="518">
        <v>6.625430302596415E-5</v>
      </c>
      <c r="L1527" s="519">
        <v>6.9250027339717962E-5</v>
      </c>
    </row>
    <row r="1528" spans="1:12" ht="15.5" x14ac:dyDescent="0.35">
      <c r="A1528" s="143" t="s">
        <v>942</v>
      </c>
      <c r="B1528" s="229">
        <v>2022</v>
      </c>
      <c r="C1528" s="514" t="s">
        <v>2386</v>
      </c>
      <c r="D1528" s="515">
        <v>3.5787960992248832E-2</v>
      </c>
      <c r="E1528" s="516">
        <v>9.8191172017691609E-3</v>
      </c>
      <c r="F1528" s="145">
        <v>4.6451263851539304E-2</v>
      </c>
      <c r="G1528" s="145">
        <v>1.3635438955039282E-3</v>
      </c>
      <c r="H1528" s="517">
        <v>2.0000009999999999E-3</v>
      </c>
      <c r="I1528" s="517">
        <v>1.5750005000000001E-2</v>
      </c>
      <c r="J1528" s="148">
        <v>1.4804395226827123E-3</v>
      </c>
      <c r="K1528" s="518">
        <v>5.9385315615710841E-5</v>
      </c>
      <c r="L1528" s="519">
        <v>6.2070456233434177E-5</v>
      </c>
    </row>
    <row r="1529" spans="1:12" ht="15.5" x14ac:dyDescent="0.35">
      <c r="A1529" s="143" t="s">
        <v>942</v>
      </c>
      <c r="B1529" s="229">
        <v>2023</v>
      </c>
      <c r="C1529" s="514" t="s">
        <v>2387</v>
      </c>
      <c r="D1529" s="515">
        <v>3.4690930468819901E-2</v>
      </c>
      <c r="E1529" s="516">
        <v>8.5237541181619608E-3</v>
      </c>
      <c r="F1529" s="145">
        <v>4.0762305341656042E-2</v>
      </c>
      <c r="G1529" s="145">
        <v>1.300817323135798E-3</v>
      </c>
      <c r="H1529" s="517">
        <v>2.0000009999999999E-3</v>
      </c>
      <c r="I1529" s="517">
        <v>1.5750005000000004E-2</v>
      </c>
      <c r="J1529" s="148">
        <v>1.4124671673676995E-3</v>
      </c>
      <c r="K1529" s="518">
        <v>5.3781332967831637E-5</v>
      </c>
      <c r="L1529" s="519">
        <v>5.6213082984290187E-5</v>
      </c>
    </row>
    <row r="1530" spans="1:12" ht="15.5" x14ac:dyDescent="0.35">
      <c r="A1530" s="143" t="s">
        <v>942</v>
      </c>
      <c r="B1530" s="229">
        <v>2024</v>
      </c>
      <c r="C1530" s="514" t="s">
        <v>2388</v>
      </c>
      <c r="D1530" s="515">
        <v>3.3652166853215794E-2</v>
      </c>
      <c r="E1530" s="516">
        <v>7.455217623259458E-3</v>
      </c>
      <c r="F1530" s="145">
        <v>3.6179444535163884E-2</v>
      </c>
      <c r="G1530" s="145">
        <v>1.2467059214383656E-3</v>
      </c>
      <c r="H1530" s="517">
        <v>2.0000009999999995E-3</v>
      </c>
      <c r="I1530" s="517">
        <v>1.5750004999999997E-2</v>
      </c>
      <c r="J1530" s="148">
        <v>1.3538332296398367E-3</v>
      </c>
      <c r="K1530" s="518">
        <v>4.884269010642281E-5</v>
      </c>
      <c r="L1530" s="519">
        <v>5.1051138544417268E-5</v>
      </c>
    </row>
    <row r="1531" spans="1:12" ht="15.5" x14ac:dyDescent="0.35">
      <c r="A1531" s="143" t="s">
        <v>942</v>
      </c>
      <c r="B1531" s="229">
        <v>2025</v>
      </c>
      <c r="C1531" s="514" t="s">
        <v>2389</v>
      </c>
      <c r="D1531" s="515">
        <v>3.2583423602709757E-2</v>
      </c>
      <c r="E1531" s="516">
        <v>6.5731402388156815E-3</v>
      </c>
      <c r="F1531" s="145">
        <v>3.2539364201049151E-2</v>
      </c>
      <c r="G1531" s="145">
        <v>1.1992467972223655E-3</v>
      </c>
      <c r="H1531" s="517">
        <v>2.0000009999999999E-3</v>
      </c>
      <c r="I1531" s="517">
        <v>1.5750005000000001E-2</v>
      </c>
      <c r="J1531" s="148">
        <v>1.3024017781310315E-3</v>
      </c>
      <c r="K1531" s="518">
        <v>4.4563818214583137E-5</v>
      </c>
      <c r="L1531" s="519">
        <v>4.6578787811972593E-5</v>
      </c>
    </row>
    <row r="1532" spans="1:12" ht="15.5" x14ac:dyDescent="0.35">
      <c r="A1532" s="143" t="s">
        <v>942</v>
      </c>
      <c r="B1532" s="229">
        <v>2026</v>
      </c>
      <c r="C1532" s="514" t="s">
        <v>2390</v>
      </c>
      <c r="D1532" s="515">
        <v>3.1618092780693378E-2</v>
      </c>
      <c r="E1532" s="516">
        <v>5.8648883607108713E-3</v>
      </c>
      <c r="F1532" s="145">
        <v>2.9689468369810415E-2</v>
      </c>
      <c r="G1532" s="145">
        <v>1.1431688342852251E-3</v>
      </c>
      <c r="H1532" s="517">
        <v>2.0000009999999999E-3</v>
      </c>
      <c r="I1532" s="517">
        <v>1.5750005000000001E-2</v>
      </c>
      <c r="J1532" s="148">
        <v>1.2415630161316535E-3</v>
      </c>
      <c r="K1532" s="518">
        <v>4.0990206428526432E-5</v>
      </c>
      <c r="L1532" s="519">
        <v>4.2843603796127967E-5</v>
      </c>
    </row>
    <row r="1533" spans="1:12" ht="15.5" x14ac:dyDescent="0.35">
      <c r="A1533" s="143" t="s">
        <v>942</v>
      </c>
      <c r="B1533" s="229">
        <v>2027</v>
      </c>
      <c r="C1533" s="514" t="s">
        <v>2391</v>
      </c>
      <c r="D1533" s="515">
        <v>3.0747473292941679E-2</v>
      </c>
      <c r="E1533" s="516">
        <v>5.2744843616195896E-3</v>
      </c>
      <c r="F1533" s="145">
        <v>2.7360814666632517E-2</v>
      </c>
      <c r="G1533" s="145">
        <v>1.0755326764616247E-3</v>
      </c>
      <c r="H1533" s="517">
        <v>2.0000010000000004E-3</v>
      </c>
      <c r="I1533" s="517">
        <v>1.5750005000000001E-2</v>
      </c>
      <c r="J1533" s="148">
        <v>1.1681941521779853E-3</v>
      </c>
      <c r="K1533" s="518">
        <v>3.6477720579632004E-5</v>
      </c>
      <c r="L1533" s="519">
        <v>3.8127083930413335E-5</v>
      </c>
    </row>
    <row r="1534" spans="1:12" ht="15.5" x14ac:dyDescent="0.35">
      <c r="A1534" s="143" t="s">
        <v>942</v>
      </c>
      <c r="B1534" s="229">
        <v>2028</v>
      </c>
      <c r="C1534" s="514" t="s">
        <v>2392</v>
      </c>
      <c r="D1534" s="515">
        <v>2.9973812160423649E-2</v>
      </c>
      <c r="E1534" s="516">
        <v>4.7659055376026802E-3</v>
      </c>
      <c r="F1534" s="145">
        <v>2.5431362143479432E-2</v>
      </c>
      <c r="G1534" s="145">
        <v>1.0031313631340601E-3</v>
      </c>
      <c r="H1534" s="517">
        <v>2.0000009999999999E-3</v>
      </c>
      <c r="I1534" s="517">
        <v>1.5750005000000001E-2</v>
      </c>
      <c r="J1534" s="148">
        <v>1.0895717221975822E-3</v>
      </c>
      <c r="K1534" s="518">
        <v>3.3633022875742819E-5</v>
      </c>
      <c r="L1534" s="519">
        <v>3.5153759997135043E-5</v>
      </c>
    </row>
    <row r="1535" spans="1:12" ht="15.5" x14ac:dyDescent="0.35">
      <c r="A1535" s="143" t="s">
        <v>942</v>
      </c>
      <c r="B1535" s="229">
        <v>2029</v>
      </c>
      <c r="C1535" s="514" t="s">
        <v>2393</v>
      </c>
      <c r="D1535" s="515">
        <v>2.9286966978246263E-2</v>
      </c>
      <c r="E1535" s="516">
        <v>4.3339781660895844E-3</v>
      </c>
      <c r="F1535" s="145">
        <v>2.3831625388337805E-2</v>
      </c>
      <c r="G1535" s="145">
        <v>9.3952130245273627E-4</v>
      </c>
      <c r="H1535" s="517">
        <v>2.0000009999999999E-3</v>
      </c>
      <c r="I1535" s="517">
        <v>1.5750005000000001E-2</v>
      </c>
      <c r="J1535" s="148">
        <v>1.020484573661885E-3</v>
      </c>
      <c r="K1535" s="518">
        <v>3.1396844645342752E-5</v>
      </c>
      <c r="L1535" s="519">
        <v>3.2816470199697556E-5</v>
      </c>
    </row>
    <row r="1536" spans="1:12" ht="15.5" x14ac:dyDescent="0.35">
      <c r="A1536" s="143" t="s">
        <v>942</v>
      </c>
      <c r="B1536" s="229">
        <v>2030</v>
      </c>
      <c r="C1536" s="514" t="s">
        <v>2394</v>
      </c>
      <c r="D1536" s="515">
        <v>2.8679780991760273E-2</v>
      </c>
      <c r="E1536" s="516">
        <v>3.9775449665257869E-3</v>
      </c>
      <c r="F1536" s="145">
        <v>2.2568849321351517E-2</v>
      </c>
      <c r="G1536" s="145">
        <v>8.8273405440123453E-4</v>
      </c>
      <c r="H1536" s="517">
        <v>2.0000009999999999E-3</v>
      </c>
      <c r="I1536" s="517">
        <v>1.5750004999999997E-2</v>
      </c>
      <c r="J1536" s="148">
        <v>9.5880090551072608E-4</v>
      </c>
      <c r="K1536" s="518">
        <v>2.9566552914853484E-5</v>
      </c>
      <c r="L1536" s="519">
        <v>3.0903420033523695E-5</v>
      </c>
    </row>
    <row r="1537" spans="1:12" ht="15.5" x14ac:dyDescent="0.35">
      <c r="A1537" s="143" t="s">
        <v>942</v>
      </c>
      <c r="B1537" s="229">
        <v>2031</v>
      </c>
      <c r="C1537" s="514" t="s">
        <v>2395</v>
      </c>
      <c r="D1537" s="515">
        <v>2.8195877025636373E-2</v>
      </c>
      <c r="E1537" s="516">
        <v>3.6672608847150893E-3</v>
      </c>
      <c r="F1537" s="145">
        <v>2.1509782291120955E-2</v>
      </c>
      <c r="G1537" s="145">
        <v>8.3052373911831072E-4</v>
      </c>
      <c r="H1537" s="517">
        <v>2.0000010000000004E-3</v>
      </c>
      <c r="I1537" s="517">
        <v>1.5750004999999997E-2</v>
      </c>
      <c r="J1537" s="148">
        <v>9.0207787874214582E-4</v>
      </c>
      <c r="K1537" s="518">
        <v>2.8139065225371731E-5</v>
      </c>
      <c r="L1537" s="519">
        <v>2.9411389958620574E-5</v>
      </c>
    </row>
    <row r="1538" spans="1:12" ht="15.5" x14ac:dyDescent="0.35">
      <c r="A1538" s="143" t="s">
        <v>942</v>
      </c>
      <c r="B1538" s="229">
        <v>2032</v>
      </c>
      <c r="C1538" s="514" t="s">
        <v>2396</v>
      </c>
      <c r="D1538" s="515">
        <v>2.7724178382818279E-2</v>
      </c>
      <c r="E1538" s="516">
        <v>3.3996677716218973E-3</v>
      </c>
      <c r="F1538" s="145">
        <v>2.0647076301390455E-2</v>
      </c>
      <c r="G1538" s="145">
        <v>7.824414311275392E-4</v>
      </c>
      <c r="H1538" s="517">
        <v>2.0000009999999999E-3</v>
      </c>
      <c r="I1538" s="517">
        <v>1.5750005000000001E-2</v>
      </c>
      <c r="J1538" s="148">
        <v>8.4984096816676121E-4</v>
      </c>
      <c r="K1538" s="518">
        <v>2.6793800816079742E-5</v>
      </c>
      <c r="L1538" s="519">
        <v>2.8005294767376852E-5</v>
      </c>
    </row>
    <row r="1539" spans="1:12" ht="15.5" x14ac:dyDescent="0.35">
      <c r="A1539" s="143" t="s">
        <v>942</v>
      </c>
      <c r="B1539" s="229">
        <v>2033</v>
      </c>
      <c r="C1539" s="514" t="s">
        <v>2397</v>
      </c>
      <c r="D1539" s="515">
        <v>2.7310628698226969E-2</v>
      </c>
      <c r="E1539" s="516">
        <v>3.1691974863557819E-3</v>
      </c>
      <c r="F1539" s="145">
        <v>1.9952786385020387E-2</v>
      </c>
      <c r="G1539" s="145">
        <v>7.3855347196420315E-4</v>
      </c>
      <c r="H1539" s="517">
        <v>2.0000009999999999E-3</v>
      </c>
      <c r="I1539" s="517">
        <v>1.5750004999999997E-2</v>
      </c>
      <c r="J1539" s="148">
        <v>8.0215698485073031E-4</v>
      </c>
      <c r="K1539" s="518">
        <v>2.5662795501262881E-5</v>
      </c>
      <c r="L1539" s="519">
        <v>2.6823153079496308E-5</v>
      </c>
    </row>
    <row r="1540" spans="1:12" ht="15.5" x14ac:dyDescent="0.35">
      <c r="A1540" s="143" t="s">
        <v>942</v>
      </c>
      <c r="B1540" s="229">
        <v>2034</v>
      </c>
      <c r="C1540" s="514" t="s">
        <v>2398</v>
      </c>
      <c r="D1540" s="515">
        <v>2.6949182253174938E-2</v>
      </c>
      <c r="E1540" s="516">
        <v>2.9666627489879135E-3</v>
      </c>
      <c r="F1540" s="145">
        <v>1.9380216077869647E-2</v>
      </c>
      <c r="G1540" s="145">
        <v>6.9853217294649195E-4</v>
      </c>
      <c r="H1540" s="517">
        <v>2.0000010000000004E-3</v>
      </c>
      <c r="I1540" s="517">
        <v>1.5750005000000001E-2</v>
      </c>
      <c r="J1540" s="148">
        <v>7.5867051860812283E-4</v>
      </c>
      <c r="K1540" s="518">
        <v>2.4700327203231829E-5</v>
      </c>
      <c r="L1540" s="519">
        <v>2.5817170530663152E-5</v>
      </c>
    </row>
    <row r="1541" spans="1:12" ht="15.5" x14ac:dyDescent="0.35">
      <c r="A1541" s="143" t="s">
        <v>942</v>
      </c>
      <c r="B1541" s="229">
        <v>2035</v>
      </c>
      <c r="C1541" s="514" t="s">
        <v>2399</v>
      </c>
      <c r="D1541" s="515">
        <v>2.663512707902593E-2</v>
      </c>
      <c r="E1541" s="516">
        <v>2.7906517987475198E-3</v>
      </c>
      <c r="F1541" s="145">
        <v>1.8919432710403208E-2</v>
      </c>
      <c r="G1541" s="145">
        <v>6.6234320733696023E-4</v>
      </c>
      <c r="H1541" s="517">
        <v>2.0000010000000004E-3</v>
      </c>
      <c r="I1541" s="517">
        <v>1.5750005000000004E-2</v>
      </c>
      <c r="J1541" s="148">
        <v>7.193492717908833E-4</v>
      </c>
      <c r="K1541" s="518">
        <v>2.3827407883093834E-5</v>
      </c>
      <c r="L1541" s="519">
        <v>2.490477800770787E-5</v>
      </c>
    </row>
    <row r="1542" spans="1:12" ht="15.5" x14ac:dyDescent="0.35">
      <c r="A1542" s="143" t="s">
        <v>942</v>
      </c>
      <c r="B1542" s="229">
        <v>2036</v>
      </c>
      <c r="C1542" s="514" t="s">
        <v>2400</v>
      </c>
      <c r="D1542" s="515">
        <v>2.6363625917413262E-2</v>
      </c>
      <c r="E1542" s="516">
        <v>2.6374786097167241E-3</v>
      </c>
      <c r="F1542" s="145">
        <v>1.8544708776998223E-2</v>
      </c>
      <c r="G1542" s="145">
        <v>6.3042069231498282E-4</v>
      </c>
      <c r="H1542" s="517">
        <v>2.0000009999999999E-3</v>
      </c>
      <c r="I1542" s="517">
        <v>1.5750004999999997E-2</v>
      </c>
      <c r="J1542" s="148">
        <v>6.8466347343827617E-4</v>
      </c>
      <c r="K1542" s="518">
        <v>2.3047282660957762E-5</v>
      </c>
      <c r="L1542" s="519">
        <v>2.4089374909376689E-5</v>
      </c>
    </row>
    <row r="1543" spans="1:12" ht="15.5" x14ac:dyDescent="0.35">
      <c r="A1543" s="143" t="s">
        <v>942</v>
      </c>
      <c r="B1543" s="229">
        <v>2037</v>
      </c>
      <c r="C1543" s="514" t="s">
        <v>2401</v>
      </c>
      <c r="D1543" s="515">
        <v>2.6131146640943882E-2</v>
      </c>
      <c r="E1543" s="516">
        <v>2.509907318530348E-3</v>
      </c>
      <c r="F1543" s="145">
        <v>1.826281939449274E-2</v>
      </c>
      <c r="G1543" s="145">
        <v>6.0227774177889788E-4</v>
      </c>
      <c r="H1543" s="517">
        <v>2.0000009999999999E-3</v>
      </c>
      <c r="I1543" s="517">
        <v>1.5750005000000001E-2</v>
      </c>
      <c r="J1543" s="148">
        <v>6.5408379776646104E-4</v>
      </c>
      <c r="K1543" s="518">
        <v>2.2371989619180395E-5</v>
      </c>
      <c r="L1543" s="519">
        <v>2.3383547220897413E-5</v>
      </c>
    </row>
    <row r="1544" spans="1:12" ht="15.5" x14ac:dyDescent="0.35">
      <c r="A1544" s="143" t="s">
        <v>942</v>
      </c>
      <c r="B1544" s="229">
        <v>2038</v>
      </c>
      <c r="C1544" s="514" t="s">
        <v>2402</v>
      </c>
      <c r="D1544" s="515">
        <v>2.5933409212966854E-2</v>
      </c>
      <c r="E1544" s="516">
        <v>2.3940601881135915E-3</v>
      </c>
      <c r="F1544" s="145">
        <v>1.8003841884842515E-2</v>
      </c>
      <c r="G1544" s="145">
        <v>5.7752469271476884E-4</v>
      </c>
      <c r="H1544" s="517">
        <v>2.0000009999999999E-3</v>
      </c>
      <c r="I1544" s="517">
        <v>1.5750004999999994E-2</v>
      </c>
      <c r="J1544" s="148">
        <v>6.2718728817393542E-4</v>
      </c>
      <c r="K1544" s="518">
        <v>2.1798380895197616E-5</v>
      </c>
      <c r="L1544" s="519">
        <v>2.278400706869299E-5</v>
      </c>
    </row>
    <row r="1545" spans="1:12" ht="15.5" x14ac:dyDescent="0.35">
      <c r="A1545" s="143" t="s">
        <v>942</v>
      </c>
      <c r="B1545" s="229">
        <v>2039</v>
      </c>
      <c r="C1545" s="514" t="s">
        <v>2403</v>
      </c>
      <c r="D1545" s="515">
        <v>2.5766070270945157E-2</v>
      </c>
      <c r="E1545" s="516">
        <v>2.2902763004412881E-3</v>
      </c>
      <c r="F1545" s="145">
        <v>1.777567140147944E-2</v>
      </c>
      <c r="G1545" s="145">
        <v>5.5602077885385116E-4</v>
      </c>
      <c r="H1545" s="517">
        <v>2.0000009999999999E-3</v>
      </c>
      <c r="I1545" s="517">
        <v>1.5750005000000001E-2</v>
      </c>
      <c r="J1545" s="148">
        <v>6.0381997022664459E-4</v>
      </c>
      <c r="K1545" s="518">
        <v>2.1314900792404609E-5</v>
      </c>
      <c r="L1545" s="519">
        <v>2.2278666848366137E-5</v>
      </c>
    </row>
    <row r="1546" spans="1:12" ht="15.5" x14ac:dyDescent="0.35">
      <c r="A1546" s="143" t="s">
        <v>942</v>
      </c>
      <c r="B1546" s="229">
        <v>2040</v>
      </c>
      <c r="C1546" s="514" t="s">
        <v>2404</v>
      </c>
      <c r="D1546" s="515">
        <v>2.5625383675259454E-2</v>
      </c>
      <c r="E1546" s="516">
        <v>2.1999787796109348E-3</v>
      </c>
      <c r="F1546" s="145">
        <v>1.7596814833852642E-2</v>
      </c>
      <c r="G1546" s="145">
        <v>5.37578750661402E-4</v>
      </c>
      <c r="H1546" s="517">
        <v>2.0000009999999999E-3</v>
      </c>
      <c r="I1546" s="517">
        <v>1.5750005000000001E-2</v>
      </c>
      <c r="J1546" s="148">
        <v>5.8378016742660589E-4</v>
      </c>
      <c r="K1546" s="518">
        <v>2.0900874663954508E-5</v>
      </c>
      <c r="L1546" s="519">
        <v>2.1845916123757942E-5</v>
      </c>
    </row>
    <row r="1547" spans="1:12" ht="15.5" x14ac:dyDescent="0.35">
      <c r="A1547" s="143" t="s">
        <v>942</v>
      </c>
      <c r="B1547" s="229">
        <v>2041</v>
      </c>
      <c r="C1547" s="514" t="s">
        <v>2405</v>
      </c>
      <c r="D1547" s="515">
        <v>2.5508934709888464E-2</v>
      </c>
      <c r="E1547" s="516">
        <v>2.1276131546185423E-3</v>
      </c>
      <c r="F1547" s="145">
        <v>1.7455360490240563E-2</v>
      </c>
      <c r="G1547" s="145">
        <v>5.2256384625044209E-4</v>
      </c>
      <c r="H1547" s="517">
        <v>2.0000009999999995E-3</v>
      </c>
      <c r="I1547" s="517">
        <v>1.5750005000000001E-2</v>
      </c>
      <c r="J1547" s="148">
        <v>5.6746465755840687E-4</v>
      </c>
      <c r="K1547" s="518">
        <v>2.0559360024222688E-5</v>
      </c>
      <c r="L1547" s="519">
        <v>2.1488967031902632E-5</v>
      </c>
    </row>
    <row r="1548" spans="1:12" ht="15.5" x14ac:dyDescent="0.35">
      <c r="A1548" s="143" t="s">
        <v>942</v>
      </c>
      <c r="B1548" s="229">
        <v>2042</v>
      </c>
      <c r="C1548" s="514" t="s">
        <v>2406</v>
      </c>
      <c r="D1548" s="515">
        <v>2.5411408292880994E-2</v>
      </c>
      <c r="E1548" s="516">
        <v>2.0668384630441777E-3</v>
      </c>
      <c r="F1548" s="145">
        <v>1.7329897964488757E-2</v>
      </c>
      <c r="G1548" s="145">
        <v>5.0996533558584072E-4</v>
      </c>
      <c r="H1548" s="517">
        <v>2.0000010000000004E-3</v>
      </c>
      <c r="I1548" s="517">
        <v>1.5750005000000001E-2</v>
      </c>
      <c r="J1548" s="148">
        <v>5.5377403662398882E-4</v>
      </c>
      <c r="K1548" s="518">
        <v>2.0286352138750812E-5</v>
      </c>
      <c r="L1548" s="519">
        <v>2.1203612219345098E-5</v>
      </c>
    </row>
    <row r="1549" spans="1:12" ht="15.5" x14ac:dyDescent="0.35">
      <c r="A1549" s="143" t="s">
        <v>942</v>
      </c>
      <c r="B1549" s="229">
        <v>2043</v>
      </c>
      <c r="C1549" s="514" t="s">
        <v>2407</v>
      </c>
      <c r="D1549" s="515">
        <v>2.5330897511653128E-2</v>
      </c>
      <c r="E1549" s="516">
        <v>2.02033968858624E-3</v>
      </c>
      <c r="F1549" s="145">
        <v>1.7240485090930156E-2</v>
      </c>
      <c r="G1549" s="145">
        <v>4.99446849495999E-4</v>
      </c>
      <c r="H1549" s="517">
        <v>2.0000009999999999E-3</v>
      </c>
      <c r="I1549" s="517">
        <v>1.5750005000000001E-2</v>
      </c>
      <c r="J1549" s="148">
        <v>5.4234346942670598E-4</v>
      </c>
      <c r="K1549" s="518">
        <v>2.0069104028110216E-5</v>
      </c>
      <c r="L1549" s="519">
        <v>2.097653186448397E-5</v>
      </c>
    </row>
    <row r="1550" spans="1:12" ht="15.5" x14ac:dyDescent="0.35">
      <c r="A1550" s="143" t="s">
        <v>942</v>
      </c>
      <c r="B1550" s="229">
        <v>2044</v>
      </c>
      <c r="C1550" s="514" t="s">
        <v>2408</v>
      </c>
      <c r="D1550" s="515">
        <v>2.5263624807158182E-2</v>
      </c>
      <c r="E1550" s="516">
        <v>1.9848632619679299E-3</v>
      </c>
      <c r="F1550" s="145">
        <v>1.7172382689783855E-2</v>
      </c>
      <c r="G1550" s="145">
        <v>4.9069287211281538E-4</v>
      </c>
      <c r="H1550" s="517">
        <v>2.0000010000000004E-3</v>
      </c>
      <c r="I1550" s="517">
        <v>1.5750005000000001E-2</v>
      </c>
      <c r="J1550" s="148">
        <v>5.3283031490340628E-4</v>
      </c>
      <c r="K1550" s="518">
        <v>1.9897432617933853E-5</v>
      </c>
      <c r="L1550" s="519">
        <v>2.0797102423474793E-5</v>
      </c>
    </row>
    <row r="1551" spans="1:12" ht="15.5" x14ac:dyDescent="0.35">
      <c r="A1551" s="143" t="s">
        <v>942</v>
      </c>
      <c r="B1551" s="229">
        <v>2045</v>
      </c>
      <c r="C1551" s="514" t="s">
        <v>2409</v>
      </c>
      <c r="D1551" s="515">
        <v>2.5206075707954492E-2</v>
      </c>
      <c r="E1551" s="516">
        <v>1.960012358114402E-3</v>
      </c>
      <c r="F1551" s="145">
        <v>1.7131682250285763E-2</v>
      </c>
      <c r="G1551" s="145">
        <v>4.8344729869877862E-4</v>
      </c>
      <c r="H1551" s="517">
        <v>2.0000009999999991E-3</v>
      </c>
      <c r="I1551" s="517">
        <v>1.5750004999999997E-2</v>
      </c>
      <c r="J1551" s="148">
        <v>5.2495564046943337E-4</v>
      </c>
      <c r="K1551" s="518">
        <v>1.9764745330257408E-5</v>
      </c>
      <c r="L1551" s="519">
        <v>2.0658416809808203E-5</v>
      </c>
    </row>
    <row r="1552" spans="1:12" ht="15.5" x14ac:dyDescent="0.35">
      <c r="A1552" s="143" t="s">
        <v>942</v>
      </c>
      <c r="B1552" s="229">
        <v>2046</v>
      </c>
      <c r="C1552" s="514" t="s">
        <v>2410</v>
      </c>
      <c r="D1552" s="515">
        <v>2.5157600271647616E-2</v>
      </c>
      <c r="E1552" s="516">
        <v>1.9392010988205435E-3</v>
      </c>
      <c r="F1552" s="145">
        <v>1.7100243984386917E-2</v>
      </c>
      <c r="G1552" s="145">
        <v>4.7749348252792815E-4</v>
      </c>
      <c r="H1552" s="517">
        <v>2.0000009999999999E-3</v>
      </c>
      <c r="I1552" s="517">
        <v>1.5750005000000001E-2</v>
      </c>
      <c r="J1552" s="148">
        <v>5.184847645396338E-4</v>
      </c>
      <c r="K1552" s="518">
        <v>1.9663789144629429E-5</v>
      </c>
      <c r="L1552" s="519">
        <v>2.0552903004043782E-5</v>
      </c>
    </row>
    <row r="1553" spans="1:12" ht="15.5" x14ac:dyDescent="0.35">
      <c r="A1553" s="143" t="s">
        <v>942</v>
      </c>
      <c r="B1553" s="229">
        <v>2047</v>
      </c>
      <c r="C1553" s="514" t="s">
        <v>2411</v>
      </c>
      <c r="D1553" s="515">
        <v>2.5116736469805761E-2</v>
      </c>
      <c r="E1553" s="516">
        <v>1.9211635720349075E-3</v>
      </c>
      <c r="F1553" s="145">
        <v>1.7070873406420925E-2</v>
      </c>
      <c r="G1553" s="145">
        <v>4.7262699509604639E-4</v>
      </c>
      <c r="H1553" s="517">
        <v>2.0000009999999999E-3</v>
      </c>
      <c r="I1553" s="517">
        <v>1.5750005000000001E-2</v>
      </c>
      <c r="J1553" s="148">
        <v>5.1319475429833757E-4</v>
      </c>
      <c r="K1553" s="518">
        <v>1.9587740951640088E-5</v>
      </c>
      <c r="L1553" s="519">
        <v>2.0473413731366409E-5</v>
      </c>
    </row>
    <row r="1554" spans="1:12" ht="15.5" x14ac:dyDescent="0.35">
      <c r="A1554" s="143" t="s">
        <v>942</v>
      </c>
      <c r="B1554" s="229">
        <v>2048</v>
      </c>
      <c r="C1554" s="514" t="s">
        <v>2412</v>
      </c>
      <c r="D1554" s="515">
        <v>2.508183160130259E-2</v>
      </c>
      <c r="E1554" s="516">
        <v>1.9068603078845809E-3</v>
      </c>
      <c r="F1554" s="145">
        <v>1.7049047325461007E-2</v>
      </c>
      <c r="G1554" s="145">
        <v>4.6865451447410193E-4</v>
      </c>
      <c r="H1554" s="517">
        <v>2.0000009999999991E-3</v>
      </c>
      <c r="I1554" s="517">
        <v>1.5750004999999997E-2</v>
      </c>
      <c r="J1554" s="148">
        <v>5.0887705244922305E-4</v>
      </c>
      <c r="K1554" s="518">
        <v>1.9526765521231328E-5</v>
      </c>
      <c r="L1554" s="519">
        <v>2.0409677864991099E-5</v>
      </c>
    </row>
    <row r="1555" spans="1:12" ht="15.5" x14ac:dyDescent="0.35">
      <c r="A1555" s="143" t="s">
        <v>942</v>
      </c>
      <c r="B1555" s="229">
        <v>2049</v>
      </c>
      <c r="C1555" s="514" t="s">
        <v>2413</v>
      </c>
      <c r="D1555" s="515">
        <v>2.5051831807701503E-2</v>
      </c>
      <c r="E1555" s="516">
        <v>1.899882924814461E-3</v>
      </c>
      <c r="F1555" s="145">
        <v>1.7066400712978734E-2</v>
      </c>
      <c r="G1555" s="145">
        <v>4.6572708410733718E-4</v>
      </c>
      <c r="H1555" s="517">
        <v>2.0000009999999999E-3</v>
      </c>
      <c r="I1555" s="517">
        <v>1.5750005000000001E-2</v>
      </c>
      <c r="J1555" s="148">
        <v>5.0569525462068078E-4</v>
      </c>
      <c r="K1555" s="518">
        <v>1.9476729695060663E-5</v>
      </c>
      <c r="L1555" s="519">
        <v>2.0357380607254713E-5</v>
      </c>
    </row>
    <row r="1556" spans="1:12" ht="15.5" x14ac:dyDescent="0.35">
      <c r="A1556" s="143" t="s">
        <v>942</v>
      </c>
      <c r="B1556" s="229">
        <v>2050</v>
      </c>
      <c r="C1556" s="514" t="s">
        <v>2414</v>
      </c>
      <c r="D1556" s="515">
        <v>2.5027667248917813E-2</v>
      </c>
      <c r="E1556" s="516">
        <v>1.8942544976938665E-3</v>
      </c>
      <c r="F1556" s="145">
        <v>1.7082908088822971E-2</v>
      </c>
      <c r="G1556" s="145">
        <v>4.6333323523296339E-4</v>
      </c>
      <c r="H1556" s="517">
        <v>2.0000010000000004E-3</v>
      </c>
      <c r="I1556" s="517">
        <v>1.5750005000000001E-2</v>
      </c>
      <c r="J1556" s="148">
        <v>5.0309315944101077E-4</v>
      </c>
      <c r="K1556" s="518">
        <v>1.9437120221641965E-5</v>
      </c>
      <c r="L1556" s="519">
        <v>2.0315979039413842E-5</v>
      </c>
    </row>
    <row r="1557" spans="1:12" ht="15.5" x14ac:dyDescent="0.35">
      <c r="A1557" s="143" t="s">
        <v>945</v>
      </c>
      <c r="B1557" s="229">
        <v>2015</v>
      </c>
      <c r="C1557" s="514" t="s">
        <v>946</v>
      </c>
      <c r="D1557" s="515">
        <v>4.4476465397459995E-2</v>
      </c>
      <c r="E1557" s="516">
        <v>5.6534300286731592E-2</v>
      </c>
      <c r="F1557" s="145">
        <v>0.25019370075605191</v>
      </c>
      <c r="G1557" s="145">
        <v>1.9661126715364817E-3</v>
      </c>
      <c r="H1557" s="517">
        <v>2.0000010000000004E-3</v>
      </c>
      <c r="I1557" s="517">
        <v>1.5750005000000001E-2</v>
      </c>
      <c r="J1557" s="148">
        <v>2.1259763354277588E-3</v>
      </c>
      <c r="K1557" s="518">
        <v>1.9624729129499031E-4</v>
      </c>
      <c r="L1557" s="519">
        <v>2.0512072294465207E-4</v>
      </c>
    </row>
    <row r="1558" spans="1:12" ht="15.5" x14ac:dyDescent="0.35">
      <c r="A1558" s="143" t="s">
        <v>945</v>
      </c>
      <c r="B1558" s="229">
        <v>2016</v>
      </c>
      <c r="C1558" s="514" t="s">
        <v>947</v>
      </c>
      <c r="D1558" s="515">
        <v>4.3619550615948542E-2</v>
      </c>
      <c r="E1558" s="516">
        <v>4.6854154718704959E-2</v>
      </c>
      <c r="F1558" s="145">
        <v>0.21479427848968166</v>
      </c>
      <c r="G1558" s="145">
        <v>1.8052970104509827E-3</v>
      </c>
      <c r="H1558" s="517">
        <v>2.0000010000000004E-3</v>
      </c>
      <c r="I1558" s="517">
        <v>1.5750005000000001E-2</v>
      </c>
      <c r="J1558" s="148">
        <v>1.9537344541933977E-3</v>
      </c>
      <c r="K1558" s="518">
        <v>1.6531247171344793E-4</v>
      </c>
      <c r="L1558" s="519">
        <v>1.7278716833695718E-4</v>
      </c>
    </row>
    <row r="1559" spans="1:12" ht="15.5" x14ac:dyDescent="0.35">
      <c r="A1559" s="143" t="s">
        <v>945</v>
      </c>
      <c r="B1559" s="229">
        <v>2017</v>
      </c>
      <c r="C1559" s="514" t="s">
        <v>2415</v>
      </c>
      <c r="D1559" s="515">
        <v>4.2587376620779785E-2</v>
      </c>
      <c r="E1559" s="516">
        <v>3.8662269021070943E-2</v>
      </c>
      <c r="F1559" s="145">
        <v>0.18340097917468176</v>
      </c>
      <c r="G1559" s="145">
        <v>1.704076777574141E-3</v>
      </c>
      <c r="H1559" s="517">
        <v>2.0000009999999995E-3</v>
      </c>
      <c r="I1559" s="517">
        <v>1.5750004999999997E-2</v>
      </c>
      <c r="J1559" s="148">
        <v>1.8452855746808529E-3</v>
      </c>
      <c r="K1559" s="518">
        <v>1.5057676562261265E-4</v>
      </c>
      <c r="L1559" s="519">
        <v>1.5738518156959146E-4</v>
      </c>
    </row>
    <row r="1560" spans="1:12" ht="15.5" x14ac:dyDescent="0.35">
      <c r="A1560" s="143" t="s">
        <v>945</v>
      </c>
      <c r="B1560" s="229">
        <v>2018</v>
      </c>
      <c r="C1560" s="514" t="s">
        <v>2416</v>
      </c>
      <c r="D1560" s="515">
        <v>4.1468535344664374E-2</v>
      </c>
      <c r="E1560" s="516">
        <v>3.199743340817017E-2</v>
      </c>
      <c r="F1560" s="145">
        <v>0.1564725755850605</v>
      </c>
      <c r="G1560" s="145">
        <v>1.6408651637249731E-3</v>
      </c>
      <c r="H1560" s="517">
        <v>2.0000010000000004E-3</v>
      </c>
      <c r="I1560" s="517">
        <v>1.5750005000000004E-2</v>
      </c>
      <c r="J1560" s="148">
        <v>1.7777464774787952E-3</v>
      </c>
      <c r="K1560" s="518">
        <v>1.3824085717601851E-4</v>
      </c>
      <c r="L1560" s="519">
        <v>1.4449150102809313E-4</v>
      </c>
    </row>
    <row r="1561" spans="1:12" ht="15.5" x14ac:dyDescent="0.35">
      <c r="A1561" s="143" t="s">
        <v>945</v>
      </c>
      <c r="B1561" s="229">
        <v>2019</v>
      </c>
      <c r="C1561" s="514" t="s">
        <v>2417</v>
      </c>
      <c r="D1561" s="515">
        <v>4.0181521120000709E-2</v>
      </c>
      <c r="E1561" s="516">
        <v>2.6500121399226459E-2</v>
      </c>
      <c r="F1561" s="145">
        <v>0.13354794299710435</v>
      </c>
      <c r="G1561" s="145">
        <v>1.5944655583458318E-3</v>
      </c>
      <c r="H1561" s="517">
        <v>2.0000009999999995E-3</v>
      </c>
      <c r="I1561" s="517">
        <v>1.5750005000000001E-2</v>
      </c>
      <c r="J1561" s="148">
        <v>1.7282530408455649E-3</v>
      </c>
      <c r="K1561" s="518">
        <v>1.2661263346737557E-4</v>
      </c>
      <c r="L1561" s="519">
        <v>1.3233749601468736E-4</v>
      </c>
    </row>
    <row r="1562" spans="1:12" ht="15.5" x14ac:dyDescent="0.35">
      <c r="A1562" s="143" t="s">
        <v>945</v>
      </c>
      <c r="B1562" s="229">
        <v>2020</v>
      </c>
      <c r="C1562" s="514" t="s">
        <v>2418</v>
      </c>
      <c r="D1562" s="515">
        <v>3.9005551021202109E-2</v>
      </c>
      <c r="E1562" s="516">
        <v>2.2290756100113968E-2</v>
      </c>
      <c r="F1562" s="145">
        <v>0.11432630948216396</v>
      </c>
      <c r="G1562" s="145">
        <v>1.5336259696446817E-3</v>
      </c>
      <c r="H1562" s="517">
        <v>2.0000009999999999E-3</v>
      </c>
      <c r="I1562" s="517">
        <v>1.5750005000000001E-2</v>
      </c>
      <c r="J1562" s="148">
        <v>1.6627429914164423E-3</v>
      </c>
      <c r="K1562" s="518">
        <v>1.1552050474083117E-4</v>
      </c>
      <c r="L1562" s="519">
        <v>1.2074382911221076E-4</v>
      </c>
    </row>
    <row r="1563" spans="1:12" ht="15.5" x14ac:dyDescent="0.35">
      <c r="A1563" s="143" t="s">
        <v>945</v>
      </c>
      <c r="B1563" s="229">
        <v>2021</v>
      </c>
      <c r="C1563" s="514" t="s">
        <v>2419</v>
      </c>
      <c r="D1563" s="515">
        <v>3.7822218856471003E-2</v>
      </c>
      <c r="E1563" s="516">
        <v>1.8989337757733753E-2</v>
      </c>
      <c r="F1563" s="145">
        <v>9.8171041111843896E-2</v>
      </c>
      <c r="G1563" s="145">
        <v>1.452022158398424E-3</v>
      </c>
      <c r="H1563" s="517">
        <v>2.0000009999999999E-3</v>
      </c>
      <c r="I1563" s="517">
        <v>1.5750005000000001E-2</v>
      </c>
      <c r="J1563" s="148">
        <v>1.5744776367355724E-3</v>
      </c>
      <c r="K1563" s="518">
        <v>1.0608378162604798E-4</v>
      </c>
      <c r="L1563" s="519">
        <v>1.1088042038769352E-4</v>
      </c>
    </row>
    <row r="1564" spans="1:12" ht="15.5" x14ac:dyDescent="0.35">
      <c r="A1564" s="143" t="s">
        <v>945</v>
      </c>
      <c r="B1564" s="229">
        <v>2022</v>
      </c>
      <c r="C1564" s="514" t="s">
        <v>2420</v>
      </c>
      <c r="D1564" s="515">
        <v>3.665197265833077E-2</v>
      </c>
      <c r="E1564" s="516">
        <v>1.5860939432454032E-2</v>
      </c>
      <c r="F1564" s="145">
        <v>8.4166185765367926E-2</v>
      </c>
      <c r="G1564" s="145">
        <v>1.3745650404923138E-3</v>
      </c>
      <c r="H1564" s="517">
        <v>2.0000009999999999E-3</v>
      </c>
      <c r="I1564" s="517">
        <v>1.5750005000000001E-2</v>
      </c>
      <c r="J1564" s="148">
        <v>1.4907629405614934E-3</v>
      </c>
      <c r="K1564" s="518">
        <v>9.7682059949424457E-5</v>
      </c>
      <c r="L1564" s="519">
        <v>1.0209881038216698E-4</v>
      </c>
    </row>
    <row r="1565" spans="1:12" ht="15.5" x14ac:dyDescent="0.35">
      <c r="A1565" s="143" t="s">
        <v>945</v>
      </c>
      <c r="B1565" s="229">
        <v>2023</v>
      </c>
      <c r="C1565" s="514" t="s">
        <v>2421</v>
      </c>
      <c r="D1565" s="515">
        <v>3.5495206463614974E-2</v>
      </c>
      <c r="E1565" s="516">
        <v>1.362532339123089E-2</v>
      </c>
      <c r="F1565" s="145">
        <v>7.2888297302351232E-2</v>
      </c>
      <c r="G1565" s="145">
        <v>1.3043416416986375E-3</v>
      </c>
      <c r="H1565" s="517">
        <v>2.0000009999999999E-3</v>
      </c>
      <c r="I1565" s="517">
        <v>1.5750005000000001E-2</v>
      </c>
      <c r="J1565" s="148">
        <v>1.4148320649366496E-3</v>
      </c>
      <c r="K1565" s="518">
        <v>8.7864462582843623E-5</v>
      </c>
      <c r="L1565" s="519">
        <v>9.1837306631042086E-5</v>
      </c>
    </row>
    <row r="1566" spans="1:12" ht="15.5" x14ac:dyDescent="0.35">
      <c r="A1566" s="143" t="s">
        <v>945</v>
      </c>
      <c r="B1566" s="229">
        <v>2024</v>
      </c>
      <c r="C1566" s="514" t="s">
        <v>2422</v>
      </c>
      <c r="D1566" s="515">
        <v>3.4356914378757937E-2</v>
      </c>
      <c r="E1566" s="516">
        <v>1.1748790566393923E-2</v>
      </c>
      <c r="F1566" s="145">
        <v>6.3476122695004786E-2</v>
      </c>
      <c r="G1566" s="145">
        <v>1.2422226380177852E-3</v>
      </c>
      <c r="H1566" s="517">
        <v>2.0000010000000004E-3</v>
      </c>
      <c r="I1566" s="517">
        <v>1.5750005000000001E-2</v>
      </c>
      <c r="J1566" s="148">
        <v>1.3476784917944352E-3</v>
      </c>
      <c r="K1566" s="518">
        <v>7.8849644603466121E-5</v>
      </c>
      <c r="L1566" s="519">
        <v>8.2414869904650417E-5</v>
      </c>
    </row>
    <row r="1567" spans="1:12" ht="15.5" x14ac:dyDescent="0.35">
      <c r="A1567" s="143" t="s">
        <v>945</v>
      </c>
      <c r="B1567" s="229">
        <v>2025</v>
      </c>
      <c r="C1567" s="514" t="s">
        <v>2423</v>
      </c>
      <c r="D1567" s="515">
        <v>3.3236179022569569E-2</v>
      </c>
      <c r="E1567" s="516">
        <v>1.0220009804690495E-2</v>
      </c>
      <c r="F1567" s="145">
        <v>5.5843299060101145E-2</v>
      </c>
      <c r="G1567" s="145">
        <v>1.1896926116978729E-3</v>
      </c>
      <c r="H1567" s="517">
        <v>2.0000009999999999E-3</v>
      </c>
      <c r="I1567" s="517">
        <v>1.5750005000000001E-2</v>
      </c>
      <c r="J1567" s="148">
        <v>1.2908828014446985E-3</v>
      </c>
      <c r="K1567" s="518">
        <v>7.1151647648297117E-5</v>
      </c>
      <c r="L1567" s="519">
        <v>7.4368810715628165E-5</v>
      </c>
    </row>
    <row r="1568" spans="1:12" ht="15.5" x14ac:dyDescent="0.35">
      <c r="A1568" s="143" t="s">
        <v>945</v>
      </c>
      <c r="B1568" s="229">
        <v>2026</v>
      </c>
      <c r="C1568" s="514" t="s">
        <v>2424</v>
      </c>
      <c r="D1568" s="515">
        <v>3.2219284128807354E-2</v>
      </c>
      <c r="E1568" s="516">
        <v>8.7132767295439069E-3</v>
      </c>
      <c r="F1568" s="145">
        <v>4.94396699860409E-2</v>
      </c>
      <c r="G1568" s="145">
        <v>1.1078542147851852E-3</v>
      </c>
      <c r="H1568" s="517">
        <v>2.0000009999999995E-3</v>
      </c>
      <c r="I1568" s="517">
        <v>1.5750004999999997E-2</v>
      </c>
      <c r="J1568" s="148">
        <v>1.2022301683485589E-3</v>
      </c>
      <c r="K1568" s="518">
        <v>6.2820764750198536E-5</v>
      </c>
      <c r="L1568" s="519">
        <v>6.5661240774269412E-5</v>
      </c>
    </row>
    <row r="1569" spans="1:12" ht="15.5" x14ac:dyDescent="0.35">
      <c r="A1569" s="143" t="s">
        <v>945</v>
      </c>
      <c r="B1569" s="229">
        <v>2027</v>
      </c>
      <c r="C1569" s="514" t="s">
        <v>2425</v>
      </c>
      <c r="D1569" s="515">
        <v>3.1282833976911596E-2</v>
      </c>
      <c r="E1569" s="516">
        <v>7.6666983212259803E-3</v>
      </c>
      <c r="F1569" s="145">
        <v>4.4213170967319186E-2</v>
      </c>
      <c r="G1569" s="145">
        <v>1.0497431603365161E-3</v>
      </c>
      <c r="H1569" s="517">
        <v>2.0000009999999995E-3</v>
      </c>
      <c r="I1569" s="517">
        <v>1.5750004999999997E-2</v>
      </c>
      <c r="J1569" s="148">
        <v>1.1394349897615114E-3</v>
      </c>
      <c r="K1569" s="518">
        <v>5.3236545665013801E-5</v>
      </c>
      <c r="L1569" s="519">
        <v>5.5643663039560439E-5</v>
      </c>
    </row>
    <row r="1570" spans="1:12" ht="15.5" x14ac:dyDescent="0.35">
      <c r="A1570" s="143" t="s">
        <v>945</v>
      </c>
      <c r="B1570" s="229">
        <v>2028</v>
      </c>
      <c r="C1570" s="514" t="s">
        <v>2426</v>
      </c>
      <c r="D1570" s="515">
        <v>3.0440159097533361E-2</v>
      </c>
      <c r="E1570" s="516">
        <v>6.8177407173748966E-3</v>
      </c>
      <c r="F1570" s="145">
        <v>3.9976069207208399E-2</v>
      </c>
      <c r="G1570" s="145">
        <v>9.900211780963918E-4</v>
      </c>
      <c r="H1570" s="517">
        <v>2.0000009999999999E-3</v>
      </c>
      <c r="I1570" s="517">
        <v>1.5750005000000001E-2</v>
      </c>
      <c r="J1570" s="148">
        <v>1.074770222831185E-3</v>
      </c>
      <c r="K1570" s="518">
        <v>4.645216304946169E-5</v>
      </c>
      <c r="L1570" s="519">
        <v>4.8552519282962108E-5</v>
      </c>
    </row>
    <row r="1571" spans="1:12" ht="15.5" x14ac:dyDescent="0.35">
      <c r="A1571" s="143" t="s">
        <v>945</v>
      </c>
      <c r="B1571" s="229">
        <v>2029</v>
      </c>
      <c r="C1571" s="514" t="s">
        <v>2427</v>
      </c>
      <c r="D1571" s="515">
        <v>2.968546435745072E-2</v>
      </c>
      <c r="E1571" s="516">
        <v>6.0715602298997522E-3</v>
      </c>
      <c r="F1571" s="145">
        <v>3.6343358264421796E-2</v>
      </c>
      <c r="G1571" s="145">
        <v>9.3249047612530651E-4</v>
      </c>
      <c r="H1571" s="517">
        <v>2.0000010000000004E-3</v>
      </c>
      <c r="I1571" s="517">
        <v>1.5750004999999997E-2</v>
      </c>
      <c r="J1571" s="148">
        <v>1.0124150781053783E-3</v>
      </c>
      <c r="K1571" s="518">
        <v>4.1379856355007893E-5</v>
      </c>
      <c r="L1571" s="519">
        <v>4.3250865315242814E-5</v>
      </c>
    </row>
    <row r="1572" spans="1:12" ht="15.5" x14ac:dyDescent="0.35">
      <c r="A1572" s="143" t="s">
        <v>945</v>
      </c>
      <c r="B1572" s="229">
        <v>2030</v>
      </c>
      <c r="C1572" s="514" t="s">
        <v>2428</v>
      </c>
      <c r="D1572" s="515">
        <v>2.9013945889783104E-2</v>
      </c>
      <c r="E1572" s="516">
        <v>5.4551300528627522E-3</v>
      </c>
      <c r="F1572" s="145">
        <v>3.3341471036768655E-2</v>
      </c>
      <c r="G1572" s="145">
        <v>8.7776906146266799E-4</v>
      </c>
      <c r="H1572" s="517">
        <v>2.0000009999999999E-3</v>
      </c>
      <c r="I1572" s="517">
        <v>1.5750005000000001E-2</v>
      </c>
      <c r="J1572" s="148">
        <v>9.530806134073138E-4</v>
      </c>
      <c r="K1572" s="518">
        <v>3.7124055932276252E-5</v>
      </c>
      <c r="L1572" s="519">
        <v>3.8802640957447666E-5</v>
      </c>
    </row>
    <row r="1573" spans="1:12" ht="15.5" x14ac:dyDescent="0.35">
      <c r="A1573" s="143" t="s">
        <v>945</v>
      </c>
      <c r="B1573" s="229">
        <v>2031</v>
      </c>
      <c r="C1573" s="514" t="s">
        <v>2429</v>
      </c>
      <c r="D1573" s="515">
        <v>2.8419350162412118E-2</v>
      </c>
      <c r="E1573" s="516">
        <v>4.9106234898555201E-3</v>
      </c>
      <c r="F1573" s="145">
        <v>3.0727873352237124E-2</v>
      </c>
      <c r="G1573" s="145">
        <v>8.2593322682678006E-4</v>
      </c>
      <c r="H1573" s="517">
        <v>2.0000009999999999E-3</v>
      </c>
      <c r="I1573" s="517">
        <v>1.5750005000000001E-2</v>
      </c>
      <c r="J1573" s="148">
        <v>8.9683489174073139E-4</v>
      </c>
      <c r="K1573" s="518">
        <v>3.406120352725888E-5</v>
      </c>
      <c r="L1573" s="519">
        <v>3.5601299570057474E-5</v>
      </c>
    </row>
    <row r="1574" spans="1:12" ht="15.5" x14ac:dyDescent="0.35">
      <c r="A1574" s="143" t="s">
        <v>945</v>
      </c>
      <c r="B1574" s="229">
        <v>2032</v>
      </c>
      <c r="C1574" s="514" t="s">
        <v>2430</v>
      </c>
      <c r="D1574" s="515">
        <v>2.7895649456899613E-2</v>
      </c>
      <c r="E1574" s="516">
        <v>4.4499071076295107E-3</v>
      </c>
      <c r="F1574" s="145">
        <v>2.8601684356515122E-2</v>
      </c>
      <c r="G1574" s="145">
        <v>7.773751171754928E-4</v>
      </c>
      <c r="H1574" s="517">
        <v>2.0000009999999995E-3</v>
      </c>
      <c r="I1574" s="517">
        <v>1.5750005000000001E-2</v>
      </c>
      <c r="J1574" s="148">
        <v>8.4414199045105285E-4</v>
      </c>
      <c r="K1574" s="518">
        <v>3.1249165383502634E-5</v>
      </c>
      <c r="L1574" s="519">
        <v>3.2662111996287963E-5</v>
      </c>
    </row>
    <row r="1575" spans="1:12" ht="15.5" x14ac:dyDescent="0.35">
      <c r="A1575" s="143" t="s">
        <v>945</v>
      </c>
      <c r="B1575" s="229">
        <v>2033</v>
      </c>
      <c r="C1575" s="514" t="s">
        <v>2431</v>
      </c>
      <c r="D1575" s="515">
        <v>2.7436943046172283E-2</v>
      </c>
      <c r="E1575" s="516">
        <v>4.0555307850961737E-3</v>
      </c>
      <c r="F1575" s="145">
        <v>2.6855064279498284E-2</v>
      </c>
      <c r="G1575" s="145">
        <v>7.3244381450698437E-4</v>
      </c>
      <c r="H1575" s="517">
        <v>2.0000009999999999E-3</v>
      </c>
      <c r="I1575" s="517">
        <v>1.5750005000000004E-2</v>
      </c>
      <c r="J1575" s="148">
        <v>7.9536435368998627E-4</v>
      </c>
      <c r="K1575" s="518">
        <v>2.9136110451294842E-5</v>
      </c>
      <c r="L1575" s="519">
        <v>3.0453513362553891E-5</v>
      </c>
    </row>
    <row r="1576" spans="1:12" ht="15.5" x14ac:dyDescent="0.35">
      <c r="A1576" s="143" t="s">
        <v>945</v>
      </c>
      <c r="B1576" s="229">
        <v>2034</v>
      </c>
      <c r="C1576" s="514" t="s">
        <v>2432</v>
      </c>
      <c r="D1576" s="515">
        <v>2.7036720865477041E-2</v>
      </c>
      <c r="E1576" s="516">
        <v>3.698285364706917E-3</v>
      </c>
      <c r="F1576" s="145">
        <v>2.5328235243799638E-2</v>
      </c>
      <c r="G1576" s="145">
        <v>6.9005881376904392E-4</v>
      </c>
      <c r="H1576" s="517">
        <v>2.0000009999999995E-3</v>
      </c>
      <c r="I1576" s="517">
        <v>1.5750004999999997E-2</v>
      </c>
      <c r="J1576" s="148">
        <v>7.493464781639761E-4</v>
      </c>
      <c r="K1576" s="518">
        <v>2.7257791804081557E-5</v>
      </c>
      <c r="L1576" s="519">
        <v>2.8490274704152227E-5</v>
      </c>
    </row>
    <row r="1577" spans="1:12" ht="15.5" x14ac:dyDescent="0.35">
      <c r="A1577" s="143" t="s">
        <v>945</v>
      </c>
      <c r="B1577" s="229">
        <v>2035</v>
      </c>
      <c r="C1577" s="514" t="s">
        <v>2433</v>
      </c>
      <c r="D1577" s="515">
        <v>2.6690635838319453E-2</v>
      </c>
      <c r="E1577" s="516">
        <v>3.387574958771278E-3</v>
      </c>
      <c r="F1577" s="145">
        <v>2.4067291544184136E-2</v>
      </c>
      <c r="G1577" s="145">
        <v>6.5074930173141465E-4</v>
      </c>
      <c r="H1577" s="517">
        <v>2.0000010000000004E-3</v>
      </c>
      <c r="I1577" s="517">
        <v>1.5750005000000004E-2</v>
      </c>
      <c r="J1577" s="148">
        <v>7.0666666153282743E-4</v>
      </c>
      <c r="K1577" s="518">
        <v>2.5556471901668516E-5</v>
      </c>
      <c r="L1577" s="519">
        <v>2.6712026733151179E-5</v>
      </c>
    </row>
    <row r="1578" spans="1:12" ht="15.5" x14ac:dyDescent="0.35">
      <c r="A1578" s="143" t="s">
        <v>945</v>
      </c>
      <c r="B1578" s="229">
        <v>2036</v>
      </c>
      <c r="C1578" s="514" t="s">
        <v>2434</v>
      </c>
      <c r="D1578" s="515">
        <v>2.6403807510458951E-2</v>
      </c>
      <c r="E1578" s="516">
        <v>3.1119289511047192E-3</v>
      </c>
      <c r="F1578" s="145">
        <v>2.2994806016685864E-2</v>
      </c>
      <c r="G1578" s="145">
        <v>6.1605197395732327E-4</v>
      </c>
      <c r="H1578" s="517">
        <v>2.0000009999999999E-3</v>
      </c>
      <c r="I1578" s="517">
        <v>1.5750005000000001E-2</v>
      </c>
      <c r="J1578" s="148">
        <v>6.689958746285467E-4</v>
      </c>
      <c r="K1578" s="518">
        <v>2.3996403222027282E-5</v>
      </c>
      <c r="L1578" s="519">
        <v>2.5081412916359571E-5</v>
      </c>
    </row>
    <row r="1579" spans="1:12" ht="15.5" x14ac:dyDescent="0.35">
      <c r="A1579" s="143" t="s">
        <v>945</v>
      </c>
      <c r="B1579" s="229">
        <v>2037</v>
      </c>
      <c r="C1579" s="514" t="s">
        <v>2435</v>
      </c>
      <c r="D1579" s="515">
        <v>2.6150003269016474E-2</v>
      </c>
      <c r="E1579" s="516">
        <v>2.8789361302059484E-3</v>
      </c>
      <c r="F1579" s="145">
        <v>2.2135468218291859E-2</v>
      </c>
      <c r="G1579" s="145">
        <v>5.8473023866484754E-4</v>
      </c>
      <c r="H1579" s="517">
        <v>2.0000010000000004E-3</v>
      </c>
      <c r="I1579" s="517">
        <v>1.5750005000000001E-2</v>
      </c>
      <c r="J1579" s="148">
        <v>6.3498559029075336E-4</v>
      </c>
      <c r="K1579" s="518">
        <v>2.2693241481894473E-5</v>
      </c>
      <c r="L1579" s="519">
        <v>2.3719327914771418E-5</v>
      </c>
    </row>
    <row r="1580" spans="1:12" ht="15.5" x14ac:dyDescent="0.35">
      <c r="A1580" s="143" t="s">
        <v>945</v>
      </c>
      <c r="B1580" s="229">
        <v>2038</v>
      </c>
      <c r="C1580" s="514" t="s">
        <v>2436</v>
      </c>
      <c r="D1580" s="515">
        <v>2.5935669940231658E-2</v>
      </c>
      <c r="E1580" s="516">
        <v>2.6616555905694087E-3</v>
      </c>
      <c r="F1580" s="145">
        <v>2.1334851534782796E-2</v>
      </c>
      <c r="G1580" s="145">
        <v>5.562740699055405E-4</v>
      </c>
      <c r="H1580" s="517">
        <v>2.0000010000000004E-3</v>
      </c>
      <c r="I1580" s="517">
        <v>1.5750004999999997E-2</v>
      </c>
      <c r="J1580" s="148">
        <v>6.0408468975138455E-4</v>
      </c>
      <c r="K1580" s="518">
        <v>2.1570506406481034E-5</v>
      </c>
      <c r="L1580" s="519">
        <v>2.2545827475220927E-5</v>
      </c>
    </row>
    <row r="1581" spans="1:12" ht="15.5" x14ac:dyDescent="0.35">
      <c r="A1581" s="143" t="s">
        <v>945</v>
      </c>
      <c r="B1581" s="229">
        <v>2039</v>
      </c>
      <c r="C1581" s="514" t="s">
        <v>2437</v>
      </c>
      <c r="D1581" s="515">
        <v>2.5754760220397858E-2</v>
      </c>
      <c r="E1581" s="516">
        <v>2.4556790792151398E-3</v>
      </c>
      <c r="F1581" s="145">
        <v>2.0576213046127362E-2</v>
      </c>
      <c r="G1581" s="145">
        <v>5.3068833428436286E-4</v>
      </c>
      <c r="H1581" s="517">
        <v>2.0000009999999999E-3</v>
      </c>
      <c r="I1581" s="517">
        <v>1.5750005000000001E-2</v>
      </c>
      <c r="J1581" s="148">
        <v>5.7629758873620738E-4</v>
      </c>
      <c r="K1581" s="518">
        <v>2.0633957651155567E-5</v>
      </c>
      <c r="L1581" s="519">
        <v>2.1566935672618019E-5</v>
      </c>
    </row>
    <row r="1582" spans="1:12" ht="15.5" x14ac:dyDescent="0.35">
      <c r="A1582" s="143" t="s">
        <v>945</v>
      </c>
      <c r="B1582" s="229">
        <v>2040</v>
      </c>
      <c r="C1582" s="514" t="s">
        <v>2438</v>
      </c>
      <c r="D1582" s="515">
        <v>2.5603743087733635E-2</v>
      </c>
      <c r="E1582" s="516">
        <v>2.2708531710456336E-3</v>
      </c>
      <c r="F1582" s="145">
        <v>1.9957953948724422E-2</v>
      </c>
      <c r="G1582" s="145">
        <v>5.0792638304886727E-4</v>
      </c>
      <c r="H1582" s="517">
        <v>2.0000009999999999E-3</v>
      </c>
      <c r="I1582" s="517">
        <v>1.5750005000000001E-2</v>
      </c>
      <c r="J1582" s="148">
        <v>5.5157638815770164E-4</v>
      </c>
      <c r="K1582" s="518">
        <v>1.9828999107375931E-5</v>
      </c>
      <c r="L1582" s="519">
        <v>2.0725579392355645E-5</v>
      </c>
    </row>
    <row r="1583" spans="1:12" ht="15.5" x14ac:dyDescent="0.35">
      <c r="A1583" s="143" t="s">
        <v>945</v>
      </c>
      <c r="B1583" s="229">
        <v>2041</v>
      </c>
      <c r="C1583" s="514" t="s">
        <v>2439</v>
      </c>
      <c r="D1583" s="515">
        <v>2.5479199386234792E-2</v>
      </c>
      <c r="E1583" s="516">
        <v>2.1288690958199651E-3</v>
      </c>
      <c r="F1583" s="145">
        <v>1.9473266655857007E-2</v>
      </c>
      <c r="G1583" s="145">
        <v>4.8984347897323001E-4</v>
      </c>
      <c r="H1583" s="517">
        <v>2.0000010000000004E-3</v>
      </c>
      <c r="I1583" s="517">
        <v>1.5750005000000004E-2</v>
      </c>
      <c r="J1583" s="148">
        <v>5.3193816913602845E-4</v>
      </c>
      <c r="K1583" s="518">
        <v>1.9150253640983289E-5</v>
      </c>
      <c r="L1583" s="519">
        <v>2.0016144346506315E-5</v>
      </c>
    </row>
    <row r="1584" spans="1:12" ht="15.5" x14ac:dyDescent="0.35">
      <c r="A1584" s="143" t="s">
        <v>945</v>
      </c>
      <c r="B1584" s="229">
        <v>2042</v>
      </c>
      <c r="C1584" s="514" t="s">
        <v>2440</v>
      </c>
      <c r="D1584" s="515">
        <v>2.5375717083622514E-2</v>
      </c>
      <c r="E1584" s="516">
        <v>2.0058929752186224E-3</v>
      </c>
      <c r="F1584" s="145">
        <v>1.9026247943976411E-2</v>
      </c>
      <c r="G1584" s="145">
        <v>4.7417402991159838E-4</v>
      </c>
      <c r="H1584" s="517">
        <v>2.0000009999999999E-3</v>
      </c>
      <c r="I1584" s="517">
        <v>1.5750004999999997E-2</v>
      </c>
      <c r="J1584" s="148">
        <v>5.149188324838161E-4</v>
      </c>
      <c r="K1584" s="518">
        <v>1.8606773938393612E-5</v>
      </c>
      <c r="L1584" s="519">
        <v>1.9448094115673816E-5</v>
      </c>
    </row>
    <row r="1585" spans="1:12" ht="15.5" x14ac:dyDescent="0.35">
      <c r="A1585" s="143" t="s">
        <v>945</v>
      </c>
      <c r="B1585" s="229">
        <v>2043</v>
      </c>
      <c r="C1585" s="514" t="s">
        <v>2441</v>
      </c>
      <c r="D1585" s="515">
        <v>2.5291022532812919E-2</v>
      </c>
      <c r="E1585" s="516">
        <v>1.9111052273000962E-3</v>
      </c>
      <c r="F1585" s="145">
        <v>1.868633733292914E-2</v>
      </c>
      <c r="G1585" s="145">
        <v>4.6072245173348661E-4</v>
      </c>
      <c r="H1585" s="517">
        <v>2.0000009999999995E-3</v>
      </c>
      <c r="I1585" s="517">
        <v>1.5750005000000001E-2</v>
      </c>
      <c r="J1585" s="148">
        <v>5.0030798760937868E-4</v>
      </c>
      <c r="K1585" s="518">
        <v>1.8159544075667017E-5</v>
      </c>
      <c r="L1585" s="519">
        <v>1.8980640340469191E-5</v>
      </c>
    </row>
    <row r="1586" spans="1:12" ht="15.5" x14ac:dyDescent="0.35">
      <c r="A1586" s="143" t="s">
        <v>945</v>
      </c>
      <c r="B1586" s="229">
        <v>2044</v>
      </c>
      <c r="C1586" s="514" t="s">
        <v>2442</v>
      </c>
      <c r="D1586" s="515">
        <v>2.522098125454034E-2</v>
      </c>
      <c r="E1586" s="516">
        <v>1.8394492635135581E-3</v>
      </c>
      <c r="F1586" s="145">
        <v>1.8417989195947726E-2</v>
      </c>
      <c r="G1586" s="145">
        <v>4.4923832399815456E-4</v>
      </c>
      <c r="H1586" s="517">
        <v>2.0000009999999999E-3</v>
      </c>
      <c r="I1586" s="517">
        <v>1.5750005000000001E-2</v>
      </c>
      <c r="J1586" s="148">
        <v>4.8783263988646955E-4</v>
      </c>
      <c r="K1586" s="518">
        <v>1.7815217112730075E-5</v>
      </c>
      <c r="L1586" s="519">
        <v>1.8620740997743035E-5</v>
      </c>
    </row>
    <row r="1587" spans="1:12" ht="15.5" x14ac:dyDescent="0.35">
      <c r="A1587" s="143" t="s">
        <v>945</v>
      </c>
      <c r="B1587" s="229">
        <v>2045</v>
      </c>
      <c r="C1587" s="514" t="s">
        <v>2443</v>
      </c>
      <c r="D1587" s="515">
        <v>2.5162421845874035E-2</v>
      </c>
      <c r="E1587" s="516">
        <v>1.7900171474252451E-3</v>
      </c>
      <c r="F1587" s="145">
        <v>1.823518404442228E-2</v>
      </c>
      <c r="G1587" s="145">
        <v>4.3945076136743912E-4</v>
      </c>
      <c r="H1587" s="517">
        <v>2.0000010000000004E-3</v>
      </c>
      <c r="I1587" s="517">
        <v>1.5750005000000004E-2</v>
      </c>
      <c r="J1587" s="148">
        <v>4.7719981147161401E-4</v>
      </c>
      <c r="K1587" s="518">
        <v>1.7543418602912415E-5</v>
      </c>
      <c r="L1587" s="519">
        <v>1.8336652755958181E-5</v>
      </c>
    </row>
    <row r="1588" spans="1:12" ht="15.5" x14ac:dyDescent="0.35">
      <c r="A1588" s="143" t="s">
        <v>945</v>
      </c>
      <c r="B1588" s="229">
        <v>2046</v>
      </c>
      <c r="C1588" s="514" t="s">
        <v>2444</v>
      </c>
      <c r="D1588" s="515">
        <v>2.5113757376483484E-2</v>
      </c>
      <c r="E1588" s="516">
        <v>1.7475496561043941E-3</v>
      </c>
      <c r="F1588" s="145">
        <v>1.8088279599043459E-2</v>
      </c>
      <c r="G1588" s="145">
        <v>4.3122504563546967E-4</v>
      </c>
      <c r="H1588" s="517">
        <v>2.0000009999999999E-3</v>
      </c>
      <c r="I1588" s="517">
        <v>1.5750005000000001E-2</v>
      </c>
      <c r="J1588" s="148">
        <v>4.6826226187686774E-4</v>
      </c>
      <c r="K1588" s="518">
        <v>1.7322517159296135E-5</v>
      </c>
      <c r="L1588" s="519">
        <v>1.8105765072793679E-5</v>
      </c>
    </row>
    <row r="1589" spans="1:12" ht="15.5" x14ac:dyDescent="0.35">
      <c r="A1589" s="143" t="s">
        <v>945</v>
      </c>
      <c r="B1589" s="229">
        <v>2047</v>
      </c>
      <c r="C1589" s="514" t="s">
        <v>2445</v>
      </c>
      <c r="D1589" s="515">
        <v>2.5073526190824723E-2</v>
      </c>
      <c r="E1589" s="516">
        <v>1.7091092707571746E-3</v>
      </c>
      <c r="F1589" s="145">
        <v>1.7949159310551768E-2</v>
      </c>
      <c r="G1589" s="145">
        <v>4.2433001065355296E-4</v>
      </c>
      <c r="H1589" s="517">
        <v>2.0000010000000004E-3</v>
      </c>
      <c r="I1589" s="517">
        <v>1.5750005000000001E-2</v>
      </c>
      <c r="J1589" s="148">
        <v>4.6077127725650151E-4</v>
      </c>
      <c r="K1589" s="518">
        <v>1.7147597737340649E-5</v>
      </c>
      <c r="L1589" s="519">
        <v>1.792293246943773E-5</v>
      </c>
    </row>
    <row r="1590" spans="1:12" ht="15.5" x14ac:dyDescent="0.35">
      <c r="A1590" s="143" t="s">
        <v>945</v>
      </c>
      <c r="B1590" s="229">
        <v>2048</v>
      </c>
      <c r="C1590" s="514" t="s">
        <v>2446</v>
      </c>
      <c r="D1590" s="515">
        <v>2.5040436218571313E-2</v>
      </c>
      <c r="E1590" s="516">
        <v>1.6771402396803328E-3</v>
      </c>
      <c r="F1590" s="145">
        <v>1.7827078635579439E-2</v>
      </c>
      <c r="G1590" s="145">
        <v>4.1855987194282853E-4</v>
      </c>
      <c r="H1590" s="517">
        <v>2.0000009999999995E-3</v>
      </c>
      <c r="I1590" s="517">
        <v>1.5750005000000001E-2</v>
      </c>
      <c r="J1590" s="148">
        <v>4.5450253411807379E-4</v>
      </c>
      <c r="K1590" s="518">
        <v>1.6980670748246621E-5</v>
      </c>
      <c r="L1590" s="519">
        <v>1.7748460334077491E-5</v>
      </c>
    </row>
    <row r="1591" spans="1:12" ht="15.5" x14ac:dyDescent="0.35">
      <c r="A1591" s="143" t="s">
        <v>945</v>
      </c>
      <c r="B1591" s="229">
        <v>2049</v>
      </c>
      <c r="C1591" s="514" t="s">
        <v>2447</v>
      </c>
      <c r="D1591" s="515">
        <v>2.5012788635620314E-2</v>
      </c>
      <c r="E1591" s="516">
        <v>1.6653448437706348E-3</v>
      </c>
      <c r="F1591" s="145">
        <v>1.7835321943623982E-2</v>
      </c>
      <c r="G1591" s="145">
        <v>4.1481497008772321E-4</v>
      </c>
      <c r="H1591" s="517">
        <v>2.0000009999999995E-3</v>
      </c>
      <c r="I1591" s="517">
        <v>1.5750005000000001E-2</v>
      </c>
      <c r="J1591" s="148">
        <v>4.5043379119172799E-4</v>
      </c>
      <c r="K1591" s="518">
        <v>1.6875447262836055E-5</v>
      </c>
      <c r="L1591" s="519">
        <v>1.7638475181794018E-5</v>
      </c>
    </row>
    <row r="1592" spans="1:12" ht="15.5" x14ac:dyDescent="0.35">
      <c r="A1592" s="143" t="s">
        <v>945</v>
      </c>
      <c r="B1592" s="229">
        <v>2050</v>
      </c>
      <c r="C1592" s="514" t="s">
        <v>2448</v>
      </c>
      <c r="D1592" s="515">
        <v>2.4990318352464416E-2</v>
      </c>
      <c r="E1592" s="516">
        <v>1.6561272270385079E-3</v>
      </c>
      <c r="F1592" s="145">
        <v>1.7846120546838085E-2</v>
      </c>
      <c r="G1592" s="145">
        <v>4.1178418153925487E-4</v>
      </c>
      <c r="H1592" s="517">
        <v>2.0000009999999995E-3</v>
      </c>
      <c r="I1592" s="517">
        <v>1.5750005000000001E-2</v>
      </c>
      <c r="J1592" s="148">
        <v>4.4714217258652383E-4</v>
      </c>
      <c r="K1592" s="518">
        <v>1.6772247252922283E-5</v>
      </c>
      <c r="L1592" s="519">
        <v>1.7530612740722957E-5</v>
      </c>
    </row>
    <row r="1593" spans="1:12" ht="15.5" x14ac:dyDescent="0.35">
      <c r="A1593" s="143" t="s">
        <v>948</v>
      </c>
      <c r="B1593" s="229">
        <v>2015</v>
      </c>
      <c r="C1593" s="514" t="s">
        <v>949</v>
      </c>
      <c r="D1593" s="515">
        <v>4.3938888333465057E-2</v>
      </c>
      <c r="E1593" s="516">
        <v>4.4387639324458814E-2</v>
      </c>
      <c r="F1593" s="145">
        <v>0.17588992137911982</v>
      </c>
      <c r="G1593" s="145">
        <v>1.7039445804905621E-3</v>
      </c>
      <c r="H1593" s="517">
        <v>2.0000009999999999E-3</v>
      </c>
      <c r="I1593" s="517">
        <v>1.5750005000000004E-2</v>
      </c>
      <c r="J1593" s="148">
        <v>1.8452539750772744E-3</v>
      </c>
      <c r="K1593" s="518">
        <v>1.2327718050443473E-4</v>
      </c>
      <c r="L1593" s="519">
        <v>1.2885123012197066E-4</v>
      </c>
    </row>
    <row r="1594" spans="1:12" ht="15.5" x14ac:dyDescent="0.35">
      <c r="A1594" s="143" t="s">
        <v>948</v>
      </c>
      <c r="B1594" s="229">
        <v>2016</v>
      </c>
      <c r="C1594" s="514" t="s">
        <v>950</v>
      </c>
      <c r="D1594" s="515">
        <v>4.3033854892327354E-2</v>
      </c>
      <c r="E1594" s="516">
        <v>3.6503974955075104E-2</v>
      </c>
      <c r="F1594" s="145">
        <v>0.14882194707081722</v>
      </c>
      <c r="G1594" s="145">
        <v>1.6145706931189425E-3</v>
      </c>
      <c r="H1594" s="517">
        <v>2.0000010000000004E-3</v>
      </c>
      <c r="I1594" s="517">
        <v>1.5750005000000001E-2</v>
      </c>
      <c r="J1594" s="148">
        <v>1.7497191079853514E-3</v>
      </c>
      <c r="K1594" s="518">
        <v>1.0564064969998275E-4</v>
      </c>
      <c r="L1594" s="519">
        <v>1.1041725359111116E-4</v>
      </c>
    </row>
    <row r="1595" spans="1:12" ht="15.5" x14ac:dyDescent="0.35">
      <c r="A1595" s="143" t="s">
        <v>948</v>
      </c>
      <c r="B1595" s="229">
        <v>2017</v>
      </c>
      <c r="C1595" s="514" t="s">
        <v>2449</v>
      </c>
      <c r="D1595" s="515">
        <v>4.2036222675091113E-2</v>
      </c>
      <c r="E1595" s="516">
        <v>2.9984885613669066E-2</v>
      </c>
      <c r="F1595" s="145">
        <v>0.12543932997066373</v>
      </c>
      <c r="G1595" s="145">
        <v>1.573894282837272E-3</v>
      </c>
      <c r="H1595" s="517">
        <v>2.0000009999999999E-3</v>
      </c>
      <c r="I1595" s="517">
        <v>1.5750005000000001E-2</v>
      </c>
      <c r="J1595" s="148">
        <v>1.7065460751372503E-3</v>
      </c>
      <c r="K1595" s="518">
        <v>9.5724329522413486E-5</v>
      </c>
      <c r="L1595" s="519">
        <v>1.0005255782779502E-4</v>
      </c>
    </row>
    <row r="1596" spans="1:12" ht="15.5" x14ac:dyDescent="0.35">
      <c r="A1596" s="143" t="s">
        <v>948</v>
      </c>
      <c r="B1596" s="229">
        <v>2018</v>
      </c>
      <c r="C1596" s="514" t="s">
        <v>2450</v>
      </c>
      <c r="D1596" s="515">
        <v>4.0965927310601676E-2</v>
      </c>
      <c r="E1596" s="516">
        <v>2.4526461938972711E-2</v>
      </c>
      <c r="F1596" s="145">
        <v>0.10565680046490257</v>
      </c>
      <c r="G1596" s="145">
        <v>1.5641837233169341E-3</v>
      </c>
      <c r="H1596" s="517">
        <v>2.0000009999999999E-3</v>
      </c>
      <c r="I1596" s="517">
        <v>1.5750005000000001E-2</v>
      </c>
      <c r="J1596" s="148">
        <v>1.6968152229566442E-3</v>
      </c>
      <c r="K1596" s="518">
        <v>8.7937825640944117E-5</v>
      </c>
      <c r="L1596" s="519">
        <v>9.1913983506226735E-5</v>
      </c>
    </row>
    <row r="1597" spans="1:12" ht="15.5" x14ac:dyDescent="0.35">
      <c r="A1597" s="143" t="s">
        <v>948</v>
      </c>
      <c r="B1597" s="229">
        <v>2019</v>
      </c>
      <c r="C1597" s="514" t="s">
        <v>2451</v>
      </c>
      <c r="D1597" s="515">
        <v>3.9630769698398065E-2</v>
      </c>
      <c r="E1597" s="516">
        <v>2.0092000933901493E-2</v>
      </c>
      <c r="F1597" s="145">
        <v>8.9333089049337372E-2</v>
      </c>
      <c r="G1597" s="145">
        <v>1.5622400621977603E-3</v>
      </c>
      <c r="H1597" s="517">
        <v>2.0000009999999999E-3</v>
      </c>
      <c r="I1597" s="517">
        <v>1.5750004999999997E-2</v>
      </c>
      <c r="J1597" s="148">
        <v>1.6953349934321559E-3</v>
      </c>
      <c r="K1597" s="518">
        <v>8.1388356280055589E-5</v>
      </c>
      <c r="L1597" s="519">
        <v>8.5068378315481555E-5</v>
      </c>
    </row>
    <row r="1598" spans="1:12" ht="15.5" x14ac:dyDescent="0.35">
      <c r="A1598" s="143" t="s">
        <v>948</v>
      </c>
      <c r="B1598" s="229">
        <v>2020</v>
      </c>
      <c r="C1598" s="514" t="s">
        <v>2452</v>
      </c>
      <c r="D1598" s="515">
        <v>3.8501920551229855E-2</v>
      </c>
      <c r="E1598" s="516">
        <v>1.6854441453055178E-2</v>
      </c>
      <c r="F1598" s="145">
        <v>7.6152300439006518E-2</v>
      </c>
      <c r="G1598" s="145">
        <v>1.5285890994270919E-3</v>
      </c>
      <c r="H1598" s="517">
        <v>2.0000009999999999E-3</v>
      </c>
      <c r="I1598" s="517">
        <v>1.5750005000000004E-2</v>
      </c>
      <c r="J1598" s="148">
        <v>1.6590668227901533E-3</v>
      </c>
      <c r="K1598" s="518">
        <v>7.6162637551075173E-5</v>
      </c>
      <c r="L1598" s="519">
        <v>7.9606378009643237E-5</v>
      </c>
    </row>
    <row r="1599" spans="1:12" ht="15.5" x14ac:dyDescent="0.35">
      <c r="A1599" s="143" t="s">
        <v>948</v>
      </c>
      <c r="B1599" s="229">
        <v>2021</v>
      </c>
      <c r="C1599" s="514" t="s">
        <v>2453</v>
      </c>
      <c r="D1599" s="515">
        <v>3.7360393950397072E-2</v>
      </c>
      <c r="E1599" s="516">
        <v>1.4320198332255424E-2</v>
      </c>
      <c r="F1599" s="145">
        <v>6.5380544808235672E-2</v>
      </c>
      <c r="G1599" s="145">
        <v>1.45568096521833E-3</v>
      </c>
      <c r="H1599" s="517">
        <v>2.0000009999999995E-3</v>
      </c>
      <c r="I1599" s="517">
        <v>1.5750004999999994E-2</v>
      </c>
      <c r="J1599" s="148">
        <v>1.5800951588907941E-3</v>
      </c>
      <c r="K1599" s="518">
        <v>6.9944640101999352E-5</v>
      </c>
      <c r="L1599" s="519">
        <v>7.3107227799168326E-5</v>
      </c>
    </row>
    <row r="1600" spans="1:12" ht="15.5" x14ac:dyDescent="0.35">
      <c r="A1600" s="143" t="s">
        <v>948</v>
      </c>
      <c r="B1600" s="229">
        <v>2022</v>
      </c>
      <c r="C1600" s="514" t="s">
        <v>2454</v>
      </c>
      <c r="D1600" s="515">
        <v>3.6232125901078778E-2</v>
      </c>
      <c r="E1600" s="516">
        <v>1.2104074882814916E-2</v>
      </c>
      <c r="F1600" s="145">
        <v>5.6454963375691065E-2</v>
      </c>
      <c r="G1600" s="145">
        <v>1.3865069522144722E-3</v>
      </c>
      <c r="H1600" s="517">
        <v>2.0000009999999999E-3</v>
      </c>
      <c r="I1600" s="517">
        <v>1.5750004999999997E-2</v>
      </c>
      <c r="J1600" s="148">
        <v>1.5051874684231849E-3</v>
      </c>
      <c r="K1600" s="518">
        <v>6.4365568714851496E-5</v>
      </c>
      <c r="L1600" s="519">
        <v>6.72758985494172E-5</v>
      </c>
    </row>
    <row r="1601" spans="1:12" ht="15.5" x14ac:dyDescent="0.35">
      <c r="A1601" s="143" t="s">
        <v>948</v>
      </c>
      <c r="B1601" s="229">
        <v>2023</v>
      </c>
      <c r="C1601" s="514" t="s">
        <v>2455</v>
      </c>
      <c r="D1601" s="515">
        <v>3.5114211742948175E-2</v>
      </c>
      <c r="E1601" s="516">
        <v>1.0463527742595586E-2</v>
      </c>
      <c r="F1601" s="145">
        <v>4.9346513442998403E-2</v>
      </c>
      <c r="G1601" s="145">
        <v>1.3246867577072475E-3</v>
      </c>
      <c r="H1601" s="517">
        <v>2.0000009999999999E-3</v>
      </c>
      <c r="I1601" s="517">
        <v>1.5750005000000004E-2</v>
      </c>
      <c r="J1601" s="148">
        <v>1.4382179288570053E-3</v>
      </c>
      <c r="K1601" s="518">
        <v>5.8465984875171018E-5</v>
      </c>
      <c r="L1601" s="519">
        <v>6.1109557273297807E-5</v>
      </c>
    </row>
    <row r="1602" spans="1:12" ht="15.5" x14ac:dyDescent="0.35">
      <c r="A1602" s="143" t="s">
        <v>948</v>
      </c>
      <c r="B1602" s="229">
        <v>2024</v>
      </c>
      <c r="C1602" s="514" t="s">
        <v>2456</v>
      </c>
      <c r="D1602" s="515">
        <v>3.4012165113074339E-2</v>
      </c>
      <c r="E1602" s="516">
        <v>9.0942478885559491E-3</v>
      </c>
      <c r="F1602" s="145">
        <v>4.3517931462437799E-2</v>
      </c>
      <c r="G1602" s="145">
        <v>1.2685737734664272E-3</v>
      </c>
      <c r="H1602" s="517">
        <v>2.0000009999999999E-3</v>
      </c>
      <c r="I1602" s="517">
        <v>1.5750005000000001E-2</v>
      </c>
      <c r="J1602" s="148">
        <v>1.3774627172583036E-3</v>
      </c>
      <c r="K1602" s="518">
        <v>5.2410793155333405E-5</v>
      </c>
      <c r="L1602" s="519">
        <v>5.4780574074832756E-5</v>
      </c>
    </row>
    <row r="1603" spans="1:12" ht="15.5" x14ac:dyDescent="0.35">
      <c r="A1603" s="143" t="s">
        <v>948</v>
      </c>
      <c r="B1603" s="229">
        <v>2025</v>
      </c>
      <c r="C1603" s="514" t="s">
        <v>2457</v>
      </c>
      <c r="D1603" s="515">
        <v>3.2923550059825508E-2</v>
      </c>
      <c r="E1603" s="516">
        <v>7.9802086950524279E-3</v>
      </c>
      <c r="F1603" s="145">
        <v>3.8875359495900437E-2</v>
      </c>
      <c r="G1603" s="145">
        <v>1.2207171173055382E-3</v>
      </c>
      <c r="H1603" s="517">
        <v>2.0000009999999999E-3</v>
      </c>
      <c r="I1603" s="517">
        <v>1.5750004999999997E-2</v>
      </c>
      <c r="J1603" s="148">
        <v>1.3256073844183213E-3</v>
      </c>
      <c r="K1603" s="518">
        <v>4.7985943432705916E-5</v>
      </c>
      <c r="L1603" s="519">
        <v>5.0155652815263079E-5</v>
      </c>
    </row>
    <row r="1604" spans="1:12" ht="15.5" x14ac:dyDescent="0.35">
      <c r="A1604" s="143" t="s">
        <v>948</v>
      </c>
      <c r="B1604" s="229">
        <v>2026</v>
      </c>
      <c r="C1604" s="514" t="s">
        <v>2458</v>
      </c>
      <c r="D1604" s="515">
        <v>3.1925508638953631E-2</v>
      </c>
      <c r="E1604" s="516">
        <v>7.0736721818416516E-3</v>
      </c>
      <c r="F1604" s="145">
        <v>3.518385471948085E-2</v>
      </c>
      <c r="G1604" s="145">
        <v>1.1686165773743876E-3</v>
      </c>
      <c r="H1604" s="517">
        <v>2.0000009999999999E-3</v>
      </c>
      <c r="I1604" s="517">
        <v>1.5750005000000001E-2</v>
      </c>
      <c r="J1604" s="148">
        <v>1.2691479708978408E-3</v>
      </c>
      <c r="K1604" s="518">
        <v>4.3168316660748944E-5</v>
      </c>
      <c r="L1604" s="519">
        <v>4.5120194518992529E-5</v>
      </c>
    </row>
    <row r="1605" spans="1:12" ht="15.5" x14ac:dyDescent="0.35">
      <c r="A1605" s="143" t="s">
        <v>948</v>
      </c>
      <c r="B1605" s="229">
        <v>2027</v>
      </c>
      <c r="C1605" s="514" t="s">
        <v>2459</v>
      </c>
      <c r="D1605" s="515">
        <v>3.1009785707674483E-2</v>
      </c>
      <c r="E1605" s="516">
        <v>6.3056468293824558E-3</v>
      </c>
      <c r="F1605" s="145">
        <v>3.2124008392524814E-2</v>
      </c>
      <c r="G1605" s="145">
        <v>1.1077811333097261E-3</v>
      </c>
      <c r="H1605" s="517">
        <v>2.0000009999999999E-3</v>
      </c>
      <c r="I1605" s="517">
        <v>1.5750005000000004E-2</v>
      </c>
      <c r="J1605" s="148">
        <v>1.2032069717710485E-3</v>
      </c>
      <c r="K1605" s="518">
        <v>3.7907999694314968E-5</v>
      </c>
      <c r="L1605" s="519">
        <v>3.96220321088333E-5</v>
      </c>
    </row>
    <row r="1606" spans="1:12" ht="15.5" x14ac:dyDescent="0.35">
      <c r="A1606" s="143" t="s">
        <v>948</v>
      </c>
      <c r="B1606" s="229">
        <v>2028</v>
      </c>
      <c r="C1606" s="514" t="s">
        <v>2460</v>
      </c>
      <c r="D1606" s="515">
        <v>3.018397925414747E-2</v>
      </c>
      <c r="E1606" s="516">
        <v>5.6668804208928683E-3</v>
      </c>
      <c r="F1606" s="145">
        <v>2.9630646493937721E-2</v>
      </c>
      <c r="G1606" s="145">
        <v>1.0413440047123187E-3</v>
      </c>
      <c r="H1606" s="517">
        <v>2.0000009999999995E-3</v>
      </c>
      <c r="I1606" s="517">
        <v>1.5750004999999997E-2</v>
      </c>
      <c r="J1606" s="148">
        <v>1.1311083759956587E-3</v>
      </c>
      <c r="K1606" s="518">
        <v>3.4178195183868251E-5</v>
      </c>
      <c r="L1606" s="519">
        <v>3.5723579788287303E-5</v>
      </c>
    </row>
    <row r="1607" spans="1:12" ht="15.5" x14ac:dyDescent="0.35">
      <c r="A1607" s="143" t="s">
        <v>948</v>
      </c>
      <c r="B1607" s="229">
        <v>2029</v>
      </c>
      <c r="C1607" s="514" t="s">
        <v>2461</v>
      </c>
      <c r="D1607" s="515">
        <v>2.9443458291059741E-2</v>
      </c>
      <c r="E1607" s="516">
        <v>5.1153280528437343E-3</v>
      </c>
      <c r="F1607" s="145">
        <v>2.7544784830199936E-2</v>
      </c>
      <c r="G1607" s="145">
        <v>9.7774651588774402E-4</v>
      </c>
      <c r="H1607" s="517">
        <v>2.0000009999999995E-3</v>
      </c>
      <c r="I1607" s="517">
        <v>1.5750004999999997E-2</v>
      </c>
      <c r="J1607" s="148">
        <v>1.0620663270576446E-3</v>
      </c>
      <c r="K1607" s="518">
        <v>3.1206970020919036E-5</v>
      </c>
      <c r="L1607" s="519">
        <v>3.2618011330780476E-5</v>
      </c>
    </row>
    <row r="1608" spans="1:12" ht="15.5" x14ac:dyDescent="0.35">
      <c r="A1608" s="143" t="s">
        <v>948</v>
      </c>
      <c r="B1608" s="229">
        <v>2030</v>
      </c>
      <c r="C1608" s="514" t="s">
        <v>2462</v>
      </c>
      <c r="D1608" s="515">
        <v>2.878382888435127E-2</v>
      </c>
      <c r="E1608" s="516">
        <v>4.6518573216586014E-3</v>
      </c>
      <c r="F1608" s="145">
        <v>2.5835528632991777E-2</v>
      </c>
      <c r="G1608" s="145">
        <v>9.1770075271665715E-4</v>
      </c>
      <c r="H1608" s="517">
        <v>2.0000009999999995E-3</v>
      </c>
      <c r="I1608" s="517">
        <v>1.5750004999999997E-2</v>
      </c>
      <c r="J1608" s="148">
        <v>9.9687082451393409E-4</v>
      </c>
      <c r="K1608" s="518">
        <v>2.8618038970745152E-5</v>
      </c>
      <c r="L1608" s="519">
        <v>2.9912021229366722E-5</v>
      </c>
    </row>
    <row r="1609" spans="1:12" ht="15.5" x14ac:dyDescent="0.35">
      <c r="A1609" s="143" t="s">
        <v>948</v>
      </c>
      <c r="B1609" s="229">
        <v>2031</v>
      </c>
      <c r="C1609" s="514" t="s">
        <v>2463</v>
      </c>
      <c r="D1609" s="515">
        <v>2.819971288246103E-2</v>
      </c>
      <c r="E1609" s="516">
        <v>4.2461011713152575E-3</v>
      </c>
      <c r="F1609" s="145">
        <v>2.4382644537522737E-2</v>
      </c>
      <c r="G1609" s="145">
        <v>8.6159932457587258E-4</v>
      </c>
      <c r="H1609" s="517">
        <v>2.0000009999999999E-3</v>
      </c>
      <c r="I1609" s="517">
        <v>1.5750005000000001E-2</v>
      </c>
      <c r="J1609" s="148">
        <v>9.3592820045535982E-4</v>
      </c>
      <c r="K1609" s="518">
        <v>2.6897768071176495E-5</v>
      </c>
      <c r="L1609" s="519">
        <v>2.8113966875634898E-5</v>
      </c>
    </row>
    <row r="1610" spans="1:12" ht="15.5" x14ac:dyDescent="0.35">
      <c r="A1610" s="143" t="s">
        <v>948</v>
      </c>
      <c r="B1610" s="229">
        <v>2032</v>
      </c>
      <c r="C1610" s="514" t="s">
        <v>2464</v>
      </c>
      <c r="D1610" s="515">
        <v>2.7684637306823152E-2</v>
      </c>
      <c r="E1610" s="516">
        <v>3.8960333004949021E-3</v>
      </c>
      <c r="F1610" s="145">
        <v>2.318683818406592E-2</v>
      </c>
      <c r="G1610" s="145">
        <v>8.0903873934569273E-4</v>
      </c>
      <c r="H1610" s="517">
        <v>2.0000009999999999E-3</v>
      </c>
      <c r="I1610" s="517">
        <v>1.5750004999999997E-2</v>
      </c>
      <c r="J1610" s="148">
        <v>8.788441126028353E-4</v>
      </c>
      <c r="K1610" s="518">
        <v>2.4983325310166084E-5</v>
      </c>
      <c r="L1610" s="519">
        <v>2.6112960962302835E-5</v>
      </c>
    </row>
    <row r="1611" spans="1:12" ht="15.5" x14ac:dyDescent="0.35">
      <c r="A1611" s="143" t="s">
        <v>948</v>
      </c>
      <c r="B1611" s="229">
        <v>2033</v>
      </c>
      <c r="C1611" s="514" t="s">
        <v>2465</v>
      </c>
      <c r="D1611" s="515">
        <v>2.7233664888438949E-2</v>
      </c>
      <c r="E1611" s="516">
        <v>3.5929929057419551E-3</v>
      </c>
      <c r="F1611" s="145">
        <v>2.219977442359165E-2</v>
      </c>
      <c r="G1611" s="145">
        <v>7.6089742146737073E-4</v>
      </c>
      <c r="H1611" s="517">
        <v>2.0000009999999995E-3</v>
      </c>
      <c r="I1611" s="517">
        <v>1.5750004999999997E-2</v>
      </c>
      <c r="J1611" s="148">
        <v>8.2654216887605527E-4</v>
      </c>
      <c r="K1611" s="518">
        <v>2.368596196289893E-5</v>
      </c>
      <c r="L1611" s="519">
        <v>2.4756936227803177E-5</v>
      </c>
    </row>
    <row r="1612" spans="1:12" ht="15.5" x14ac:dyDescent="0.35">
      <c r="A1612" s="143" t="s">
        <v>948</v>
      </c>
      <c r="B1612" s="229">
        <v>2034</v>
      </c>
      <c r="C1612" s="514" t="s">
        <v>2466</v>
      </c>
      <c r="D1612" s="515">
        <v>2.6840319512119959E-2</v>
      </c>
      <c r="E1612" s="516">
        <v>3.322490012481649E-3</v>
      </c>
      <c r="F1612" s="145">
        <v>2.136106225262727E-2</v>
      </c>
      <c r="G1612" s="145">
        <v>7.1645781098256429E-4</v>
      </c>
      <c r="H1612" s="517">
        <v>2.0000009999999999E-3</v>
      </c>
      <c r="I1612" s="517">
        <v>1.5750005000000004E-2</v>
      </c>
      <c r="J1612" s="148">
        <v>7.7826055965602521E-4</v>
      </c>
      <c r="K1612" s="518">
        <v>2.2482777890964523E-5</v>
      </c>
      <c r="L1612" s="519">
        <v>2.349935411341898E-5</v>
      </c>
    </row>
    <row r="1613" spans="1:12" ht="15.5" x14ac:dyDescent="0.35">
      <c r="A1613" s="143" t="s">
        <v>948</v>
      </c>
      <c r="B1613" s="229">
        <v>2035</v>
      </c>
      <c r="C1613" s="514" t="s">
        <v>2467</v>
      </c>
      <c r="D1613" s="515">
        <v>2.6500134122313845E-2</v>
      </c>
      <c r="E1613" s="516">
        <v>3.0849346721554143E-3</v>
      </c>
      <c r="F1613" s="145">
        <v>2.0670539879111965E-2</v>
      </c>
      <c r="G1613" s="145">
        <v>6.7600580424647186E-4</v>
      </c>
      <c r="H1613" s="517">
        <v>2.0000009999999999E-3</v>
      </c>
      <c r="I1613" s="517">
        <v>1.5750005000000001E-2</v>
      </c>
      <c r="J1613" s="148">
        <v>7.3431015147148678E-4</v>
      </c>
      <c r="K1613" s="518">
        <v>2.1416396162831919E-5</v>
      </c>
      <c r="L1613" s="519">
        <v>2.2384751687060688E-5</v>
      </c>
    </row>
    <row r="1614" spans="1:12" ht="15.5" x14ac:dyDescent="0.35">
      <c r="A1614" s="143" t="s">
        <v>948</v>
      </c>
      <c r="B1614" s="229">
        <v>2036</v>
      </c>
      <c r="C1614" s="514" t="s">
        <v>2468</v>
      </c>
      <c r="D1614" s="515">
        <v>2.6207563756479063E-2</v>
      </c>
      <c r="E1614" s="516">
        <v>2.8765883098739154E-3</v>
      </c>
      <c r="F1614" s="145">
        <v>2.008730047891313E-2</v>
      </c>
      <c r="G1614" s="145">
        <v>6.4048778275631931E-4</v>
      </c>
      <c r="H1614" s="517">
        <v>2.0000009999999999E-3</v>
      </c>
      <c r="I1614" s="517">
        <v>1.5750004999999997E-2</v>
      </c>
      <c r="J1614" s="148">
        <v>6.9572285026611377E-4</v>
      </c>
      <c r="K1614" s="518">
        <v>2.0444851287823754E-5</v>
      </c>
      <c r="L1614" s="519">
        <v>2.1369282417077065E-5</v>
      </c>
    </row>
    <row r="1615" spans="1:12" ht="15.5" x14ac:dyDescent="0.35">
      <c r="A1615" s="143" t="s">
        <v>948</v>
      </c>
      <c r="B1615" s="229">
        <v>2037</v>
      </c>
      <c r="C1615" s="514" t="s">
        <v>2469</v>
      </c>
      <c r="D1615" s="515">
        <v>2.5958271751752127E-2</v>
      </c>
      <c r="E1615" s="516">
        <v>2.6990924549886559E-3</v>
      </c>
      <c r="F1615" s="145">
        <v>1.961560388392419E-2</v>
      </c>
      <c r="G1615" s="145">
        <v>6.0905205341752009E-4</v>
      </c>
      <c r="H1615" s="517">
        <v>2.0000009999999999E-3</v>
      </c>
      <c r="I1615" s="517">
        <v>1.5750005000000004E-2</v>
      </c>
      <c r="J1615" s="148">
        <v>6.6156954716956018E-4</v>
      </c>
      <c r="K1615" s="518">
        <v>1.9584860225330178E-5</v>
      </c>
      <c r="L1615" s="519">
        <v>2.0470395338019688E-5</v>
      </c>
    </row>
    <row r="1616" spans="1:12" ht="15.5" x14ac:dyDescent="0.35">
      <c r="A1616" s="143" t="s">
        <v>948</v>
      </c>
      <c r="B1616" s="229">
        <v>2038</v>
      </c>
      <c r="C1616" s="514" t="s">
        <v>2470</v>
      </c>
      <c r="D1616" s="515">
        <v>2.5747835088124397E-2</v>
      </c>
      <c r="E1616" s="516">
        <v>2.5398096924833424E-3</v>
      </c>
      <c r="F1616" s="145">
        <v>1.9192345861595222E-2</v>
      </c>
      <c r="G1616" s="145">
        <v>5.8140023944391699E-4</v>
      </c>
      <c r="H1616" s="517">
        <v>2.0000009999999999E-3</v>
      </c>
      <c r="I1616" s="517">
        <v>1.5750004999999997E-2</v>
      </c>
      <c r="J1616" s="148">
        <v>6.3152533408369817E-4</v>
      </c>
      <c r="K1616" s="518">
        <v>1.8888825499077562E-5</v>
      </c>
      <c r="L1616" s="519">
        <v>1.9742889274219548E-5</v>
      </c>
    </row>
    <row r="1617" spans="1:12" ht="15.5" x14ac:dyDescent="0.35">
      <c r="A1617" s="143" t="s">
        <v>948</v>
      </c>
      <c r="B1617" s="229">
        <v>2039</v>
      </c>
      <c r="C1617" s="514" t="s">
        <v>2471</v>
      </c>
      <c r="D1617" s="515">
        <v>2.5570195391349141E-2</v>
      </c>
      <c r="E1617" s="516">
        <v>2.3940372792292438E-3</v>
      </c>
      <c r="F1617" s="145">
        <v>1.8807363943619773E-2</v>
      </c>
      <c r="G1617" s="145">
        <v>5.572902708647267E-4</v>
      </c>
      <c r="H1617" s="517">
        <v>2.0000010000000004E-3</v>
      </c>
      <c r="I1617" s="517">
        <v>1.5750005000000001E-2</v>
      </c>
      <c r="J1617" s="148">
        <v>6.0532799261507099E-4</v>
      </c>
      <c r="K1617" s="518">
        <v>1.8303124959494277E-5</v>
      </c>
      <c r="L1617" s="519">
        <v>1.9130711182905106E-5</v>
      </c>
    </row>
    <row r="1618" spans="1:12" ht="15.5" x14ac:dyDescent="0.35">
      <c r="A1618" s="143" t="s">
        <v>948</v>
      </c>
      <c r="B1618" s="229">
        <v>2040</v>
      </c>
      <c r="C1618" s="514" t="s">
        <v>2472</v>
      </c>
      <c r="D1618" s="515">
        <v>2.5422165607593472E-2</v>
      </c>
      <c r="E1618" s="516">
        <v>2.2612250909141898E-3</v>
      </c>
      <c r="F1618" s="145">
        <v>1.8475120589059542E-2</v>
      </c>
      <c r="G1618" s="145">
        <v>5.3646765190804599E-4</v>
      </c>
      <c r="H1618" s="517">
        <v>2.0000009999999999E-3</v>
      </c>
      <c r="I1618" s="517">
        <v>1.5750005000000004E-2</v>
      </c>
      <c r="J1618" s="148">
        <v>5.8270278530949229E-4</v>
      </c>
      <c r="K1618" s="518">
        <v>1.7806439214380244E-5</v>
      </c>
      <c r="L1618" s="519">
        <v>1.8611563098708648E-5</v>
      </c>
    </row>
    <row r="1619" spans="1:12" ht="15.5" x14ac:dyDescent="0.35">
      <c r="A1619" s="143" t="s">
        <v>948</v>
      </c>
      <c r="B1619" s="229">
        <v>2041</v>
      </c>
      <c r="C1619" s="514" t="s">
        <v>2473</v>
      </c>
      <c r="D1619" s="515">
        <v>2.5300110577349429E-2</v>
      </c>
      <c r="E1619" s="516">
        <v>2.1540961218743876E-3</v>
      </c>
      <c r="F1619" s="145">
        <v>1.8201620942767376E-2</v>
      </c>
      <c r="G1619" s="145">
        <v>5.1999222720527905E-4</v>
      </c>
      <c r="H1619" s="517">
        <v>2.0000010000000004E-3</v>
      </c>
      <c r="I1619" s="517">
        <v>1.5750005000000001E-2</v>
      </c>
      <c r="J1619" s="148">
        <v>5.6480191862482505E-4</v>
      </c>
      <c r="K1619" s="518">
        <v>1.7397095915640789E-5</v>
      </c>
      <c r="L1619" s="519">
        <v>1.8183716331777192E-5</v>
      </c>
    </row>
    <row r="1620" spans="1:12" ht="15.5" x14ac:dyDescent="0.35">
      <c r="A1620" s="143" t="s">
        <v>948</v>
      </c>
      <c r="B1620" s="229">
        <v>2042</v>
      </c>
      <c r="C1620" s="514" t="s">
        <v>2474</v>
      </c>
      <c r="D1620" s="515">
        <v>2.5199075244541829E-2</v>
      </c>
      <c r="E1620" s="516">
        <v>2.0627169080398872E-3</v>
      </c>
      <c r="F1620" s="145">
        <v>1.7951559636833467E-2</v>
      </c>
      <c r="G1620" s="145">
        <v>5.0618629527651227E-4</v>
      </c>
      <c r="H1620" s="517">
        <v>2.0000009999999999E-3</v>
      </c>
      <c r="I1620" s="517">
        <v>1.5750005000000001E-2</v>
      </c>
      <c r="J1620" s="148">
        <v>5.4980012011256413E-4</v>
      </c>
      <c r="K1620" s="518">
        <v>1.7072025199243735E-5</v>
      </c>
      <c r="L1620" s="519">
        <v>1.7843941979521686E-5</v>
      </c>
    </row>
    <row r="1621" spans="1:12" ht="15.5" x14ac:dyDescent="0.35">
      <c r="A1621" s="143" t="s">
        <v>948</v>
      </c>
      <c r="B1621" s="229">
        <v>2043</v>
      </c>
      <c r="C1621" s="514" t="s">
        <v>2475</v>
      </c>
      <c r="D1621" s="515">
        <v>2.5116503587332334E-2</v>
      </c>
      <c r="E1621" s="516">
        <v>1.9929381636421737E-3</v>
      </c>
      <c r="F1621" s="145">
        <v>1.7760934269351013E-2</v>
      </c>
      <c r="G1621" s="145">
        <v>4.9471563995038387E-4</v>
      </c>
      <c r="H1621" s="517">
        <v>2.0000009999999999E-3</v>
      </c>
      <c r="I1621" s="517">
        <v>1.5750005000000001E-2</v>
      </c>
      <c r="J1621" s="148">
        <v>5.3733537660820112E-4</v>
      </c>
      <c r="K1621" s="518">
        <v>1.681689857605412E-5</v>
      </c>
      <c r="L1621" s="519">
        <v>1.7577279975312321E-5</v>
      </c>
    </row>
    <row r="1622" spans="1:12" ht="15.5" x14ac:dyDescent="0.35">
      <c r="A1622" s="143" t="s">
        <v>948</v>
      </c>
      <c r="B1622" s="229">
        <v>2044</v>
      </c>
      <c r="C1622" s="514" t="s">
        <v>2476</v>
      </c>
      <c r="D1622" s="515">
        <v>2.5048526112062739E-2</v>
      </c>
      <c r="E1622" s="516">
        <v>1.9420284075602704E-3</v>
      </c>
      <c r="F1622" s="145">
        <v>1.7615774469894905E-2</v>
      </c>
      <c r="G1622" s="145">
        <v>4.8522949857857746E-4</v>
      </c>
      <c r="H1622" s="517">
        <v>2.0000009999999999E-3</v>
      </c>
      <c r="I1622" s="517">
        <v>1.5750005000000001E-2</v>
      </c>
      <c r="J1622" s="148">
        <v>5.2702711265794017E-4</v>
      </c>
      <c r="K1622" s="518">
        <v>1.6614479821649729E-5</v>
      </c>
      <c r="L1622" s="519">
        <v>1.73657161472051E-5</v>
      </c>
    </row>
    <row r="1623" spans="1:12" ht="15.5" x14ac:dyDescent="0.35">
      <c r="A1623" s="143" t="s">
        <v>948</v>
      </c>
      <c r="B1623" s="229">
        <v>2045</v>
      </c>
      <c r="C1623" s="514" t="s">
        <v>2477</v>
      </c>
      <c r="D1623" s="515">
        <v>2.4991865164076935E-2</v>
      </c>
      <c r="E1623" s="516">
        <v>1.9072832808340878E-3</v>
      </c>
      <c r="F1623" s="145">
        <v>1.7513597021497941E-2</v>
      </c>
      <c r="G1623" s="145">
        <v>4.7737056963664825E-4</v>
      </c>
      <c r="H1623" s="517">
        <v>2.0000010000000004E-3</v>
      </c>
      <c r="I1623" s="517">
        <v>1.5750005000000001E-2</v>
      </c>
      <c r="J1623" s="148">
        <v>5.1848672269700475E-4</v>
      </c>
      <c r="K1623" s="518">
        <v>1.6462398325589204E-5</v>
      </c>
      <c r="L1623" s="519">
        <v>1.7206749975471853E-5</v>
      </c>
    </row>
    <row r="1624" spans="1:12" ht="15.5" x14ac:dyDescent="0.35">
      <c r="A1624" s="143" t="s">
        <v>948</v>
      </c>
      <c r="B1624" s="229">
        <v>2046</v>
      </c>
      <c r="C1624" s="514" t="s">
        <v>2478</v>
      </c>
      <c r="D1624" s="515">
        <v>2.4944867293968578E-2</v>
      </c>
      <c r="E1624" s="516">
        <v>1.8782204513844672E-3</v>
      </c>
      <c r="F1624" s="145">
        <v>1.7432252189858419E-2</v>
      </c>
      <c r="G1624" s="145">
        <v>4.7096671131132664E-4</v>
      </c>
      <c r="H1624" s="517">
        <v>2.0000010000000004E-3</v>
      </c>
      <c r="I1624" s="517">
        <v>1.5750005000000001E-2</v>
      </c>
      <c r="J1624" s="148">
        <v>5.1152635900092035E-4</v>
      </c>
      <c r="K1624" s="518">
        <v>1.63451723306868E-5</v>
      </c>
      <c r="L1624" s="519">
        <v>1.70842300193572E-5</v>
      </c>
    </row>
    <row r="1625" spans="1:12" ht="15.5" x14ac:dyDescent="0.35">
      <c r="A1625" s="143" t="s">
        <v>948</v>
      </c>
      <c r="B1625" s="229">
        <v>2047</v>
      </c>
      <c r="C1625" s="514" t="s">
        <v>2479</v>
      </c>
      <c r="D1625" s="515">
        <v>2.4906001656213841E-2</v>
      </c>
      <c r="E1625" s="516">
        <v>1.8539973135964303E-3</v>
      </c>
      <c r="F1625" s="145">
        <v>1.7364582942987702E-2</v>
      </c>
      <c r="G1625" s="145">
        <v>4.6583219026386728E-4</v>
      </c>
      <c r="H1625" s="517">
        <v>2.0000010000000004E-3</v>
      </c>
      <c r="I1625" s="517">
        <v>1.5750005000000004E-2</v>
      </c>
      <c r="J1625" s="148">
        <v>5.0594679067719739E-4</v>
      </c>
      <c r="K1625" s="518">
        <v>1.6254584893048068E-5</v>
      </c>
      <c r="L1625" s="519">
        <v>1.6989550279018644E-5</v>
      </c>
    </row>
    <row r="1626" spans="1:12" ht="15.5" x14ac:dyDescent="0.35">
      <c r="A1626" s="143" t="s">
        <v>948</v>
      </c>
      <c r="B1626" s="229">
        <v>2048</v>
      </c>
      <c r="C1626" s="514" t="s">
        <v>2480</v>
      </c>
      <c r="D1626" s="515">
        <v>2.4874538885147665E-2</v>
      </c>
      <c r="E1626" s="516">
        <v>1.8352673575685733E-3</v>
      </c>
      <c r="F1626" s="145">
        <v>1.7313000519298998E-2</v>
      </c>
      <c r="G1626" s="145">
        <v>4.6170306192299477E-4</v>
      </c>
      <c r="H1626" s="517">
        <v>2.0000010000000004E-3</v>
      </c>
      <c r="I1626" s="517">
        <v>1.5750005000000001E-2</v>
      </c>
      <c r="J1626" s="148">
        <v>5.0145911789628551E-4</v>
      </c>
      <c r="K1626" s="518">
        <v>1.6177352811669675E-5</v>
      </c>
      <c r="L1626" s="519">
        <v>1.6908818355841315E-5</v>
      </c>
    </row>
    <row r="1627" spans="1:12" ht="15.5" x14ac:dyDescent="0.35">
      <c r="A1627" s="143" t="s">
        <v>948</v>
      </c>
      <c r="B1627" s="229">
        <v>2049</v>
      </c>
      <c r="C1627" s="514" t="s">
        <v>2481</v>
      </c>
      <c r="D1627" s="515">
        <v>2.4848413460251472E-2</v>
      </c>
      <c r="E1627" s="516">
        <v>1.8274273053251236E-3</v>
      </c>
      <c r="F1627" s="145">
        <v>1.7322351994747773E-2</v>
      </c>
      <c r="G1627" s="145">
        <v>4.5890999595132615E-4</v>
      </c>
      <c r="H1627" s="517">
        <v>2.0000009999999999E-3</v>
      </c>
      <c r="I1627" s="517">
        <v>1.5750005000000001E-2</v>
      </c>
      <c r="J1627" s="148">
        <v>4.98423392785759E-4</v>
      </c>
      <c r="K1627" s="518">
        <v>1.6118346078550939E-5</v>
      </c>
      <c r="L1627" s="519">
        <v>1.6847147366941624E-5</v>
      </c>
    </row>
    <row r="1628" spans="1:12" ht="15.5" x14ac:dyDescent="0.35">
      <c r="A1628" s="143" t="s">
        <v>948</v>
      </c>
      <c r="B1628" s="229">
        <v>2050</v>
      </c>
      <c r="C1628" s="514" t="s">
        <v>2482</v>
      </c>
      <c r="D1628" s="515">
        <v>2.4827199728556716E-2</v>
      </c>
      <c r="E1628" s="516">
        <v>1.8211957812747041E-3</v>
      </c>
      <c r="F1628" s="145">
        <v>1.7332158393045874E-2</v>
      </c>
      <c r="G1628" s="145">
        <v>4.5669301137575709E-4</v>
      </c>
      <c r="H1628" s="517">
        <v>2.0000009999999999E-3</v>
      </c>
      <c r="I1628" s="517">
        <v>1.5750005000000001E-2</v>
      </c>
      <c r="J1628" s="148">
        <v>4.9601423984551262E-4</v>
      </c>
      <c r="K1628" s="518">
        <v>1.6066215232445617E-5</v>
      </c>
      <c r="L1628" s="519">
        <v>1.6792659907498012E-5</v>
      </c>
    </row>
    <row r="1629" spans="1:12" ht="15.5" x14ac:dyDescent="0.35">
      <c r="A1629" s="143" t="s">
        <v>951</v>
      </c>
      <c r="B1629" s="229">
        <v>2015</v>
      </c>
      <c r="C1629" s="514" t="s">
        <v>952</v>
      </c>
      <c r="D1629" s="515">
        <v>4.4836353159147781E-2</v>
      </c>
      <c r="E1629" s="516">
        <v>8.2664982412099838E-2</v>
      </c>
      <c r="F1629" s="145">
        <v>0.29735801994246913</v>
      </c>
      <c r="G1629" s="145">
        <v>2.9452805055933703E-3</v>
      </c>
      <c r="H1629" s="517">
        <v>2.0000009999999999E-3</v>
      </c>
      <c r="I1629" s="517">
        <v>1.5750005000000004E-2</v>
      </c>
      <c r="J1629" s="148">
        <v>3.1774505543934232E-3</v>
      </c>
      <c r="K1629" s="518">
        <v>4.6372745874202195E-4</v>
      </c>
      <c r="L1629" s="519">
        <v>4.8469516688668849E-4</v>
      </c>
    </row>
    <row r="1630" spans="1:12" ht="15.5" x14ac:dyDescent="0.35">
      <c r="A1630" s="143" t="s">
        <v>951</v>
      </c>
      <c r="B1630" s="229">
        <v>2016</v>
      </c>
      <c r="C1630" s="514" t="s">
        <v>953</v>
      </c>
      <c r="D1630" s="515">
        <v>4.3940112720337737E-2</v>
      </c>
      <c r="E1630" s="516">
        <v>6.7494754354775671E-2</v>
      </c>
      <c r="F1630" s="145">
        <v>0.25356226432731876</v>
      </c>
      <c r="G1630" s="145">
        <v>2.6630100663193263E-3</v>
      </c>
      <c r="H1630" s="517">
        <v>2.0000009999999999E-3</v>
      </c>
      <c r="I1630" s="517">
        <v>1.5750005000000004E-2</v>
      </c>
      <c r="J1630" s="148">
        <v>2.8755269025944525E-3</v>
      </c>
      <c r="K1630" s="518">
        <v>3.9778553564177285E-4</v>
      </c>
      <c r="L1630" s="519">
        <v>4.1577163113817937E-4</v>
      </c>
    </row>
    <row r="1631" spans="1:12" ht="15.5" x14ac:dyDescent="0.35">
      <c r="A1631" s="143" t="s">
        <v>951</v>
      </c>
      <c r="B1631" s="229">
        <v>2017</v>
      </c>
      <c r="C1631" s="514" t="s">
        <v>2483</v>
      </c>
      <c r="D1631" s="515">
        <v>4.292651682736514E-2</v>
      </c>
      <c r="E1631" s="516">
        <v>5.6610388293291708E-2</v>
      </c>
      <c r="F1631" s="145">
        <v>0.21798007727378613</v>
      </c>
      <c r="G1631" s="145">
        <v>2.4959906865455444E-3</v>
      </c>
      <c r="H1631" s="517">
        <v>2.0000010000000004E-3</v>
      </c>
      <c r="I1631" s="517">
        <v>1.5750005000000001E-2</v>
      </c>
      <c r="J1631" s="148">
        <v>2.6967921059484088E-3</v>
      </c>
      <c r="K1631" s="518">
        <v>3.5819738523298444E-4</v>
      </c>
      <c r="L1631" s="519">
        <v>3.7439347856592093E-4</v>
      </c>
    </row>
    <row r="1632" spans="1:12" ht="15.5" x14ac:dyDescent="0.35">
      <c r="A1632" s="143" t="s">
        <v>951</v>
      </c>
      <c r="B1632" s="229">
        <v>2018</v>
      </c>
      <c r="C1632" s="514" t="s">
        <v>2484</v>
      </c>
      <c r="D1632" s="515">
        <v>4.1830405712515277E-2</v>
      </c>
      <c r="E1632" s="516">
        <v>4.6787456885876974E-2</v>
      </c>
      <c r="F1632" s="145">
        <v>0.186409217784995</v>
      </c>
      <c r="G1632" s="145">
        <v>2.3743665380907288E-3</v>
      </c>
      <c r="H1632" s="517">
        <v>2.0000009999999999E-3</v>
      </c>
      <c r="I1632" s="517">
        <v>1.5750005000000001E-2</v>
      </c>
      <c r="J1632" s="148">
        <v>2.5671275832079717E-3</v>
      </c>
      <c r="K1632" s="518">
        <v>3.230652283813615E-4</v>
      </c>
      <c r="L1632" s="519">
        <v>3.3767280831244819E-4</v>
      </c>
    </row>
    <row r="1633" spans="1:12" ht="15.5" x14ac:dyDescent="0.35">
      <c r="A1633" s="143" t="s">
        <v>951</v>
      </c>
      <c r="B1633" s="229">
        <v>2019</v>
      </c>
      <c r="C1633" s="514" t="s">
        <v>2485</v>
      </c>
      <c r="D1633" s="515">
        <v>4.0679698738149105E-2</v>
      </c>
      <c r="E1633" s="516">
        <v>3.8694294011558217E-2</v>
      </c>
      <c r="F1633" s="145">
        <v>0.15946483110455359</v>
      </c>
      <c r="G1633" s="145">
        <v>2.2812082054304845E-3</v>
      </c>
      <c r="H1633" s="517">
        <v>2.0000009999999999E-3</v>
      </c>
      <c r="I1633" s="517">
        <v>1.5750005000000001E-2</v>
      </c>
      <c r="J1633" s="148">
        <v>2.4679544475582722E-3</v>
      </c>
      <c r="K1633" s="518">
        <v>2.909376037558183E-4</v>
      </c>
      <c r="L1633" s="519">
        <v>3.0409251425660058E-4</v>
      </c>
    </row>
    <row r="1634" spans="1:12" ht="15.5" x14ac:dyDescent="0.35">
      <c r="A1634" s="143" t="s">
        <v>951</v>
      </c>
      <c r="B1634" s="229">
        <v>2020</v>
      </c>
      <c r="C1634" s="514" t="s">
        <v>2486</v>
      </c>
      <c r="D1634" s="515">
        <v>3.9525173172467648E-2</v>
      </c>
      <c r="E1634" s="516">
        <v>3.2742392117558548E-2</v>
      </c>
      <c r="F1634" s="145">
        <v>0.13689532757730191</v>
      </c>
      <c r="G1634" s="145">
        <v>2.1798362360620745E-3</v>
      </c>
      <c r="H1634" s="517">
        <v>2.0000009999999999E-3</v>
      </c>
      <c r="I1634" s="517">
        <v>1.5750005000000001E-2</v>
      </c>
      <c r="J1634" s="148">
        <v>2.3591290932108502E-3</v>
      </c>
      <c r="K1634" s="518">
        <v>2.63258581020672E-4</v>
      </c>
      <c r="L1634" s="519">
        <v>2.7516196839574776E-4</v>
      </c>
    </row>
    <row r="1635" spans="1:12" ht="15.5" x14ac:dyDescent="0.35">
      <c r="A1635" s="143" t="s">
        <v>951</v>
      </c>
      <c r="B1635" s="229">
        <v>2021</v>
      </c>
      <c r="C1635" s="514" t="s">
        <v>2487</v>
      </c>
      <c r="D1635" s="515">
        <v>3.8358479018325821E-2</v>
      </c>
      <c r="E1635" s="516">
        <v>2.8383006023114971E-2</v>
      </c>
      <c r="F1635" s="145">
        <v>0.11807458049867958</v>
      </c>
      <c r="G1635" s="145">
        <v>2.0861099099151298E-3</v>
      </c>
      <c r="H1635" s="517">
        <v>2.0000009999999999E-3</v>
      </c>
      <c r="I1635" s="517">
        <v>1.5750005000000001E-2</v>
      </c>
      <c r="J1635" s="148">
        <v>2.2583077176237957E-3</v>
      </c>
      <c r="K1635" s="518">
        <v>2.4012086166470635E-4</v>
      </c>
      <c r="L1635" s="519">
        <v>2.5097806108060141E-4</v>
      </c>
    </row>
    <row r="1636" spans="1:12" ht="15.5" x14ac:dyDescent="0.35">
      <c r="A1636" s="143" t="s">
        <v>951</v>
      </c>
      <c r="B1636" s="229">
        <v>2022</v>
      </c>
      <c r="C1636" s="514" t="s">
        <v>2488</v>
      </c>
      <c r="D1636" s="515">
        <v>3.7198948782419264E-2</v>
      </c>
      <c r="E1636" s="516">
        <v>2.3791107484811235E-2</v>
      </c>
      <c r="F1636" s="145">
        <v>0.10143031698382161</v>
      </c>
      <c r="G1636" s="145">
        <v>1.9665077538395504E-3</v>
      </c>
      <c r="H1636" s="517">
        <v>2.0000010000000004E-3</v>
      </c>
      <c r="I1636" s="517">
        <v>1.5750005000000004E-2</v>
      </c>
      <c r="J1636" s="148">
        <v>2.1294980349220059E-3</v>
      </c>
      <c r="K1636" s="518">
        <v>2.1609007924229063E-4</v>
      </c>
      <c r="L1636" s="519">
        <v>2.2586070591687705E-4</v>
      </c>
    </row>
    <row r="1637" spans="1:12" ht="15.5" x14ac:dyDescent="0.35">
      <c r="A1637" s="143" t="s">
        <v>951</v>
      </c>
      <c r="B1637" s="229">
        <v>2023</v>
      </c>
      <c r="C1637" s="514" t="s">
        <v>2489</v>
      </c>
      <c r="D1637" s="515">
        <v>3.604936701757646E-2</v>
      </c>
      <c r="E1637" s="516">
        <v>2.0473179919948445E-2</v>
      </c>
      <c r="F1637" s="145">
        <v>8.7912099121266227E-2</v>
      </c>
      <c r="G1637" s="145">
        <v>1.8534395320791415E-3</v>
      </c>
      <c r="H1637" s="517">
        <v>2.0000009999999995E-3</v>
      </c>
      <c r="I1637" s="517">
        <v>1.5750004999999997E-2</v>
      </c>
      <c r="J1637" s="148">
        <v>2.0077399458169332E-3</v>
      </c>
      <c r="K1637" s="518">
        <v>1.8851128891334834E-4</v>
      </c>
      <c r="L1637" s="519">
        <v>1.9703492928047796E-4</v>
      </c>
    </row>
    <row r="1638" spans="1:12" ht="15.5" x14ac:dyDescent="0.35">
      <c r="A1638" s="143" t="s">
        <v>951</v>
      </c>
      <c r="B1638" s="229">
        <v>2024</v>
      </c>
      <c r="C1638" s="514" t="s">
        <v>2490</v>
      </c>
      <c r="D1638" s="515">
        <v>3.5088283706007473E-2</v>
      </c>
      <c r="E1638" s="516">
        <v>1.7697883148703575E-2</v>
      </c>
      <c r="F1638" s="145">
        <v>7.6662433301427302E-2</v>
      </c>
      <c r="G1638" s="145">
        <v>1.7524287462150404E-3</v>
      </c>
      <c r="H1638" s="517">
        <v>2.0000009999999999E-3</v>
      </c>
      <c r="I1638" s="517">
        <v>1.5750004999999997E-2</v>
      </c>
      <c r="J1638" s="148">
        <v>1.8989905736937495E-3</v>
      </c>
      <c r="K1638" s="518">
        <v>1.6328036142355547E-4</v>
      </c>
      <c r="L1638" s="519">
        <v>1.7066317113446171E-4</v>
      </c>
    </row>
    <row r="1639" spans="1:12" ht="15.5" x14ac:dyDescent="0.35">
      <c r="A1639" s="143" t="s">
        <v>951</v>
      </c>
      <c r="B1639" s="229">
        <v>2025</v>
      </c>
      <c r="C1639" s="514" t="s">
        <v>2491</v>
      </c>
      <c r="D1639" s="515">
        <v>3.3964712281006101E-2</v>
      </c>
      <c r="E1639" s="516">
        <v>1.5457440305287534E-2</v>
      </c>
      <c r="F1639" s="145">
        <v>6.7572472310103562E-2</v>
      </c>
      <c r="G1639" s="145">
        <v>1.6684477015918822E-3</v>
      </c>
      <c r="H1639" s="517">
        <v>2.0000009999999995E-3</v>
      </c>
      <c r="I1639" s="517">
        <v>1.5750005000000001E-2</v>
      </c>
      <c r="J1639" s="148">
        <v>1.808501558249939E-3</v>
      </c>
      <c r="K1639" s="518">
        <v>1.4361492885754033E-4</v>
      </c>
      <c r="L1639" s="519">
        <v>1.5010856176994456E-4</v>
      </c>
    </row>
    <row r="1640" spans="1:12" ht="15.5" x14ac:dyDescent="0.35">
      <c r="A1640" s="143" t="s">
        <v>951</v>
      </c>
      <c r="B1640" s="229">
        <v>2026</v>
      </c>
      <c r="C1640" s="514" t="s">
        <v>2492</v>
      </c>
      <c r="D1640" s="515">
        <v>3.295136371626458E-2</v>
      </c>
      <c r="E1640" s="516">
        <v>1.3605034351003608E-2</v>
      </c>
      <c r="F1640" s="145">
        <v>6.0156048771064813E-2</v>
      </c>
      <c r="G1640" s="145">
        <v>1.5838733692104285E-3</v>
      </c>
      <c r="H1640" s="517">
        <v>2.0000009999999999E-3</v>
      </c>
      <c r="I1640" s="517">
        <v>1.5750005000000001E-2</v>
      </c>
      <c r="J1640" s="148">
        <v>1.7174551072096211E-3</v>
      </c>
      <c r="K1640" s="518">
        <v>1.2153575472250177E-4</v>
      </c>
      <c r="L1640" s="519">
        <v>1.2703106709926456E-4</v>
      </c>
    </row>
    <row r="1641" spans="1:12" ht="15.5" x14ac:dyDescent="0.35">
      <c r="A1641" s="143" t="s">
        <v>951</v>
      </c>
      <c r="B1641" s="229">
        <v>2027</v>
      </c>
      <c r="C1641" s="514" t="s">
        <v>2493</v>
      </c>
      <c r="D1641" s="515">
        <v>3.203699680992167E-2</v>
      </c>
      <c r="E1641" s="516">
        <v>1.2022571799845476E-2</v>
      </c>
      <c r="F1641" s="145">
        <v>5.3898588821273387E-2</v>
      </c>
      <c r="G1641" s="145">
        <v>1.4914456027710966E-3</v>
      </c>
      <c r="H1641" s="517">
        <v>2.0000009999999999E-3</v>
      </c>
      <c r="I1641" s="517">
        <v>1.5750005000000001E-2</v>
      </c>
      <c r="J1641" s="148">
        <v>1.6179521220230828E-3</v>
      </c>
      <c r="K1641" s="518">
        <v>9.7482369457620435E-5</v>
      </c>
      <c r="L1641" s="519">
        <v>1.0189008920632294E-4</v>
      </c>
    </row>
    <row r="1642" spans="1:12" ht="15.5" x14ac:dyDescent="0.35">
      <c r="A1642" s="143" t="s">
        <v>951</v>
      </c>
      <c r="B1642" s="229">
        <v>2028</v>
      </c>
      <c r="C1642" s="514" t="s">
        <v>2494</v>
      </c>
      <c r="D1642" s="515">
        <v>3.1222164957122864E-2</v>
      </c>
      <c r="E1642" s="516">
        <v>1.0713592824642236E-2</v>
      </c>
      <c r="F1642" s="145">
        <v>4.8709301301112368E-2</v>
      </c>
      <c r="G1642" s="145">
        <v>1.3980034415133982E-3</v>
      </c>
      <c r="H1642" s="517">
        <v>2.0000009999999995E-3</v>
      </c>
      <c r="I1642" s="517">
        <v>1.5750005000000004E-2</v>
      </c>
      <c r="J1642" s="148">
        <v>1.5171175043644537E-3</v>
      </c>
      <c r="K1642" s="518">
        <v>7.8789162781276449E-5</v>
      </c>
      <c r="L1642" s="519">
        <v>8.2351652745235696E-5</v>
      </c>
    </row>
    <row r="1643" spans="1:12" ht="15.5" x14ac:dyDescent="0.35">
      <c r="A1643" s="143" t="s">
        <v>951</v>
      </c>
      <c r="B1643" s="229">
        <v>2029</v>
      </c>
      <c r="C1643" s="514" t="s">
        <v>2495</v>
      </c>
      <c r="D1643" s="515">
        <v>3.0493932931446314E-2</v>
      </c>
      <c r="E1643" s="516">
        <v>9.5271038695181279E-3</v>
      </c>
      <c r="F1643" s="145">
        <v>4.4138204860051412E-2</v>
      </c>
      <c r="G1643" s="145">
        <v>1.3094565222009609E-3</v>
      </c>
      <c r="H1643" s="517">
        <v>2.0000009999999999E-3</v>
      </c>
      <c r="I1643" s="517">
        <v>1.5750005000000001E-2</v>
      </c>
      <c r="J1643" s="148">
        <v>1.4213878991996825E-3</v>
      </c>
      <c r="K1643" s="518">
        <v>6.526107802798644E-5</v>
      </c>
      <c r="L1643" s="519">
        <v>6.8211896668961223E-5</v>
      </c>
    </row>
    <row r="1644" spans="1:12" ht="15.5" x14ac:dyDescent="0.35">
      <c r="A1644" s="143" t="s">
        <v>951</v>
      </c>
      <c r="B1644" s="229">
        <v>2030</v>
      </c>
      <c r="C1644" s="514" t="s">
        <v>2496</v>
      </c>
      <c r="D1644" s="515">
        <v>2.984715877556781E-2</v>
      </c>
      <c r="E1644" s="516">
        <v>8.555666998712446E-3</v>
      </c>
      <c r="F1644" s="145">
        <v>4.0410898928744624E-2</v>
      </c>
      <c r="G1644" s="145">
        <v>1.2260512071877907E-3</v>
      </c>
      <c r="H1644" s="517">
        <v>2.0000009999999999E-3</v>
      </c>
      <c r="I1644" s="517">
        <v>1.5750004999999997E-2</v>
      </c>
      <c r="J1644" s="148">
        <v>1.3311583708641161E-3</v>
      </c>
      <c r="K1644" s="518">
        <v>5.3902157933734043E-5</v>
      </c>
      <c r="L1644" s="519">
        <v>5.6339372696105013E-5</v>
      </c>
    </row>
    <row r="1645" spans="1:12" ht="15.5" x14ac:dyDescent="0.35">
      <c r="A1645" s="143" t="s">
        <v>951</v>
      </c>
      <c r="B1645" s="229">
        <v>2031</v>
      </c>
      <c r="C1645" s="514" t="s">
        <v>2497</v>
      </c>
      <c r="D1645" s="515">
        <v>2.9480780920296764E-2</v>
      </c>
      <c r="E1645" s="516">
        <v>7.6795615325772277E-3</v>
      </c>
      <c r="F1645" s="145">
        <v>3.7072648271754535E-2</v>
      </c>
      <c r="G1645" s="145">
        <v>1.1505282802232834E-3</v>
      </c>
      <c r="H1645" s="517">
        <v>2.0000010000000004E-3</v>
      </c>
      <c r="I1645" s="517">
        <v>1.5750005000000004E-2</v>
      </c>
      <c r="J1645" s="148">
        <v>1.2492267671107944E-3</v>
      </c>
      <c r="K1645" s="518">
        <v>4.9027108241698411E-5</v>
      </c>
      <c r="L1645" s="519">
        <v>5.1243889460417229E-5</v>
      </c>
    </row>
    <row r="1646" spans="1:12" ht="15.5" x14ac:dyDescent="0.35">
      <c r="A1646" s="143" t="s">
        <v>951</v>
      </c>
      <c r="B1646" s="229">
        <v>2032</v>
      </c>
      <c r="C1646" s="514" t="s">
        <v>2498</v>
      </c>
      <c r="D1646" s="515">
        <v>2.8970451108628479E-2</v>
      </c>
      <c r="E1646" s="516">
        <v>6.9270753198384799E-3</v>
      </c>
      <c r="F1646" s="145">
        <v>3.4310740823331229E-2</v>
      </c>
      <c r="G1646" s="145">
        <v>1.0782265743286708E-3</v>
      </c>
      <c r="H1646" s="517">
        <v>2.0000009999999999E-3</v>
      </c>
      <c r="I1646" s="517">
        <v>1.5750005000000001E-2</v>
      </c>
      <c r="J1646" s="148">
        <v>1.1708494402167006E-3</v>
      </c>
      <c r="K1646" s="518">
        <v>4.2963334709689159E-5</v>
      </c>
      <c r="L1646" s="519">
        <v>4.4905942799419065E-5</v>
      </c>
    </row>
    <row r="1647" spans="1:12" ht="15.5" x14ac:dyDescent="0.35">
      <c r="A1647" s="143" t="s">
        <v>951</v>
      </c>
      <c r="B1647" s="229">
        <v>2033</v>
      </c>
      <c r="C1647" s="514" t="s">
        <v>2499</v>
      </c>
      <c r="D1647" s="515">
        <v>2.8521060518767245E-2</v>
      </c>
      <c r="E1647" s="516">
        <v>6.2946075506604459E-3</v>
      </c>
      <c r="F1647" s="145">
        <v>3.2096898320424234E-2</v>
      </c>
      <c r="G1647" s="145">
        <v>1.0132727336587247E-3</v>
      </c>
      <c r="H1647" s="517">
        <v>2.0000009999999995E-3</v>
      </c>
      <c r="I1647" s="517">
        <v>1.5750004999999997E-2</v>
      </c>
      <c r="J1647" s="148">
        <v>1.1003584249107976E-3</v>
      </c>
      <c r="K1647" s="518">
        <v>3.9378590349475523E-5</v>
      </c>
      <c r="L1647" s="519">
        <v>4.1159112118109871E-5</v>
      </c>
    </row>
    <row r="1648" spans="1:12" ht="15.5" x14ac:dyDescent="0.35">
      <c r="A1648" s="143" t="s">
        <v>951</v>
      </c>
      <c r="B1648" s="229">
        <v>2034</v>
      </c>
      <c r="C1648" s="514" t="s">
        <v>2500</v>
      </c>
      <c r="D1648" s="515">
        <v>2.8125325116681713E-2</v>
      </c>
      <c r="E1648" s="516">
        <v>5.7025252620106414E-3</v>
      </c>
      <c r="F1648" s="145">
        <v>3.0082548043682936E-2</v>
      </c>
      <c r="G1648" s="145">
        <v>9.5164974441068158E-4</v>
      </c>
      <c r="H1648" s="517">
        <v>2.0000009999999995E-3</v>
      </c>
      <c r="I1648" s="517">
        <v>1.5750004999999997E-2</v>
      </c>
      <c r="J1648" s="148">
        <v>1.0334604036993534E-3</v>
      </c>
      <c r="K1648" s="518">
        <v>3.6474961058022271E-5</v>
      </c>
      <c r="L1648" s="519">
        <v>3.8124191573750708E-5</v>
      </c>
    </row>
    <row r="1649" spans="1:12" ht="15.5" x14ac:dyDescent="0.35">
      <c r="A1649" s="143" t="s">
        <v>951</v>
      </c>
      <c r="B1649" s="229">
        <v>2035</v>
      </c>
      <c r="C1649" s="514" t="s">
        <v>2501</v>
      </c>
      <c r="D1649" s="515">
        <v>2.778047943463401E-2</v>
      </c>
      <c r="E1649" s="516">
        <v>5.1796112830201401E-3</v>
      </c>
      <c r="F1649" s="145">
        <v>2.8383931175280628E-2</v>
      </c>
      <c r="G1649" s="145">
        <v>8.9423427135300662E-4</v>
      </c>
      <c r="H1649" s="517">
        <v>2.0000010000000004E-3</v>
      </c>
      <c r="I1649" s="517">
        <v>1.5750005000000004E-2</v>
      </c>
      <c r="J1649" s="148">
        <v>9.7113178996635044E-4</v>
      </c>
      <c r="K1649" s="518">
        <v>3.3735683633452156E-5</v>
      </c>
      <c r="L1649" s="519">
        <v>3.5261058716315264E-5</v>
      </c>
    </row>
    <row r="1650" spans="1:12" ht="15.5" x14ac:dyDescent="0.35">
      <c r="A1650" s="143" t="s">
        <v>951</v>
      </c>
      <c r="B1650" s="229">
        <v>2036</v>
      </c>
      <c r="C1650" s="514" t="s">
        <v>2502</v>
      </c>
      <c r="D1650" s="515">
        <v>2.748097310824086E-2</v>
      </c>
      <c r="E1650" s="516">
        <v>4.7247162019712265E-3</v>
      </c>
      <c r="F1650" s="145">
        <v>2.6961230797751312E-2</v>
      </c>
      <c r="G1650" s="145">
        <v>8.4492330099245202E-4</v>
      </c>
      <c r="H1650" s="517">
        <v>2.0000009999999999E-3</v>
      </c>
      <c r="I1650" s="517">
        <v>1.5750005000000001E-2</v>
      </c>
      <c r="J1650" s="148">
        <v>9.1760606298774844E-4</v>
      </c>
      <c r="K1650" s="518">
        <v>3.1269549798795549E-5</v>
      </c>
      <c r="L1650" s="519">
        <v>3.2683425567567804E-5</v>
      </c>
    </row>
    <row r="1651" spans="1:12" ht="15.5" x14ac:dyDescent="0.35">
      <c r="A1651" s="143" t="s">
        <v>951</v>
      </c>
      <c r="B1651" s="229">
        <v>2037</v>
      </c>
      <c r="C1651" s="514" t="s">
        <v>2503</v>
      </c>
      <c r="D1651" s="515">
        <v>2.7223250886550098E-2</v>
      </c>
      <c r="E1651" s="516">
        <v>4.333154278160437E-3</v>
      </c>
      <c r="F1651" s="145">
        <v>2.5781532675603552E-2</v>
      </c>
      <c r="G1651" s="145">
        <v>8.0037940426680107E-4</v>
      </c>
      <c r="H1651" s="517">
        <v>2.0000009999999999E-3</v>
      </c>
      <c r="I1651" s="517">
        <v>1.5750005000000004E-2</v>
      </c>
      <c r="J1651" s="148">
        <v>8.6925030967371409E-4</v>
      </c>
      <c r="K1651" s="518">
        <v>2.9149474542078177E-5</v>
      </c>
      <c r="L1651" s="519">
        <v>3.046748337555061E-5</v>
      </c>
    </row>
    <row r="1652" spans="1:12" ht="15.5" x14ac:dyDescent="0.35">
      <c r="A1652" s="143" t="s">
        <v>951</v>
      </c>
      <c r="B1652" s="229">
        <v>2038</v>
      </c>
      <c r="C1652" s="514" t="s">
        <v>2504</v>
      </c>
      <c r="D1652" s="515">
        <v>2.7002668660380723E-2</v>
      </c>
      <c r="E1652" s="516">
        <v>3.966366707193779E-3</v>
      </c>
      <c r="F1652" s="145">
        <v>2.4675148902176675E-2</v>
      </c>
      <c r="G1652" s="145">
        <v>7.6010687823529566E-4</v>
      </c>
      <c r="H1652" s="517">
        <v>2.0000009999999999E-3</v>
      </c>
      <c r="I1652" s="517">
        <v>1.5750005000000001E-2</v>
      </c>
      <c r="J1652" s="148">
        <v>8.2551833061473808E-4</v>
      </c>
      <c r="K1652" s="518">
        <v>2.7550599392898358E-5</v>
      </c>
      <c r="L1652" s="519">
        <v>2.8796306454415416E-5</v>
      </c>
    </row>
    <row r="1653" spans="1:12" ht="15.5" x14ac:dyDescent="0.35">
      <c r="A1653" s="143" t="s">
        <v>951</v>
      </c>
      <c r="B1653" s="229">
        <v>2039</v>
      </c>
      <c r="C1653" s="514" t="s">
        <v>2505</v>
      </c>
      <c r="D1653" s="515">
        <v>2.681350845759372E-2</v>
      </c>
      <c r="E1653" s="516">
        <v>3.6209664481994695E-3</v>
      </c>
      <c r="F1653" s="145">
        <v>2.3635028101730845E-2</v>
      </c>
      <c r="G1653" s="145">
        <v>7.2375952076448409E-4</v>
      </c>
      <c r="H1653" s="517">
        <v>2.0000009999999999E-3</v>
      </c>
      <c r="I1653" s="517">
        <v>1.5750004999999997E-2</v>
      </c>
      <c r="J1653" s="148">
        <v>7.8604511435762003E-4</v>
      </c>
      <c r="K1653" s="518">
        <v>2.6174354933268137E-5</v>
      </c>
      <c r="L1653" s="519">
        <v>2.7357844565953054E-5</v>
      </c>
    </row>
    <row r="1654" spans="1:12" ht="15.5" x14ac:dyDescent="0.35">
      <c r="A1654" s="143" t="s">
        <v>951</v>
      </c>
      <c r="B1654" s="229">
        <v>2040</v>
      </c>
      <c r="C1654" s="514" t="s">
        <v>2506</v>
      </c>
      <c r="D1654" s="515">
        <v>2.6653606635717367E-2</v>
      </c>
      <c r="E1654" s="516">
        <v>3.3146298268529649E-3</v>
      </c>
      <c r="F1654" s="145">
        <v>2.2794685117331334E-2</v>
      </c>
      <c r="G1654" s="145">
        <v>6.913599876043426E-4</v>
      </c>
      <c r="H1654" s="517">
        <v>2.0000009999999999E-3</v>
      </c>
      <c r="I1654" s="517">
        <v>1.5750005000000001E-2</v>
      </c>
      <c r="J1654" s="148">
        <v>7.5085830201324804E-4</v>
      </c>
      <c r="K1654" s="518">
        <v>2.4997634772105906E-5</v>
      </c>
      <c r="L1654" s="519">
        <v>2.6127918686346583E-5</v>
      </c>
    </row>
    <row r="1655" spans="1:12" ht="15.5" x14ac:dyDescent="0.35">
      <c r="A1655" s="143" t="s">
        <v>951</v>
      </c>
      <c r="B1655" s="229">
        <v>2041</v>
      </c>
      <c r="C1655" s="514" t="s">
        <v>2507</v>
      </c>
      <c r="D1655" s="515">
        <v>2.6520027020341654E-2</v>
      </c>
      <c r="E1655" s="516">
        <v>3.0628208887913395E-3</v>
      </c>
      <c r="F1655" s="145">
        <v>2.2072309848025138E-2</v>
      </c>
      <c r="G1655" s="145">
        <v>6.6625307322416458E-4</v>
      </c>
      <c r="H1655" s="517">
        <v>2.0000009999999999E-3</v>
      </c>
      <c r="I1655" s="517">
        <v>1.5750005000000004E-2</v>
      </c>
      <c r="J1655" s="148">
        <v>7.2359403180551475E-4</v>
      </c>
      <c r="K1655" s="518">
        <v>2.3994373773099115E-5</v>
      </c>
      <c r="L1655" s="519">
        <v>2.5079286449228962E-5</v>
      </c>
    </row>
    <row r="1656" spans="1:12" ht="15.5" x14ac:dyDescent="0.35">
      <c r="A1656" s="143" t="s">
        <v>951</v>
      </c>
      <c r="B1656" s="229">
        <v>2042</v>
      </c>
      <c r="C1656" s="514" t="s">
        <v>2508</v>
      </c>
      <c r="D1656" s="515">
        <v>2.6406158138943044E-2</v>
      </c>
      <c r="E1656" s="516">
        <v>2.8442140788202826E-3</v>
      </c>
      <c r="F1656" s="145">
        <v>2.1406667941057968E-2</v>
      </c>
      <c r="G1656" s="145">
        <v>6.442964062293525E-4</v>
      </c>
      <c r="H1656" s="517">
        <v>2.0000009999999999E-3</v>
      </c>
      <c r="I1656" s="517">
        <v>1.5750005000000001E-2</v>
      </c>
      <c r="J1656" s="148">
        <v>6.9975094621973295E-4</v>
      </c>
      <c r="K1656" s="518">
        <v>2.3129363900019694E-5</v>
      </c>
      <c r="L1656" s="519">
        <v>2.4175170853660919E-5</v>
      </c>
    </row>
    <row r="1657" spans="1:12" ht="15.5" x14ac:dyDescent="0.35">
      <c r="A1657" s="143" t="s">
        <v>951</v>
      </c>
      <c r="B1657" s="229">
        <v>2043</v>
      </c>
      <c r="C1657" s="514" t="s">
        <v>2509</v>
      </c>
      <c r="D1657" s="515">
        <v>2.6311506706974415E-2</v>
      </c>
      <c r="E1657" s="516">
        <v>2.6819982274985743E-3</v>
      </c>
      <c r="F1657" s="145">
        <v>2.0911166286582916E-2</v>
      </c>
      <c r="G1657" s="145">
        <v>6.2540824469908092E-4</v>
      </c>
      <c r="H1657" s="517">
        <v>2.0000009999999999E-3</v>
      </c>
      <c r="I1657" s="517">
        <v>1.5750005000000001E-2</v>
      </c>
      <c r="J1657" s="148">
        <v>6.792371824686659E-4</v>
      </c>
      <c r="K1657" s="518">
        <v>2.244670602986652E-5</v>
      </c>
      <c r="L1657" s="519">
        <v>2.3461646588096651E-5</v>
      </c>
    </row>
    <row r="1658" spans="1:12" ht="15.5" x14ac:dyDescent="0.35">
      <c r="A1658" s="143" t="s">
        <v>951</v>
      </c>
      <c r="B1658" s="229">
        <v>2044</v>
      </c>
      <c r="C1658" s="514" t="s">
        <v>2510</v>
      </c>
      <c r="D1658" s="515">
        <v>2.6231448149147199E-2</v>
      </c>
      <c r="E1658" s="516">
        <v>2.5627408920896569E-3</v>
      </c>
      <c r="F1658" s="145">
        <v>2.0523828110802715E-2</v>
      </c>
      <c r="G1658" s="145">
        <v>6.0914914558020969E-4</v>
      </c>
      <c r="H1658" s="517">
        <v>2.0000010000000004E-3</v>
      </c>
      <c r="I1658" s="517">
        <v>1.5750005000000004E-2</v>
      </c>
      <c r="J1658" s="148">
        <v>6.6157635196806926E-4</v>
      </c>
      <c r="K1658" s="518">
        <v>2.1913814283578881E-5</v>
      </c>
      <c r="L1658" s="519">
        <v>2.2904660705740796E-5</v>
      </c>
    </row>
    <row r="1659" spans="1:12" ht="15.5" x14ac:dyDescent="0.35">
      <c r="A1659" s="143" t="s">
        <v>951</v>
      </c>
      <c r="B1659" s="229">
        <v>2045</v>
      </c>
      <c r="C1659" s="514" t="s">
        <v>2511</v>
      </c>
      <c r="D1659" s="515">
        <v>2.6161111631577031E-2</v>
      </c>
      <c r="E1659" s="516">
        <v>2.4819498862367088E-3</v>
      </c>
      <c r="F1659" s="145">
        <v>2.0250081718723296E-2</v>
      </c>
      <c r="G1659" s="145">
        <v>5.9514048149205583E-4</v>
      </c>
      <c r="H1659" s="517">
        <v>2.0000009999999995E-3</v>
      </c>
      <c r="I1659" s="517">
        <v>1.5750005000000001E-2</v>
      </c>
      <c r="J1659" s="148">
        <v>6.4635956810658304E-4</v>
      </c>
      <c r="K1659" s="518">
        <v>2.1473706943679095E-5</v>
      </c>
      <c r="L1659" s="519">
        <v>2.2444649168659404E-5</v>
      </c>
    </row>
    <row r="1660" spans="1:12" ht="15.5" x14ac:dyDescent="0.35">
      <c r="A1660" s="143" t="s">
        <v>951</v>
      </c>
      <c r="B1660" s="229">
        <v>2046</v>
      </c>
      <c r="C1660" s="514" t="s">
        <v>2512</v>
      </c>
      <c r="D1660" s="515">
        <v>2.6100646644066885E-2</v>
      </c>
      <c r="E1660" s="516">
        <v>2.409659415865959E-3</v>
      </c>
      <c r="F1660" s="145">
        <v>2.001419838337665E-2</v>
      </c>
      <c r="G1660" s="145">
        <v>5.8327148163111314E-4</v>
      </c>
      <c r="H1660" s="517">
        <v>2.0000009999999999E-3</v>
      </c>
      <c r="I1660" s="517">
        <v>1.5750005000000001E-2</v>
      </c>
      <c r="J1660" s="148">
        <v>6.3346651155333621E-4</v>
      </c>
      <c r="K1660" s="518">
        <v>2.1118490313503018E-5</v>
      </c>
      <c r="L1660" s="519">
        <v>2.2073378025496485E-5</v>
      </c>
    </row>
    <row r="1661" spans="1:12" ht="15.5" x14ac:dyDescent="0.35">
      <c r="A1661" s="143" t="s">
        <v>951</v>
      </c>
      <c r="B1661" s="229">
        <v>2047</v>
      </c>
      <c r="C1661" s="514" t="s">
        <v>2513</v>
      </c>
      <c r="D1661" s="515">
        <v>2.6049908477025437E-2</v>
      </c>
      <c r="E1661" s="516">
        <v>2.3484203950609695E-3</v>
      </c>
      <c r="F1661" s="145">
        <v>1.9815677127522847E-2</v>
      </c>
      <c r="G1661" s="145">
        <v>5.734116330736713E-4</v>
      </c>
      <c r="H1661" s="517">
        <v>2.0000009999999995E-3</v>
      </c>
      <c r="I1661" s="517">
        <v>1.5750005000000001E-2</v>
      </c>
      <c r="J1661" s="148">
        <v>6.2275691096470094E-4</v>
      </c>
      <c r="K1661" s="518">
        <v>2.0781403539343295E-5</v>
      </c>
      <c r="L1661" s="519">
        <v>2.1721049295172969E-5</v>
      </c>
    </row>
    <row r="1662" spans="1:12" ht="15.5" x14ac:dyDescent="0.35">
      <c r="A1662" s="143" t="s">
        <v>951</v>
      </c>
      <c r="B1662" s="229">
        <v>2048</v>
      </c>
      <c r="C1662" s="514" t="s">
        <v>2514</v>
      </c>
      <c r="D1662" s="515">
        <v>2.6006260782433753E-2</v>
      </c>
      <c r="E1662" s="516">
        <v>2.3004903693713036E-3</v>
      </c>
      <c r="F1662" s="145">
        <v>1.9657224519070243E-2</v>
      </c>
      <c r="G1662" s="145">
        <v>5.6518591638047373E-4</v>
      </c>
      <c r="H1662" s="517">
        <v>2.0000009999999999E-3</v>
      </c>
      <c r="I1662" s="517">
        <v>1.5750005000000001E-2</v>
      </c>
      <c r="J1662" s="148">
        <v>6.1382622239879625E-4</v>
      </c>
      <c r="K1662" s="518">
        <v>2.0423636435642994E-5</v>
      </c>
      <c r="L1662" s="519">
        <v>2.1347097524561829E-5</v>
      </c>
    </row>
    <row r="1663" spans="1:12" ht="15.5" x14ac:dyDescent="0.35">
      <c r="A1663" s="143" t="s">
        <v>951</v>
      </c>
      <c r="B1663" s="229">
        <v>2049</v>
      </c>
      <c r="C1663" s="514" t="s">
        <v>2515</v>
      </c>
      <c r="D1663" s="515">
        <v>2.5968722795525742E-2</v>
      </c>
      <c r="E1663" s="516">
        <v>2.2830950160410523E-3</v>
      </c>
      <c r="F1663" s="145">
        <v>1.9660070876689723E-2</v>
      </c>
      <c r="G1663" s="145">
        <v>5.6004001401071309E-4</v>
      </c>
      <c r="H1663" s="517">
        <v>2.0000009999999999E-3</v>
      </c>
      <c r="I1663" s="517">
        <v>1.5750004999999997E-2</v>
      </c>
      <c r="J1663" s="148">
        <v>6.0823881304394997E-4</v>
      </c>
      <c r="K1663" s="518">
        <v>2.0196680859246127E-5</v>
      </c>
      <c r="L1663" s="519">
        <v>2.1109879623358412E-5</v>
      </c>
    </row>
    <row r="1664" spans="1:12" ht="15.5" x14ac:dyDescent="0.35">
      <c r="A1664" s="143" t="s">
        <v>951</v>
      </c>
      <c r="B1664" s="229">
        <v>2050</v>
      </c>
      <c r="C1664" s="514" t="s">
        <v>2516</v>
      </c>
      <c r="D1664" s="515">
        <v>2.5937374504020422E-2</v>
      </c>
      <c r="E1664" s="516">
        <v>2.2692625832479597E-3</v>
      </c>
      <c r="F1664" s="145">
        <v>1.9665088999139213E-2</v>
      </c>
      <c r="G1664" s="145">
        <v>5.5581357191534402E-4</v>
      </c>
      <c r="H1664" s="517">
        <v>2.0000009999999999E-3</v>
      </c>
      <c r="I1664" s="517">
        <v>1.5750005000000001E-2</v>
      </c>
      <c r="J1664" s="148">
        <v>6.0365272921357775E-4</v>
      </c>
      <c r="K1664" s="518">
        <v>1.9952493516487701E-5</v>
      </c>
      <c r="L1664" s="519">
        <v>2.0854650485895892E-5</v>
      </c>
    </row>
    <row r="1665" spans="1:12" ht="15.5" x14ac:dyDescent="0.35">
      <c r="A1665" s="143" t="s">
        <v>954</v>
      </c>
      <c r="B1665" s="229">
        <v>2015</v>
      </c>
      <c r="C1665" s="514" t="s">
        <v>955</v>
      </c>
      <c r="D1665" s="515">
        <v>4.4545008148838737E-2</v>
      </c>
      <c r="E1665" s="516">
        <v>6.9906696726440454E-2</v>
      </c>
      <c r="F1665" s="145">
        <v>0.25282605463574276</v>
      </c>
      <c r="G1665" s="145">
        <v>2.2859091477702154E-3</v>
      </c>
      <c r="H1665" s="517">
        <v>2.0000009999999999E-3</v>
      </c>
      <c r="I1665" s="517">
        <v>1.5750005000000001E-2</v>
      </c>
      <c r="J1665" s="148">
        <v>2.470360882958913E-3</v>
      </c>
      <c r="K1665" s="518">
        <v>2.3181869792218658E-4</v>
      </c>
      <c r="L1665" s="519">
        <v>2.4230051254512958E-4</v>
      </c>
    </row>
    <row r="1666" spans="1:12" ht="15.5" x14ac:dyDescent="0.35">
      <c r="A1666" s="143" t="s">
        <v>954</v>
      </c>
      <c r="B1666" s="229">
        <v>2016</v>
      </c>
      <c r="C1666" s="514" t="s">
        <v>956</v>
      </c>
      <c r="D1666" s="515">
        <v>4.3588607189394335E-2</v>
      </c>
      <c r="E1666" s="516">
        <v>5.7794860505314467E-2</v>
      </c>
      <c r="F1666" s="145">
        <v>0.2156555356921101</v>
      </c>
      <c r="G1666" s="145">
        <v>2.1090088952049097E-3</v>
      </c>
      <c r="H1666" s="517">
        <v>2.0000009999999999E-3</v>
      </c>
      <c r="I1666" s="517">
        <v>1.5750005000000001E-2</v>
      </c>
      <c r="J1666" s="148">
        <v>2.2813301522150646E-3</v>
      </c>
      <c r="K1666" s="518">
        <v>1.9333547180152593E-4</v>
      </c>
      <c r="L1666" s="519">
        <v>2.0207724567486286E-4</v>
      </c>
    </row>
    <row r="1667" spans="1:12" ht="15.5" x14ac:dyDescent="0.35">
      <c r="A1667" s="143" t="s">
        <v>954</v>
      </c>
      <c r="B1667" s="229">
        <v>2017</v>
      </c>
      <c r="C1667" s="514" t="s">
        <v>2517</v>
      </c>
      <c r="D1667" s="515">
        <v>4.2456865452008163E-2</v>
      </c>
      <c r="E1667" s="516">
        <v>4.7386795212794444E-2</v>
      </c>
      <c r="F1667" s="145">
        <v>0.18292560604205746</v>
      </c>
      <c r="G1667" s="145">
        <v>2.0047444002498239E-3</v>
      </c>
      <c r="H1667" s="517">
        <v>2.0000009999999995E-3</v>
      </c>
      <c r="I1667" s="517">
        <v>1.5750004999999997E-2</v>
      </c>
      <c r="J1667" s="148">
        <v>2.1702009688120577E-3</v>
      </c>
      <c r="K1667" s="518">
        <v>1.7342702358150644E-4</v>
      </c>
      <c r="L1667" s="519">
        <v>1.8126862267108391E-4</v>
      </c>
    </row>
    <row r="1668" spans="1:12" ht="15.5" x14ac:dyDescent="0.35">
      <c r="A1668" s="143" t="s">
        <v>954</v>
      </c>
      <c r="B1668" s="229">
        <v>2018</v>
      </c>
      <c r="C1668" s="514" t="s">
        <v>2518</v>
      </c>
      <c r="D1668" s="515">
        <v>4.126594050556559E-2</v>
      </c>
      <c r="E1668" s="516">
        <v>3.8420040053700553E-2</v>
      </c>
      <c r="F1668" s="145">
        <v>0.15445345510885478</v>
      </c>
      <c r="G1668" s="145">
        <v>1.9406256345239946E-3</v>
      </c>
      <c r="H1668" s="517">
        <v>2.0000009999999999E-3</v>
      </c>
      <c r="I1668" s="517">
        <v>1.5750005000000004E-2</v>
      </c>
      <c r="J1668" s="148">
        <v>2.1023579789948752E-3</v>
      </c>
      <c r="K1668" s="518">
        <v>1.5630571178150003E-4</v>
      </c>
      <c r="L1668" s="519">
        <v>1.6337316376377622E-4</v>
      </c>
    </row>
    <row r="1669" spans="1:12" ht="15.5" x14ac:dyDescent="0.35">
      <c r="A1669" s="143" t="s">
        <v>954</v>
      </c>
      <c r="B1669" s="229">
        <v>2019</v>
      </c>
      <c r="C1669" s="514" t="s">
        <v>2519</v>
      </c>
      <c r="D1669" s="515">
        <v>4.0057333789748108E-2</v>
      </c>
      <c r="E1669" s="516">
        <v>3.1429635682108721E-2</v>
      </c>
      <c r="F1669" s="145">
        <v>0.13082825752381863</v>
      </c>
      <c r="G1669" s="145">
        <v>1.8963160598334998E-3</v>
      </c>
      <c r="H1669" s="517">
        <v>2.0000009999999999E-3</v>
      </c>
      <c r="I1669" s="517">
        <v>1.5750005000000001E-2</v>
      </c>
      <c r="J1669" s="148">
        <v>2.0556113229166198E-3</v>
      </c>
      <c r="K1669" s="518">
        <v>1.3953964360679529E-4</v>
      </c>
      <c r="L1669" s="519">
        <v>1.4584900690409032E-4</v>
      </c>
    </row>
    <row r="1670" spans="1:12" ht="15.5" x14ac:dyDescent="0.35">
      <c r="A1670" s="143" t="s">
        <v>954</v>
      </c>
      <c r="B1670" s="229">
        <v>2020</v>
      </c>
      <c r="C1670" s="514" t="s">
        <v>2520</v>
      </c>
      <c r="D1670" s="515">
        <v>3.8847190241261861E-2</v>
      </c>
      <c r="E1670" s="516">
        <v>2.6106533500242685E-2</v>
      </c>
      <c r="F1670" s="145">
        <v>0.11122844211302545</v>
      </c>
      <c r="G1670" s="145">
        <v>1.8300549309232658E-3</v>
      </c>
      <c r="H1670" s="517">
        <v>2.0000009999999995E-3</v>
      </c>
      <c r="I1670" s="517">
        <v>1.5750004999999997E-2</v>
      </c>
      <c r="J1670" s="148">
        <v>1.9844120059993356E-3</v>
      </c>
      <c r="K1670" s="518">
        <v>1.2676464306987417E-4</v>
      </c>
      <c r="L1670" s="519">
        <v>1.324963770581595E-4</v>
      </c>
    </row>
    <row r="1671" spans="1:12" ht="15.5" x14ac:dyDescent="0.35">
      <c r="A1671" s="143" t="s">
        <v>954</v>
      </c>
      <c r="B1671" s="229">
        <v>2021</v>
      </c>
      <c r="C1671" s="514" t="s">
        <v>2521</v>
      </c>
      <c r="D1671" s="515">
        <v>3.7681324195130012E-2</v>
      </c>
      <c r="E1671" s="516">
        <v>2.1885806228969535E-2</v>
      </c>
      <c r="F1671" s="145">
        <v>9.4689192645789538E-2</v>
      </c>
      <c r="G1671" s="145">
        <v>1.7288694826447825E-3</v>
      </c>
      <c r="H1671" s="517">
        <v>2.0000009999999999E-3</v>
      </c>
      <c r="I1671" s="517">
        <v>1.5750005000000001E-2</v>
      </c>
      <c r="J1671" s="148">
        <v>1.8751050575567139E-3</v>
      </c>
      <c r="K1671" s="518">
        <v>1.1413981778412774E-4</v>
      </c>
      <c r="L1671" s="519">
        <v>1.1930071232906791E-4</v>
      </c>
    </row>
    <row r="1672" spans="1:12" ht="15.5" x14ac:dyDescent="0.35">
      <c r="A1672" s="143" t="s">
        <v>954</v>
      </c>
      <c r="B1672" s="229">
        <v>2022</v>
      </c>
      <c r="C1672" s="514" t="s">
        <v>2522</v>
      </c>
      <c r="D1672" s="515">
        <v>3.6507432570238439E-2</v>
      </c>
      <c r="E1672" s="516">
        <v>1.8017367922938794E-2</v>
      </c>
      <c r="F1672" s="145">
        <v>8.0610459235589363E-2</v>
      </c>
      <c r="G1672" s="145">
        <v>1.6321421493169122E-3</v>
      </c>
      <c r="H1672" s="517">
        <v>2.0000010000000004E-3</v>
      </c>
      <c r="I1672" s="517">
        <v>1.5750004999999997E-2</v>
      </c>
      <c r="J1672" s="148">
        <v>1.7706686382756754E-3</v>
      </c>
      <c r="K1672" s="518">
        <v>1.0247189097534422E-4</v>
      </c>
      <c r="L1672" s="519">
        <v>1.0710522105943586E-4</v>
      </c>
    </row>
    <row r="1673" spans="1:12" ht="15.5" x14ac:dyDescent="0.35">
      <c r="A1673" s="143" t="s">
        <v>954</v>
      </c>
      <c r="B1673" s="229">
        <v>2023</v>
      </c>
      <c r="C1673" s="514" t="s">
        <v>2523</v>
      </c>
      <c r="D1673" s="515">
        <v>3.5351669670958333E-2</v>
      </c>
      <c r="E1673" s="516">
        <v>1.5405275269370782E-2</v>
      </c>
      <c r="F1673" s="145">
        <v>6.9529142470826102E-2</v>
      </c>
      <c r="G1673" s="145">
        <v>1.5473760309145095E-3</v>
      </c>
      <c r="H1673" s="517">
        <v>2.0000009999999999E-3</v>
      </c>
      <c r="I1673" s="517">
        <v>1.5750004999999997E-2</v>
      </c>
      <c r="J1673" s="148">
        <v>1.6789489983111846E-3</v>
      </c>
      <c r="K1673" s="518">
        <v>9.2374591185176354E-5</v>
      </c>
      <c r="L1673" s="519">
        <v>9.6551358467766095E-5</v>
      </c>
    </row>
    <row r="1674" spans="1:12" ht="15.5" x14ac:dyDescent="0.35">
      <c r="A1674" s="143" t="s">
        <v>954</v>
      </c>
      <c r="B1674" s="229">
        <v>2024</v>
      </c>
      <c r="C1674" s="514" t="s">
        <v>2524</v>
      </c>
      <c r="D1674" s="515">
        <v>3.4222103684193129E-2</v>
      </c>
      <c r="E1674" s="516">
        <v>1.3235735501327103E-2</v>
      </c>
      <c r="F1674" s="145">
        <v>6.0421113846582365E-2</v>
      </c>
      <c r="G1674" s="145">
        <v>1.4721554755686471E-3</v>
      </c>
      <c r="H1674" s="517">
        <v>2.0000009999999995E-3</v>
      </c>
      <c r="I1674" s="517">
        <v>1.5750004999999997E-2</v>
      </c>
      <c r="J1674" s="148">
        <v>1.5975921229505574E-3</v>
      </c>
      <c r="K1674" s="518">
        <v>8.2542200906055908E-5</v>
      </c>
      <c r="L1674" s="519">
        <v>8.6274398669710127E-5</v>
      </c>
    </row>
    <row r="1675" spans="1:12" ht="15.5" x14ac:dyDescent="0.35">
      <c r="A1675" s="143" t="s">
        <v>954</v>
      </c>
      <c r="B1675" s="229">
        <v>2025</v>
      </c>
      <c r="C1675" s="514" t="s">
        <v>2525</v>
      </c>
      <c r="D1675" s="515">
        <v>3.3115092429379864E-2</v>
      </c>
      <c r="E1675" s="516">
        <v>1.1505739223961996E-2</v>
      </c>
      <c r="F1675" s="145">
        <v>5.3195823256683226E-2</v>
      </c>
      <c r="G1675" s="145">
        <v>1.4093936070337064E-3</v>
      </c>
      <c r="H1675" s="517">
        <v>2.0000009999999999E-3</v>
      </c>
      <c r="I1675" s="517">
        <v>1.5750004999999997E-2</v>
      </c>
      <c r="J1675" s="148">
        <v>1.5296951153086946E-3</v>
      </c>
      <c r="K1675" s="518">
        <v>7.4264041522121183E-5</v>
      </c>
      <c r="L1675" s="519">
        <v>7.762193591684368E-5</v>
      </c>
    </row>
    <row r="1676" spans="1:12" ht="15.5" x14ac:dyDescent="0.35">
      <c r="A1676" s="143" t="s">
        <v>954</v>
      </c>
      <c r="B1676" s="229">
        <v>2026</v>
      </c>
      <c r="C1676" s="514" t="s">
        <v>2526</v>
      </c>
      <c r="D1676" s="515">
        <v>3.2070153107086247E-2</v>
      </c>
      <c r="E1676" s="516">
        <v>1.0102661434820614E-2</v>
      </c>
      <c r="F1676" s="145">
        <v>4.7422944489951178E-2</v>
      </c>
      <c r="G1676" s="145">
        <v>1.3442034494606178E-3</v>
      </c>
      <c r="H1676" s="517">
        <v>2.0000009999999995E-3</v>
      </c>
      <c r="I1676" s="517">
        <v>1.5750005000000001E-2</v>
      </c>
      <c r="J1676" s="148">
        <v>1.4591880612119215E-3</v>
      </c>
      <c r="K1676" s="518">
        <v>6.5020033342591692E-5</v>
      </c>
      <c r="L1676" s="519">
        <v>6.7959944844119872E-5</v>
      </c>
    </row>
    <row r="1677" spans="1:12" ht="15.5" x14ac:dyDescent="0.35">
      <c r="A1677" s="143" t="s">
        <v>954</v>
      </c>
      <c r="B1677" s="229">
        <v>2027</v>
      </c>
      <c r="C1677" s="514" t="s">
        <v>2527</v>
      </c>
      <c r="D1677" s="515">
        <v>3.1143539471881879E-2</v>
      </c>
      <c r="E1677" s="516">
        <v>8.9117990744688892E-3</v>
      </c>
      <c r="F1677" s="145">
        <v>4.2594488199471196E-2</v>
      </c>
      <c r="G1677" s="145">
        <v>1.2695896125205044E-3</v>
      </c>
      <c r="H1677" s="517">
        <v>2.0000009999999999E-3</v>
      </c>
      <c r="I1677" s="517">
        <v>1.5750005000000001E-2</v>
      </c>
      <c r="J1677" s="148">
        <v>1.3784839989800554E-3</v>
      </c>
      <c r="K1677" s="518">
        <v>5.4526269011920486E-5</v>
      </c>
      <c r="L1677" s="519">
        <v>5.6991701251686402E-5</v>
      </c>
    </row>
    <row r="1678" spans="1:12" ht="15.5" x14ac:dyDescent="0.35">
      <c r="A1678" s="143" t="s">
        <v>954</v>
      </c>
      <c r="B1678" s="229">
        <v>2028</v>
      </c>
      <c r="C1678" s="514" t="s">
        <v>2528</v>
      </c>
      <c r="D1678" s="515">
        <v>3.0307203318801674E-2</v>
      </c>
      <c r="E1678" s="516">
        <v>7.9320808645244861E-3</v>
      </c>
      <c r="F1678" s="145">
        <v>3.8654383611031636E-2</v>
      </c>
      <c r="G1678" s="145">
        <v>1.1910033598019909E-3</v>
      </c>
      <c r="H1678" s="517">
        <v>2.0000009999999999E-3</v>
      </c>
      <c r="I1678" s="517">
        <v>1.5750004999999997E-2</v>
      </c>
      <c r="J1678" s="148">
        <v>1.2933203532558917E-3</v>
      </c>
      <c r="K1678" s="518">
        <v>4.7286937346457967E-5</v>
      </c>
      <c r="L1678" s="519">
        <v>4.9425041075135272E-5</v>
      </c>
    </row>
    <row r="1679" spans="1:12" ht="15.5" x14ac:dyDescent="0.35">
      <c r="A1679" s="143" t="s">
        <v>954</v>
      </c>
      <c r="B1679" s="229">
        <v>2029</v>
      </c>
      <c r="C1679" s="514" t="s">
        <v>2529</v>
      </c>
      <c r="D1679" s="515">
        <v>2.9556455166972105E-2</v>
      </c>
      <c r="E1679" s="516">
        <v>7.0892473004027252E-3</v>
      </c>
      <c r="F1679" s="145">
        <v>3.5350591213162065E-2</v>
      </c>
      <c r="G1679" s="145">
        <v>1.1151026865074852E-3</v>
      </c>
      <c r="H1679" s="517">
        <v>2.0000009999999999E-3</v>
      </c>
      <c r="I1679" s="517">
        <v>1.5750005000000004E-2</v>
      </c>
      <c r="J1679" s="148">
        <v>1.2110415161562037E-3</v>
      </c>
      <c r="K1679" s="518">
        <v>4.0932939252366286E-5</v>
      </c>
      <c r="L1679" s="519">
        <v>4.2783743162340254E-5</v>
      </c>
    </row>
    <row r="1680" spans="1:12" ht="15.5" x14ac:dyDescent="0.35">
      <c r="A1680" s="143" t="s">
        <v>954</v>
      </c>
      <c r="B1680" s="229">
        <v>2030</v>
      </c>
      <c r="C1680" s="514" t="s">
        <v>2530</v>
      </c>
      <c r="D1680" s="515">
        <v>2.8885351260903497E-2</v>
      </c>
      <c r="E1680" s="516">
        <v>6.3806569371695184E-3</v>
      </c>
      <c r="F1680" s="145">
        <v>3.2596045106762062E-2</v>
      </c>
      <c r="G1680" s="145">
        <v>1.044537129829228E-3</v>
      </c>
      <c r="H1680" s="517">
        <v>2.0000009999999995E-3</v>
      </c>
      <c r="I1680" s="517">
        <v>1.5750005000000001E-2</v>
      </c>
      <c r="J1680" s="148">
        <v>1.1344829400790734E-3</v>
      </c>
      <c r="K1680" s="518">
        <v>3.6508833358005172E-5</v>
      </c>
      <c r="L1680" s="519">
        <v>3.8159597671503981E-5</v>
      </c>
    </row>
    <row r="1681" spans="1:12" ht="15.5" x14ac:dyDescent="0.35">
      <c r="A1681" s="143" t="s">
        <v>954</v>
      </c>
      <c r="B1681" s="229">
        <v>2031</v>
      </c>
      <c r="C1681" s="514" t="s">
        <v>2531</v>
      </c>
      <c r="D1681" s="515">
        <v>2.8290318116145123E-2</v>
      </c>
      <c r="E1681" s="516">
        <v>5.7571323637452439E-3</v>
      </c>
      <c r="F1681" s="145">
        <v>3.0209684092995761E-2</v>
      </c>
      <c r="G1681" s="145">
        <v>9.7861212858217986E-4</v>
      </c>
      <c r="H1681" s="517">
        <v>2.0000009999999999E-3</v>
      </c>
      <c r="I1681" s="517">
        <v>1.5750005000000001E-2</v>
      </c>
      <c r="J1681" s="148">
        <v>1.0629181460115635E-3</v>
      </c>
      <c r="K1681" s="518">
        <v>3.3319646735276949E-5</v>
      </c>
      <c r="L1681" s="519">
        <v>3.4826212700554389E-5</v>
      </c>
    </row>
    <row r="1682" spans="1:12" ht="15.5" x14ac:dyDescent="0.35">
      <c r="A1682" s="143" t="s">
        <v>954</v>
      </c>
      <c r="B1682" s="229">
        <v>2032</v>
      </c>
      <c r="C1682" s="514" t="s">
        <v>2532</v>
      </c>
      <c r="D1682" s="515">
        <v>2.7761918153631531E-2</v>
      </c>
      <c r="E1682" s="516">
        <v>5.2237048331680216E-3</v>
      </c>
      <c r="F1682" s="145">
        <v>2.8240267132301232E-2</v>
      </c>
      <c r="G1682" s="145">
        <v>9.1752407214516351E-4</v>
      </c>
      <c r="H1682" s="517">
        <v>2.0000009999999999E-3</v>
      </c>
      <c r="I1682" s="517">
        <v>1.5750005000000004E-2</v>
      </c>
      <c r="J1682" s="148">
        <v>9.9659345041796621E-4</v>
      </c>
      <c r="K1682" s="518">
        <v>3.0623786478608525E-5</v>
      </c>
      <c r="L1682" s="519">
        <v>3.2008464984297569E-5</v>
      </c>
    </row>
    <row r="1683" spans="1:12" ht="15.5" x14ac:dyDescent="0.35">
      <c r="A1683" s="143" t="s">
        <v>954</v>
      </c>
      <c r="B1683" s="229">
        <v>2033</v>
      </c>
      <c r="C1683" s="514" t="s">
        <v>2533</v>
      </c>
      <c r="D1683" s="515">
        <v>2.7295625875114908E-2</v>
      </c>
      <c r="E1683" s="516">
        <v>4.7621970259569615E-3</v>
      </c>
      <c r="F1683" s="145">
        <v>2.6604474227352643E-2</v>
      </c>
      <c r="G1683" s="145">
        <v>8.6161160173989432E-4</v>
      </c>
      <c r="H1683" s="517">
        <v>2.0000009999999999E-3</v>
      </c>
      <c r="I1683" s="517">
        <v>1.5750005000000001E-2</v>
      </c>
      <c r="J1683" s="148">
        <v>9.3586578987377763E-4</v>
      </c>
      <c r="K1683" s="518">
        <v>2.8691447710961221E-5</v>
      </c>
      <c r="L1683" s="519">
        <v>2.9988747258633475E-5</v>
      </c>
    </row>
    <row r="1684" spans="1:12" ht="15.5" x14ac:dyDescent="0.35">
      <c r="A1684" s="143" t="s">
        <v>954</v>
      </c>
      <c r="B1684" s="229">
        <v>2034</v>
      </c>
      <c r="C1684" s="514" t="s">
        <v>2534</v>
      </c>
      <c r="D1684" s="515">
        <v>2.6885756578614989E-2</v>
      </c>
      <c r="E1684" s="516">
        <v>4.3430254616376122E-3</v>
      </c>
      <c r="F1684" s="145">
        <v>2.5166952081330334E-2</v>
      </c>
      <c r="G1684" s="145">
        <v>8.0964166309795908E-4</v>
      </c>
      <c r="H1684" s="517">
        <v>2.0000009999999999E-3</v>
      </c>
      <c r="I1684" s="517">
        <v>1.5750005000000001E-2</v>
      </c>
      <c r="J1684" s="148">
        <v>8.7941916669459703E-4</v>
      </c>
      <c r="K1684" s="518">
        <v>2.6900086817491415E-5</v>
      </c>
      <c r="L1684" s="519">
        <v>2.8116382841210593E-5</v>
      </c>
    </row>
    <row r="1685" spans="1:12" ht="15.5" x14ac:dyDescent="0.35">
      <c r="A1685" s="143" t="s">
        <v>954</v>
      </c>
      <c r="B1685" s="229">
        <v>2035</v>
      </c>
      <c r="C1685" s="514" t="s">
        <v>2535</v>
      </c>
      <c r="D1685" s="515">
        <v>2.6527376018927656E-2</v>
      </c>
      <c r="E1685" s="516">
        <v>3.9807768750893856E-3</v>
      </c>
      <c r="F1685" s="145">
        <v>2.3989980297683365E-2</v>
      </c>
      <c r="G1685" s="145">
        <v>7.6216214718140404E-4</v>
      </c>
      <c r="H1685" s="517">
        <v>2.0000009999999999E-3</v>
      </c>
      <c r="I1685" s="517">
        <v>1.5750005000000001E-2</v>
      </c>
      <c r="J1685" s="148">
        <v>8.2785561576861411E-4</v>
      </c>
      <c r="K1685" s="518">
        <v>2.5142641571648192E-5</v>
      </c>
      <c r="L1685" s="519">
        <v>2.6279474628943058E-5</v>
      </c>
    </row>
    <row r="1686" spans="1:12" ht="15.5" x14ac:dyDescent="0.35">
      <c r="A1686" s="143" t="s">
        <v>954</v>
      </c>
      <c r="B1686" s="229">
        <v>2036</v>
      </c>
      <c r="C1686" s="514" t="s">
        <v>2536</v>
      </c>
      <c r="D1686" s="515">
        <v>2.6215767671074475E-2</v>
      </c>
      <c r="E1686" s="516">
        <v>3.6577182133462087E-3</v>
      </c>
      <c r="F1686" s="145">
        <v>2.2966703908452509E-2</v>
      </c>
      <c r="G1686" s="145">
        <v>7.2097545711870238E-4</v>
      </c>
      <c r="H1686" s="517">
        <v>2.0000009999999999E-3</v>
      </c>
      <c r="I1686" s="517">
        <v>1.5750005000000001E-2</v>
      </c>
      <c r="J1686" s="148">
        <v>7.8312207656316404E-4</v>
      </c>
      <c r="K1686" s="518">
        <v>2.3698092955184619E-5</v>
      </c>
      <c r="L1686" s="519">
        <v>2.4769617383821224E-5</v>
      </c>
    </row>
    <row r="1687" spans="1:12" ht="15.5" x14ac:dyDescent="0.35">
      <c r="A1687" s="143" t="s">
        <v>954</v>
      </c>
      <c r="B1687" s="229">
        <v>2037</v>
      </c>
      <c r="C1687" s="514" t="s">
        <v>2537</v>
      </c>
      <c r="D1687" s="515">
        <v>2.5947477581288795E-2</v>
      </c>
      <c r="E1687" s="516">
        <v>3.3832666396616264E-3</v>
      </c>
      <c r="F1687" s="145">
        <v>2.2137500536586151E-2</v>
      </c>
      <c r="G1687" s="145">
        <v>6.8436644963093085E-4</v>
      </c>
      <c r="H1687" s="517">
        <v>2.0000010000000004E-3</v>
      </c>
      <c r="I1687" s="517">
        <v>1.5750005000000004E-2</v>
      </c>
      <c r="J1687" s="148">
        <v>7.4336282771162051E-4</v>
      </c>
      <c r="K1687" s="518">
        <v>2.2365105477909945E-5</v>
      </c>
      <c r="L1687" s="519">
        <v>2.3376355139446471E-5</v>
      </c>
    </row>
    <row r="1688" spans="1:12" ht="15.5" x14ac:dyDescent="0.35">
      <c r="A1688" s="143" t="s">
        <v>954</v>
      </c>
      <c r="B1688" s="229">
        <v>2038</v>
      </c>
      <c r="C1688" s="514" t="s">
        <v>2538</v>
      </c>
      <c r="D1688" s="515">
        <v>2.5718032411724226E-2</v>
      </c>
      <c r="E1688" s="516">
        <v>3.1398845065893511E-3</v>
      </c>
      <c r="F1688" s="145">
        <v>2.1408732167857637E-2</v>
      </c>
      <c r="G1688" s="145">
        <v>6.5215876864472503E-4</v>
      </c>
      <c r="H1688" s="517">
        <v>2.0000010000000004E-3</v>
      </c>
      <c r="I1688" s="517">
        <v>1.5750005000000001E-2</v>
      </c>
      <c r="J1688" s="148">
        <v>7.0837819095281808E-4</v>
      </c>
      <c r="K1688" s="518">
        <v>2.1341111032459168E-5</v>
      </c>
      <c r="L1688" s="519">
        <v>2.2306071627030129E-5</v>
      </c>
    </row>
    <row r="1689" spans="1:12" ht="15.5" x14ac:dyDescent="0.35">
      <c r="A1689" s="143" t="s">
        <v>954</v>
      </c>
      <c r="B1689" s="229">
        <v>2039</v>
      </c>
      <c r="C1689" s="514" t="s">
        <v>2539</v>
      </c>
      <c r="D1689" s="515">
        <v>2.5522179907763579E-2</v>
      </c>
      <c r="E1689" s="516">
        <v>2.9084789589523294E-3</v>
      </c>
      <c r="F1689" s="145">
        <v>2.0715440546956152E-2</v>
      </c>
      <c r="G1689" s="145">
        <v>6.2371514098821324E-4</v>
      </c>
      <c r="H1689" s="517">
        <v>2.0000009999999999E-3</v>
      </c>
      <c r="I1689" s="517">
        <v>1.5750005000000001E-2</v>
      </c>
      <c r="J1689" s="148">
        <v>6.7747781111878141E-4</v>
      </c>
      <c r="K1689" s="518">
        <v>2.0516453417467741E-5</v>
      </c>
      <c r="L1689" s="519">
        <v>2.1444115930744791E-5</v>
      </c>
    </row>
    <row r="1690" spans="1:12" ht="15.5" x14ac:dyDescent="0.35">
      <c r="A1690" s="143" t="s">
        <v>954</v>
      </c>
      <c r="B1690" s="229">
        <v>2040</v>
      </c>
      <c r="C1690" s="514" t="s">
        <v>2540</v>
      </c>
      <c r="D1690" s="515">
        <v>2.535700276459793E-2</v>
      </c>
      <c r="E1690" s="516">
        <v>2.7111459123610395E-3</v>
      </c>
      <c r="F1690" s="145">
        <v>2.0176140254206328E-2</v>
      </c>
      <c r="G1690" s="145">
        <v>5.990786255114603E-4</v>
      </c>
      <c r="H1690" s="517">
        <v>2.0000010000000004E-3</v>
      </c>
      <c r="I1690" s="517">
        <v>1.5750005000000004E-2</v>
      </c>
      <c r="J1690" s="148">
        <v>6.5071271680036701E-4</v>
      </c>
      <c r="K1690" s="518">
        <v>1.9811573800547811E-5</v>
      </c>
      <c r="L1690" s="519">
        <v>2.0707362125278545E-5</v>
      </c>
    </row>
    <row r="1691" spans="1:12" ht="15.5" x14ac:dyDescent="0.35">
      <c r="A1691" s="143" t="s">
        <v>954</v>
      </c>
      <c r="B1691" s="229">
        <v>2041</v>
      </c>
      <c r="C1691" s="514" t="s">
        <v>2541</v>
      </c>
      <c r="D1691" s="515">
        <v>2.5219831970207683E-2</v>
      </c>
      <c r="E1691" s="516">
        <v>2.5624815098028689E-3</v>
      </c>
      <c r="F1691" s="145">
        <v>1.9760233683071733E-2</v>
      </c>
      <c r="G1691" s="145">
        <v>5.7979465805863461E-4</v>
      </c>
      <c r="H1691" s="517">
        <v>2.0000009999999999E-3</v>
      </c>
      <c r="I1691" s="517">
        <v>1.5750004999999997E-2</v>
      </c>
      <c r="J1691" s="148">
        <v>6.2976530912856802E-4</v>
      </c>
      <c r="K1691" s="518">
        <v>1.920874313633666E-5</v>
      </c>
      <c r="L1691" s="519">
        <v>2.0077280138311695E-5</v>
      </c>
    </row>
    <row r="1692" spans="1:12" ht="15.5" x14ac:dyDescent="0.35">
      <c r="A1692" s="143" t="s">
        <v>954</v>
      </c>
      <c r="B1692" s="229">
        <v>2042</v>
      </c>
      <c r="C1692" s="514" t="s">
        <v>2542</v>
      </c>
      <c r="D1692" s="515">
        <v>2.5105228200030257E-2</v>
      </c>
      <c r="E1692" s="516">
        <v>2.4358716053271431E-3</v>
      </c>
      <c r="F1692" s="145">
        <v>1.9383422596423224E-2</v>
      </c>
      <c r="G1692" s="145">
        <v>5.6339674786118018E-4</v>
      </c>
      <c r="H1692" s="517">
        <v>2.0000009999999999E-3</v>
      </c>
      <c r="I1692" s="517">
        <v>1.5750004999999997E-2</v>
      </c>
      <c r="J1692" s="148">
        <v>6.1195188126311197E-4</v>
      </c>
      <c r="K1692" s="518">
        <v>1.871549698234107E-5</v>
      </c>
      <c r="L1692" s="519">
        <v>1.9561726480408516E-5</v>
      </c>
    </row>
    <row r="1693" spans="1:12" ht="15.5" x14ac:dyDescent="0.35">
      <c r="A1693" s="143" t="s">
        <v>954</v>
      </c>
      <c r="B1693" s="229">
        <v>2043</v>
      </c>
      <c r="C1693" s="514" t="s">
        <v>2543</v>
      </c>
      <c r="D1693" s="515">
        <v>2.5010971324832317E-2</v>
      </c>
      <c r="E1693" s="516">
        <v>2.3402121970354604E-3</v>
      </c>
      <c r="F1693" s="145">
        <v>1.9102298971450826E-2</v>
      </c>
      <c r="G1693" s="145">
        <v>5.4965988921103432E-4</v>
      </c>
      <c r="H1693" s="517">
        <v>2.0000009999999999E-3</v>
      </c>
      <c r="I1693" s="517">
        <v>1.5750005000000001E-2</v>
      </c>
      <c r="J1693" s="148">
        <v>5.9702766931554188E-4</v>
      </c>
      <c r="K1693" s="518">
        <v>1.8341300629652018E-5</v>
      </c>
      <c r="L1693" s="519">
        <v>1.9170611090571975E-5</v>
      </c>
    </row>
    <row r="1694" spans="1:12" ht="15.5" x14ac:dyDescent="0.35">
      <c r="A1694" s="143" t="s">
        <v>954</v>
      </c>
      <c r="B1694" s="229">
        <v>2044</v>
      </c>
      <c r="C1694" s="514" t="s">
        <v>2544</v>
      </c>
      <c r="D1694" s="515">
        <v>2.4933209707893828E-2</v>
      </c>
      <c r="E1694" s="516">
        <v>2.2678747281024273E-3</v>
      </c>
      <c r="F1694" s="145">
        <v>1.8877870443238069E-2</v>
      </c>
      <c r="G1694" s="145">
        <v>5.3814990445724849E-4</v>
      </c>
      <c r="H1694" s="517">
        <v>2.0000009999999999E-3</v>
      </c>
      <c r="I1694" s="517">
        <v>1.5750004999999997E-2</v>
      </c>
      <c r="J1694" s="148">
        <v>5.8452323857099194E-4</v>
      </c>
      <c r="K1694" s="518">
        <v>1.8035291531845264E-5</v>
      </c>
      <c r="L1694" s="519">
        <v>1.885076479696605E-5</v>
      </c>
    </row>
    <row r="1695" spans="1:12" ht="15.5" x14ac:dyDescent="0.35">
      <c r="A1695" s="143" t="s">
        <v>954</v>
      </c>
      <c r="B1695" s="229">
        <v>2045</v>
      </c>
      <c r="C1695" s="514" t="s">
        <v>2545</v>
      </c>
      <c r="D1695" s="515">
        <v>2.4868781646882346E-2</v>
      </c>
      <c r="E1695" s="516">
        <v>2.2199397453857668E-3</v>
      </c>
      <c r="F1695" s="145">
        <v>1.8733907637810042E-2</v>
      </c>
      <c r="G1695" s="145">
        <v>5.2859383505409233E-4</v>
      </c>
      <c r="H1695" s="517">
        <v>2.0000009999999999E-3</v>
      </c>
      <c r="I1695" s="517">
        <v>1.5750005000000001E-2</v>
      </c>
      <c r="J1695" s="148">
        <v>5.741396075312937E-4</v>
      </c>
      <c r="K1695" s="518">
        <v>1.7804195161536035E-5</v>
      </c>
      <c r="L1695" s="519">
        <v>1.8609225018161863E-5</v>
      </c>
    </row>
    <row r="1696" spans="1:12" ht="15.5" x14ac:dyDescent="0.35">
      <c r="A1696" s="143" t="s">
        <v>954</v>
      </c>
      <c r="B1696" s="229">
        <v>2046</v>
      </c>
      <c r="C1696" s="514" t="s">
        <v>2546</v>
      </c>
      <c r="D1696" s="515">
        <v>2.4816217043799719E-2</v>
      </c>
      <c r="E1696" s="516">
        <v>2.1792955882806893E-3</v>
      </c>
      <c r="F1696" s="145">
        <v>1.8619445386508695E-2</v>
      </c>
      <c r="G1696" s="145">
        <v>5.2073364820396284E-4</v>
      </c>
      <c r="H1696" s="517">
        <v>2.0000010000000004E-3</v>
      </c>
      <c r="I1696" s="517">
        <v>1.5750005000000008E-2</v>
      </c>
      <c r="J1696" s="148">
        <v>5.6559858813299982E-4</v>
      </c>
      <c r="K1696" s="518">
        <v>1.7618298886702361E-5</v>
      </c>
      <c r="L1696" s="519">
        <v>1.8414920661507314E-5</v>
      </c>
    </row>
    <row r="1697" spans="1:12" ht="15.5" x14ac:dyDescent="0.35">
      <c r="A1697" s="143" t="s">
        <v>954</v>
      </c>
      <c r="B1697" s="229">
        <v>2047</v>
      </c>
      <c r="C1697" s="514" t="s">
        <v>2547</v>
      </c>
      <c r="D1697" s="515">
        <v>2.4773631516736956E-2</v>
      </c>
      <c r="E1697" s="516">
        <v>2.1441550514093217E-3</v>
      </c>
      <c r="F1697" s="145">
        <v>1.8516907508162875E-2</v>
      </c>
      <c r="G1697" s="145">
        <v>5.143115857023198E-4</v>
      </c>
      <c r="H1697" s="517">
        <v>2.0000009999999999E-3</v>
      </c>
      <c r="I1697" s="517">
        <v>1.5750005000000004E-2</v>
      </c>
      <c r="J1697" s="148">
        <v>5.5862101947244604E-4</v>
      </c>
      <c r="K1697" s="518">
        <v>1.7461498776205065E-5</v>
      </c>
      <c r="L1697" s="519">
        <v>1.8251031324352426E-5</v>
      </c>
    </row>
    <row r="1698" spans="1:12" ht="15.5" x14ac:dyDescent="0.35">
      <c r="A1698" s="143" t="s">
        <v>954</v>
      </c>
      <c r="B1698" s="229">
        <v>2048</v>
      </c>
      <c r="C1698" s="514" t="s">
        <v>2548</v>
      </c>
      <c r="D1698" s="515">
        <v>2.4739692515427868E-2</v>
      </c>
      <c r="E1698" s="516">
        <v>2.1159613065465928E-3</v>
      </c>
      <c r="F1698" s="145">
        <v>1.8432370284324644E-2</v>
      </c>
      <c r="G1698" s="145">
        <v>5.0906057795096279E-4</v>
      </c>
      <c r="H1698" s="517">
        <v>2.0000009999999999E-3</v>
      </c>
      <c r="I1698" s="517">
        <v>1.5750005000000001E-2</v>
      </c>
      <c r="J1698" s="148">
        <v>5.5291559748245995E-4</v>
      </c>
      <c r="K1698" s="518">
        <v>1.7329479220838321E-5</v>
      </c>
      <c r="L1698" s="519">
        <v>1.8113042019546182E-5</v>
      </c>
    </row>
    <row r="1699" spans="1:12" ht="15.5" x14ac:dyDescent="0.35">
      <c r="A1699" s="143" t="s">
        <v>954</v>
      </c>
      <c r="B1699" s="229">
        <v>2049</v>
      </c>
      <c r="C1699" s="514" t="s">
        <v>2549</v>
      </c>
      <c r="D1699" s="515">
        <v>2.4711739252443847E-2</v>
      </c>
      <c r="E1699" s="516">
        <v>2.1049120382670189E-3</v>
      </c>
      <c r="F1699" s="145">
        <v>1.8436939297701623E-2</v>
      </c>
      <c r="G1699" s="145">
        <v>5.0559853577161089E-4</v>
      </c>
      <c r="H1699" s="517">
        <v>2.0000009999999999E-3</v>
      </c>
      <c r="I1699" s="517">
        <v>1.5750005000000001E-2</v>
      </c>
      <c r="J1699" s="148">
        <v>5.4915478404097033E-4</v>
      </c>
      <c r="K1699" s="518">
        <v>1.7211272529521836E-5</v>
      </c>
      <c r="L1699" s="519">
        <v>1.7989485931410172E-5</v>
      </c>
    </row>
    <row r="1700" spans="1:12" ht="15.5" x14ac:dyDescent="0.35">
      <c r="A1700" s="143" t="s">
        <v>954</v>
      </c>
      <c r="B1700" s="229">
        <v>2050</v>
      </c>
      <c r="C1700" s="514" t="s">
        <v>2550</v>
      </c>
      <c r="D1700" s="515">
        <v>2.4689815682749177E-2</v>
      </c>
      <c r="E1700" s="516">
        <v>2.096179215878409E-3</v>
      </c>
      <c r="F1700" s="145">
        <v>1.8443269627028632E-2</v>
      </c>
      <c r="G1700" s="145">
        <v>5.028609321998678E-4</v>
      </c>
      <c r="H1700" s="517">
        <v>2.0000009999999999E-3</v>
      </c>
      <c r="I1700" s="517">
        <v>1.5750005000000001E-2</v>
      </c>
      <c r="J1700" s="148">
        <v>5.461814145735186E-4</v>
      </c>
      <c r="K1700" s="518">
        <v>1.7122551541234697E-5</v>
      </c>
      <c r="L1700" s="519">
        <v>1.7896755780785126E-5</v>
      </c>
    </row>
    <row r="1701" spans="1:12" ht="15.5" x14ac:dyDescent="0.35">
      <c r="A1701" s="143" t="s">
        <v>957</v>
      </c>
      <c r="B1701" s="229">
        <v>2015</v>
      </c>
      <c r="C1701" s="514" t="s">
        <v>958</v>
      </c>
      <c r="D1701" s="515">
        <v>4.3378590434608573E-2</v>
      </c>
      <c r="E1701" s="516">
        <v>9.8714837590262089E-2</v>
      </c>
      <c r="F1701" s="145">
        <v>0.3050581589453466</v>
      </c>
      <c r="G1701" s="145">
        <v>3.0784573779922136E-3</v>
      </c>
      <c r="H1701" s="517">
        <v>2.0000009999999999E-3</v>
      </c>
      <c r="I1701" s="517">
        <v>1.5750004999999997E-2</v>
      </c>
      <c r="J1701" s="148">
        <v>3.3366033953777115E-3</v>
      </c>
      <c r="K1701" s="518">
        <v>8.8120865893789277E-5</v>
      </c>
      <c r="L1701" s="519">
        <v>9.2105301424928311E-5</v>
      </c>
    </row>
    <row r="1702" spans="1:12" ht="15.5" x14ac:dyDescent="0.35">
      <c r="A1702" s="143" t="s">
        <v>957</v>
      </c>
      <c r="B1702" s="229">
        <v>2016</v>
      </c>
      <c r="C1702" s="514" t="s">
        <v>959</v>
      </c>
      <c r="D1702" s="515">
        <v>4.2472753246494868E-2</v>
      </c>
      <c r="E1702" s="516">
        <v>8.1643740223051917E-2</v>
      </c>
      <c r="F1702" s="145">
        <v>0.26078753726338494</v>
      </c>
      <c r="G1702" s="145">
        <v>2.8929835292229051E-3</v>
      </c>
      <c r="H1702" s="517">
        <v>2.0000010000000004E-3</v>
      </c>
      <c r="I1702" s="517">
        <v>1.5750005000000001E-2</v>
      </c>
      <c r="J1702" s="148">
        <v>3.1358498733281919E-3</v>
      </c>
      <c r="K1702" s="518">
        <v>1.1860441453891007E-4</v>
      </c>
      <c r="L1702" s="519">
        <v>1.2396717848747095E-4</v>
      </c>
    </row>
    <row r="1703" spans="1:12" ht="15.5" x14ac:dyDescent="0.35">
      <c r="A1703" s="143" t="s">
        <v>957</v>
      </c>
      <c r="B1703" s="229">
        <v>2017</v>
      </c>
      <c r="C1703" s="514" t="s">
        <v>2551</v>
      </c>
      <c r="D1703" s="515">
        <v>4.1467267945603986E-2</v>
      </c>
      <c r="E1703" s="516">
        <v>7.0072890275668293E-2</v>
      </c>
      <c r="F1703" s="145">
        <v>0.22641696822379012</v>
      </c>
      <c r="G1703" s="145">
        <v>2.7790851466164552E-3</v>
      </c>
      <c r="H1703" s="517">
        <v>2.0000009999999995E-3</v>
      </c>
      <c r="I1703" s="517">
        <v>1.5750004999999997E-2</v>
      </c>
      <c r="J1703" s="148">
        <v>3.0134217975690551E-3</v>
      </c>
      <c r="K1703" s="518">
        <v>1.120613673364984E-4</v>
      </c>
      <c r="L1703" s="519">
        <v>1.1712828541057683E-4</v>
      </c>
    </row>
    <row r="1704" spans="1:12" ht="15.5" x14ac:dyDescent="0.35">
      <c r="A1704" s="143" t="s">
        <v>957</v>
      </c>
      <c r="B1704" s="229">
        <v>2018</v>
      </c>
      <c r="C1704" s="514" t="s">
        <v>2552</v>
      </c>
      <c r="D1704" s="515">
        <v>4.0410400186859298E-2</v>
      </c>
      <c r="E1704" s="516">
        <v>5.893894707406877E-2</v>
      </c>
      <c r="F1704" s="145">
        <v>0.19537895324778295</v>
      </c>
      <c r="G1704" s="145">
        <v>2.7009680003462059E-3</v>
      </c>
      <c r="H1704" s="517">
        <v>2.0000010000000004E-3</v>
      </c>
      <c r="I1704" s="517">
        <v>1.5750005000000001E-2</v>
      </c>
      <c r="J1704" s="148">
        <v>2.929963405918847E-3</v>
      </c>
      <c r="K1704" s="518">
        <v>1.062571212813191E-4</v>
      </c>
      <c r="L1704" s="519">
        <v>1.1106159631206394E-4</v>
      </c>
    </row>
    <row r="1705" spans="1:12" ht="15.5" x14ac:dyDescent="0.35">
      <c r="A1705" s="143" t="s">
        <v>957</v>
      </c>
      <c r="B1705" s="229">
        <v>2019</v>
      </c>
      <c r="C1705" s="514" t="s">
        <v>2553</v>
      </c>
      <c r="D1705" s="515">
        <v>3.9265320363807879E-2</v>
      </c>
      <c r="E1705" s="516">
        <v>4.9662389113154286E-2</v>
      </c>
      <c r="F1705" s="145">
        <v>0.16874982677814251</v>
      </c>
      <c r="G1705" s="145">
        <v>2.6410014181029451E-3</v>
      </c>
      <c r="H1705" s="517">
        <v>2.0000009999999999E-3</v>
      </c>
      <c r="I1705" s="517">
        <v>1.5750005000000001E-2</v>
      </c>
      <c r="J1705" s="148">
        <v>2.8658773641284129E-3</v>
      </c>
      <c r="K1705" s="518">
        <v>1.0130960233549575E-4</v>
      </c>
      <c r="L1705" s="519">
        <v>1.0589036958278968E-4</v>
      </c>
    </row>
    <row r="1706" spans="1:12" ht="15.5" x14ac:dyDescent="0.35">
      <c r="A1706" s="143" t="s">
        <v>957</v>
      </c>
      <c r="B1706" s="229">
        <v>2020</v>
      </c>
      <c r="C1706" s="514" t="s">
        <v>2554</v>
      </c>
      <c r="D1706" s="515">
        <v>3.8159256966909548E-2</v>
      </c>
      <c r="E1706" s="516">
        <v>4.1015841447827842E-2</v>
      </c>
      <c r="F1706" s="145">
        <v>0.14507425308161412</v>
      </c>
      <c r="G1706" s="145">
        <v>2.5325205108918769E-3</v>
      </c>
      <c r="H1706" s="517">
        <v>2.0000009999999999E-3</v>
      </c>
      <c r="I1706" s="517">
        <v>1.5750005000000001E-2</v>
      </c>
      <c r="J1706" s="148">
        <v>2.7488288959573249E-3</v>
      </c>
      <c r="K1706" s="518">
        <v>9.7477292679695762E-5</v>
      </c>
      <c r="L1706" s="519">
        <v>1.0188478082449071E-4</v>
      </c>
    </row>
    <row r="1707" spans="1:12" ht="15.5" x14ac:dyDescent="0.35">
      <c r="A1707" s="143" t="s">
        <v>957</v>
      </c>
      <c r="B1707" s="229">
        <v>2021</v>
      </c>
      <c r="C1707" s="514" t="s">
        <v>2555</v>
      </c>
      <c r="D1707" s="515">
        <v>3.7087433793546065E-2</v>
      </c>
      <c r="E1707" s="516">
        <v>3.4815408645246591E-2</v>
      </c>
      <c r="F1707" s="145">
        <v>0.12512520847159159</v>
      </c>
      <c r="G1707" s="145">
        <v>2.3686358928264291E-3</v>
      </c>
      <c r="H1707" s="517">
        <v>2.0000009999999999E-3</v>
      </c>
      <c r="I1707" s="517">
        <v>1.5750005000000004E-2</v>
      </c>
      <c r="J1707" s="148">
        <v>2.5718068019187886E-3</v>
      </c>
      <c r="K1707" s="518">
        <v>7.7555829399493582E-5</v>
      </c>
      <c r="L1707" s="519">
        <v>8.106256054505596E-5</v>
      </c>
    </row>
    <row r="1708" spans="1:12" ht="15.5" x14ac:dyDescent="0.35">
      <c r="A1708" s="143" t="s">
        <v>957</v>
      </c>
      <c r="B1708" s="229">
        <v>2022</v>
      </c>
      <c r="C1708" s="514" t="s">
        <v>2556</v>
      </c>
      <c r="D1708" s="515">
        <v>3.597815605282273E-2</v>
      </c>
      <c r="E1708" s="516">
        <v>2.7912069427239901E-2</v>
      </c>
      <c r="F1708" s="145">
        <v>0.10681709365925506</v>
      </c>
      <c r="G1708" s="145">
        <v>2.2264900047283469E-3</v>
      </c>
      <c r="H1708" s="517">
        <v>2.0000009999999999E-3</v>
      </c>
      <c r="I1708" s="517">
        <v>1.5750005000000001E-2</v>
      </c>
      <c r="J1708" s="148">
        <v>2.4181491574514682E-3</v>
      </c>
      <c r="K1708" s="518">
        <v>7.2449285364170957E-5</v>
      </c>
      <c r="L1708" s="519">
        <v>7.5725116260124721E-5</v>
      </c>
    </row>
    <row r="1709" spans="1:12" ht="15.5" x14ac:dyDescent="0.35">
      <c r="A1709" s="143" t="s">
        <v>957</v>
      </c>
      <c r="B1709" s="229">
        <v>2023</v>
      </c>
      <c r="C1709" s="514" t="s">
        <v>2557</v>
      </c>
      <c r="D1709" s="515">
        <v>3.4875430895812451E-2</v>
      </c>
      <c r="E1709" s="516">
        <v>2.4064410562139409E-2</v>
      </c>
      <c r="F1709" s="145">
        <v>9.299287856343165E-2</v>
      </c>
      <c r="G1709" s="145">
        <v>2.1026891067956297E-3</v>
      </c>
      <c r="H1709" s="517">
        <v>2.0000009999999999E-3</v>
      </c>
      <c r="I1709" s="517">
        <v>1.5750005000000001E-2</v>
      </c>
      <c r="J1709" s="148">
        <v>2.2838102539871176E-3</v>
      </c>
      <c r="K1709" s="518">
        <v>6.7436698832497874E-5</v>
      </c>
      <c r="L1709" s="519">
        <v>7.0485889930926301E-5</v>
      </c>
    </row>
    <row r="1710" spans="1:12" ht="15.5" x14ac:dyDescent="0.35">
      <c r="A1710" s="143" t="s">
        <v>957</v>
      </c>
      <c r="B1710" s="229">
        <v>2024</v>
      </c>
      <c r="C1710" s="514" t="s">
        <v>2558</v>
      </c>
      <c r="D1710" s="515">
        <v>3.3927778938884219E-2</v>
      </c>
      <c r="E1710" s="516">
        <v>2.0588238630359509E-2</v>
      </c>
      <c r="F1710" s="145">
        <v>8.0872588059783132E-2</v>
      </c>
      <c r="G1710" s="145">
        <v>1.9884642511890063E-3</v>
      </c>
      <c r="H1710" s="517">
        <v>2.0000010000000004E-3</v>
      </c>
      <c r="I1710" s="517">
        <v>1.5750005000000001E-2</v>
      </c>
      <c r="J1710" s="148">
        <v>2.1598794497403148E-3</v>
      </c>
      <c r="K1710" s="518">
        <v>6.3243567877140972E-5</v>
      </c>
      <c r="L1710" s="519">
        <v>6.6103156379550856E-5</v>
      </c>
    </row>
    <row r="1711" spans="1:12" ht="15.5" x14ac:dyDescent="0.35">
      <c r="A1711" s="143" t="s">
        <v>957</v>
      </c>
      <c r="B1711" s="229">
        <v>2025</v>
      </c>
      <c r="C1711" s="514" t="s">
        <v>2559</v>
      </c>
      <c r="D1711" s="515">
        <v>3.2846698473201374E-2</v>
      </c>
      <c r="E1711" s="516">
        <v>1.7773457318864858E-2</v>
      </c>
      <c r="F1711" s="145">
        <v>7.1156382130323173E-2</v>
      </c>
      <c r="G1711" s="145">
        <v>1.8952930120470918E-3</v>
      </c>
      <c r="H1711" s="517">
        <v>2.0000010000000004E-3</v>
      </c>
      <c r="I1711" s="517">
        <v>1.5750005000000001E-2</v>
      </c>
      <c r="J1711" s="148">
        <v>2.0587780439303852E-3</v>
      </c>
      <c r="K1711" s="518">
        <v>5.951135155297762E-5</v>
      </c>
      <c r="L1711" s="519">
        <v>6.2202196829716166E-5</v>
      </c>
    </row>
    <row r="1712" spans="1:12" ht="15.5" x14ac:dyDescent="0.35">
      <c r="A1712" s="143" t="s">
        <v>957</v>
      </c>
      <c r="B1712" s="229">
        <v>2026</v>
      </c>
      <c r="C1712" s="514" t="s">
        <v>2560</v>
      </c>
      <c r="D1712" s="515">
        <v>3.1866443211363144E-2</v>
      </c>
      <c r="E1712" s="516">
        <v>1.5706048896725989E-2</v>
      </c>
      <c r="F1712" s="145">
        <v>6.3748483848544674E-2</v>
      </c>
      <c r="G1712" s="145">
        <v>1.8109833003669619E-3</v>
      </c>
      <c r="H1712" s="517">
        <v>2.0000009999999995E-3</v>
      </c>
      <c r="I1712" s="517">
        <v>1.5750005000000004E-2</v>
      </c>
      <c r="J1712" s="148">
        <v>1.9672341182749675E-3</v>
      </c>
      <c r="K1712" s="518">
        <v>5.6014993878661102E-5</v>
      </c>
      <c r="L1712" s="519">
        <v>5.8547739261467729E-5</v>
      </c>
    </row>
    <row r="1713" spans="1:12" ht="15.5" x14ac:dyDescent="0.35">
      <c r="A1713" s="143" t="s">
        <v>957</v>
      </c>
      <c r="B1713" s="229">
        <v>2027</v>
      </c>
      <c r="C1713" s="514" t="s">
        <v>2561</v>
      </c>
      <c r="D1713" s="515">
        <v>3.0976874313897673E-2</v>
      </c>
      <c r="E1713" s="516">
        <v>1.3984060636879731E-2</v>
      </c>
      <c r="F1713" s="145">
        <v>5.7574956470036846E-2</v>
      </c>
      <c r="G1713" s="145">
        <v>1.7181915244037246E-3</v>
      </c>
      <c r="H1713" s="517">
        <v>2.0000009999999999E-3</v>
      </c>
      <c r="I1713" s="517">
        <v>1.5750005000000001E-2</v>
      </c>
      <c r="J1713" s="148">
        <v>1.8664447710933143E-3</v>
      </c>
      <c r="K1713" s="518">
        <v>5.2982809940950376E-5</v>
      </c>
      <c r="L1713" s="519">
        <v>5.5378463937019021E-5</v>
      </c>
    </row>
    <row r="1714" spans="1:12" ht="15.5" x14ac:dyDescent="0.35">
      <c r="A1714" s="143" t="s">
        <v>957</v>
      </c>
      <c r="B1714" s="229">
        <v>2028</v>
      </c>
      <c r="C1714" s="514" t="s">
        <v>2562</v>
      </c>
      <c r="D1714" s="515">
        <v>3.0181757859569159E-2</v>
      </c>
      <c r="E1714" s="516">
        <v>1.250924158504286E-2</v>
      </c>
      <c r="F1714" s="145">
        <v>5.2312625960565504E-2</v>
      </c>
      <c r="G1714" s="145">
        <v>1.6159443772067609E-3</v>
      </c>
      <c r="H1714" s="517">
        <v>2.0000009999999999E-3</v>
      </c>
      <c r="I1714" s="517">
        <v>1.5750005000000001E-2</v>
      </c>
      <c r="J1714" s="148">
        <v>1.7553634716619229E-3</v>
      </c>
      <c r="K1714" s="518">
        <v>5.0116545893552441E-5</v>
      </c>
      <c r="L1714" s="519">
        <v>5.2382597148038964E-5</v>
      </c>
    </row>
    <row r="1715" spans="1:12" ht="15.5" x14ac:dyDescent="0.35">
      <c r="A1715" s="143" t="s">
        <v>957</v>
      </c>
      <c r="B1715" s="229">
        <v>2029</v>
      </c>
      <c r="C1715" s="514" t="s">
        <v>2563</v>
      </c>
      <c r="D1715" s="515">
        <v>2.9472606584291652E-2</v>
      </c>
      <c r="E1715" s="516">
        <v>1.1170795340507193E-2</v>
      </c>
      <c r="F1715" s="145">
        <v>4.7603901934731997E-2</v>
      </c>
      <c r="G1715" s="145">
        <v>1.5170151711019371E-3</v>
      </c>
      <c r="H1715" s="517">
        <v>2.0000009999999999E-3</v>
      </c>
      <c r="I1715" s="517">
        <v>1.5750004999999997E-2</v>
      </c>
      <c r="J1715" s="148">
        <v>1.6478827050387429E-3</v>
      </c>
      <c r="K1715" s="518">
        <v>4.7425293612017275E-5</v>
      </c>
      <c r="L1715" s="519">
        <v>4.9569652985565236E-5</v>
      </c>
    </row>
    <row r="1716" spans="1:12" ht="15.5" x14ac:dyDescent="0.35">
      <c r="A1716" s="143" t="s">
        <v>957</v>
      </c>
      <c r="B1716" s="229">
        <v>2030</v>
      </c>
      <c r="C1716" s="514" t="s">
        <v>2564</v>
      </c>
      <c r="D1716" s="515">
        <v>2.8843557634347115E-2</v>
      </c>
      <c r="E1716" s="516">
        <v>1.0075311436054901E-2</v>
      </c>
      <c r="F1716" s="145">
        <v>4.3722018799151913E-2</v>
      </c>
      <c r="G1716" s="145">
        <v>1.4238959259834471E-3</v>
      </c>
      <c r="H1716" s="517">
        <v>2.0000009999999995E-3</v>
      </c>
      <c r="I1716" s="517">
        <v>1.5750005000000001E-2</v>
      </c>
      <c r="J1716" s="148">
        <v>1.5467167260667083E-3</v>
      </c>
      <c r="K1716" s="518">
        <v>4.4837154619502482E-5</v>
      </c>
      <c r="L1716" s="519">
        <v>4.6864485003901424E-5</v>
      </c>
    </row>
    <row r="1717" spans="1:12" ht="15.5" x14ac:dyDescent="0.35">
      <c r="A1717" s="143" t="s">
        <v>957</v>
      </c>
      <c r="B1717" s="229">
        <v>2031</v>
      </c>
      <c r="C1717" s="514" t="s">
        <v>2565</v>
      </c>
      <c r="D1717" s="515">
        <v>2.8314983676787489E-2</v>
      </c>
      <c r="E1717" s="516">
        <v>9.0656799053204298E-3</v>
      </c>
      <c r="F1717" s="145">
        <v>4.0185586761669244E-2</v>
      </c>
      <c r="G1717" s="145">
        <v>1.3346621006897817E-3</v>
      </c>
      <c r="H1717" s="517">
        <v>2.0000009999999999E-3</v>
      </c>
      <c r="I1717" s="517">
        <v>1.5750005000000001E-2</v>
      </c>
      <c r="J1717" s="148">
        <v>1.4497704342292062E-3</v>
      </c>
      <c r="K1717" s="518">
        <v>4.2392673005635247E-5</v>
      </c>
      <c r="L1717" s="519">
        <v>4.430948387360553E-5</v>
      </c>
    </row>
    <row r="1718" spans="1:12" ht="15.5" x14ac:dyDescent="0.35">
      <c r="A1718" s="143" t="s">
        <v>957</v>
      </c>
      <c r="B1718" s="229">
        <v>2032</v>
      </c>
      <c r="C1718" s="514" t="s">
        <v>2566</v>
      </c>
      <c r="D1718" s="515">
        <v>2.782410020643275E-2</v>
      </c>
      <c r="E1718" s="516">
        <v>8.2120442966383995E-3</v>
      </c>
      <c r="F1718" s="145">
        <v>3.7320630963658973E-2</v>
      </c>
      <c r="G1718" s="145">
        <v>1.253171846871995E-3</v>
      </c>
      <c r="H1718" s="517">
        <v>2.0000009999999999E-3</v>
      </c>
      <c r="I1718" s="517">
        <v>1.5750005000000001E-2</v>
      </c>
      <c r="J1718" s="148">
        <v>1.3612371261887207E-3</v>
      </c>
      <c r="K1718" s="518">
        <v>4.0153841941396633E-5</v>
      </c>
      <c r="L1718" s="519">
        <v>4.1969421333896304E-5</v>
      </c>
    </row>
    <row r="1719" spans="1:12" ht="15.5" x14ac:dyDescent="0.35">
      <c r="A1719" s="143" t="s">
        <v>957</v>
      </c>
      <c r="B1719" s="229">
        <v>2033</v>
      </c>
      <c r="C1719" s="514" t="s">
        <v>2567</v>
      </c>
      <c r="D1719" s="515">
        <v>2.7392910322702017E-2</v>
      </c>
      <c r="E1719" s="516">
        <v>7.5180161509503457E-3</v>
      </c>
      <c r="F1719" s="145">
        <v>3.5084568334834726E-2</v>
      </c>
      <c r="G1719" s="145">
        <v>1.179656417899186E-3</v>
      </c>
      <c r="H1719" s="517">
        <v>2.0000009999999999E-3</v>
      </c>
      <c r="I1719" s="517">
        <v>1.5750005000000001E-2</v>
      </c>
      <c r="J1719" s="148">
        <v>1.2813698652262315E-3</v>
      </c>
      <c r="K1719" s="518">
        <v>3.8084583227339548E-5</v>
      </c>
      <c r="L1719" s="519">
        <v>3.9806600817259745E-5</v>
      </c>
    </row>
    <row r="1720" spans="1:12" ht="15.5" x14ac:dyDescent="0.35">
      <c r="A1720" s="143" t="s">
        <v>957</v>
      </c>
      <c r="B1720" s="229">
        <v>2034</v>
      </c>
      <c r="C1720" s="514" t="s">
        <v>2568</v>
      </c>
      <c r="D1720" s="515">
        <v>2.7015322189894615E-2</v>
      </c>
      <c r="E1720" s="516">
        <v>6.831981460403376E-3</v>
      </c>
      <c r="F1720" s="145">
        <v>3.2901532405498403E-2</v>
      </c>
      <c r="G1720" s="145">
        <v>1.1096293696539175E-3</v>
      </c>
      <c r="H1720" s="517">
        <v>2.0000009999999999E-3</v>
      </c>
      <c r="I1720" s="517">
        <v>1.5750005000000001E-2</v>
      </c>
      <c r="J1720" s="148">
        <v>1.2052890231906992E-3</v>
      </c>
      <c r="K1720" s="518">
        <v>3.6207094685848728E-5</v>
      </c>
      <c r="L1720" s="519">
        <v>3.7844221584693159E-5</v>
      </c>
    </row>
    <row r="1721" spans="1:12" ht="15.5" x14ac:dyDescent="0.35">
      <c r="A1721" s="143" t="s">
        <v>957</v>
      </c>
      <c r="B1721" s="229">
        <v>2035</v>
      </c>
      <c r="C1721" s="514" t="s">
        <v>2569</v>
      </c>
      <c r="D1721" s="515">
        <v>2.6687341900153226E-2</v>
      </c>
      <c r="E1721" s="516">
        <v>6.1695531949382343E-3</v>
      </c>
      <c r="F1721" s="145">
        <v>3.0897532236314824E-2</v>
      </c>
      <c r="G1721" s="145">
        <v>1.0425794715422647E-3</v>
      </c>
      <c r="H1721" s="517">
        <v>2.0000009999999991E-3</v>
      </c>
      <c r="I1721" s="517">
        <v>1.5750004999999997E-2</v>
      </c>
      <c r="J1721" s="148">
        <v>1.1324391131477417E-3</v>
      </c>
      <c r="K1721" s="518">
        <v>3.4483468685745638E-5</v>
      </c>
      <c r="L1721" s="519">
        <v>3.6042650599521398E-5</v>
      </c>
    </row>
    <row r="1722" spans="1:12" ht="15.5" x14ac:dyDescent="0.35">
      <c r="A1722" s="143" t="s">
        <v>957</v>
      </c>
      <c r="B1722" s="229">
        <v>2036</v>
      </c>
      <c r="C1722" s="514" t="s">
        <v>2570</v>
      </c>
      <c r="D1722" s="515">
        <v>2.6403473910932417E-2</v>
      </c>
      <c r="E1722" s="516">
        <v>5.616275866541981E-3</v>
      </c>
      <c r="F1722" s="145">
        <v>2.9262246503261324E-2</v>
      </c>
      <c r="G1722" s="145">
        <v>9.8688395736772636E-4</v>
      </c>
      <c r="H1722" s="517">
        <v>2.0000009999999995E-3</v>
      </c>
      <c r="I1722" s="517">
        <v>1.5750005000000001E-2</v>
      </c>
      <c r="J1722" s="148">
        <v>1.0719314400434693E-3</v>
      </c>
      <c r="K1722" s="518">
        <v>3.2919830197444944E-5</v>
      </c>
      <c r="L1722" s="519">
        <v>3.4408322610091629E-5</v>
      </c>
    </row>
    <row r="1723" spans="1:12" ht="15.5" x14ac:dyDescent="0.35">
      <c r="A1723" s="143" t="s">
        <v>957</v>
      </c>
      <c r="B1723" s="229">
        <v>2037</v>
      </c>
      <c r="C1723" s="514" t="s">
        <v>2571</v>
      </c>
      <c r="D1723" s="515">
        <v>2.616018361121044E-2</v>
      </c>
      <c r="E1723" s="516">
        <v>5.1231904408645937E-3</v>
      </c>
      <c r="F1723" s="145">
        <v>2.7851403259178786E-2</v>
      </c>
      <c r="G1723" s="145">
        <v>9.3289272232652796E-4</v>
      </c>
      <c r="H1723" s="517">
        <v>2.0000009999999999E-3</v>
      </c>
      <c r="I1723" s="517">
        <v>1.5750004999999997E-2</v>
      </c>
      <c r="J1723" s="148">
        <v>1.0134391122796854E-3</v>
      </c>
      <c r="K1723" s="518">
        <v>2.7532287634642145E-5</v>
      </c>
      <c r="L1723" s="519">
        <v>2.8777170399352474E-5</v>
      </c>
    </row>
    <row r="1724" spans="1:12" ht="15.5" x14ac:dyDescent="0.35">
      <c r="A1724" s="143" t="s">
        <v>957</v>
      </c>
      <c r="B1724" s="229">
        <v>2038</v>
      </c>
      <c r="C1724" s="514" t="s">
        <v>2572</v>
      </c>
      <c r="D1724" s="515">
        <v>2.5953429393321799E-2</v>
      </c>
      <c r="E1724" s="516">
        <v>4.6958159211860197E-3</v>
      </c>
      <c r="F1724" s="145">
        <v>2.6629456877158706E-2</v>
      </c>
      <c r="G1724" s="145">
        <v>8.8864348274218091E-4</v>
      </c>
      <c r="H1724" s="517">
        <v>2.0000009999999999E-3</v>
      </c>
      <c r="I1724" s="517">
        <v>1.5750005000000001E-2</v>
      </c>
      <c r="J1724" s="148">
        <v>9.6535863271862612E-4</v>
      </c>
      <c r="K1724" s="518">
        <v>2.6480798764310022E-5</v>
      </c>
      <c r="L1724" s="519">
        <v>2.7678144112560476E-5</v>
      </c>
    </row>
    <row r="1725" spans="1:12" ht="15.5" x14ac:dyDescent="0.35">
      <c r="A1725" s="143" t="s">
        <v>957</v>
      </c>
      <c r="B1725" s="229">
        <v>2039</v>
      </c>
      <c r="C1725" s="514" t="s">
        <v>2573</v>
      </c>
      <c r="D1725" s="515">
        <v>2.577816399603703E-2</v>
      </c>
      <c r="E1725" s="516">
        <v>4.2648740245599765E-3</v>
      </c>
      <c r="F1725" s="145">
        <v>2.5410399072442174E-2</v>
      </c>
      <c r="G1725" s="145">
        <v>8.4848559426159984E-4</v>
      </c>
      <c r="H1725" s="517">
        <v>2.0000009999999999E-3</v>
      </c>
      <c r="I1725" s="517">
        <v>1.5750005000000004E-2</v>
      </c>
      <c r="J1725" s="148">
        <v>9.217206762532369E-4</v>
      </c>
      <c r="K1725" s="518">
        <v>2.5594021458133213E-5</v>
      </c>
      <c r="L1725" s="519">
        <v>2.6751262434289064E-5</v>
      </c>
    </row>
    <row r="1726" spans="1:12" ht="15.5" x14ac:dyDescent="0.35">
      <c r="A1726" s="143" t="s">
        <v>957</v>
      </c>
      <c r="B1726" s="229">
        <v>2040</v>
      </c>
      <c r="C1726" s="514" t="s">
        <v>2574</v>
      </c>
      <c r="D1726" s="515">
        <v>2.5630947748962598E-2</v>
      </c>
      <c r="E1726" s="516">
        <v>3.8847557767137842E-3</v>
      </c>
      <c r="F1726" s="145">
        <v>2.4387673809248254E-2</v>
      </c>
      <c r="G1726" s="145">
        <v>8.1288629562257836E-4</v>
      </c>
      <c r="H1726" s="517">
        <v>2.0000009999999999E-3</v>
      </c>
      <c r="I1726" s="517">
        <v>1.5750005000000001E-2</v>
      </c>
      <c r="J1726" s="148">
        <v>8.8303577709595074E-4</v>
      </c>
      <c r="K1726" s="518">
        <v>2.4821907778543011E-5</v>
      </c>
      <c r="L1726" s="519">
        <v>2.5944241891946775E-5</v>
      </c>
    </row>
    <row r="1727" spans="1:12" ht="15.5" x14ac:dyDescent="0.35">
      <c r="A1727" s="143" t="s">
        <v>957</v>
      </c>
      <c r="B1727" s="229">
        <v>2041</v>
      </c>
      <c r="C1727" s="514" t="s">
        <v>2575</v>
      </c>
      <c r="D1727" s="515">
        <v>2.5509425000276035E-2</v>
      </c>
      <c r="E1727" s="516">
        <v>3.6251511430876906E-3</v>
      </c>
      <c r="F1727" s="145">
        <v>2.3674947511459526E-2</v>
      </c>
      <c r="G1727" s="145">
        <v>7.8657983157992865E-4</v>
      </c>
      <c r="H1727" s="517">
        <v>2.0000009999999995E-3</v>
      </c>
      <c r="I1727" s="517">
        <v>1.5750005000000001E-2</v>
      </c>
      <c r="J1727" s="148">
        <v>8.5445291892508035E-4</v>
      </c>
      <c r="K1727" s="518">
        <v>2.4176770665188326E-5</v>
      </c>
      <c r="L1727" s="519">
        <v>2.5269937094778983E-5</v>
      </c>
    </row>
    <row r="1728" spans="1:12" ht="15.5" x14ac:dyDescent="0.35">
      <c r="A1728" s="143" t="s">
        <v>957</v>
      </c>
      <c r="B1728" s="229">
        <v>2042</v>
      </c>
      <c r="C1728" s="514" t="s">
        <v>2576</v>
      </c>
      <c r="D1728" s="515">
        <v>2.5407554610720102E-2</v>
      </c>
      <c r="E1728" s="516">
        <v>3.3891039521193088E-3</v>
      </c>
      <c r="F1728" s="145">
        <v>2.2981632189183324E-2</v>
      </c>
      <c r="G1728" s="145">
        <v>7.6377411480997278E-4</v>
      </c>
      <c r="H1728" s="517">
        <v>2.0000009999999999E-3</v>
      </c>
      <c r="I1728" s="517">
        <v>1.5750004999999997E-2</v>
      </c>
      <c r="J1728" s="148">
        <v>8.2967175342812949E-4</v>
      </c>
      <c r="K1728" s="518">
        <v>2.3645097745937817E-5</v>
      </c>
      <c r="L1728" s="519">
        <v>2.4714219736672506E-5</v>
      </c>
    </row>
    <row r="1729" spans="1:12" ht="15.5" x14ac:dyDescent="0.35">
      <c r="A1729" s="143" t="s">
        <v>957</v>
      </c>
      <c r="B1729" s="229">
        <v>2043</v>
      </c>
      <c r="C1729" s="514" t="s">
        <v>2577</v>
      </c>
      <c r="D1729" s="515">
        <v>2.5323708662422961E-2</v>
      </c>
      <c r="E1729" s="516">
        <v>3.2086273560928361E-3</v>
      </c>
      <c r="F1729" s="145">
        <v>2.2447692018423539E-2</v>
      </c>
      <c r="G1729" s="145">
        <v>7.4386363926504107E-4</v>
      </c>
      <c r="H1729" s="517">
        <v>2.0000009999999995E-3</v>
      </c>
      <c r="I1729" s="517">
        <v>1.5750004999999997E-2</v>
      </c>
      <c r="J1729" s="148">
        <v>8.0805466068008247E-4</v>
      </c>
      <c r="K1729" s="518">
        <v>2.2765069685238265E-5</v>
      </c>
      <c r="L1729" s="519">
        <v>2.3794403729389306E-5</v>
      </c>
    </row>
    <row r="1730" spans="1:12" ht="15.5" x14ac:dyDescent="0.35">
      <c r="A1730" s="143" t="s">
        <v>957</v>
      </c>
      <c r="B1730" s="229">
        <v>2044</v>
      </c>
      <c r="C1730" s="514" t="s">
        <v>2578</v>
      </c>
      <c r="D1730" s="515">
        <v>2.5253621526108189E-2</v>
      </c>
      <c r="E1730" s="516">
        <v>3.0710201147166063E-3</v>
      </c>
      <c r="F1730" s="145">
        <v>2.2000024853300319E-2</v>
      </c>
      <c r="G1730" s="145">
        <v>7.2690589460828949E-4</v>
      </c>
      <c r="H1730" s="517">
        <v>2.0000010000000004E-3</v>
      </c>
      <c r="I1730" s="517">
        <v>1.5750005000000008E-2</v>
      </c>
      <c r="J1730" s="148">
        <v>7.8963597697624145E-4</v>
      </c>
      <c r="K1730" s="518">
        <v>2.2191577432130077E-5</v>
      </c>
      <c r="L1730" s="519">
        <v>2.3194979184550847E-5</v>
      </c>
    </row>
    <row r="1731" spans="1:12" ht="15.5" x14ac:dyDescent="0.35">
      <c r="A1731" s="143" t="s">
        <v>957</v>
      </c>
      <c r="B1731" s="229">
        <v>2045</v>
      </c>
      <c r="C1731" s="514" t="s">
        <v>2579</v>
      </c>
      <c r="D1731" s="515">
        <v>2.5194011046307221E-2</v>
      </c>
      <c r="E1731" s="516">
        <v>2.9842014050479528E-3</v>
      </c>
      <c r="F1731" s="145">
        <v>2.1720372029414105E-2</v>
      </c>
      <c r="G1731" s="145">
        <v>7.1270678560630008E-4</v>
      </c>
      <c r="H1731" s="517">
        <v>2.0000009999999995E-3</v>
      </c>
      <c r="I1731" s="517">
        <v>1.5750005000000004E-2</v>
      </c>
      <c r="J1731" s="148">
        <v>7.7420427613031958E-4</v>
      </c>
      <c r="K1731" s="518">
        <v>2.1940943321506754E-5</v>
      </c>
      <c r="L1731" s="519">
        <v>2.2933017842265882E-5</v>
      </c>
    </row>
    <row r="1732" spans="1:12" ht="15.5" x14ac:dyDescent="0.35">
      <c r="A1732" s="143" t="s">
        <v>957</v>
      </c>
      <c r="B1732" s="229">
        <v>2046</v>
      </c>
      <c r="C1732" s="514" t="s">
        <v>2580</v>
      </c>
      <c r="D1732" s="515">
        <v>2.5143911955613864E-2</v>
      </c>
      <c r="E1732" s="516">
        <v>2.9144016314240372E-3</v>
      </c>
      <c r="F1732" s="145">
        <v>2.1517807347411943E-2</v>
      </c>
      <c r="G1732" s="145">
        <v>7.0073718356019016E-4</v>
      </c>
      <c r="H1732" s="517">
        <v>2.0000009999999999E-3</v>
      </c>
      <c r="I1732" s="517">
        <v>1.5750004999999997E-2</v>
      </c>
      <c r="J1732" s="148">
        <v>7.6120358337101774E-4</v>
      </c>
      <c r="K1732" s="518">
        <v>2.1525906719262767E-5</v>
      </c>
      <c r="L1732" s="519">
        <v>2.2499212435848317E-5</v>
      </c>
    </row>
    <row r="1733" spans="1:12" ht="15.5" x14ac:dyDescent="0.35">
      <c r="A1733" s="143" t="s">
        <v>957</v>
      </c>
      <c r="B1733" s="229">
        <v>2047</v>
      </c>
      <c r="C1733" s="514" t="s">
        <v>2581</v>
      </c>
      <c r="D1733" s="515">
        <v>2.510167385645036E-2</v>
      </c>
      <c r="E1733" s="516">
        <v>2.8445984906080913E-3</v>
      </c>
      <c r="F1733" s="145">
        <v>2.1294149582122068E-2</v>
      </c>
      <c r="G1733" s="145">
        <v>6.9052795733036214E-4</v>
      </c>
      <c r="H1733" s="517">
        <v>2.0000009999999999E-3</v>
      </c>
      <c r="I1733" s="517">
        <v>1.5750005000000004E-2</v>
      </c>
      <c r="J1733" s="148">
        <v>7.5011217216280055E-4</v>
      </c>
      <c r="K1733" s="518">
        <v>2.1240056895842468E-5</v>
      </c>
      <c r="L1733" s="519">
        <v>2.2200431788825189E-5</v>
      </c>
    </row>
    <row r="1734" spans="1:12" ht="15.5" x14ac:dyDescent="0.35">
      <c r="A1734" s="143" t="s">
        <v>957</v>
      </c>
      <c r="B1734" s="229">
        <v>2048</v>
      </c>
      <c r="C1734" s="514" t="s">
        <v>2582</v>
      </c>
      <c r="D1734" s="515">
        <v>2.5065881966436682E-2</v>
      </c>
      <c r="E1734" s="516">
        <v>2.7925759679000937E-3</v>
      </c>
      <c r="F1734" s="145">
        <v>2.1130842215949838E-2</v>
      </c>
      <c r="G1734" s="145">
        <v>6.8216541864353053E-4</v>
      </c>
      <c r="H1734" s="517">
        <v>2.0000009999999999E-3</v>
      </c>
      <c r="I1734" s="517">
        <v>1.5750005000000001E-2</v>
      </c>
      <c r="J1734" s="148">
        <v>7.4102770590011289E-4</v>
      </c>
      <c r="K1734" s="518">
        <v>2.0991337958014001E-5</v>
      </c>
      <c r="L1734" s="519">
        <v>2.1940474412850577E-5</v>
      </c>
    </row>
    <row r="1735" spans="1:12" ht="15.5" x14ac:dyDescent="0.35">
      <c r="A1735" s="143" t="s">
        <v>957</v>
      </c>
      <c r="B1735" s="229">
        <v>2049</v>
      </c>
      <c r="C1735" s="514" t="s">
        <v>2583</v>
      </c>
      <c r="D1735" s="515">
        <v>2.5035080026850256E-2</v>
      </c>
      <c r="E1735" s="516">
        <v>2.7738027228995524E-3</v>
      </c>
      <c r="F1735" s="145">
        <v>2.1130260591040288E-2</v>
      </c>
      <c r="G1735" s="145">
        <v>6.7716787573135744E-4</v>
      </c>
      <c r="H1735" s="517">
        <v>2.0000009999999995E-3</v>
      </c>
      <c r="I1735" s="517">
        <v>1.5750004999999997E-2</v>
      </c>
      <c r="J1735" s="148">
        <v>7.3559586096917553E-4</v>
      </c>
      <c r="K1735" s="518">
        <v>2.0909211526011509E-5</v>
      </c>
      <c r="L1735" s="519">
        <v>2.1854635084843199E-5</v>
      </c>
    </row>
    <row r="1736" spans="1:12" ht="15.5" x14ac:dyDescent="0.35">
      <c r="A1736" s="143" t="s">
        <v>957</v>
      </c>
      <c r="B1736" s="229">
        <v>2050</v>
      </c>
      <c r="C1736" s="514" t="s">
        <v>2584</v>
      </c>
      <c r="D1736" s="515">
        <v>2.5010237863940288E-2</v>
      </c>
      <c r="E1736" s="516">
        <v>2.7587742210111979E-3</v>
      </c>
      <c r="F1736" s="145">
        <v>2.1133950073408812E-2</v>
      </c>
      <c r="G1736" s="145">
        <v>6.7315758543808686E-4</v>
      </c>
      <c r="H1736" s="517">
        <v>2.0000009999999999E-3</v>
      </c>
      <c r="I1736" s="517">
        <v>1.5750005000000004E-2</v>
      </c>
      <c r="J1736" s="148">
        <v>7.3123683807913952E-4</v>
      </c>
      <c r="K1736" s="518">
        <v>2.0843858572029153E-5</v>
      </c>
      <c r="L1736" s="519">
        <v>2.1786323135279322E-5</v>
      </c>
    </row>
    <row r="1737" spans="1:12" ht="15.5" x14ac:dyDescent="0.35">
      <c r="A1737" s="143" t="s">
        <v>960</v>
      </c>
      <c r="B1737" s="229">
        <v>2015</v>
      </c>
      <c r="C1737" s="514" t="s">
        <v>961</v>
      </c>
      <c r="D1737" s="515">
        <v>4.3781969534937078E-2</v>
      </c>
      <c r="E1737" s="516">
        <v>9.5664884925162397E-2</v>
      </c>
      <c r="F1737" s="145">
        <v>0.31564547032008616</v>
      </c>
      <c r="G1737" s="145">
        <v>3.1209375004111208E-3</v>
      </c>
      <c r="H1737" s="517">
        <v>2.0000009999999999E-3</v>
      </c>
      <c r="I1737" s="517">
        <v>1.5750005000000004E-2</v>
      </c>
      <c r="J1737" s="148">
        <v>3.3724671672967512E-3</v>
      </c>
      <c r="K1737" s="518">
        <v>3.2900123353946824E-4</v>
      </c>
      <c r="L1737" s="519">
        <v>3.4387721460201793E-4</v>
      </c>
    </row>
    <row r="1738" spans="1:12" ht="15.5" x14ac:dyDescent="0.35">
      <c r="A1738" s="143" t="s">
        <v>960</v>
      </c>
      <c r="B1738" s="229">
        <v>2016</v>
      </c>
      <c r="C1738" s="514" t="s">
        <v>962</v>
      </c>
      <c r="D1738" s="515">
        <v>4.2902823986163525E-2</v>
      </c>
      <c r="E1738" s="516">
        <v>7.9962130597474729E-2</v>
      </c>
      <c r="F1738" s="145">
        <v>0.2734860542069989</v>
      </c>
      <c r="G1738" s="145">
        <v>2.8953316788786366E-3</v>
      </c>
      <c r="H1738" s="517">
        <v>2.0000009999999999E-3</v>
      </c>
      <c r="I1738" s="517">
        <v>1.5750005000000001E-2</v>
      </c>
      <c r="J1738" s="148">
        <v>3.1306186589635898E-3</v>
      </c>
      <c r="K1738" s="518">
        <v>2.9828042431994284E-4</v>
      </c>
      <c r="L1738" s="519">
        <v>3.1176733923264708E-4</v>
      </c>
    </row>
    <row r="1739" spans="1:12" ht="15.5" x14ac:dyDescent="0.35">
      <c r="A1739" s="143" t="s">
        <v>960</v>
      </c>
      <c r="B1739" s="229">
        <v>2017</v>
      </c>
      <c r="C1739" s="514" t="s">
        <v>2585</v>
      </c>
      <c r="D1739" s="515">
        <v>4.1863455778365692E-2</v>
      </c>
      <c r="E1739" s="516">
        <v>6.717293287314538E-2</v>
      </c>
      <c r="F1739" s="145">
        <v>0.23642214743342335</v>
      </c>
      <c r="G1739" s="145">
        <v>2.7408527912187392E-3</v>
      </c>
      <c r="H1739" s="517">
        <v>2.0000009999999999E-3</v>
      </c>
      <c r="I1739" s="517">
        <v>1.5750005000000001E-2</v>
      </c>
      <c r="J1739" s="148">
        <v>2.965375374589403E-3</v>
      </c>
      <c r="K1739" s="518">
        <v>2.7074407364154215E-4</v>
      </c>
      <c r="L1739" s="519">
        <v>2.8298592328883214E-4</v>
      </c>
    </row>
    <row r="1740" spans="1:12" ht="15.5" x14ac:dyDescent="0.35">
      <c r="A1740" s="143" t="s">
        <v>960</v>
      </c>
      <c r="B1740" s="229">
        <v>2018</v>
      </c>
      <c r="C1740" s="514" t="s">
        <v>2586</v>
      </c>
      <c r="D1740" s="515">
        <v>4.077607094665487E-2</v>
      </c>
      <c r="E1740" s="516">
        <v>5.5638094536420338E-2</v>
      </c>
      <c r="F1740" s="145">
        <v>0.20322268794883458</v>
      </c>
      <c r="G1740" s="145">
        <v>2.6299829067428096E-3</v>
      </c>
      <c r="H1740" s="517">
        <v>2.0000009999999999E-3</v>
      </c>
      <c r="I1740" s="517">
        <v>1.5750005000000001E-2</v>
      </c>
      <c r="J1740" s="148">
        <v>2.8472413494043387E-3</v>
      </c>
      <c r="K1740" s="518">
        <v>2.4657837553954093E-4</v>
      </c>
      <c r="L1740" s="519">
        <v>2.5772755377231004E-4</v>
      </c>
    </row>
    <row r="1741" spans="1:12" ht="15.5" x14ac:dyDescent="0.35">
      <c r="A1741" s="143" t="s">
        <v>960</v>
      </c>
      <c r="B1741" s="229">
        <v>2019</v>
      </c>
      <c r="C1741" s="514" t="s">
        <v>2587</v>
      </c>
      <c r="D1741" s="515">
        <v>3.9656575227566743E-2</v>
      </c>
      <c r="E1741" s="516">
        <v>4.6179002007363315E-2</v>
      </c>
      <c r="F1741" s="145">
        <v>0.17476130681081883</v>
      </c>
      <c r="G1741" s="145">
        <v>2.5414092536731572E-3</v>
      </c>
      <c r="H1741" s="517">
        <v>2.0000009999999999E-3</v>
      </c>
      <c r="I1741" s="517">
        <v>1.5750005000000001E-2</v>
      </c>
      <c r="J1741" s="148">
        <v>2.7529709554203665E-3</v>
      </c>
      <c r="K1741" s="518">
        <v>2.2186006544176458E-4</v>
      </c>
      <c r="L1741" s="519">
        <v>2.3189158920601023E-4</v>
      </c>
    </row>
    <row r="1742" spans="1:12" ht="15.5" x14ac:dyDescent="0.35">
      <c r="A1742" s="143" t="s">
        <v>960</v>
      </c>
      <c r="B1742" s="229">
        <v>2020</v>
      </c>
      <c r="C1742" s="514" t="s">
        <v>2588</v>
      </c>
      <c r="D1742" s="515">
        <v>3.8517335628009193E-2</v>
      </c>
      <c r="E1742" s="516">
        <v>3.9033053505556262E-2</v>
      </c>
      <c r="F1742" s="145">
        <v>0.1508234436352705</v>
      </c>
      <c r="G1742" s="145">
        <v>2.4298296500576398E-3</v>
      </c>
      <c r="H1742" s="517">
        <v>2.0000009999999995E-3</v>
      </c>
      <c r="I1742" s="517">
        <v>1.5750004999999997E-2</v>
      </c>
      <c r="J1742" s="148">
        <v>2.6330049427075648E-3</v>
      </c>
      <c r="K1742" s="518">
        <v>1.9969293781123908E-4</v>
      </c>
      <c r="L1742" s="519">
        <v>2.087221646835783E-4</v>
      </c>
    </row>
    <row r="1743" spans="1:12" ht="15.5" x14ac:dyDescent="0.35">
      <c r="A1743" s="143" t="s">
        <v>960</v>
      </c>
      <c r="B1743" s="229">
        <v>2021</v>
      </c>
      <c r="C1743" s="514" t="s">
        <v>2589</v>
      </c>
      <c r="D1743" s="515">
        <v>3.7399034173663491E-2</v>
      </c>
      <c r="E1743" s="516">
        <v>3.3258717925012837E-2</v>
      </c>
      <c r="F1743" s="145">
        <v>0.13009565239908116</v>
      </c>
      <c r="G1743" s="145">
        <v>2.2796525159332285E-3</v>
      </c>
      <c r="H1743" s="517">
        <v>2.0000009999999999E-3</v>
      </c>
      <c r="I1743" s="517">
        <v>1.5750005000000001E-2</v>
      </c>
      <c r="J1743" s="148">
        <v>2.4708542691736363E-3</v>
      </c>
      <c r="K1743" s="518">
        <v>1.7886676390409153E-4</v>
      </c>
      <c r="L1743" s="519">
        <v>1.8695433030223088E-4</v>
      </c>
    </row>
    <row r="1744" spans="1:12" ht="15.5" x14ac:dyDescent="0.35">
      <c r="A1744" s="143" t="s">
        <v>960</v>
      </c>
      <c r="B1744" s="229">
        <v>2022</v>
      </c>
      <c r="C1744" s="514" t="s">
        <v>2590</v>
      </c>
      <c r="D1744" s="515">
        <v>3.6265391120316924E-2</v>
      </c>
      <c r="E1744" s="516">
        <v>2.6581108211315922E-2</v>
      </c>
      <c r="F1744" s="145">
        <v>0.11071217658660081</v>
      </c>
      <c r="G1744" s="145">
        <v>2.1347453334542442E-3</v>
      </c>
      <c r="H1744" s="517">
        <v>2.0000010000000004E-3</v>
      </c>
      <c r="I1744" s="517">
        <v>1.5750005000000001E-2</v>
      </c>
      <c r="J1744" s="148">
        <v>2.3146497748216819E-3</v>
      </c>
      <c r="K1744" s="518">
        <v>1.6196694912957611E-4</v>
      </c>
      <c r="L1744" s="519">
        <v>1.6929037369582439E-4</v>
      </c>
    </row>
    <row r="1745" spans="1:12" ht="15.5" x14ac:dyDescent="0.35">
      <c r="A1745" s="143" t="s">
        <v>960</v>
      </c>
      <c r="B1745" s="229">
        <v>2023</v>
      </c>
      <c r="C1745" s="514" t="s">
        <v>2591</v>
      </c>
      <c r="D1745" s="515">
        <v>3.5141548985753925E-2</v>
      </c>
      <c r="E1745" s="516">
        <v>2.2756725530815081E-2</v>
      </c>
      <c r="F1745" s="145">
        <v>9.5856206721443238E-2</v>
      </c>
      <c r="G1745" s="145">
        <v>2.0066727322572632E-3</v>
      </c>
      <c r="H1745" s="517">
        <v>2.0000010000000008E-3</v>
      </c>
      <c r="I1745" s="517">
        <v>1.5750005000000004E-2</v>
      </c>
      <c r="J1745" s="148">
        <v>2.1761726210962036E-3</v>
      </c>
      <c r="K1745" s="518">
        <v>1.4521715838375736E-4</v>
      </c>
      <c r="L1745" s="519">
        <v>1.5178323319871902E-4</v>
      </c>
    </row>
    <row r="1746" spans="1:12" ht="15.5" x14ac:dyDescent="0.35">
      <c r="A1746" s="143" t="s">
        <v>960</v>
      </c>
      <c r="B1746" s="229">
        <v>2024</v>
      </c>
      <c r="C1746" s="514" t="s">
        <v>2592</v>
      </c>
      <c r="D1746" s="515">
        <v>3.403297237999553E-2</v>
      </c>
      <c r="E1746" s="516">
        <v>1.9583874828943252E-2</v>
      </c>
      <c r="F1746" s="145">
        <v>8.3527320647288572E-2</v>
      </c>
      <c r="G1746" s="145">
        <v>1.8956097007429846E-3</v>
      </c>
      <c r="H1746" s="517">
        <v>2.0000009999999995E-3</v>
      </c>
      <c r="I1746" s="517">
        <v>1.5750005000000001E-2</v>
      </c>
      <c r="J1746" s="148">
        <v>2.0561349940856023E-3</v>
      </c>
      <c r="K1746" s="518">
        <v>1.2932114614124378E-4</v>
      </c>
      <c r="L1746" s="519">
        <v>1.3516847318352889E-4</v>
      </c>
    </row>
    <row r="1747" spans="1:12" ht="15.5" x14ac:dyDescent="0.35">
      <c r="A1747" s="143" t="s">
        <v>960</v>
      </c>
      <c r="B1747" s="229">
        <v>2025</v>
      </c>
      <c r="C1747" s="514" t="s">
        <v>2593</v>
      </c>
      <c r="D1747" s="515">
        <v>3.2936870566184932E-2</v>
      </c>
      <c r="E1747" s="516">
        <v>1.7098643299665709E-2</v>
      </c>
      <c r="F1747" s="145">
        <v>7.3770685456080468E-2</v>
      </c>
      <c r="G1747" s="145">
        <v>1.8050051278757828E-3</v>
      </c>
      <c r="H1747" s="517">
        <v>2.0000009999999995E-3</v>
      </c>
      <c r="I1747" s="517">
        <v>1.5750004999999997E-2</v>
      </c>
      <c r="J1747" s="148">
        <v>1.9582228796406341E-3</v>
      </c>
      <c r="K1747" s="518">
        <v>1.1513989098460581E-4</v>
      </c>
      <c r="L1747" s="519">
        <v>1.2034600242623688E-4</v>
      </c>
    </row>
    <row r="1748" spans="1:12" ht="15.5" x14ac:dyDescent="0.35">
      <c r="A1748" s="143" t="s">
        <v>960</v>
      </c>
      <c r="B1748" s="229">
        <v>2026</v>
      </c>
      <c r="C1748" s="514" t="s">
        <v>2594</v>
      </c>
      <c r="D1748" s="515">
        <v>3.1952049131298323E-2</v>
      </c>
      <c r="E1748" s="516">
        <v>1.5060799085931293E-2</v>
      </c>
      <c r="F1748" s="145">
        <v>6.5855874377679799E-2</v>
      </c>
      <c r="G1748" s="145">
        <v>1.7160999291176867E-3</v>
      </c>
      <c r="H1748" s="517">
        <v>2.0000009999999999E-3</v>
      </c>
      <c r="I1748" s="517">
        <v>1.5750005000000001E-2</v>
      </c>
      <c r="J1748" s="148">
        <v>1.8621534856385789E-3</v>
      </c>
      <c r="K1748" s="518">
        <v>1.0052057887462557E-4</v>
      </c>
      <c r="L1748" s="519">
        <v>1.0506567242631522E-4</v>
      </c>
    </row>
    <row r="1749" spans="1:12" ht="15.5" x14ac:dyDescent="0.35">
      <c r="A1749" s="143" t="s">
        <v>960</v>
      </c>
      <c r="B1749" s="229">
        <v>2027</v>
      </c>
      <c r="C1749" s="514" t="s">
        <v>2595</v>
      </c>
      <c r="D1749" s="515">
        <v>3.1063274167677103E-2</v>
      </c>
      <c r="E1749" s="516">
        <v>1.3299155477414771E-2</v>
      </c>
      <c r="F1749" s="145">
        <v>5.9073069635276108E-2</v>
      </c>
      <c r="G1749" s="145">
        <v>1.6127150613884371E-3</v>
      </c>
      <c r="H1749" s="517">
        <v>2.0000009999999995E-3</v>
      </c>
      <c r="I1749" s="517">
        <v>1.5750005000000001E-2</v>
      </c>
      <c r="J1749" s="148">
        <v>1.7506085496335954E-3</v>
      </c>
      <c r="K1749" s="518">
        <v>7.9437852456230583E-5</v>
      </c>
      <c r="L1749" s="519">
        <v>8.3029679232539375E-5</v>
      </c>
    </row>
    <row r="1750" spans="1:12" ht="15.5" x14ac:dyDescent="0.35">
      <c r="A1750" s="143" t="s">
        <v>960</v>
      </c>
      <c r="B1750" s="229">
        <v>2028</v>
      </c>
      <c r="C1750" s="514" t="s">
        <v>2596</v>
      </c>
      <c r="D1750" s="515">
        <v>3.0269959655513257E-2</v>
      </c>
      <c r="E1750" s="516">
        <v>1.1832440825983353E-2</v>
      </c>
      <c r="F1750" s="145">
        <v>5.3418593430239615E-2</v>
      </c>
      <c r="G1750" s="145">
        <v>1.5089072158663741E-3</v>
      </c>
      <c r="H1750" s="517">
        <v>2.0000010000000004E-3</v>
      </c>
      <c r="I1750" s="517">
        <v>1.5750005000000004E-2</v>
      </c>
      <c r="J1750" s="148">
        <v>1.6382992969088835E-3</v>
      </c>
      <c r="K1750" s="518">
        <v>6.5485299189543014E-5</v>
      </c>
      <c r="L1750" s="519">
        <v>6.8446255503289426E-5</v>
      </c>
    </row>
    <row r="1751" spans="1:12" ht="15.5" x14ac:dyDescent="0.35">
      <c r="A1751" s="143" t="s">
        <v>960</v>
      </c>
      <c r="B1751" s="229">
        <v>2029</v>
      </c>
      <c r="C1751" s="514" t="s">
        <v>2597</v>
      </c>
      <c r="D1751" s="515">
        <v>2.9562890315649348E-2</v>
      </c>
      <c r="E1751" s="516">
        <v>1.0510535448362326E-2</v>
      </c>
      <c r="F1751" s="145">
        <v>4.8434679781236403E-2</v>
      </c>
      <c r="G1751" s="145">
        <v>1.4111396884414083E-3</v>
      </c>
      <c r="H1751" s="517">
        <v>2.0000009999999999E-3</v>
      </c>
      <c r="I1751" s="517">
        <v>1.5750005000000001E-2</v>
      </c>
      <c r="J1751" s="148">
        <v>1.5323871585358659E-3</v>
      </c>
      <c r="K1751" s="518">
        <v>5.5611033652060373E-5</v>
      </c>
      <c r="L1751" s="519">
        <v>5.8125520080624729E-5</v>
      </c>
    </row>
    <row r="1752" spans="1:12" ht="15.5" x14ac:dyDescent="0.35">
      <c r="A1752" s="143" t="s">
        <v>960</v>
      </c>
      <c r="B1752" s="229">
        <v>2030</v>
      </c>
      <c r="C1752" s="514" t="s">
        <v>2598</v>
      </c>
      <c r="D1752" s="515">
        <v>2.893583399726822E-2</v>
      </c>
      <c r="E1752" s="516">
        <v>9.4422109019391427E-3</v>
      </c>
      <c r="F1752" s="145">
        <v>4.4308195256607848E-2</v>
      </c>
      <c r="G1752" s="145">
        <v>1.3203840021098149E-3</v>
      </c>
      <c r="H1752" s="517">
        <v>2.0000009999999999E-3</v>
      </c>
      <c r="I1752" s="517">
        <v>1.5750005000000001E-2</v>
      </c>
      <c r="J1752" s="148">
        <v>1.4340134023749266E-3</v>
      </c>
      <c r="K1752" s="518">
        <v>4.7772502554191956E-5</v>
      </c>
      <c r="L1752" s="519">
        <v>4.9932564377270621E-5</v>
      </c>
    </row>
    <row r="1753" spans="1:12" ht="15.5" x14ac:dyDescent="0.35">
      <c r="A1753" s="143" t="s">
        <v>960</v>
      </c>
      <c r="B1753" s="229">
        <v>2031</v>
      </c>
      <c r="C1753" s="514" t="s">
        <v>2599</v>
      </c>
      <c r="D1753" s="515">
        <v>2.8382783433669151E-2</v>
      </c>
      <c r="E1753" s="516">
        <v>8.4763607271632867E-3</v>
      </c>
      <c r="F1753" s="145">
        <v>4.0601538088764925E-2</v>
      </c>
      <c r="G1753" s="145">
        <v>1.236203738715845E-3</v>
      </c>
      <c r="H1753" s="517">
        <v>2.0000010000000004E-3</v>
      </c>
      <c r="I1753" s="517">
        <v>1.5750005000000001E-2</v>
      </c>
      <c r="J1753" s="148">
        <v>1.3426644604930822E-3</v>
      </c>
      <c r="K1753" s="518">
        <v>4.29588638729682E-5</v>
      </c>
      <c r="L1753" s="519">
        <v>4.4901277395981398E-5</v>
      </c>
    </row>
    <row r="1754" spans="1:12" ht="15.5" x14ac:dyDescent="0.35">
      <c r="A1754" s="143" t="s">
        <v>960</v>
      </c>
      <c r="B1754" s="229">
        <v>2032</v>
      </c>
      <c r="C1754" s="514" t="s">
        <v>2600</v>
      </c>
      <c r="D1754" s="515">
        <v>2.7897330159216201E-2</v>
      </c>
      <c r="E1754" s="516">
        <v>7.652346133759225E-3</v>
      </c>
      <c r="F1754" s="145">
        <v>3.7557762631439888E-2</v>
      </c>
      <c r="G1754" s="145">
        <v>1.159350461080607E-3</v>
      </c>
      <c r="H1754" s="517">
        <v>2.0000010000000004E-3</v>
      </c>
      <c r="I1754" s="517">
        <v>1.5750005000000001E-2</v>
      </c>
      <c r="J1754" s="148">
        <v>1.2592313116809744E-3</v>
      </c>
      <c r="K1754" s="518">
        <v>3.9354740974508513E-5</v>
      </c>
      <c r="L1754" s="519">
        <v>4.1134187265896254E-5</v>
      </c>
    </row>
    <row r="1755" spans="1:12" ht="15.5" x14ac:dyDescent="0.35">
      <c r="A1755" s="143" t="s">
        <v>960</v>
      </c>
      <c r="B1755" s="229">
        <v>2033</v>
      </c>
      <c r="C1755" s="514" t="s">
        <v>2601</v>
      </c>
      <c r="D1755" s="515">
        <v>2.7474093973256033E-2</v>
      </c>
      <c r="E1755" s="516">
        <v>6.9194043143322448E-3</v>
      </c>
      <c r="F1755" s="145">
        <v>3.4925878530788455E-2</v>
      </c>
      <c r="G1755" s="145">
        <v>1.0876680726826895E-3</v>
      </c>
      <c r="H1755" s="517">
        <v>2.0000009999999999E-3</v>
      </c>
      <c r="I1755" s="517">
        <v>1.5750005000000001E-2</v>
      </c>
      <c r="J1755" s="148">
        <v>1.1813973283824135E-3</v>
      </c>
      <c r="K1755" s="518">
        <v>3.636252123241075E-5</v>
      </c>
      <c r="L1755" s="519">
        <v>3.8006676145251321E-5</v>
      </c>
    </row>
    <row r="1756" spans="1:12" ht="15.5" x14ac:dyDescent="0.35">
      <c r="A1756" s="143" t="s">
        <v>960</v>
      </c>
      <c r="B1756" s="229">
        <v>2034</v>
      </c>
      <c r="C1756" s="514" t="s">
        <v>2602</v>
      </c>
      <c r="D1756" s="515">
        <v>2.7107167990847968E-2</v>
      </c>
      <c r="E1756" s="516">
        <v>6.2622153845543743E-3</v>
      </c>
      <c r="F1756" s="145">
        <v>3.2662561732272569E-2</v>
      </c>
      <c r="G1756" s="145">
        <v>1.0212287604144592E-3</v>
      </c>
      <c r="H1756" s="517">
        <v>2.0000009999999995E-3</v>
      </c>
      <c r="I1756" s="517">
        <v>1.5750004999999997E-2</v>
      </c>
      <c r="J1756" s="148">
        <v>1.1092456510674257E-3</v>
      </c>
      <c r="K1756" s="518">
        <v>3.38202452172397E-5</v>
      </c>
      <c r="L1756" s="519">
        <v>3.5349443096143825E-5</v>
      </c>
    </row>
    <row r="1757" spans="1:12" ht="15.5" x14ac:dyDescent="0.35">
      <c r="A1757" s="143" t="s">
        <v>960</v>
      </c>
      <c r="B1757" s="229">
        <v>2035</v>
      </c>
      <c r="C1757" s="514" t="s">
        <v>2603</v>
      </c>
      <c r="D1757" s="515">
        <v>2.6792213058724194E-2</v>
      </c>
      <c r="E1757" s="516">
        <v>5.6678355912619695E-3</v>
      </c>
      <c r="F1757" s="145">
        <v>3.0707236593393417E-2</v>
      </c>
      <c r="G1757" s="145">
        <v>9.599042805443366E-4</v>
      </c>
      <c r="H1757" s="517">
        <v>2.0000009999999999E-3</v>
      </c>
      <c r="I1757" s="517">
        <v>1.5750005000000004E-2</v>
      </c>
      <c r="J1757" s="148">
        <v>1.0426385349705507E-3</v>
      </c>
      <c r="K1757" s="518">
        <v>3.1740887498343084E-5</v>
      </c>
      <c r="L1757" s="519">
        <v>3.3176067232720302E-5</v>
      </c>
    </row>
    <row r="1758" spans="1:12" ht="15.5" x14ac:dyDescent="0.35">
      <c r="A1758" s="143" t="s">
        <v>960</v>
      </c>
      <c r="B1758" s="229">
        <v>2036</v>
      </c>
      <c r="C1758" s="514" t="s">
        <v>2604</v>
      </c>
      <c r="D1758" s="515">
        <v>2.6523419407415229E-2</v>
      </c>
      <c r="E1758" s="516">
        <v>5.1509133481023508E-3</v>
      </c>
      <c r="F1758" s="145">
        <v>2.9046587676782788E-2</v>
      </c>
      <c r="G1758" s="145">
        <v>9.0711255244597488E-4</v>
      </c>
      <c r="H1758" s="517">
        <v>2.0000010000000004E-3</v>
      </c>
      <c r="I1758" s="517">
        <v>1.5750005000000001E-2</v>
      </c>
      <c r="J1758" s="148">
        <v>9.8532384935334978E-4</v>
      </c>
      <c r="K1758" s="518">
        <v>2.9352397253514056E-5</v>
      </c>
      <c r="L1758" s="519">
        <v>3.0679578005635347E-5</v>
      </c>
    </row>
    <row r="1759" spans="1:12" ht="15.5" x14ac:dyDescent="0.35">
      <c r="A1759" s="143" t="s">
        <v>960</v>
      </c>
      <c r="B1759" s="229">
        <v>2037</v>
      </c>
      <c r="C1759" s="514" t="s">
        <v>2605</v>
      </c>
      <c r="D1759" s="515">
        <v>2.6296569528819883E-2</v>
      </c>
      <c r="E1759" s="516">
        <v>4.6985370420963022E-3</v>
      </c>
      <c r="F1759" s="145">
        <v>2.7633029443202919E-2</v>
      </c>
      <c r="G1759" s="145">
        <v>8.6028933361282994E-4</v>
      </c>
      <c r="H1759" s="517">
        <v>2.0000009999999995E-3</v>
      </c>
      <c r="I1759" s="517">
        <v>1.5750004999999997E-2</v>
      </c>
      <c r="J1759" s="148">
        <v>9.3446396902153734E-4</v>
      </c>
      <c r="K1759" s="518">
        <v>2.7828320233114174E-5</v>
      </c>
      <c r="L1759" s="519">
        <v>2.9086589639033426E-5</v>
      </c>
    </row>
    <row r="1760" spans="1:12" ht="15.5" x14ac:dyDescent="0.35">
      <c r="A1760" s="143" t="s">
        <v>960</v>
      </c>
      <c r="B1760" s="229">
        <v>2038</v>
      </c>
      <c r="C1760" s="514" t="s">
        <v>2606</v>
      </c>
      <c r="D1760" s="515">
        <v>2.6106244506498004E-2</v>
      </c>
      <c r="E1760" s="516">
        <v>4.2896104089270738E-3</v>
      </c>
      <c r="F1760" s="145">
        <v>2.6355645581711315E-2</v>
      </c>
      <c r="G1760" s="145">
        <v>8.1817770917592438E-4</v>
      </c>
      <c r="H1760" s="517">
        <v>2.0000010000000004E-3</v>
      </c>
      <c r="I1760" s="517">
        <v>1.5750004999999997E-2</v>
      </c>
      <c r="J1760" s="148">
        <v>8.8872364729772519E-4</v>
      </c>
      <c r="K1760" s="518">
        <v>2.6417140331755058E-5</v>
      </c>
      <c r="L1760" s="519">
        <v>2.7611606783095856E-5</v>
      </c>
    </row>
    <row r="1761" spans="1:12" ht="15.5" x14ac:dyDescent="0.35">
      <c r="A1761" s="143" t="s">
        <v>960</v>
      </c>
      <c r="B1761" s="229">
        <v>2039</v>
      </c>
      <c r="C1761" s="514" t="s">
        <v>2607</v>
      </c>
      <c r="D1761" s="515">
        <v>2.5947710200406121E-2</v>
      </c>
      <c r="E1761" s="516">
        <v>3.8969896452088581E-3</v>
      </c>
      <c r="F1761" s="145">
        <v>2.5132453582435991E-2</v>
      </c>
      <c r="G1761" s="145">
        <v>7.8034387039790313E-4</v>
      </c>
      <c r="H1761" s="517">
        <v>2.0000009999999999E-3</v>
      </c>
      <c r="I1761" s="517">
        <v>1.5750005000000001E-2</v>
      </c>
      <c r="J1761" s="148">
        <v>8.4762333244897041E-4</v>
      </c>
      <c r="K1761" s="518">
        <v>2.5295962584353687E-5</v>
      </c>
      <c r="L1761" s="519">
        <v>2.6439731950985362E-5</v>
      </c>
    </row>
    <row r="1762" spans="1:12" ht="15.5" x14ac:dyDescent="0.35">
      <c r="A1762" s="143" t="s">
        <v>960</v>
      </c>
      <c r="B1762" s="229">
        <v>2040</v>
      </c>
      <c r="C1762" s="514" t="s">
        <v>2608</v>
      </c>
      <c r="D1762" s="515">
        <v>2.5816240159025818E-2</v>
      </c>
      <c r="E1762" s="516">
        <v>3.5552028576747137E-3</v>
      </c>
      <c r="F1762" s="145">
        <v>2.413194158084548E-2</v>
      </c>
      <c r="G1762" s="145">
        <v>7.4690455765660411E-4</v>
      </c>
      <c r="H1762" s="517">
        <v>2.0000009999999999E-3</v>
      </c>
      <c r="I1762" s="517">
        <v>1.5750005000000001E-2</v>
      </c>
      <c r="J1762" s="148">
        <v>8.1129694023030267E-4</v>
      </c>
      <c r="K1762" s="518">
        <v>2.4297068886824221E-5</v>
      </c>
      <c r="L1762" s="519">
        <v>2.5395677044359571E-5</v>
      </c>
    </row>
    <row r="1763" spans="1:12" ht="15.5" x14ac:dyDescent="0.35">
      <c r="A1763" s="143" t="s">
        <v>960</v>
      </c>
      <c r="B1763" s="229">
        <v>2041</v>
      </c>
      <c r="C1763" s="514" t="s">
        <v>2609</v>
      </c>
      <c r="D1763" s="515">
        <v>2.5708947264768699E-2</v>
      </c>
      <c r="E1763" s="516">
        <v>3.3082160723547356E-3</v>
      </c>
      <c r="F1763" s="145">
        <v>2.3381569015700706E-2</v>
      </c>
      <c r="G1763" s="145">
        <v>7.2158493574212674E-4</v>
      </c>
      <c r="H1763" s="517">
        <v>2.0000009999999999E-3</v>
      </c>
      <c r="I1763" s="517">
        <v>1.5750005000000001E-2</v>
      </c>
      <c r="J1763" s="148">
        <v>7.8379318522788226E-4</v>
      </c>
      <c r="K1763" s="518">
        <v>2.3501485192298005E-5</v>
      </c>
      <c r="L1763" s="519">
        <v>2.4564121662485571E-5</v>
      </c>
    </row>
    <row r="1764" spans="1:12" ht="15.5" x14ac:dyDescent="0.35">
      <c r="A1764" s="143" t="s">
        <v>960</v>
      </c>
      <c r="B1764" s="229">
        <v>2042</v>
      </c>
      <c r="C1764" s="514" t="s">
        <v>2610</v>
      </c>
      <c r="D1764" s="515">
        <v>2.5620362236389749E-2</v>
      </c>
      <c r="E1764" s="516">
        <v>3.0945104218160521E-3</v>
      </c>
      <c r="F1764" s="145">
        <v>2.2686224789795567E-2</v>
      </c>
      <c r="G1764" s="145">
        <v>6.9965479003136907E-4</v>
      </c>
      <c r="H1764" s="517">
        <v>2.0000010000000004E-3</v>
      </c>
      <c r="I1764" s="517">
        <v>1.5750005000000004E-2</v>
      </c>
      <c r="J1764" s="148">
        <v>7.5997493048903094E-4</v>
      </c>
      <c r="K1764" s="518">
        <v>2.2741356293083068E-5</v>
      </c>
      <c r="L1764" s="519">
        <v>2.3769613965369555E-5</v>
      </c>
    </row>
    <row r="1765" spans="1:12" ht="15.5" x14ac:dyDescent="0.35">
      <c r="A1765" s="143" t="s">
        <v>960</v>
      </c>
      <c r="B1765" s="229">
        <v>2043</v>
      </c>
      <c r="C1765" s="514" t="s">
        <v>2611</v>
      </c>
      <c r="D1765" s="515">
        <v>2.5547907898388959E-2</v>
      </c>
      <c r="E1765" s="516">
        <v>2.9334134747628043E-3</v>
      </c>
      <c r="F1765" s="145">
        <v>2.2166574754649056E-2</v>
      </c>
      <c r="G1765" s="145">
        <v>6.8103231803735181E-4</v>
      </c>
      <c r="H1765" s="517">
        <v>2.0000009999999999E-3</v>
      </c>
      <c r="I1765" s="517">
        <v>1.5750005000000001E-2</v>
      </c>
      <c r="J1765" s="148">
        <v>7.3974506037315221E-4</v>
      </c>
      <c r="K1765" s="518">
        <v>2.2177457497456085E-5</v>
      </c>
      <c r="L1765" s="519">
        <v>2.3180224887936132E-5</v>
      </c>
    </row>
    <row r="1766" spans="1:12" ht="15.5" x14ac:dyDescent="0.35">
      <c r="A1766" s="143" t="s">
        <v>960</v>
      </c>
      <c r="B1766" s="229">
        <v>2044</v>
      </c>
      <c r="C1766" s="514" t="s">
        <v>2612</v>
      </c>
      <c r="D1766" s="515">
        <v>2.5488562234181961E-2</v>
      </c>
      <c r="E1766" s="516">
        <v>2.811885764591644E-3</v>
      </c>
      <c r="F1766" s="145">
        <v>2.1747420193408362E-2</v>
      </c>
      <c r="G1766" s="145">
        <v>6.6510638192557542E-4</v>
      </c>
      <c r="H1766" s="517">
        <v>2.0000009999999995E-3</v>
      </c>
      <c r="I1766" s="517">
        <v>1.5750005000000001E-2</v>
      </c>
      <c r="J1766" s="148">
        <v>7.2244657460853237E-4</v>
      </c>
      <c r="K1766" s="518">
        <v>2.1643574002528444E-5</v>
      </c>
      <c r="L1766" s="519">
        <v>2.2622201248192882E-5</v>
      </c>
    </row>
    <row r="1767" spans="1:12" ht="15.5" x14ac:dyDescent="0.35">
      <c r="A1767" s="143" t="s">
        <v>960</v>
      </c>
      <c r="B1767" s="229">
        <v>2045</v>
      </c>
      <c r="C1767" s="514" t="s">
        <v>2613</v>
      </c>
      <c r="D1767" s="515">
        <v>2.5438521605278833E-2</v>
      </c>
      <c r="E1767" s="516">
        <v>2.7305660375148669E-3</v>
      </c>
      <c r="F1767" s="145">
        <v>2.146742222969741E-2</v>
      </c>
      <c r="G1767" s="145">
        <v>6.5164377633959139E-4</v>
      </c>
      <c r="H1767" s="517">
        <v>2.0000009999999999E-3</v>
      </c>
      <c r="I1767" s="517">
        <v>1.5750005000000001E-2</v>
      </c>
      <c r="J1767" s="148">
        <v>7.0782058032963966E-4</v>
      </c>
      <c r="K1767" s="518">
        <v>2.1268358418686051E-5</v>
      </c>
      <c r="L1767" s="519">
        <v>2.2230022405292925E-5</v>
      </c>
    </row>
    <row r="1768" spans="1:12" ht="15.5" x14ac:dyDescent="0.35">
      <c r="A1768" s="143" t="s">
        <v>960</v>
      </c>
      <c r="B1768" s="229">
        <v>2046</v>
      </c>
      <c r="C1768" s="514" t="s">
        <v>2614</v>
      </c>
      <c r="D1768" s="515">
        <v>2.5397469672619095E-2</v>
      </c>
      <c r="E1768" s="516">
        <v>2.6597727206530927E-3</v>
      </c>
      <c r="F1768" s="145">
        <v>2.1237449341479853E-2</v>
      </c>
      <c r="G1768" s="145">
        <v>6.4020679683726006E-4</v>
      </c>
      <c r="H1768" s="517">
        <v>2.0000009999999999E-3</v>
      </c>
      <c r="I1768" s="517">
        <v>1.5750005000000004E-2</v>
      </c>
      <c r="J1768" s="148">
        <v>6.9539913222408788E-4</v>
      </c>
      <c r="K1768" s="518">
        <v>2.0865213715409615E-5</v>
      </c>
      <c r="L1768" s="519">
        <v>2.1808646736952202E-5</v>
      </c>
    </row>
    <row r="1769" spans="1:12" ht="15.5" x14ac:dyDescent="0.35">
      <c r="A1769" s="143" t="s">
        <v>960</v>
      </c>
      <c r="B1769" s="229">
        <v>2047</v>
      </c>
      <c r="C1769" s="514" t="s">
        <v>2615</v>
      </c>
      <c r="D1769" s="515">
        <v>2.5363113049144969E-2</v>
      </c>
      <c r="E1769" s="516">
        <v>2.5992314943593235E-3</v>
      </c>
      <c r="F1769" s="145">
        <v>2.1037803632442217E-2</v>
      </c>
      <c r="G1769" s="145">
        <v>6.3077109026130475E-4</v>
      </c>
      <c r="H1769" s="517">
        <v>2.0000009999999999E-3</v>
      </c>
      <c r="I1769" s="517">
        <v>1.5750005000000001E-2</v>
      </c>
      <c r="J1769" s="148">
        <v>6.8514862579586739E-4</v>
      </c>
      <c r="K1769" s="518">
        <v>2.0589037745194074E-5</v>
      </c>
      <c r="L1769" s="519">
        <v>2.1519986358203802E-5</v>
      </c>
    </row>
    <row r="1770" spans="1:12" ht="15.5" x14ac:dyDescent="0.35">
      <c r="A1770" s="143" t="s">
        <v>960</v>
      </c>
      <c r="B1770" s="229">
        <v>2048</v>
      </c>
      <c r="C1770" s="514" t="s">
        <v>2616</v>
      </c>
      <c r="D1770" s="515">
        <v>2.5334691631056075E-2</v>
      </c>
      <c r="E1770" s="516">
        <v>2.549402828619696E-3</v>
      </c>
      <c r="F1770" s="145">
        <v>2.0866622904301503E-2</v>
      </c>
      <c r="G1770" s="145">
        <v>6.2280201877293827E-4</v>
      </c>
      <c r="H1770" s="517">
        <v>2.0000010000000004E-3</v>
      </c>
      <c r="I1770" s="517">
        <v>1.5750005000000001E-2</v>
      </c>
      <c r="J1770" s="148">
        <v>6.7649538982106805E-4</v>
      </c>
      <c r="K1770" s="518">
        <v>2.0267063199746446E-5</v>
      </c>
      <c r="L1770" s="519">
        <v>2.1183448859420969E-5</v>
      </c>
    </row>
    <row r="1771" spans="1:12" ht="15.5" x14ac:dyDescent="0.35">
      <c r="A1771" s="143" t="s">
        <v>960</v>
      </c>
      <c r="B1771" s="229">
        <v>2049</v>
      </c>
      <c r="C1771" s="514" t="s">
        <v>2617</v>
      </c>
      <c r="D1771" s="515">
        <v>2.5310681382556433E-2</v>
      </c>
      <c r="E1771" s="516">
        <v>2.5310548408864937E-3</v>
      </c>
      <c r="F1771" s="145">
        <v>2.0859757150860799E-2</v>
      </c>
      <c r="G1771" s="145">
        <v>6.1781955861126925E-4</v>
      </c>
      <c r="H1771" s="517">
        <v>2.0000009999999999E-3</v>
      </c>
      <c r="I1771" s="517">
        <v>1.5750004999999997E-2</v>
      </c>
      <c r="J1771" s="148">
        <v>6.7108636214528977E-4</v>
      </c>
      <c r="K1771" s="518">
        <v>2.0020521499926093E-5</v>
      </c>
      <c r="L1771" s="519">
        <v>2.0925762314367179E-5</v>
      </c>
    </row>
    <row r="1772" spans="1:12" ht="15.5" x14ac:dyDescent="0.35">
      <c r="A1772" s="143" t="s">
        <v>960</v>
      </c>
      <c r="B1772" s="229">
        <v>2050</v>
      </c>
      <c r="C1772" s="514" t="s">
        <v>2618</v>
      </c>
      <c r="D1772" s="515">
        <v>2.5291616562298763E-2</v>
      </c>
      <c r="E1772" s="516">
        <v>2.5160299730216497E-3</v>
      </c>
      <c r="F1772" s="145">
        <v>2.0853243546603967E-2</v>
      </c>
      <c r="G1772" s="145">
        <v>6.1364996499292375E-4</v>
      </c>
      <c r="H1772" s="517">
        <v>2.0000010000000004E-3</v>
      </c>
      <c r="I1772" s="517">
        <v>1.5750005000000001E-2</v>
      </c>
      <c r="J1772" s="148">
        <v>6.6656711812814894E-4</v>
      </c>
      <c r="K1772" s="518">
        <v>1.9663750901916867E-5</v>
      </c>
      <c r="L1772" s="519">
        <v>2.0552861662522389E-5</v>
      </c>
    </row>
    <row r="1773" spans="1:12" ht="15.5" x14ac:dyDescent="0.35">
      <c r="A1773" s="143" t="s">
        <v>963</v>
      </c>
      <c r="B1773" s="229">
        <v>2015</v>
      </c>
      <c r="C1773" s="514" t="s">
        <v>964</v>
      </c>
      <c r="D1773" s="515">
        <v>4.378196953764283E-2</v>
      </c>
      <c r="E1773" s="516">
        <v>4.7370707223634879E-2</v>
      </c>
      <c r="F1773" s="145">
        <v>0.18608743439640224</v>
      </c>
      <c r="G1773" s="145">
        <v>1.7664141363437254E-3</v>
      </c>
      <c r="H1773" s="517">
        <v>2.0000010000000004E-3</v>
      </c>
      <c r="I1773" s="517">
        <v>1.5750005000000001E-2</v>
      </c>
      <c r="J1773" s="148">
        <v>1.911901626944112E-3</v>
      </c>
      <c r="K1773" s="518">
        <v>1.3962789297980793E-4</v>
      </c>
      <c r="L1773" s="519">
        <v>1.4594125087168648E-4</v>
      </c>
    </row>
    <row r="1774" spans="1:12" ht="15.5" x14ac:dyDescent="0.35">
      <c r="A1774" s="143" t="s">
        <v>963</v>
      </c>
      <c r="B1774" s="229">
        <v>2016</v>
      </c>
      <c r="C1774" s="514" t="s">
        <v>965</v>
      </c>
      <c r="D1774" s="515">
        <v>4.2902823980212675E-2</v>
      </c>
      <c r="E1774" s="516">
        <v>3.9531979750493274E-2</v>
      </c>
      <c r="F1774" s="145">
        <v>0.15754512349237049</v>
      </c>
      <c r="G1774" s="145">
        <v>1.6983085390288916E-3</v>
      </c>
      <c r="H1774" s="517">
        <v>2.0000009999999999E-3</v>
      </c>
      <c r="I1774" s="517">
        <v>1.5750005000000001E-2</v>
      </c>
      <c r="J1774" s="148">
        <v>1.8395049901245978E-3</v>
      </c>
      <c r="K1774" s="518">
        <v>1.2476962704026194E-4</v>
      </c>
      <c r="L1774" s="519">
        <v>1.3041115543880027E-4</v>
      </c>
    </row>
    <row r="1775" spans="1:12" ht="15.5" x14ac:dyDescent="0.35">
      <c r="A1775" s="143" t="s">
        <v>963</v>
      </c>
      <c r="B1775" s="229">
        <v>2017</v>
      </c>
      <c r="C1775" s="514" t="s">
        <v>2619</v>
      </c>
      <c r="D1775" s="515">
        <v>4.1863455776178157E-2</v>
      </c>
      <c r="E1775" s="516">
        <v>3.2463851739599175E-2</v>
      </c>
      <c r="F1775" s="145">
        <v>0.13361718416369378</v>
      </c>
      <c r="G1775" s="145">
        <v>1.6478620122386501E-3</v>
      </c>
      <c r="H1775" s="517">
        <v>2.0000009999999995E-3</v>
      </c>
      <c r="I1775" s="517">
        <v>1.5750004999999997E-2</v>
      </c>
      <c r="J1775" s="148">
        <v>1.7859968525564304E-3</v>
      </c>
      <c r="K1775" s="518">
        <v>1.133481205530976E-4</v>
      </c>
      <c r="L1775" s="519">
        <v>1.1847321912655642E-4</v>
      </c>
    </row>
    <row r="1776" spans="1:12" ht="15.5" x14ac:dyDescent="0.35">
      <c r="A1776" s="143" t="s">
        <v>963</v>
      </c>
      <c r="B1776" s="229">
        <v>2018</v>
      </c>
      <c r="C1776" s="514" t="s">
        <v>2620</v>
      </c>
      <c r="D1776" s="515">
        <v>4.0776070944582792E-2</v>
      </c>
      <c r="E1776" s="516">
        <v>2.6673175339701184E-2</v>
      </c>
      <c r="F1776" s="145">
        <v>0.11320719918001759</v>
      </c>
      <c r="G1776" s="145">
        <v>1.6315025656367809E-3</v>
      </c>
      <c r="H1776" s="517">
        <v>2.0000009999999995E-3</v>
      </c>
      <c r="I1776" s="517">
        <v>1.5750004999999997E-2</v>
      </c>
      <c r="J1776" s="148">
        <v>1.7692137020509913E-3</v>
      </c>
      <c r="K1776" s="518">
        <v>1.0398307832115422E-4</v>
      </c>
      <c r="L1776" s="519">
        <v>1.0868473156807374E-4</v>
      </c>
    </row>
    <row r="1777" spans="1:12" ht="15.5" x14ac:dyDescent="0.35">
      <c r="A1777" s="143" t="s">
        <v>963</v>
      </c>
      <c r="B1777" s="229">
        <v>2019</v>
      </c>
      <c r="C1777" s="514" t="s">
        <v>2621</v>
      </c>
      <c r="D1777" s="515">
        <v>3.9656575225744221E-2</v>
      </c>
      <c r="E1777" s="516">
        <v>2.1790548572957497E-2</v>
      </c>
      <c r="F1777" s="145">
        <v>9.5951866606097905E-2</v>
      </c>
      <c r="G1777" s="145">
        <v>1.6243206772286929E-3</v>
      </c>
      <c r="H1777" s="517">
        <v>2.0000009999999999E-3</v>
      </c>
      <c r="I1777" s="517">
        <v>1.5750005000000001E-2</v>
      </c>
      <c r="J1777" s="148">
        <v>1.7622428626120536E-3</v>
      </c>
      <c r="K1777" s="518">
        <v>9.5287882505335638E-5</v>
      </c>
      <c r="L1777" s="519">
        <v>9.9596376511209986E-5</v>
      </c>
    </row>
    <row r="1778" spans="1:12" ht="15.5" x14ac:dyDescent="0.35">
      <c r="A1778" s="143" t="s">
        <v>963</v>
      </c>
      <c r="B1778" s="229">
        <v>2020</v>
      </c>
      <c r="C1778" s="514" t="s">
        <v>2622</v>
      </c>
      <c r="D1778" s="515">
        <v>3.8517335630256479E-2</v>
      </c>
      <c r="E1778" s="516">
        <v>1.8314152040140447E-2</v>
      </c>
      <c r="F1778" s="145">
        <v>8.1828573415233488E-2</v>
      </c>
      <c r="G1778" s="145">
        <v>1.5916424829246418E-3</v>
      </c>
      <c r="H1778" s="517">
        <v>2.0000009999999995E-3</v>
      </c>
      <c r="I1778" s="517">
        <v>1.5750005000000001E-2</v>
      </c>
      <c r="J1778" s="148">
        <v>1.7271105404834219E-3</v>
      </c>
      <c r="K1778" s="518">
        <v>8.862582115009982E-5</v>
      </c>
      <c r="L1778" s="519">
        <v>9.2633084549098184E-5</v>
      </c>
    </row>
    <row r="1779" spans="1:12" ht="15.5" x14ac:dyDescent="0.35">
      <c r="A1779" s="143" t="s">
        <v>963</v>
      </c>
      <c r="B1779" s="229">
        <v>2021</v>
      </c>
      <c r="C1779" s="514" t="s">
        <v>2623</v>
      </c>
      <c r="D1779" s="515">
        <v>3.7399034173851424E-2</v>
      </c>
      <c r="E1779" s="516">
        <v>1.5567149199081309E-2</v>
      </c>
      <c r="F1779" s="145">
        <v>7.0150736724500631E-2</v>
      </c>
      <c r="G1779" s="145">
        <v>1.521671484127244E-3</v>
      </c>
      <c r="H1779" s="517">
        <v>2.0000009999999999E-3</v>
      </c>
      <c r="I1779" s="517">
        <v>1.5750005000000001E-2</v>
      </c>
      <c r="J1779" s="148">
        <v>1.6513867076411945E-3</v>
      </c>
      <c r="K1779" s="518">
        <v>8.1310766900278395E-5</v>
      </c>
      <c r="L1779" s="519">
        <v>8.4987273560783406E-5</v>
      </c>
    </row>
    <row r="1780" spans="1:12" ht="15.5" x14ac:dyDescent="0.35">
      <c r="A1780" s="143" t="s">
        <v>963</v>
      </c>
      <c r="B1780" s="229">
        <v>2022</v>
      </c>
      <c r="C1780" s="514" t="s">
        <v>2624</v>
      </c>
      <c r="D1780" s="515">
        <v>3.6265391121762969E-2</v>
      </c>
      <c r="E1780" s="516">
        <v>1.317110766094196E-2</v>
      </c>
      <c r="F1780" s="145">
        <v>6.0412248421937723E-2</v>
      </c>
      <c r="G1780" s="145">
        <v>1.4514848361202079E-3</v>
      </c>
      <c r="H1780" s="517">
        <v>2.0000009999999999E-3</v>
      </c>
      <c r="I1780" s="517">
        <v>1.5750005000000001E-2</v>
      </c>
      <c r="J1780" s="148">
        <v>1.5754322903584017E-3</v>
      </c>
      <c r="K1780" s="518">
        <v>7.4398821753470163E-5</v>
      </c>
      <c r="L1780" s="519">
        <v>7.7762804242299241E-5</v>
      </c>
    </row>
    <row r="1781" spans="1:12" ht="15.5" x14ac:dyDescent="0.35">
      <c r="A1781" s="143" t="s">
        <v>963</v>
      </c>
      <c r="B1781" s="229">
        <v>2023</v>
      </c>
      <c r="C1781" s="514" t="s">
        <v>2625</v>
      </c>
      <c r="D1781" s="515">
        <v>3.5141548983058254E-2</v>
      </c>
      <c r="E1781" s="516">
        <v>1.1339802188689466E-2</v>
      </c>
      <c r="F1781" s="145">
        <v>5.2500545388787095E-2</v>
      </c>
      <c r="G1781" s="145">
        <v>1.3861539988728705E-3</v>
      </c>
      <c r="H1781" s="517">
        <v>2.0000009999999999E-3</v>
      </c>
      <c r="I1781" s="517">
        <v>1.5750005000000001E-2</v>
      </c>
      <c r="J1781" s="148">
        <v>1.5047183106295155E-3</v>
      </c>
      <c r="K1781" s="518">
        <v>6.6814940462955153E-5</v>
      </c>
      <c r="L1781" s="519">
        <v>6.9836017690566284E-5</v>
      </c>
    </row>
    <row r="1782" spans="1:12" ht="15.5" x14ac:dyDescent="0.35">
      <c r="A1782" s="143" t="s">
        <v>963</v>
      </c>
      <c r="B1782" s="229">
        <v>2024</v>
      </c>
      <c r="C1782" s="514" t="s">
        <v>2626</v>
      </c>
      <c r="D1782" s="515">
        <v>3.4032972382346899E-2</v>
      </c>
      <c r="E1782" s="516">
        <v>9.8181150303557584E-3</v>
      </c>
      <c r="F1782" s="145">
        <v>4.6031213314529008E-2</v>
      </c>
      <c r="G1782" s="145">
        <v>1.326797870387421E-3</v>
      </c>
      <c r="H1782" s="517">
        <v>2.0000010000000004E-3</v>
      </c>
      <c r="I1782" s="517">
        <v>1.5750005000000001E-2</v>
      </c>
      <c r="J1782" s="148">
        <v>1.4404974756906637E-3</v>
      </c>
      <c r="K1782" s="518">
        <v>5.929329613327194E-5</v>
      </c>
      <c r="L1782" s="519">
        <v>6.1974271941008381E-5</v>
      </c>
    </row>
    <row r="1783" spans="1:12" ht="15.5" x14ac:dyDescent="0.35">
      <c r="A1783" s="143" t="s">
        <v>963</v>
      </c>
      <c r="B1783" s="229">
        <v>2025</v>
      </c>
      <c r="C1783" s="514" t="s">
        <v>2627</v>
      </c>
      <c r="D1783" s="515">
        <v>3.293687056745695E-2</v>
      </c>
      <c r="E1783" s="516">
        <v>8.584087673033057E-3</v>
      </c>
      <c r="F1783" s="145">
        <v>4.0860980603605684E-2</v>
      </c>
      <c r="G1783" s="145">
        <v>1.2752375927087202E-3</v>
      </c>
      <c r="H1783" s="517">
        <v>2.0000010000000004E-3</v>
      </c>
      <c r="I1783" s="517">
        <v>1.5750005000000004E-2</v>
      </c>
      <c r="J1783" s="148">
        <v>1.3847030087731508E-3</v>
      </c>
      <c r="K1783" s="518">
        <v>5.2712855851620151E-5</v>
      </c>
      <c r="L1783" s="519">
        <v>5.5096298997250762E-5</v>
      </c>
    </row>
    <row r="1784" spans="1:12" ht="15.5" x14ac:dyDescent="0.35">
      <c r="A1784" s="143" t="s">
        <v>963</v>
      </c>
      <c r="B1784" s="229">
        <v>2026</v>
      </c>
      <c r="C1784" s="514" t="s">
        <v>2628</v>
      </c>
      <c r="D1784" s="515">
        <v>3.1952049127119873E-2</v>
      </c>
      <c r="E1784" s="516">
        <v>7.595468748492029E-3</v>
      </c>
      <c r="F1784" s="145">
        <v>3.676586819449499E-2</v>
      </c>
      <c r="G1784" s="145">
        <v>1.225994485497319E-3</v>
      </c>
      <c r="H1784" s="517">
        <v>2.0000009999999999E-3</v>
      </c>
      <c r="I1784" s="517">
        <v>1.5750005000000001E-2</v>
      </c>
      <c r="J1784" s="148">
        <v>1.3313695536677577E-3</v>
      </c>
      <c r="K1784" s="518">
        <v>4.745457972522732E-5</v>
      </c>
      <c r="L1784" s="519">
        <v>4.9600268786890138E-5</v>
      </c>
    </row>
    <row r="1785" spans="1:12" ht="15.5" x14ac:dyDescent="0.35">
      <c r="A1785" s="143" t="s">
        <v>963</v>
      </c>
      <c r="B1785" s="229">
        <v>2027</v>
      </c>
      <c r="C1785" s="514" t="s">
        <v>2629</v>
      </c>
      <c r="D1785" s="515">
        <v>3.1063274168250318E-2</v>
      </c>
      <c r="E1785" s="516">
        <v>6.7407764556959727E-3</v>
      </c>
      <c r="F1785" s="145">
        <v>3.3350761857540233E-2</v>
      </c>
      <c r="G1785" s="145">
        <v>1.1620806792540432E-3</v>
      </c>
      <c r="H1785" s="517">
        <v>2.0000009999999999E-3</v>
      </c>
      <c r="I1785" s="517">
        <v>1.5750005000000001E-2</v>
      </c>
      <c r="J1785" s="148">
        <v>1.2621500107565622E-3</v>
      </c>
      <c r="K1785" s="518">
        <v>4.0561447512544627E-5</v>
      </c>
      <c r="L1785" s="519">
        <v>4.2395458355760874E-5</v>
      </c>
    </row>
    <row r="1786" spans="1:12" ht="15.5" x14ac:dyDescent="0.35">
      <c r="A1786" s="143" t="s">
        <v>963</v>
      </c>
      <c r="B1786" s="229">
        <v>2028</v>
      </c>
      <c r="C1786" s="514" t="s">
        <v>2630</v>
      </c>
      <c r="D1786" s="515">
        <v>3.0269959658289838E-2</v>
      </c>
      <c r="E1786" s="516">
        <v>6.0331865799338729E-3</v>
      </c>
      <c r="F1786" s="145">
        <v>3.0588552589963604E-2</v>
      </c>
      <c r="G1786" s="145">
        <v>1.0928165620722021E-3</v>
      </c>
      <c r="H1786" s="517">
        <v>2.0000010000000004E-3</v>
      </c>
      <c r="I1786" s="517">
        <v>1.5750005000000001E-2</v>
      </c>
      <c r="J1786" s="148">
        <v>1.1870245625599752E-3</v>
      </c>
      <c r="K1786" s="518">
        <v>3.5706179267799417E-5</v>
      </c>
      <c r="L1786" s="519">
        <v>3.732065082314218E-5</v>
      </c>
    </row>
    <row r="1787" spans="1:12" ht="15.5" x14ac:dyDescent="0.35">
      <c r="A1787" s="143" t="s">
        <v>963</v>
      </c>
      <c r="B1787" s="229">
        <v>2029</v>
      </c>
      <c r="C1787" s="514" t="s">
        <v>2631</v>
      </c>
      <c r="D1787" s="515">
        <v>2.9562890316212172E-2</v>
      </c>
      <c r="E1787" s="516">
        <v>5.4240125383808058E-3</v>
      </c>
      <c r="F1787" s="145">
        <v>2.8291017818160125E-2</v>
      </c>
      <c r="G1787" s="145">
        <v>1.0259697863017343E-3</v>
      </c>
      <c r="H1787" s="517">
        <v>2.0000009999999995E-3</v>
      </c>
      <c r="I1787" s="517">
        <v>1.5750004999999997E-2</v>
      </c>
      <c r="J1787" s="148">
        <v>1.1144817480657782E-3</v>
      </c>
      <c r="K1787" s="518">
        <v>3.1950191960289153E-5</v>
      </c>
      <c r="L1787" s="519">
        <v>3.3394835932615432E-5</v>
      </c>
    </row>
    <row r="1788" spans="1:12" ht="15.5" x14ac:dyDescent="0.35">
      <c r="A1788" s="143" t="s">
        <v>963</v>
      </c>
      <c r="B1788" s="229">
        <v>2030</v>
      </c>
      <c r="C1788" s="514" t="s">
        <v>2632</v>
      </c>
      <c r="D1788" s="515">
        <v>2.8935833997329772E-2</v>
      </c>
      <c r="E1788" s="516">
        <v>4.9134266606628918E-3</v>
      </c>
      <c r="F1788" s="145">
        <v>2.6417560099937204E-2</v>
      </c>
      <c r="G1788" s="145">
        <v>9.6233400860101998E-4</v>
      </c>
      <c r="H1788" s="517">
        <v>2.0000009999999999E-3</v>
      </c>
      <c r="I1788" s="517">
        <v>1.5750004999999997E-2</v>
      </c>
      <c r="J1788" s="148">
        <v>1.0454205738559441E-3</v>
      </c>
      <c r="K1788" s="518">
        <v>2.8454861629516073E-5</v>
      </c>
      <c r="L1788" s="519">
        <v>2.9741460470790186E-5</v>
      </c>
    </row>
    <row r="1789" spans="1:12" ht="15.5" x14ac:dyDescent="0.35">
      <c r="A1789" s="143" t="s">
        <v>963</v>
      </c>
      <c r="B1789" s="229">
        <v>2031</v>
      </c>
      <c r="C1789" s="514" t="s">
        <v>2633</v>
      </c>
      <c r="D1789" s="515">
        <v>2.8382783433992562E-2</v>
      </c>
      <c r="E1789" s="516">
        <v>4.4724673747633115E-3</v>
      </c>
      <c r="F1789" s="145">
        <v>2.4858860111663886E-2</v>
      </c>
      <c r="G1789" s="145">
        <v>9.0335022213240289E-4</v>
      </c>
      <c r="H1789" s="517">
        <v>2.0000009999999995E-3</v>
      </c>
      <c r="I1789" s="517">
        <v>1.5750005000000001E-2</v>
      </c>
      <c r="J1789" s="148">
        <v>9.8135987902544879E-4</v>
      </c>
      <c r="K1789" s="518">
        <v>2.6338548264462931E-5</v>
      </c>
      <c r="L1789" s="519">
        <v>2.7529462953140952E-5</v>
      </c>
    </row>
    <row r="1790" spans="1:12" ht="15.5" x14ac:dyDescent="0.35">
      <c r="A1790" s="143" t="s">
        <v>963</v>
      </c>
      <c r="B1790" s="229">
        <v>2032</v>
      </c>
      <c r="C1790" s="514" t="s">
        <v>2634</v>
      </c>
      <c r="D1790" s="515">
        <v>2.7897330159890477E-2</v>
      </c>
      <c r="E1790" s="516">
        <v>4.0918424086626949E-3</v>
      </c>
      <c r="F1790" s="145">
        <v>2.3577537379538816E-2</v>
      </c>
      <c r="G1790" s="145">
        <v>8.4820996261324719E-4</v>
      </c>
      <c r="H1790" s="517">
        <v>2.0000009999999999E-3</v>
      </c>
      <c r="I1790" s="517">
        <v>1.5750005000000001E-2</v>
      </c>
      <c r="J1790" s="148">
        <v>9.2147522066836829E-4</v>
      </c>
      <c r="K1790" s="518">
        <v>2.4313081528823649E-5</v>
      </c>
      <c r="L1790" s="519">
        <v>2.5412407696372078E-5</v>
      </c>
    </row>
    <row r="1791" spans="1:12" ht="15.5" x14ac:dyDescent="0.35">
      <c r="A1791" s="143" t="s">
        <v>963</v>
      </c>
      <c r="B1791" s="229">
        <v>2033</v>
      </c>
      <c r="C1791" s="514" t="s">
        <v>2635</v>
      </c>
      <c r="D1791" s="515">
        <v>2.7474093973365404E-2</v>
      </c>
      <c r="E1791" s="516">
        <v>3.7622982693194681E-3</v>
      </c>
      <c r="F1791" s="145">
        <v>2.2515082095029105E-2</v>
      </c>
      <c r="G1791" s="145">
        <v>7.9761938449243188E-4</v>
      </c>
      <c r="H1791" s="517">
        <v>2.0000009999999995E-3</v>
      </c>
      <c r="I1791" s="517">
        <v>1.5750005000000001E-2</v>
      </c>
      <c r="J1791" s="148">
        <v>8.6651312357675632E-4</v>
      </c>
      <c r="K1791" s="518">
        <v>2.2906054276049787E-5</v>
      </c>
      <c r="L1791" s="519">
        <v>2.3941765525183351E-5</v>
      </c>
    </row>
    <row r="1792" spans="1:12" ht="15.5" x14ac:dyDescent="0.35">
      <c r="A1792" s="143" t="s">
        <v>963</v>
      </c>
      <c r="B1792" s="229">
        <v>2034</v>
      </c>
      <c r="C1792" s="514" t="s">
        <v>2636</v>
      </c>
      <c r="D1792" s="515">
        <v>2.7107167990630256E-2</v>
      </c>
      <c r="E1792" s="516">
        <v>3.4734278139374884E-3</v>
      </c>
      <c r="F1792" s="145">
        <v>2.1641186186961429E-2</v>
      </c>
      <c r="G1792" s="145">
        <v>7.5112936728144572E-4</v>
      </c>
      <c r="H1792" s="517">
        <v>2.0000009999999999E-3</v>
      </c>
      <c r="I1792" s="517">
        <v>1.5750005000000001E-2</v>
      </c>
      <c r="J1792" s="148">
        <v>8.1600409078713915E-4</v>
      </c>
      <c r="K1792" s="518">
        <v>2.1651389765134518E-5</v>
      </c>
      <c r="L1792" s="519">
        <v>2.2630369750809555E-5</v>
      </c>
    </row>
    <row r="1793" spans="1:12" ht="15.5" x14ac:dyDescent="0.35">
      <c r="A1793" s="143" t="s">
        <v>963</v>
      </c>
      <c r="B1793" s="229">
        <v>2035</v>
      </c>
      <c r="C1793" s="514" t="s">
        <v>2637</v>
      </c>
      <c r="D1793" s="515">
        <v>2.6792213057316959E-2</v>
      </c>
      <c r="E1793" s="516">
        <v>3.2187843379122769E-3</v>
      </c>
      <c r="F1793" s="145">
        <v>2.0916575265479711E-2</v>
      </c>
      <c r="G1793" s="145">
        <v>7.0867459820309986E-4</v>
      </c>
      <c r="H1793" s="517">
        <v>2.0000010000000004E-3</v>
      </c>
      <c r="I1793" s="517">
        <v>1.5750005000000001E-2</v>
      </c>
      <c r="J1793" s="148">
        <v>7.6988094220129465E-4</v>
      </c>
      <c r="K1793" s="518">
        <v>2.0457387292645458E-5</v>
      </c>
      <c r="L1793" s="519">
        <v>2.138237657995022E-5</v>
      </c>
    </row>
    <row r="1794" spans="1:12" ht="15.5" x14ac:dyDescent="0.35">
      <c r="A1794" s="143" t="s">
        <v>963</v>
      </c>
      <c r="B1794" s="229">
        <v>2036</v>
      </c>
      <c r="C1794" s="514" t="s">
        <v>2638</v>
      </c>
      <c r="D1794" s="515">
        <v>2.6523419406828331E-2</v>
      </c>
      <c r="E1794" s="516">
        <v>2.9960598080662672E-3</v>
      </c>
      <c r="F1794" s="145">
        <v>2.0316688258092696E-2</v>
      </c>
      <c r="G1794" s="145">
        <v>6.7154698717147984E-4</v>
      </c>
      <c r="H1794" s="517">
        <v>2.0000009999999999E-3</v>
      </c>
      <c r="I1794" s="517">
        <v>1.5750005000000004E-2</v>
      </c>
      <c r="J1794" s="148">
        <v>7.2954632317687206E-4</v>
      </c>
      <c r="K1794" s="518">
        <v>1.9412822463121175E-5</v>
      </c>
      <c r="L1794" s="519">
        <v>2.0290585712739578E-5</v>
      </c>
    </row>
    <row r="1795" spans="1:12" ht="15.5" x14ac:dyDescent="0.35">
      <c r="A1795" s="143" t="s">
        <v>963</v>
      </c>
      <c r="B1795" s="229">
        <v>2037</v>
      </c>
      <c r="C1795" s="514" t="s">
        <v>2639</v>
      </c>
      <c r="D1795" s="515">
        <v>2.6296569528056962E-2</v>
      </c>
      <c r="E1795" s="516">
        <v>2.8065695467757511E-3</v>
      </c>
      <c r="F1795" s="145">
        <v>1.9830187381360252E-2</v>
      </c>
      <c r="G1795" s="145">
        <v>6.386726001374268E-4</v>
      </c>
      <c r="H1795" s="517">
        <v>2.0000009999999999E-3</v>
      </c>
      <c r="I1795" s="517">
        <v>1.5750005000000004E-2</v>
      </c>
      <c r="J1795" s="148">
        <v>6.9383025068779094E-4</v>
      </c>
      <c r="K1795" s="518">
        <v>1.8520375521654288E-5</v>
      </c>
      <c r="L1795" s="519">
        <v>1.9357783292213576E-5</v>
      </c>
    </row>
    <row r="1796" spans="1:12" ht="15.5" x14ac:dyDescent="0.35">
      <c r="A1796" s="143" t="s">
        <v>963</v>
      </c>
      <c r="B1796" s="229">
        <v>2038</v>
      </c>
      <c r="C1796" s="514" t="s">
        <v>2640</v>
      </c>
      <c r="D1796" s="515">
        <v>2.610624450682628E-2</v>
      </c>
      <c r="E1796" s="516">
        <v>2.6383229989326187E-3</v>
      </c>
      <c r="F1796" s="145">
        <v>1.9406780816128209E-2</v>
      </c>
      <c r="G1796" s="145">
        <v>6.0971150646011113E-4</v>
      </c>
      <c r="H1796" s="517">
        <v>2.0000009999999999E-3</v>
      </c>
      <c r="I1796" s="517">
        <v>1.5750005000000004E-2</v>
      </c>
      <c r="J1796" s="148">
        <v>6.6236313982035876E-4</v>
      </c>
      <c r="K1796" s="518">
        <v>1.7788879871549893E-5</v>
      </c>
      <c r="L1796" s="519">
        <v>1.8593206454915883E-5</v>
      </c>
    </row>
    <row r="1797" spans="1:12" ht="15.5" x14ac:dyDescent="0.35">
      <c r="A1797" s="143" t="s">
        <v>963</v>
      </c>
      <c r="B1797" s="229">
        <v>2039</v>
      </c>
      <c r="C1797" s="514" t="s">
        <v>2641</v>
      </c>
      <c r="D1797" s="515">
        <v>2.594771020203682E-2</v>
      </c>
      <c r="E1797" s="516">
        <v>2.485474083734104E-3</v>
      </c>
      <c r="F1797" s="145">
        <v>1.9030401836902276E-2</v>
      </c>
      <c r="G1797" s="145">
        <v>5.8438071133279357E-4</v>
      </c>
      <c r="H1797" s="517">
        <v>2.0000009999999999E-3</v>
      </c>
      <c r="I1797" s="517">
        <v>1.5750005000000004E-2</v>
      </c>
      <c r="J1797" s="148">
        <v>6.3483912222040112E-4</v>
      </c>
      <c r="K1797" s="518">
        <v>1.7183440137391832E-5</v>
      </c>
      <c r="L1797" s="519">
        <v>1.7960399707647186E-5</v>
      </c>
    </row>
    <row r="1798" spans="1:12" ht="15.5" x14ac:dyDescent="0.35">
      <c r="A1798" s="143" t="s">
        <v>963</v>
      </c>
      <c r="B1798" s="229">
        <v>2040</v>
      </c>
      <c r="C1798" s="514" t="s">
        <v>2642</v>
      </c>
      <c r="D1798" s="515">
        <v>2.5816240156698027E-2</v>
      </c>
      <c r="E1798" s="516">
        <v>2.34838290776735E-3</v>
      </c>
      <c r="F1798" s="145">
        <v>1.8709327478321526E-2</v>
      </c>
      <c r="G1798" s="145">
        <v>5.6245852385969906E-4</v>
      </c>
      <c r="H1798" s="517">
        <v>2.0000009999999995E-3</v>
      </c>
      <c r="I1798" s="517">
        <v>1.5750004999999997E-2</v>
      </c>
      <c r="J1798" s="148">
        <v>6.1101914403494746E-4</v>
      </c>
      <c r="K1798" s="518">
        <v>1.6659734421620013E-5</v>
      </c>
      <c r="L1798" s="519">
        <v>1.7413018575934838E-5</v>
      </c>
    </row>
    <row r="1799" spans="1:12" ht="15.5" x14ac:dyDescent="0.35">
      <c r="A1799" s="143" t="s">
        <v>963</v>
      </c>
      <c r="B1799" s="229">
        <v>2041</v>
      </c>
      <c r="C1799" s="514" t="s">
        <v>2643</v>
      </c>
      <c r="D1799" s="515">
        <v>2.5708947266265571E-2</v>
      </c>
      <c r="E1799" s="516">
        <v>2.2383396352617501E-3</v>
      </c>
      <c r="F1799" s="145">
        <v>1.8455484044044294E-2</v>
      </c>
      <c r="G1799" s="145">
        <v>5.4502973874276123E-4</v>
      </c>
      <c r="H1799" s="517">
        <v>2.0000009999999999E-3</v>
      </c>
      <c r="I1799" s="517">
        <v>1.5750004999999997E-2</v>
      </c>
      <c r="J1799" s="148">
        <v>5.9208084738229794E-4</v>
      </c>
      <c r="K1799" s="518">
        <v>1.6246609096352487E-5</v>
      </c>
      <c r="L1799" s="519">
        <v>1.6981202675798716E-5</v>
      </c>
    </row>
    <row r="1800" spans="1:12" ht="15.5" x14ac:dyDescent="0.35">
      <c r="A1800" s="143" t="s">
        <v>963</v>
      </c>
      <c r="B1800" s="229">
        <v>2042</v>
      </c>
      <c r="C1800" s="514" t="s">
        <v>2644</v>
      </c>
      <c r="D1800" s="515">
        <v>2.5620362238605737E-2</v>
      </c>
      <c r="E1800" s="516">
        <v>2.145873859952564E-3</v>
      </c>
      <c r="F1800" s="145">
        <v>1.8232219936950241E-2</v>
      </c>
      <c r="G1800" s="145">
        <v>5.3037778519810451E-4</v>
      </c>
      <c r="H1800" s="517">
        <v>2.0000009999999999E-3</v>
      </c>
      <c r="I1800" s="517">
        <v>1.5750005000000001E-2</v>
      </c>
      <c r="J1800" s="148">
        <v>5.761597344496578E-4</v>
      </c>
      <c r="K1800" s="518">
        <v>1.5911954650689687E-5</v>
      </c>
      <c r="L1800" s="519">
        <v>1.6631427120360233E-5</v>
      </c>
    </row>
    <row r="1801" spans="1:12" ht="15.5" x14ac:dyDescent="0.35">
      <c r="A1801" s="143" t="s">
        <v>963</v>
      </c>
      <c r="B1801" s="229">
        <v>2043</v>
      </c>
      <c r="C1801" s="514" t="s">
        <v>2645</v>
      </c>
      <c r="D1801" s="515">
        <v>2.5547907896786771E-2</v>
      </c>
      <c r="E1801" s="516">
        <v>2.0761143955923293E-3</v>
      </c>
      <c r="F1801" s="145">
        <v>1.8067953355913307E-2</v>
      </c>
      <c r="G1801" s="145">
        <v>5.1816882653100418E-4</v>
      </c>
      <c r="H1801" s="517">
        <v>2.0000009999999999E-3</v>
      </c>
      <c r="I1801" s="517">
        <v>1.5750005000000001E-2</v>
      </c>
      <c r="J1801" s="148">
        <v>5.6289335156863875E-4</v>
      </c>
      <c r="K1801" s="518">
        <v>1.5635235003883549E-5</v>
      </c>
      <c r="L1801" s="519">
        <v>1.6342198385862998E-5</v>
      </c>
    </row>
    <row r="1802" spans="1:12" ht="15.5" x14ac:dyDescent="0.35">
      <c r="A1802" s="143" t="s">
        <v>963</v>
      </c>
      <c r="B1802" s="229">
        <v>2044</v>
      </c>
      <c r="C1802" s="514" t="s">
        <v>2646</v>
      </c>
      <c r="D1802" s="515">
        <v>2.548856223466962E-2</v>
      </c>
      <c r="E1802" s="516">
        <v>2.0252832823474749E-3</v>
      </c>
      <c r="F1802" s="145">
        <v>1.79442202458917E-2</v>
      </c>
      <c r="G1802" s="145">
        <v>5.080690123076834E-4</v>
      </c>
      <c r="H1802" s="517">
        <v>2.0000009999999995E-3</v>
      </c>
      <c r="I1802" s="517">
        <v>1.5750005000000001E-2</v>
      </c>
      <c r="J1802" s="148">
        <v>5.5191793144240581E-4</v>
      </c>
      <c r="K1802" s="518">
        <v>1.5418737835284536E-5</v>
      </c>
      <c r="L1802" s="519">
        <v>1.611590812562174E-5</v>
      </c>
    </row>
    <row r="1803" spans="1:12" ht="15.5" x14ac:dyDescent="0.35">
      <c r="A1803" s="143" t="s">
        <v>963</v>
      </c>
      <c r="B1803" s="229">
        <v>2045</v>
      </c>
      <c r="C1803" s="514" t="s">
        <v>2647</v>
      </c>
      <c r="D1803" s="515">
        <v>2.5438521605770495E-2</v>
      </c>
      <c r="E1803" s="516">
        <v>1.9921543801300207E-3</v>
      </c>
      <c r="F1803" s="145">
        <v>1.7870794306911564E-2</v>
      </c>
      <c r="G1803" s="145">
        <v>4.9975901397570938E-4</v>
      </c>
      <c r="H1803" s="517">
        <v>2.0000009999999995E-3</v>
      </c>
      <c r="I1803" s="517">
        <v>1.5750005000000001E-2</v>
      </c>
      <c r="J1803" s="148">
        <v>5.4288702996029112E-4</v>
      </c>
      <c r="K1803" s="518">
        <v>1.5256506146442452E-5</v>
      </c>
      <c r="L1803" s="519">
        <v>1.5946332332711419E-5</v>
      </c>
    </row>
    <row r="1804" spans="1:12" ht="15.5" x14ac:dyDescent="0.35">
      <c r="A1804" s="143" t="s">
        <v>963</v>
      </c>
      <c r="B1804" s="229">
        <v>2046</v>
      </c>
      <c r="C1804" s="514" t="s">
        <v>2648</v>
      </c>
      <c r="D1804" s="515">
        <v>2.5397469671269057E-2</v>
      </c>
      <c r="E1804" s="516">
        <v>1.9637999637953114E-3</v>
      </c>
      <c r="F1804" s="145">
        <v>1.7809575496373964E-2</v>
      </c>
      <c r="G1804" s="145">
        <v>4.9297158518398182E-4</v>
      </c>
      <c r="H1804" s="517">
        <v>2.0000009999999999E-3</v>
      </c>
      <c r="I1804" s="517">
        <v>1.5750005000000001E-2</v>
      </c>
      <c r="J1804" s="148">
        <v>5.3551052908405467E-4</v>
      </c>
      <c r="K1804" s="518">
        <v>1.5129915269609489E-5</v>
      </c>
      <c r="L1804" s="519">
        <v>1.5814024110016153E-5</v>
      </c>
    </row>
    <row r="1805" spans="1:12" ht="15.5" x14ac:dyDescent="0.35">
      <c r="A1805" s="143" t="s">
        <v>963</v>
      </c>
      <c r="B1805" s="229">
        <v>2047</v>
      </c>
      <c r="C1805" s="514" t="s">
        <v>2649</v>
      </c>
      <c r="D1805" s="515">
        <v>2.5363113051428635E-2</v>
      </c>
      <c r="E1805" s="516">
        <v>1.9392375388385867E-3</v>
      </c>
      <c r="F1805" s="145">
        <v>1.7752184313411804E-2</v>
      </c>
      <c r="G1805" s="145">
        <v>4.8746112126254006E-4</v>
      </c>
      <c r="H1805" s="517">
        <v>2.0000009999999999E-3</v>
      </c>
      <c r="I1805" s="517">
        <v>1.5750005000000001E-2</v>
      </c>
      <c r="J1805" s="148">
        <v>5.2952188691640157E-4</v>
      </c>
      <c r="K1805" s="518">
        <v>1.5022244111423535E-5</v>
      </c>
      <c r="L1805" s="519">
        <v>1.5701483297177422E-5</v>
      </c>
    </row>
    <row r="1806" spans="1:12" ht="15.5" x14ac:dyDescent="0.35">
      <c r="A1806" s="143" t="s">
        <v>963</v>
      </c>
      <c r="B1806" s="229">
        <v>2048</v>
      </c>
      <c r="C1806" s="514" t="s">
        <v>2650</v>
      </c>
      <c r="D1806" s="515">
        <v>2.5334691631467818E-2</v>
      </c>
      <c r="E1806" s="516">
        <v>1.9195912971115355E-3</v>
      </c>
      <c r="F1806" s="145">
        <v>1.7705090809796365E-2</v>
      </c>
      <c r="G1806" s="145">
        <v>4.8301207079147436E-4</v>
      </c>
      <c r="H1806" s="517">
        <v>2.0000009999999999E-3</v>
      </c>
      <c r="I1806" s="517">
        <v>1.5750005000000001E-2</v>
      </c>
      <c r="J1806" s="148">
        <v>5.2468732261302031E-4</v>
      </c>
      <c r="K1806" s="518">
        <v>1.4925799044114405E-5</v>
      </c>
      <c r="L1806" s="519">
        <v>1.5600678835107531E-5</v>
      </c>
    </row>
    <row r="1807" spans="1:12" ht="15.5" x14ac:dyDescent="0.35">
      <c r="A1807" s="143" t="s">
        <v>963</v>
      </c>
      <c r="B1807" s="229">
        <v>2049</v>
      </c>
      <c r="C1807" s="514" t="s">
        <v>2651</v>
      </c>
      <c r="D1807" s="515">
        <v>2.5310681380887906E-2</v>
      </c>
      <c r="E1807" s="516">
        <v>1.9115329807683223E-3</v>
      </c>
      <c r="F1807" s="145">
        <v>1.7716706751837411E-2</v>
      </c>
      <c r="G1807" s="145">
        <v>4.8004737200685777E-4</v>
      </c>
      <c r="H1807" s="517">
        <v>2.0000010000000004E-3</v>
      </c>
      <c r="I1807" s="517">
        <v>1.5750005000000001E-2</v>
      </c>
      <c r="J1807" s="148">
        <v>5.2146557358587989E-4</v>
      </c>
      <c r="K1807" s="518">
        <v>1.486100743610125E-5</v>
      </c>
      <c r="L1807" s="519">
        <v>1.5532955947947093E-5</v>
      </c>
    </row>
    <row r="1808" spans="1:12" ht="15.5" x14ac:dyDescent="0.35">
      <c r="A1808" s="143" t="s">
        <v>963</v>
      </c>
      <c r="B1808" s="229">
        <v>2050</v>
      </c>
      <c r="C1808" s="514" t="s">
        <v>2652</v>
      </c>
      <c r="D1808" s="515">
        <v>2.5291616562071333E-2</v>
      </c>
      <c r="E1808" s="516">
        <v>1.905242990374142E-3</v>
      </c>
      <c r="F1808" s="145">
        <v>1.7728376439269181E-2</v>
      </c>
      <c r="G1808" s="145">
        <v>4.7772018157796284E-4</v>
      </c>
      <c r="H1808" s="517">
        <v>2.0000010000000004E-3</v>
      </c>
      <c r="I1808" s="517">
        <v>1.5750005000000001E-2</v>
      </c>
      <c r="J1808" s="148">
        <v>5.1893698794360204E-4</v>
      </c>
      <c r="K1808" s="518">
        <v>1.4804470579038004E-5</v>
      </c>
      <c r="L1808" s="519">
        <v>1.5473866667539176E-5</v>
      </c>
    </row>
    <row r="1809" spans="1:12" ht="15.5" x14ac:dyDescent="0.35">
      <c r="A1809" s="143" t="s">
        <v>966</v>
      </c>
      <c r="B1809" s="229">
        <v>2015</v>
      </c>
      <c r="C1809" s="514" t="s">
        <v>967</v>
      </c>
      <c r="D1809" s="515">
        <v>4.226693240758124E-2</v>
      </c>
      <c r="E1809" s="516">
        <v>6.6626097835202819E-2</v>
      </c>
      <c r="F1809" s="145">
        <v>0.24214840885564412</v>
      </c>
      <c r="G1809" s="145">
        <v>2.4236089117415003E-3</v>
      </c>
      <c r="H1809" s="517">
        <v>2.0000009999999991E-3</v>
      </c>
      <c r="I1809" s="517">
        <v>1.5750004999999997E-2</v>
      </c>
      <c r="J1809" s="148">
        <v>2.6167741868849395E-3</v>
      </c>
      <c r="K1809" s="518">
        <v>3.2966215568613639E-4</v>
      </c>
      <c r="L1809" s="519">
        <v>3.4456801356899501E-4</v>
      </c>
    </row>
    <row r="1810" spans="1:12" ht="15.5" x14ac:dyDescent="0.35">
      <c r="A1810" s="143" t="s">
        <v>966</v>
      </c>
      <c r="B1810" s="229">
        <v>2016</v>
      </c>
      <c r="C1810" s="514" t="s">
        <v>968</v>
      </c>
      <c r="D1810" s="515">
        <v>4.1406525583103058E-2</v>
      </c>
      <c r="E1810" s="516">
        <v>5.4882764590955341E-2</v>
      </c>
      <c r="F1810" s="145">
        <v>0.20620033251603834</v>
      </c>
      <c r="G1810" s="145">
        <v>2.221035581057974E-3</v>
      </c>
      <c r="H1810" s="517">
        <v>2.0000010000000004E-3</v>
      </c>
      <c r="I1810" s="517">
        <v>1.5750005000000004E-2</v>
      </c>
      <c r="J1810" s="148">
        <v>2.4000663358511743E-3</v>
      </c>
      <c r="K1810" s="518">
        <v>2.8307164053927752E-4</v>
      </c>
      <c r="L1810" s="519">
        <v>2.9587088459970897E-4</v>
      </c>
    </row>
    <row r="1811" spans="1:12" ht="15.5" x14ac:dyDescent="0.35">
      <c r="A1811" s="143" t="s">
        <v>966</v>
      </c>
      <c r="B1811" s="229">
        <v>2017</v>
      </c>
      <c r="C1811" s="514" t="s">
        <v>2653</v>
      </c>
      <c r="D1811" s="515">
        <v>4.0469408850819399E-2</v>
      </c>
      <c r="E1811" s="516">
        <v>4.5146108851962727E-2</v>
      </c>
      <c r="F1811" s="145">
        <v>0.17537235557729608</v>
      </c>
      <c r="G1811" s="145">
        <v>2.0967690125739389E-3</v>
      </c>
      <c r="H1811" s="517">
        <v>2.0000010000000004E-3</v>
      </c>
      <c r="I1811" s="517">
        <v>1.5750005000000001E-2</v>
      </c>
      <c r="J1811" s="148">
        <v>2.2674229332141378E-3</v>
      </c>
      <c r="K1811" s="518">
        <v>2.5391731284244784E-4</v>
      </c>
      <c r="L1811" s="519">
        <v>2.6539832368193908E-4</v>
      </c>
    </row>
    <row r="1812" spans="1:12" ht="15.5" x14ac:dyDescent="0.35">
      <c r="A1812" s="143" t="s">
        <v>966</v>
      </c>
      <c r="B1812" s="229">
        <v>2018</v>
      </c>
      <c r="C1812" s="514" t="s">
        <v>2654</v>
      </c>
      <c r="D1812" s="515">
        <v>3.9474615691288788E-2</v>
      </c>
      <c r="E1812" s="516">
        <v>3.7074536114335338E-2</v>
      </c>
      <c r="F1812" s="145">
        <v>0.14876344660486143</v>
      </c>
      <c r="G1812" s="145">
        <v>2.0156627258736226E-3</v>
      </c>
      <c r="H1812" s="517">
        <v>2.0000009999999991E-3</v>
      </c>
      <c r="I1812" s="517">
        <v>1.5750004999999997E-2</v>
      </c>
      <c r="J1812" s="148">
        <v>2.1812464203047883E-3</v>
      </c>
      <c r="K1812" s="518">
        <v>2.2752660253226516E-4</v>
      </c>
      <c r="L1812" s="519">
        <v>2.3781434239763361E-4</v>
      </c>
    </row>
    <row r="1813" spans="1:12" ht="15.5" x14ac:dyDescent="0.35">
      <c r="A1813" s="143" t="s">
        <v>966</v>
      </c>
      <c r="B1813" s="229">
        <v>2019</v>
      </c>
      <c r="C1813" s="514" t="s">
        <v>2655</v>
      </c>
      <c r="D1813" s="515">
        <v>3.8445634140041034E-2</v>
      </c>
      <c r="E1813" s="516">
        <v>3.0566805455717792E-2</v>
      </c>
      <c r="F1813" s="145">
        <v>0.12637018892002896</v>
      </c>
      <c r="G1813" s="145">
        <v>1.9573930154156609E-3</v>
      </c>
      <c r="H1813" s="517">
        <v>2.0000009999999999E-3</v>
      </c>
      <c r="I1813" s="517">
        <v>1.5750005000000001E-2</v>
      </c>
      <c r="J1813" s="148">
        <v>2.1194353839988469E-3</v>
      </c>
      <c r="K1813" s="518">
        <v>2.0494159120026064E-4</v>
      </c>
      <c r="L1813" s="519">
        <v>2.1420814205659928E-4</v>
      </c>
    </row>
    <row r="1814" spans="1:12" ht="15.5" x14ac:dyDescent="0.35">
      <c r="A1814" s="143" t="s">
        <v>966</v>
      </c>
      <c r="B1814" s="229">
        <v>2020</v>
      </c>
      <c r="C1814" s="514" t="s">
        <v>2656</v>
      </c>
      <c r="D1814" s="515">
        <v>3.7394513457429536E-2</v>
      </c>
      <c r="E1814" s="516">
        <v>2.5651551515654146E-2</v>
      </c>
      <c r="F1814" s="145">
        <v>0.10777746114414351</v>
      </c>
      <c r="G1814" s="145">
        <v>1.8803272722371308E-3</v>
      </c>
      <c r="H1814" s="517">
        <v>2.0000010000000004E-3</v>
      </c>
      <c r="I1814" s="517">
        <v>1.5750005000000004E-2</v>
      </c>
      <c r="J1814" s="148">
        <v>2.0367260745690558E-3</v>
      </c>
      <c r="K1814" s="518">
        <v>1.8415894681055923E-4</v>
      </c>
      <c r="L1814" s="519">
        <v>1.9248579561601277E-4</v>
      </c>
    </row>
    <row r="1815" spans="1:12" ht="15.5" x14ac:dyDescent="0.35">
      <c r="A1815" s="143" t="s">
        <v>966</v>
      </c>
      <c r="B1815" s="229">
        <v>2021</v>
      </c>
      <c r="C1815" s="514" t="s">
        <v>2657</v>
      </c>
      <c r="D1815" s="515">
        <v>3.6329253577408141E-2</v>
      </c>
      <c r="E1815" s="516">
        <v>2.1793526145655075E-2</v>
      </c>
      <c r="F1815" s="145">
        <v>9.2242312207605315E-2</v>
      </c>
      <c r="G1815" s="145">
        <v>1.7744876720010602E-3</v>
      </c>
      <c r="H1815" s="517">
        <v>2.0000010000000004E-3</v>
      </c>
      <c r="I1815" s="517">
        <v>1.5750005000000004E-2</v>
      </c>
      <c r="J1815" s="148">
        <v>1.9225347675130631E-3</v>
      </c>
      <c r="K1815" s="518">
        <v>1.6535639323477162E-4</v>
      </c>
      <c r="L1815" s="519">
        <v>1.7283307935639638E-4</v>
      </c>
    </row>
    <row r="1816" spans="1:12" ht="15.5" x14ac:dyDescent="0.35">
      <c r="A1816" s="143" t="s">
        <v>966</v>
      </c>
      <c r="B1816" s="229">
        <v>2022</v>
      </c>
      <c r="C1816" s="514" t="s">
        <v>2658</v>
      </c>
      <c r="D1816" s="515">
        <v>3.5277998699249032E-2</v>
      </c>
      <c r="E1816" s="516">
        <v>1.7909855871294952E-2</v>
      </c>
      <c r="F1816" s="145">
        <v>7.8581626565965998E-2</v>
      </c>
      <c r="G1816" s="145">
        <v>1.6732804580869209E-3</v>
      </c>
      <c r="H1816" s="517">
        <v>2.0000009999999995E-3</v>
      </c>
      <c r="I1816" s="517">
        <v>1.5750004999999997E-2</v>
      </c>
      <c r="J1816" s="148">
        <v>1.8134451746958881E-3</v>
      </c>
      <c r="K1816" s="518">
        <v>1.4876792320056095E-4</v>
      </c>
      <c r="L1816" s="519">
        <v>1.5549454779543079E-4</v>
      </c>
    </row>
    <row r="1817" spans="1:12" ht="15.5" x14ac:dyDescent="0.35">
      <c r="A1817" s="143" t="s">
        <v>966</v>
      </c>
      <c r="B1817" s="229">
        <v>2023</v>
      </c>
      <c r="C1817" s="514" t="s">
        <v>2659</v>
      </c>
      <c r="D1817" s="515">
        <v>3.423183783355041E-2</v>
      </c>
      <c r="E1817" s="516">
        <v>1.5306366409917572E-2</v>
      </c>
      <c r="F1817" s="145">
        <v>6.7860837438005112E-2</v>
      </c>
      <c r="G1817" s="145">
        <v>1.581135077288252E-3</v>
      </c>
      <c r="H1817" s="517">
        <v>2.0000009999999995E-3</v>
      </c>
      <c r="I1817" s="517">
        <v>1.5750004999999997E-2</v>
      </c>
      <c r="J1817" s="148">
        <v>1.7140572439103214E-3</v>
      </c>
      <c r="K1817" s="518">
        <v>1.3026693276158735E-4</v>
      </c>
      <c r="L1817" s="519">
        <v>1.3615702372547219E-4</v>
      </c>
    </row>
    <row r="1818" spans="1:12" ht="15.5" x14ac:dyDescent="0.35">
      <c r="A1818" s="143" t="s">
        <v>966</v>
      </c>
      <c r="B1818" s="229">
        <v>2024</v>
      </c>
      <c r="C1818" s="514" t="s">
        <v>2660</v>
      </c>
      <c r="D1818" s="515">
        <v>3.319572797212695E-2</v>
      </c>
      <c r="E1818" s="516">
        <v>1.3133654889261402E-2</v>
      </c>
      <c r="F1818" s="145">
        <v>5.9007396733409219E-2</v>
      </c>
      <c r="G1818" s="145">
        <v>1.4992326705926926E-3</v>
      </c>
      <c r="H1818" s="517">
        <v>2.0000009999999999E-3</v>
      </c>
      <c r="I1818" s="517">
        <v>1.5750005000000001E-2</v>
      </c>
      <c r="J1818" s="148">
        <v>1.6257501449324641E-3</v>
      </c>
      <c r="K1818" s="518">
        <v>1.130547980127474E-4</v>
      </c>
      <c r="L1818" s="519">
        <v>1.1816663663935138E-4</v>
      </c>
    </row>
    <row r="1819" spans="1:12" ht="15.5" x14ac:dyDescent="0.35">
      <c r="A1819" s="143" t="s">
        <v>966</v>
      </c>
      <c r="B1819" s="229">
        <v>2025</v>
      </c>
      <c r="C1819" s="514" t="s">
        <v>2661</v>
      </c>
      <c r="D1819" s="515">
        <v>3.2168635782590431E-2</v>
      </c>
      <c r="E1819" s="516">
        <v>1.1427972471119568E-2</v>
      </c>
      <c r="F1819" s="145">
        <v>5.2049118350323276E-2</v>
      </c>
      <c r="G1819" s="145">
        <v>1.4330395645129929E-3</v>
      </c>
      <c r="H1819" s="517">
        <v>2.0000009999999995E-3</v>
      </c>
      <c r="I1819" s="517">
        <v>1.5750005000000004E-2</v>
      </c>
      <c r="J1819" s="148">
        <v>1.5543304466165849E-3</v>
      </c>
      <c r="K1819" s="518">
        <v>9.9787802498440135E-5</v>
      </c>
      <c r="L1819" s="519">
        <v>1.0429976171649439E-4</v>
      </c>
    </row>
    <row r="1820" spans="1:12" ht="15.5" x14ac:dyDescent="0.35">
      <c r="A1820" s="143" t="s">
        <v>966</v>
      </c>
      <c r="B1820" s="229">
        <v>2026</v>
      </c>
      <c r="C1820" s="514" t="s">
        <v>2662</v>
      </c>
      <c r="D1820" s="515">
        <v>3.1241859751930813E-2</v>
      </c>
      <c r="E1820" s="516">
        <v>1.0013942437213499E-2</v>
      </c>
      <c r="F1820" s="145">
        <v>4.6435135322720283E-2</v>
      </c>
      <c r="G1820" s="145">
        <v>1.3646558412113679E-3</v>
      </c>
      <c r="H1820" s="517">
        <v>2.0000009999999995E-3</v>
      </c>
      <c r="I1820" s="517">
        <v>1.5750004999999997E-2</v>
      </c>
      <c r="J1820" s="148">
        <v>1.4805019109959986E-3</v>
      </c>
      <c r="K1820" s="518">
        <v>8.6955490263323438E-5</v>
      </c>
      <c r="L1820" s="519">
        <v>9.0887233223148407E-5</v>
      </c>
    </row>
    <row r="1821" spans="1:12" ht="15.5" x14ac:dyDescent="0.35">
      <c r="A1821" s="143" t="s">
        <v>966</v>
      </c>
      <c r="B1821" s="229">
        <v>2027</v>
      </c>
      <c r="C1821" s="514" t="s">
        <v>2663</v>
      </c>
      <c r="D1821" s="515">
        <v>3.0400419825366808E-2</v>
      </c>
      <c r="E1821" s="516">
        <v>8.827930949514888E-3</v>
      </c>
      <c r="F1821" s="145">
        <v>4.1749565809364932E-2</v>
      </c>
      <c r="G1821" s="145">
        <v>1.2847408776793948E-3</v>
      </c>
      <c r="H1821" s="517">
        <v>2.0000010000000004E-3</v>
      </c>
      <c r="I1821" s="517">
        <v>1.5750005000000001E-2</v>
      </c>
      <c r="J1821" s="148">
        <v>1.3943800399700878E-3</v>
      </c>
      <c r="K1821" s="518">
        <v>6.8261463721591754E-5</v>
      </c>
      <c r="L1821" s="519">
        <v>7.1347947887198196E-5</v>
      </c>
    </row>
    <row r="1822" spans="1:12" ht="15.5" x14ac:dyDescent="0.35">
      <c r="A1822" s="143" t="s">
        <v>966</v>
      </c>
      <c r="B1822" s="229">
        <v>2028</v>
      </c>
      <c r="C1822" s="514" t="s">
        <v>2664</v>
      </c>
      <c r="D1822" s="515">
        <v>2.9645026237383069E-2</v>
      </c>
      <c r="E1822" s="516">
        <v>7.8453772212724489E-3</v>
      </c>
      <c r="F1822" s="145">
        <v>3.7900636820084266E-2</v>
      </c>
      <c r="G1822" s="145">
        <v>1.2054978984148014E-3</v>
      </c>
      <c r="H1822" s="517">
        <v>2.0000009999999999E-3</v>
      </c>
      <c r="I1822" s="517">
        <v>1.5750005000000001E-2</v>
      </c>
      <c r="J1822" s="148">
        <v>1.3086599680578138E-3</v>
      </c>
      <c r="K1822" s="518">
        <v>5.7328580900682832E-5</v>
      </c>
      <c r="L1822" s="519">
        <v>5.992072999516237E-5</v>
      </c>
    </row>
    <row r="1823" spans="1:12" ht="15.5" x14ac:dyDescent="0.35">
      <c r="A1823" s="143" t="s">
        <v>966</v>
      </c>
      <c r="B1823" s="229">
        <v>2029</v>
      </c>
      <c r="C1823" s="514" t="s">
        <v>2665</v>
      </c>
      <c r="D1823" s="515">
        <v>2.8969254720822332E-2</v>
      </c>
      <c r="E1823" s="516">
        <v>6.9875256640760343E-3</v>
      </c>
      <c r="F1823" s="145">
        <v>3.4634027152558249E-2</v>
      </c>
      <c r="G1823" s="145">
        <v>1.1291596234241465E-3</v>
      </c>
      <c r="H1823" s="517">
        <v>2.0000009999999995E-3</v>
      </c>
      <c r="I1823" s="517">
        <v>1.5750004999999997E-2</v>
      </c>
      <c r="J1823" s="148">
        <v>1.2260181582265575E-3</v>
      </c>
      <c r="K1823" s="518">
        <v>4.8284058839784621E-5</v>
      </c>
      <c r="L1823" s="519">
        <v>5.0467249247059559E-5</v>
      </c>
    </row>
    <row r="1824" spans="1:12" ht="15.5" x14ac:dyDescent="0.35">
      <c r="A1824" s="143" t="s">
        <v>966</v>
      </c>
      <c r="B1824" s="229">
        <v>2030</v>
      </c>
      <c r="C1824" s="514" t="s">
        <v>2666</v>
      </c>
      <c r="D1824" s="515">
        <v>2.8368497782969647E-2</v>
      </c>
      <c r="E1824" s="516">
        <v>6.2700381773609865E-3</v>
      </c>
      <c r="F1824" s="145">
        <v>3.1938119880761888E-2</v>
      </c>
      <c r="G1824" s="145">
        <v>1.0573925703466747E-3</v>
      </c>
      <c r="H1824" s="517">
        <v>2.0000009999999999E-3</v>
      </c>
      <c r="I1824" s="517">
        <v>1.5750004999999997E-2</v>
      </c>
      <c r="J1824" s="148">
        <v>1.1482619543653478E-3</v>
      </c>
      <c r="K1824" s="518">
        <v>4.1273811178939581E-5</v>
      </c>
      <c r="L1824" s="519">
        <v>4.3140028770029169E-5</v>
      </c>
    </row>
    <row r="1825" spans="1:12" ht="15.5" x14ac:dyDescent="0.35">
      <c r="A1825" s="143" t="s">
        <v>966</v>
      </c>
      <c r="B1825" s="229">
        <v>2031</v>
      </c>
      <c r="C1825" s="514" t="s">
        <v>2667</v>
      </c>
      <c r="D1825" s="515">
        <v>2.7835856819652012E-2</v>
      </c>
      <c r="E1825" s="516">
        <v>5.6322688026958726E-3</v>
      </c>
      <c r="F1825" s="145">
        <v>2.9570603836830436E-2</v>
      </c>
      <c r="G1825" s="145">
        <v>9.9106884443071188E-4</v>
      </c>
      <c r="H1825" s="517">
        <v>2.0000009999999999E-3</v>
      </c>
      <c r="I1825" s="517">
        <v>1.5750005000000001E-2</v>
      </c>
      <c r="J1825" s="148">
        <v>1.0762904732204289E-3</v>
      </c>
      <c r="K1825" s="518">
        <v>3.7456463183647844E-5</v>
      </c>
      <c r="L1825" s="519">
        <v>3.9150079050466181E-5</v>
      </c>
    </row>
    <row r="1826" spans="1:12" ht="15.5" x14ac:dyDescent="0.35">
      <c r="A1826" s="143" t="s">
        <v>966</v>
      </c>
      <c r="B1826" s="229">
        <v>2032</v>
      </c>
      <c r="C1826" s="514" t="s">
        <v>2668</v>
      </c>
      <c r="D1826" s="515">
        <v>2.7366325167255495E-2</v>
      </c>
      <c r="E1826" s="516">
        <v>5.0988369395424419E-3</v>
      </c>
      <c r="F1826" s="145">
        <v>2.7691785955872801E-2</v>
      </c>
      <c r="G1826" s="145">
        <v>9.2921469702172217E-4</v>
      </c>
      <c r="H1826" s="517">
        <v>2.0000009999999999E-3</v>
      </c>
      <c r="I1826" s="517">
        <v>1.5750005000000001E-2</v>
      </c>
      <c r="J1826" s="148">
        <v>1.0091791072521237E-3</v>
      </c>
      <c r="K1826" s="518">
        <v>3.3658437330252668E-5</v>
      </c>
      <c r="L1826" s="519">
        <v>3.5180320650600905E-5</v>
      </c>
    </row>
    <row r="1827" spans="1:12" ht="15.5" x14ac:dyDescent="0.35">
      <c r="A1827" s="143" t="s">
        <v>966</v>
      </c>
      <c r="B1827" s="229">
        <v>2033</v>
      </c>
      <c r="C1827" s="514" t="s">
        <v>2669</v>
      </c>
      <c r="D1827" s="515">
        <v>2.6955071804066436E-2</v>
      </c>
      <c r="E1827" s="516">
        <v>4.6291536366668039E-3</v>
      </c>
      <c r="F1827" s="145">
        <v>2.6094498626548376E-2</v>
      </c>
      <c r="G1827" s="145">
        <v>8.7196659854970194E-4</v>
      </c>
      <c r="H1827" s="517">
        <v>2.0000009999999995E-3</v>
      </c>
      <c r="I1827" s="517">
        <v>1.5750004999999997E-2</v>
      </c>
      <c r="J1827" s="148">
        <v>9.4702916799745379E-4</v>
      </c>
      <c r="K1827" s="518">
        <v>3.1024631275925034E-5</v>
      </c>
      <c r="L1827" s="519">
        <v>3.2427430880749855E-5</v>
      </c>
    </row>
    <row r="1828" spans="1:12" ht="15.5" x14ac:dyDescent="0.35">
      <c r="A1828" s="143" t="s">
        <v>966</v>
      </c>
      <c r="B1828" s="229">
        <v>2034</v>
      </c>
      <c r="C1828" s="514" t="s">
        <v>2670</v>
      </c>
      <c r="D1828" s="515">
        <v>2.6596087629346996E-2</v>
      </c>
      <c r="E1828" s="516">
        <v>4.2145657874307109E-3</v>
      </c>
      <c r="F1828" s="145">
        <v>2.4757811709848952E-2</v>
      </c>
      <c r="G1828" s="145">
        <v>8.1877433531008317E-4</v>
      </c>
      <c r="H1828" s="517">
        <v>2.0000009999999999E-3</v>
      </c>
      <c r="I1828" s="517">
        <v>1.5750004999999997E-2</v>
      </c>
      <c r="J1828" s="148">
        <v>8.8927609486957578E-4</v>
      </c>
      <c r="K1828" s="518">
        <v>2.8681685760464461E-5</v>
      </c>
      <c r="L1828" s="519">
        <v>2.9978541799688332E-5</v>
      </c>
    </row>
    <row r="1829" spans="1:12" ht="15.5" x14ac:dyDescent="0.35">
      <c r="A1829" s="143" t="s">
        <v>966</v>
      </c>
      <c r="B1829" s="229">
        <v>2035</v>
      </c>
      <c r="C1829" s="514" t="s">
        <v>2671</v>
      </c>
      <c r="D1829" s="515">
        <v>2.6285221752569442E-2</v>
      </c>
      <c r="E1829" s="516">
        <v>3.8501850909684852E-3</v>
      </c>
      <c r="F1829" s="145">
        <v>2.364346992751399E-2</v>
      </c>
      <c r="G1829" s="145">
        <v>7.6981358435140293E-4</v>
      </c>
      <c r="H1829" s="517">
        <v>2.0000009999999999E-3</v>
      </c>
      <c r="I1829" s="517">
        <v>1.5750004999999997E-2</v>
      </c>
      <c r="J1829" s="148">
        <v>8.3611500628772242E-4</v>
      </c>
      <c r="K1829" s="518">
        <v>2.6607977244832878E-5</v>
      </c>
      <c r="L1829" s="519">
        <v>2.7811071584888332E-5</v>
      </c>
    </row>
    <row r="1830" spans="1:12" ht="15.5" x14ac:dyDescent="0.35">
      <c r="A1830" s="143" t="s">
        <v>966</v>
      </c>
      <c r="B1830" s="229">
        <v>2036</v>
      </c>
      <c r="C1830" s="514" t="s">
        <v>2672</v>
      </c>
      <c r="D1830" s="515">
        <v>2.6018178696214783E-2</v>
      </c>
      <c r="E1830" s="516">
        <v>3.5294269097429173E-3</v>
      </c>
      <c r="F1830" s="145">
        <v>2.2710168936589125E-2</v>
      </c>
      <c r="G1830" s="145">
        <v>7.2694205153408424E-4</v>
      </c>
      <c r="H1830" s="517">
        <v>2.0000009999999999E-3</v>
      </c>
      <c r="I1830" s="517">
        <v>1.5750005000000004E-2</v>
      </c>
      <c r="J1830" s="148">
        <v>7.8957072336834522E-4</v>
      </c>
      <c r="K1830" s="518">
        <v>2.4678439487251435E-5</v>
      </c>
      <c r="L1830" s="519">
        <v>2.5794296540818943E-5</v>
      </c>
    </row>
    <row r="1831" spans="1:12" ht="15.5" x14ac:dyDescent="0.35">
      <c r="A1831" s="143" t="s">
        <v>966</v>
      </c>
      <c r="B1831" s="229">
        <v>2037</v>
      </c>
      <c r="C1831" s="514" t="s">
        <v>2673</v>
      </c>
      <c r="D1831" s="515">
        <v>2.5791185919181038E-2</v>
      </c>
      <c r="E1831" s="516">
        <v>3.2616348732814517E-3</v>
      </c>
      <c r="F1831" s="145">
        <v>2.1966013006283366E-2</v>
      </c>
      <c r="G1831" s="145">
        <v>6.890242436516454E-4</v>
      </c>
      <c r="H1831" s="517">
        <v>2.0000009999999999E-3</v>
      </c>
      <c r="I1831" s="517">
        <v>1.5750005000000001E-2</v>
      </c>
      <c r="J1831" s="148">
        <v>7.4839503654393227E-4</v>
      </c>
      <c r="K1831" s="518">
        <v>2.3163565987610364E-5</v>
      </c>
      <c r="L1831" s="519">
        <v>2.421092116833884E-5</v>
      </c>
    </row>
    <row r="1832" spans="1:12" ht="15.5" x14ac:dyDescent="0.35">
      <c r="A1832" s="143" t="s">
        <v>966</v>
      </c>
      <c r="B1832" s="229">
        <v>2038</v>
      </c>
      <c r="C1832" s="514" t="s">
        <v>2674</v>
      </c>
      <c r="D1832" s="515">
        <v>2.5599993081768108E-2</v>
      </c>
      <c r="E1832" s="516">
        <v>3.0184529481667626E-3</v>
      </c>
      <c r="F1832" s="145">
        <v>2.1292195469224617E-2</v>
      </c>
      <c r="G1832" s="145">
        <v>6.5521556287301036E-4</v>
      </c>
      <c r="H1832" s="517">
        <v>2.0000009999999999E-3</v>
      </c>
      <c r="I1832" s="517">
        <v>1.5750004999999997E-2</v>
      </c>
      <c r="J1832" s="148">
        <v>7.1167960181483267E-4</v>
      </c>
      <c r="K1832" s="518">
        <v>2.1886014012520826E-5</v>
      </c>
      <c r="L1832" s="519">
        <v>2.2875598342351872E-5</v>
      </c>
    </row>
    <row r="1833" spans="1:12" ht="15.5" x14ac:dyDescent="0.35">
      <c r="A1833" s="143" t="s">
        <v>966</v>
      </c>
      <c r="B1833" s="229">
        <v>2039</v>
      </c>
      <c r="C1833" s="514" t="s">
        <v>2675</v>
      </c>
      <c r="D1833" s="515">
        <v>2.5439908816687767E-2</v>
      </c>
      <c r="E1833" s="516">
        <v>2.7958146374253397E-3</v>
      </c>
      <c r="F1833" s="145">
        <v>2.0687268442358082E-2</v>
      </c>
      <c r="G1833" s="145">
        <v>6.2535866386175941E-4</v>
      </c>
      <c r="H1833" s="517">
        <v>2.0000009999999999E-3</v>
      </c>
      <c r="I1833" s="517">
        <v>1.5750005000000001E-2</v>
      </c>
      <c r="J1833" s="148">
        <v>6.7925157675401322E-4</v>
      </c>
      <c r="K1833" s="518">
        <v>2.082390963429961E-5</v>
      </c>
      <c r="L1833" s="519">
        <v>2.1765475655427107E-5</v>
      </c>
    </row>
    <row r="1834" spans="1:12" ht="15.5" x14ac:dyDescent="0.35">
      <c r="A1834" s="143" t="s">
        <v>966</v>
      </c>
      <c r="B1834" s="229">
        <v>2040</v>
      </c>
      <c r="C1834" s="514" t="s">
        <v>2676</v>
      </c>
      <c r="D1834" s="515">
        <v>2.5306521537839591E-2</v>
      </c>
      <c r="E1834" s="516">
        <v>2.5964451355099923E-3</v>
      </c>
      <c r="F1834" s="145">
        <v>2.0178189631255315E-2</v>
      </c>
      <c r="G1834" s="145">
        <v>5.9925468664759351E-4</v>
      </c>
      <c r="H1834" s="517">
        <v>2.0000009999999999E-3</v>
      </c>
      <c r="I1834" s="517">
        <v>1.5750005000000001E-2</v>
      </c>
      <c r="J1834" s="148">
        <v>6.5089986575129046E-4</v>
      </c>
      <c r="K1834" s="518">
        <v>1.9915684381999505E-5</v>
      </c>
      <c r="L1834" s="519">
        <v>2.0816187528498713E-5</v>
      </c>
    </row>
    <row r="1835" spans="1:12" ht="15.5" x14ac:dyDescent="0.35">
      <c r="A1835" s="143" t="s">
        <v>966</v>
      </c>
      <c r="B1835" s="229">
        <v>2041</v>
      </c>
      <c r="C1835" s="514" t="s">
        <v>2677</v>
      </c>
      <c r="D1835" s="515">
        <v>2.5197330645570785E-2</v>
      </c>
      <c r="E1835" s="516">
        <v>2.4408831023113578E-3</v>
      </c>
      <c r="F1835" s="145">
        <v>1.9776963018175678E-2</v>
      </c>
      <c r="G1835" s="145">
        <v>5.7881464196404147E-4</v>
      </c>
      <c r="H1835" s="517">
        <v>2.0000009999999999E-3</v>
      </c>
      <c r="I1835" s="517">
        <v>1.5750005000000001E-2</v>
      </c>
      <c r="J1835" s="148">
        <v>6.2870157013805153E-4</v>
      </c>
      <c r="K1835" s="518">
        <v>1.9165663413065419E-5</v>
      </c>
      <c r="L1835" s="519">
        <v>2.0032255726449847E-5</v>
      </c>
    </row>
    <row r="1836" spans="1:12" ht="15.5" x14ac:dyDescent="0.35">
      <c r="A1836" s="143" t="s">
        <v>966</v>
      </c>
      <c r="B1836" s="229">
        <v>2042</v>
      </c>
      <c r="C1836" s="514" t="s">
        <v>2678</v>
      </c>
      <c r="D1836" s="515">
        <v>2.510720437495564E-2</v>
      </c>
      <c r="E1836" s="516">
        <v>2.3115348384304562E-3</v>
      </c>
      <c r="F1836" s="145">
        <v>1.9426880872274239E-2</v>
      </c>
      <c r="G1836" s="145">
        <v>5.61492072897617E-4</v>
      </c>
      <c r="H1836" s="517">
        <v>2.0000009999999999E-3</v>
      </c>
      <c r="I1836" s="517">
        <v>1.5750005000000001E-2</v>
      </c>
      <c r="J1836" s="148">
        <v>6.0988705231226361E-4</v>
      </c>
      <c r="K1836" s="518">
        <v>1.8564876551173104E-5</v>
      </c>
      <c r="L1836" s="519">
        <v>1.9404300600594559E-5</v>
      </c>
    </row>
    <row r="1837" spans="1:12" ht="15.5" x14ac:dyDescent="0.35">
      <c r="A1837" s="143" t="s">
        <v>966</v>
      </c>
      <c r="B1837" s="229">
        <v>2043</v>
      </c>
      <c r="C1837" s="514" t="s">
        <v>2679</v>
      </c>
      <c r="D1837" s="515">
        <v>2.503373646024417E-2</v>
      </c>
      <c r="E1837" s="516">
        <v>2.2144482545224443E-3</v>
      </c>
      <c r="F1837" s="145">
        <v>1.9168829589661176E-2</v>
      </c>
      <c r="G1837" s="145">
        <v>5.4696301893858315E-4</v>
      </c>
      <c r="H1837" s="517">
        <v>2.0000010000000004E-3</v>
      </c>
      <c r="I1837" s="517">
        <v>1.5750005000000004E-2</v>
      </c>
      <c r="J1837" s="148">
        <v>5.9410551547803584E-4</v>
      </c>
      <c r="K1837" s="518">
        <v>1.8082024916689487E-5</v>
      </c>
      <c r="L1837" s="519">
        <v>1.8899612578683315E-5</v>
      </c>
    </row>
    <row r="1838" spans="1:12" ht="15.5" x14ac:dyDescent="0.35">
      <c r="A1838" s="143" t="s">
        <v>966</v>
      </c>
      <c r="B1838" s="229">
        <v>2044</v>
      </c>
      <c r="C1838" s="514" t="s">
        <v>2680</v>
      </c>
      <c r="D1838" s="515">
        <v>2.4973601752753694E-2</v>
      </c>
      <c r="E1838" s="516">
        <v>2.1440714415419163E-3</v>
      </c>
      <c r="F1838" s="145">
        <v>1.8972378042592275E-2</v>
      </c>
      <c r="G1838" s="145">
        <v>5.3482522419696509E-4</v>
      </c>
      <c r="H1838" s="517">
        <v>2.0000010000000004E-3</v>
      </c>
      <c r="I1838" s="517">
        <v>1.5750005000000004E-2</v>
      </c>
      <c r="J1838" s="148">
        <v>5.8092148472743959E-4</v>
      </c>
      <c r="K1838" s="518">
        <v>1.7681890288817889E-5</v>
      </c>
      <c r="L1838" s="519">
        <v>1.8481395582000751E-5</v>
      </c>
    </row>
    <row r="1839" spans="1:12" ht="15.5" x14ac:dyDescent="0.35">
      <c r="A1839" s="143" t="s">
        <v>966</v>
      </c>
      <c r="B1839" s="229">
        <v>2045</v>
      </c>
      <c r="C1839" s="514" t="s">
        <v>2681</v>
      </c>
      <c r="D1839" s="515">
        <v>2.4923297797780519E-2</v>
      </c>
      <c r="E1839" s="516">
        <v>2.0991709896157466E-3</v>
      </c>
      <c r="F1839" s="145">
        <v>1.8852026355628951E-2</v>
      </c>
      <c r="G1839" s="145">
        <v>5.2475674754699623E-4</v>
      </c>
      <c r="H1839" s="517">
        <v>2.0000009999999999E-3</v>
      </c>
      <c r="I1839" s="517">
        <v>1.5750005000000001E-2</v>
      </c>
      <c r="J1839" s="148">
        <v>5.6998507996716707E-4</v>
      </c>
      <c r="K1839" s="518">
        <v>1.7366694607410685E-5</v>
      </c>
      <c r="L1839" s="519">
        <v>1.8151942606097251E-5</v>
      </c>
    </row>
    <row r="1840" spans="1:12" ht="15.5" x14ac:dyDescent="0.35">
      <c r="A1840" s="143" t="s">
        <v>966</v>
      </c>
      <c r="B1840" s="229">
        <v>2046</v>
      </c>
      <c r="C1840" s="514" t="s">
        <v>2682</v>
      </c>
      <c r="D1840" s="515">
        <v>2.4882141538916935E-2</v>
      </c>
      <c r="E1840" s="516">
        <v>2.0595490248492641E-3</v>
      </c>
      <c r="F1840" s="145">
        <v>1.8747136030692949E-2</v>
      </c>
      <c r="G1840" s="145">
        <v>5.1642875323880714E-4</v>
      </c>
      <c r="H1840" s="517">
        <v>2.0000009999999999E-3</v>
      </c>
      <c r="I1840" s="517">
        <v>1.5750004999999997E-2</v>
      </c>
      <c r="J1840" s="148">
        <v>5.6093810167730305E-4</v>
      </c>
      <c r="K1840" s="518">
        <v>1.7115887120749156E-5</v>
      </c>
      <c r="L1840" s="519">
        <v>1.7889782887764621E-5</v>
      </c>
    </row>
    <row r="1841" spans="1:12" ht="15.5" x14ac:dyDescent="0.35">
      <c r="A1841" s="143" t="s">
        <v>966</v>
      </c>
      <c r="B1841" s="229">
        <v>2047</v>
      </c>
      <c r="C1841" s="514" t="s">
        <v>2683</v>
      </c>
      <c r="D1841" s="515">
        <v>2.4848604108404414E-2</v>
      </c>
      <c r="E1841" s="516">
        <v>2.0265545908919854E-3</v>
      </c>
      <c r="F1841" s="145">
        <v>1.8657642029285198E-2</v>
      </c>
      <c r="G1841" s="145">
        <v>5.0964022635994219E-4</v>
      </c>
      <c r="H1841" s="517">
        <v>2.0000009999999995E-3</v>
      </c>
      <c r="I1841" s="517">
        <v>1.5750005000000004E-2</v>
      </c>
      <c r="J1841" s="148">
        <v>5.535646221017347E-4</v>
      </c>
      <c r="K1841" s="518">
        <v>1.687530505007315E-5</v>
      </c>
      <c r="L1841" s="519">
        <v>1.7638335527997303E-5</v>
      </c>
    </row>
    <row r="1842" spans="1:12" ht="15.5" x14ac:dyDescent="0.35">
      <c r="A1842" s="143" t="s">
        <v>966</v>
      </c>
      <c r="B1842" s="229">
        <v>2048</v>
      </c>
      <c r="C1842" s="514" t="s">
        <v>2684</v>
      </c>
      <c r="D1842" s="515">
        <v>2.4821392508680307E-2</v>
      </c>
      <c r="E1842" s="516">
        <v>2.0002410182889639E-3</v>
      </c>
      <c r="F1842" s="145">
        <v>1.8585401144812351E-2</v>
      </c>
      <c r="G1842" s="145">
        <v>5.041378006607534E-4</v>
      </c>
      <c r="H1842" s="517">
        <v>2.0000009999999999E-3</v>
      </c>
      <c r="I1842" s="517">
        <v>1.5750005000000001E-2</v>
      </c>
      <c r="J1842" s="148">
        <v>5.4758857248563399E-4</v>
      </c>
      <c r="K1842" s="518">
        <v>1.668744594561022E-5</v>
      </c>
      <c r="L1842" s="519">
        <v>1.7441985986882934E-5</v>
      </c>
    </row>
    <row r="1843" spans="1:12" ht="15.5" x14ac:dyDescent="0.35">
      <c r="A1843" s="143" t="s">
        <v>966</v>
      </c>
      <c r="B1843" s="229">
        <v>2049</v>
      </c>
      <c r="C1843" s="514" t="s">
        <v>2685</v>
      </c>
      <c r="D1843" s="515">
        <v>2.4798889155493921E-2</v>
      </c>
      <c r="E1843" s="516">
        <v>1.989850095526519E-3</v>
      </c>
      <c r="F1843" s="145">
        <v>1.8597445311421087E-2</v>
      </c>
      <c r="G1843" s="145">
        <v>5.0051066672758917E-4</v>
      </c>
      <c r="H1843" s="517">
        <v>2.0000009999999999E-3</v>
      </c>
      <c r="I1843" s="517">
        <v>1.5750005000000001E-2</v>
      </c>
      <c r="J1843" s="148">
        <v>5.4365011805818596E-4</v>
      </c>
      <c r="K1843" s="518">
        <v>1.6548275121093989E-5</v>
      </c>
      <c r="L1843" s="519">
        <v>1.729651555927822E-5</v>
      </c>
    </row>
    <row r="1844" spans="1:12" ht="15.5" x14ac:dyDescent="0.35">
      <c r="A1844" s="143" t="s">
        <v>966</v>
      </c>
      <c r="B1844" s="229">
        <v>2050</v>
      </c>
      <c r="C1844" s="514" t="s">
        <v>2686</v>
      </c>
      <c r="D1844" s="515">
        <v>2.4781007323363143E-2</v>
      </c>
      <c r="E1844" s="516">
        <v>1.9816023392713934E-3</v>
      </c>
      <c r="F1844" s="145">
        <v>1.8609259603470305E-2</v>
      </c>
      <c r="G1844" s="145">
        <v>4.9758669406184473E-4</v>
      </c>
      <c r="H1844" s="517">
        <v>2.0000010000000004E-3</v>
      </c>
      <c r="I1844" s="517">
        <v>1.5750005000000001E-2</v>
      </c>
      <c r="J1844" s="148">
        <v>5.4047654326889983E-4</v>
      </c>
      <c r="K1844" s="518">
        <v>1.6391333693274367E-5</v>
      </c>
      <c r="L1844" s="519">
        <v>1.713247926854636E-5</v>
      </c>
    </row>
    <row r="1845" spans="1:12" ht="15.5" x14ac:dyDescent="0.35">
      <c r="A1845" s="143" t="s">
        <v>971</v>
      </c>
      <c r="B1845" s="229">
        <v>2015</v>
      </c>
      <c r="C1845" s="514" t="s">
        <v>972</v>
      </c>
      <c r="D1845" s="515">
        <v>4.3085549535314363E-2</v>
      </c>
      <c r="E1845" s="516">
        <v>5.6483310021970462E-2</v>
      </c>
      <c r="F1845" s="145">
        <v>0.21858736973673226</v>
      </c>
      <c r="G1845" s="145">
        <v>1.9541606930931123E-3</v>
      </c>
      <c r="H1845" s="517">
        <v>2.0000009999999995E-3</v>
      </c>
      <c r="I1845" s="517">
        <v>1.5750004999999997E-2</v>
      </c>
      <c r="J1845" s="148">
        <v>2.1162731446286364E-3</v>
      </c>
      <c r="K1845" s="518">
        <v>1.3392361977858448E-4</v>
      </c>
      <c r="L1845" s="519">
        <v>1.399790488615376E-4</v>
      </c>
    </row>
    <row r="1846" spans="1:12" ht="15.5" x14ac:dyDescent="0.35">
      <c r="A1846" s="143" t="s">
        <v>971</v>
      </c>
      <c r="B1846" s="229">
        <v>2016</v>
      </c>
      <c r="C1846" s="514" t="s">
        <v>973</v>
      </c>
      <c r="D1846" s="515">
        <v>4.2294211615118017E-2</v>
      </c>
      <c r="E1846" s="516">
        <v>4.6937924013045938E-2</v>
      </c>
      <c r="F1846" s="145">
        <v>0.18497479871160324</v>
      </c>
      <c r="G1846" s="145">
        <v>1.8157336469466863E-3</v>
      </c>
      <c r="H1846" s="517">
        <v>2.0000009999999999E-3</v>
      </c>
      <c r="I1846" s="517">
        <v>1.5750005000000001E-2</v>
      </c>
      <c r="J1846" s="148">
        <v>1.9674858641335747E-3</v>
      </c>
      <c r="K1846" s="518">
        <v>1.1521497835866959E-4</v>
      </c>
      <c r="L1846" s="519">
        <v>1.2042448636335744E-4</v>
      </c>
    </row>
    <row r="1847" spans="1:12" ht="15.5" x14ac:dyDescent="0.35">
      <c r="A1847" s="143" t="s">
        <v>971</v>
      </c>
      <c r="B1847" s="229">
        <v>2017</v>
      </c>
      <c r="C1847" s="514" t="s">
        <v>2687</v>
      </c>
      <c r="D1847" s="515">
        <v>4.141126801635428E-2</v>
      </c>
      <c r="E1847" s="516">
        <v>3.8715626197748543E-2</v>
      </c>
      <c r="F1847" s="145">
        <v>0.15679837276629824</v>
      </c>
      <c r="G1847" s="145">
        <v>1.7391710964235097E-3</v>
      </c>
      <c r="H1847" s="517">
        <v>2.0000009999999999E-3</v>
      </c>
      <c r="I1847" s="517">
        <v>1.5750005000000001E-2</v>
      </c>
      <c r="J1847" s="148">
        <v>1.8855725674420424E-3</v>
      </c>
      <c r="K1847" s="518">
        <v>1.0427458776089379E-4</v>
      </c>
      <c r="L1847" s="519">
        <v>1.0898942014177557E-4</v>
      </c>
    </row>
    <row r="1848" spans="1:12" ht="15.5" x14ac:dyDescent="0.35">
      <c r="A1848" s="143" t="s">
        <v>971</v>
      </c>
      <c r="B1848" s="229">
        <v>2018</v>
      </c>
      <c r="C1848" s="514" t="s">
        <v>2688</v>
      </c>
      <c r="D1848" s="515">
        <v>4.0469744422772666E-2</v>
      </c>
      <c r="E1848" s="516">
        <v>3.2834472514520707E-2</v>
      </c>
      <c r="F1848" s="145">
        <v>0.1332309094020972</v>
      </c>
      <c r="G1848" s="145">
        <v>1.7534371026675078E-3</v>
      </c>
      <c r="H1848" s="517">
        <v>2.0000009999999999E-3</v>
      </c>
      <c r="I1848" s="517">
        <v>1.5750005000000001E-2</v>
      </c>
      <c r="J1848" s="148">
        <v>1.9020241703233847E-3</v>
      </c>
      <c r="K1848" s="518">
        <v>9.6777741795424062E-5</v>
      </c>
      <c r="L1848" s="519">
        <v>1.0115360090732674E-4</v>
      </c>
    </row>
    <row r="1849" spans="1:12" ht="15.5" x14ac:dyDescent="0.35">
      <c r="A1849" s="143" t="s">
        <v>971</v>
      </c>
      <c r="B1849" s="229">
        <v>2019</v>
      </c>
      <c r="C1849" s="514" t="s">
        <v>2689</v>
      </c>
      <c r="D1849" s="515">
        <v>3.9486784051682669E-2</v>
      </c>
      <c r="E1849" s="516">
        <v>2.7045404113786541E-2</v>
      </c>
      <c r="F1849" s="145">
        <v>0.11263139872905127</v>
      </c>
      <c r="G1849" s="145">
        <v>1.7322928649817057E-3</v>
      </c>
      <c r="H1849" s="517">
        <v>2.0000010000000004E-3</v>
      </c>
      <c r="I1849" s="517">
        <v>1.5750005000000001E-2</v>
      </c>
      <c r="J1849" s="148">
        <v>1.8798047106006193E-3</v>
      </c>
      <c r="K1849" s="518">
        <v>8.8988821087228112E-5</v>
      </c>
      <c r="L1849" s="519">
        <v>9.3012495953797436E-5</v>
      </c>
    </row>
    <row r="1850" spans="1:12" ht="15.5" x14ac:dyDescent="0.35">
      <c r="A1850" s="143" t="s">
        <v>971</v>
      </c>
      <c r="B1850" s="229">
        <v>2020</v>
      </c>
      <c r="C1850" s="514" t="s">
        <v>2690</v>
      </c>
      <c r="D1850" s="515">
        <v>3.8478796131038003E-2</v>
      </c>
      <c r="E1850" s="516">
        <v>2.2538181374761344E-2</v>
      </c>
      <c r="F1850" s="145">
        <v>9.550653337523124E-2</v>
      </c>
      <c r="G1850" s="145">
        <v>1.6906794121942443E-3</v>
      </c>
      <c r="H1850" s="517">
        <v>2.0000010000000004E-3</v>
      </c>
      <c r="I1850" s="517">
        <v>1.5750005000000001E-2</v>
      </c>
      <c r="J1850" s="148">
        <v>1.8349928379580778E-3</v>
      </c>
      <c r="K1850" s="518">
        <v>8.2809862240274527E-5</v>
      </c>
      <c r="L1850" s="519">
        <v>8.6554155755822951E-5</v>
      </c>
    </row>
    <row r="1851" spans="1:12" ht="15.5" x14ac:dyDescent="0.35">
      <c r="A1851" s="143" t="s">
        <v>971</v>
      </c>
      <c r="B1851" s="229">
        <v>2021</v>
      </c>
      <c r="C1851" s="514" t="s">
        <v>2691</v>
      </c>
      <c r="D1851" s="515">
        <v>3.7451513727714089E-2</v>
      </c>
      <c r="E1851" s="516">
        <v>1.9203794627441245E-2</v>
      </c>
      <c r="F1851" s="145">
        <v>8.1398572950686712E-2</v>
      </c>
      <c r="G1851" s="145">
        <v>1.6285848625791017E-3</v>
      </c>
      <c r="H1851" s="517">
        <v>2.0000010000000004E-3</v>
      </c>
      <c r="I1851" s="517">
        <v>1.5750005000000004E-2</v>
      </c>
      <c r="J1851" s="148">
        <v>1.7678495262518469E-3</v>
      </c>
      <c r="K1851" s="518">
        <v>7.5439744180082595E-5</v>
      </c>
      <c r="L1851" s="519">
        <v>7.8850794143274408E-5</v>
      </c>
    </row>
    <row r="1852" spans="1:12" ht="15.5" x14ac:dyDescent="0.35">
      <c r="A1852" s="143" t="s">
        <v>971</v>
      </c>
      <c r="B1852" s="229">
        <v>2022</v>
      </c>
      <c r="C1852" s="514" t="s">
        <v>2692</v>
      </c>
      <c r="D1852" s="515">
        <v>3.6432119417409974E-2</v>
      </c>
      <c r="E1852" s="516">
        <v>1.6022846936145412E-2</v>
      </c>
      <c r="F1852" s="145">
        <v>6.9369194054499025E-2</v>
      </c>
      <c r="G1852" s="145">
        <v>1.5531195961777777E-3</v>
      </c>
      <c r="H1852" s="517">
        <v>2.0000009999999999E-3</v>
      </c>
      <c r="I1852" s="517">
        <v>1.5750004999999997E-2</v>
      </c>
      <c r="J1852" s="148">
        <v>1.6861834348741753E-3</v>
      </c>
      <c r="K1852" s="518">
        <v>6.9126335175225982E-5</v>
      </c>
      <c r="L1852" s="519">
        <v>7.2251922727170709E-5</v>
      </c>
    </row>
    <row r="1853" spans="1:12" ht="15.5" x14ac:dyDescent="0.35">
      <c r="A1853" s="143" t="s">
        <v>971</v>
      </c>
      <c r="B1853" s="229">
        <v>2023</v>
      </c>
      <c r="C1853" s="514" t="s">
        <v>2693</v>
      </c>
      <c r="D1853" s="515">
        <v>3.5409923998343674E-2</v>
      </c>
      <c r="E1853" s="516">
        <v>1.3693524879873796E-2</v>
      </c>
      <c r="F1853" s="145">
        <v>5.9751967127631853E-2</v>
      </c>
      <c r="G1853" s="145">
        <v>1.4833905907881042E-3</v>
      </c>
      <c r="H1853" s="517">
        <v>2.0000009999999999E-3</v>
      </c>
      <c r="I1853" s="517">
        <v>1.5750005000000001E-2</v>
      </c>
      <c r="J1853" s="148">
        <v>1.6106432957598007E-3</v>
      </c>
      <c r="K1853" s="518">
        <v>6.2642358751965947E-5</v>
      </c>
      <c r="L1853" s="519">
        <v>6.5474768224687251E-5</v>
      </c>
    </row>
    <row r="1854" spans="1:12" ht="15.5" x14ac:dyDescent="0.35">
      <c r="A1854" s="143" t="s">
        <v>971</v>
      </c>
      <c r="B1854" s="229">
        <v>2024</v>
      </c>
      <c r="C1854" s="514" t="s">
        <v>2694</v>
      </c>
      <c r="D1854" s="515">
        <v>3.4389487318833185E-2</v>
      </c>
      <c r="E1854" s="516">
        <v>1.181155016216447E-2</v>
      </c>
      <c r="F1854" s="145">
        <v>5.1913119517411427E-2</v>
      </c>
      <c r="G1854" s="145">
        <v>1.4260943387737275E-3</v>
      </c>
      <c r="H1854" s="517">
        <v>2.0000009999999999E-3</v>
      </c>
      <c r="I1854" s="517">
        <v>1.5750005000000004E-2</v>
      </c>
      <c r="J1854" s="148">
        <v>1.5486044112698592E-3</v>
      </c>
      <c r="K1854" s="518">
        <v>5.6567116549672314E-5</v>
      </c>
      <c r="L1854" s="519">
        <v>5.9124825955046929E-5</v>
      </c>
    </row>
    <row r="1855" spans="1:12" ht="15.5" x14ac:dyDescent="0.35">
      <c r="A1855" s="143" t="s">
        <v>971</v>
      </c>
      <c r="B1855" s="229">
        <v>2025</v>
      </c>
      <c r="C1855" s="514" t="s">
        <v>2695</v>
      </c>
      <c r="D1855" s="515">
        <v>3.3368840034970239E-2</v>
      </c>
      <c r="E1855" s="516">
        <v>1.0238177229660507E-2</v>
      </c>
      <c r="F1855" s="145">
        <v>4.5606702711569913E-2</v>
      </c>
      <c r="G1855" s="145">
        <v>1.3717106133435914E-3</v>
      </c>
      <c r="H1855" s="517">
        <v>2.0000009999999999E-3</v>
      </c>
      <c r="I1855" s="517">
        <v>1.5750004999999997E-2</v>
      </c>
      <c r="J1855" s="148">
        <v>1.4896742668328775E-3</v>
      </c>
      <c r="K1855" s="518">
        <v>5.1578725248655246E-5</v>
      </c>
      <c r="L1855" s="519">
        <v>5.3910886490999562E-5</v>
      </c>
    </row>
    <row r="1856" spans="1:12" ht="15.5" x14ac:dyDescent="0.35">
      <c r="A1856" s="143" t="s">
        <v>971</v>
      </c>
      <c r="B1856" s="229">
        <v>2026</v>
      </c>
      <c r="C1856" s="514" t="s">
        <v>2696</v>
      </c>
      <c r="D1856" s="515">
        <v>3.2451916753475162E-2</v>
      </c>
      <c r="E1856" s="516">
        <v>8.9064175257146383E-3</v>
      </c>
      <c r="F1856" s="145">
        <v>4.0594923547178058E-2</v>
      </c>
      <c r="G1856" s="145">
        <v>1.309037756726287E-3</v>
      </c>
      <c r="H1856" s="517">
        <v>2.0000009999999999E-3</v>
      </c>
      <c r="I1856" s="517">
        <v>1.5750004999999997E-2</v>
      </c>
      <c r="J1856" s="148">
        <v>1.4217125944743451E-3</v>
      </c>
      <c r="K1856" s="518">
        <v>4.6844552859790907E-5</v>
      </c>
      <c r="L1856" s="519">
        <v>4.8962655380144987E-5</v>
      </c>
    </row>
    <row r="1857" spans="1:12" ht="15.5" x14ac:dyDescent="0.35">
      <c r="A1857" s="143" t="s">
        <v>971</v>
      </c>
      <c r="B1857" s="229">
        <v>2027</v>
      </c>
      <c r="C1857" s="514" t="s">
        <v>2697</v>
      </c>
      <c r="D1857" s="515">
        <v>3.1627706468983253E-2</v>
      </c>
      <c r="E1857" s="516">
        <v>7.8443576645997552E-3</v>
      </c>
      <c r="F1857" s="145">
        <v>3.647355508470794E-2</v>
      </c>
      <c r="G1857" s="145">
        <v>1.2448131637684339E-3</v>
      </c>
      <c r="H1857" s="517">
        <v>2.0000009999999999E-3</v>
      </c>
      <c r="I1857" s="517">
        <v>1.5750004999999997E-2</v>
      </c>
      <c r="J1857" s="148">
        <v>1.3521061098607549E-3</v>
      </c>
      <c r="K1857" s="518">
        <v>4.1116367792284811E-5</v>
      </c>
      <c r="L1857" s="519">
        <v>4.2975469561947912E-5</v>
      </c>
    </row>
    <row r="1858" spans="1:12" ht="15.5" x14ac:dyDescent="0.35">
      <c r="A1858" s="143" t="s">
        <v>971</v>
      </c>
      <c r="B1858" s="229">
        <v>2028</v>
      </c>
      <c r="C1858" s="514" t="s">
        <v>2698</v>
      </c>
      <c r="D1858" s="515">
        <v>3.089569299324214E-2</v>
      </c>
      <c r="E1858" s="516">
        <v>6.9718122092078238E-3</v>
      </c>
      <c r="F1858" s="145">
        <v>3.3150113003485429E-2</v>
      </c>
      <c r="G1858" s="145">
        <v>1.1743508531006665E-3</v>
      </c>
      <c r="H1858" s="517">
        <v>2.0000009999999999E-3</v>
      </c>
      <c r="I1858" s="517">
        <v>1.5750005000000001E-2</v>
      </c>
      <c r="J1858" s="148">
        <v>1.2756634903797466E-3</v>
      </c>
      <c r="K1858" s="518">
        <v>3.6591584875451675E-5</v>
      </c>
      <c r="L1858" s="519">
        <v>3.824609834269253E-5</v>
      </c>
    </row>
    <row r="1859" spans="1:12" ht="15.5" x14ac:dyDescent="0.35">
      <c r="A1859" s="143" t="s">
        <v>971</v>
      </c>
      <c r="B1859" s="229">
        <v>2029</v>
      </c>
      <c r="C1859" s="514" t="s">
        <v>2699</v>
      </c>
      <c r="D1859" s="515">
        <v>3.0246119876142192E-2</v>
      </c>
      <c r="E1859" s="516">
        <v>6.235030850015583E-3</v>
      </c>
      <c r="F1859" s="145">
        <v>3.0430755369072849E-2</v>
      </c>
      <c r="G1859" s="145">
        <v>1.1052536354105537E-3</v>
      </c>
      <c r="H1859" s="517">
        <v>2.0000009999999999E-3</v>
      </c>
      <c r="I1859" s="517">
        <v>1.5750005000000001E-2</v>
      </c>
      <c r="J1859" s="148">
        <v>1.2006615333094036E-3</v>
      </c>
      <c r="K1859" s="518">
        <v>3.3100718434020511E-5</v>
      </c>
      <c r="L1859" s="519">
        <v>3.4597389409389345E-5</v>
      </c>
    </row>
    <row r="1860" spans="1:12" ht="15.5" x14ac:dyDescent="0.35">
      <c r="A1860" s="143" t="s">
        <v>971</v>
      </c>
      <c r="B1860" s="229">
        <v>2030</v>
      </c>
      <c r="C1860" s="514" t="s">
        <v>2700</v>
      </c>
      <c r="D1860" s="515">
        <v>2.9673314643091895E-2</v>
      </c>
      <c r="E1860" s="516">
        <v>5.6218247546204929E-3</v>
      </c>
      <c r="F1860" s="145">
        <v>2.8232949274276196E-2</v>
      </c>
      <c r="G1860" s="145">
        <v>1.0392182620287118E-3</v>
      </c>
      <c r="H1860" s="517">
        <v>2.0000009999999999E-3</v>
      </c>
      <c r="I1860" s="517">
        <v>1.5750005000000001E-2</v>
      </c>
      <c r="J1860" s="148">
        <v>1.128955757146347E-3</v>
      </c>
      <c r="K1860" s="518">
        <v>3.0410767826021702E-5</v>
      </c>
      <c r="L1860" s="519">
        <v>3.1785813317729491E-5</v>
      </c>
    </row>
    <row r="1861" spans="1:12" ht="15.5" x14ac:dyDescent="0.35">
      <c r="A1861" s="143" t="s">
        <v>971</v>
      </c>
      <c r="B1861" s="229">
        <v>2031</v>
      </c>
      <c r="C1861" s="514" t="s">
        <v>2701</v>
      </c>
      <c r="D1861" s="515">
        <v>2.9169975376592685E-2</v>
      </c>
      <c r="E1861" s="516">
        <v>5.0917359288818161E-3</v>
      </c>
      <c r="F1861" s="145">
        <v>2.6389902540940743E-2</v>
      </c>
      <c r="G1861" s="145">
        <v>9.7662532501829468E-4</v>
      </c>
      <c r="H1861" s="517">
        <v>2.0000009999999999E-3</v>
      </c>
      <c r="I1861" s="517">
        <v>1.5750004999999997E-2</v>
      </c>
      <c r="J1861" s="148">
        <v>1.0609616145329762E-3</v>
      </c>
      <c r="K1861" s="518">
        <v>2.848683566913603E-5</v>
      </c>
      <c r="L1861" s="519">
        <v>2.9774878902934603E-5</v>
      </c>
    </row>
    <row r="1862" spans="1:12" ht="15.5" x14ac:dyDescent="0.35">
      <c r="A1862" s="143" t="s">
        <v>971</v>
      </c>
      <c r="B1862" s="229">
        <v>2032</v>
      </c>
      <c r="C1862" s="514" t="s">
        <v>2702</v>
      </c>
      <c r="D1862" s="515">
        <v>2.87300172803319E-2</v>
      </c>
      <c r="E1862" s="516">
        <v>4.6388247713883817E-3</v>
      </c>
      <c r="F1862" s="145">
        <v>2.4895124812898333E-2</v>
      </c>
      <c r="G1862" s="145">
        <v>9.1783314546012946E-4</v>
      </c>
      <c r="H1862" s="517">
        <v>2.0000009999999999E-3</v>
      </c>
      <c r="I1862" s="517">
        <v>1.5750005000000001E-2</v>
      </c>
      <c r="J1862" s="148">
        <v>9.9709554377407908E-4</v>
      </c>
      <c r="K1862" s="518">
        <v>2.6710700793798687E-5</v>
      </c>
      <c r="L1862" s="519">
        <v>2.7918436265046728E-5</v>
      </c>
    </row>
    <row r="1863" spans="1:12" ht="15.5" x14ac:dyDescent="0.35">
      <c r="A1863" s="143" t="s">
        <v>971</v>
      </c>
      <c r="B1863" s="229">
        <v>2033</v>
      </c>
      <c r="C1863" s="514" t="s">
        <v>2703</v>
      </c>
      <c r="D1863" s="515">
        <v>2.8348608015370237E-2</v>
      </c>
      <c r="E1863" s="516">
        <v>4.2485882084107862E-3</v>
      </c>
      <c r="F1863" s="145">
        <v>2.3669916317197941E-2</v>
      </c>
      <c r="G1863" s="145">
        <v>8.6318594618776479E-4</v>
      </c>
      <c r="H1863" s="517">
        <v>2.0000009999999995E-3</v>
      </c>
      <c r="I1863" s="517">
        <v>1.5750005000000001E-2</v>
      </c>
      <c r="J1863" s="148">
        <v>9.3772241158907965E-4</v>
      </c>
      <c r="K1863" s="518">
        <v>2.5278179489014818E-5</v>
      </c>
      <c r="L1863" s="519">
        <v>2.6421146401402567E-5</v>
      </c>
    </row>
    <row r="1864" spans="1:12" ht="15.5" x14ac:dyDescent="0.35">
      <c r="A1864" s="143" t="s">
        <v>971</v>
      </c>
      <c r="B1864" s="229">
        <v>2034</v>
      </c>
      <c r="C1864" s="514" t="s">
        <v>2704</v>
      </c>
      <c r="D1864" s="515">
        <v>2.8019368877938152E-2</v>
      </c>
      <c r="E1864" s="516">
        <v>3.9043037438873714E-3</v>
      </c>
      <c r="F1864" s="145">
        <v>2.2648263984535111E-2</v>
      </c>
      <c r="G1864" s="145">
        <v>8.1236176612696899E-4</v>
      </c>
      <c r="H1864" s="517">
        <v>2.0000009999999999E-3</v>
      </c>
      <c r="I1864" s="517">
        <v>1.5750005000000001E-2</v>
      </c>
      <c r="J1864" s="148">
        <v>8.8250414322365049E-4</v>
      </c>
      <c r="K1864" s="518">
        <v>2.3916920004960539E-5</v>
      </c>
      <c r="L1864" s="519">
        <v>2.4998342179395689E-5</v>
      </c>
    </row>
    <row r="1865" spans="1:12" ht="15.5" x14ac:dyDescent="0.35">
      <c r="A1865" s="143" t="s">
        <v>971</v>
      </c>
      <c r="B1865" s="229">
        <v>2035</v>
      </c>
      <c r="C1865" s="514" t="s">
        <v>2705</v>
      </c>
      <c r="D1865" s="515">
        <v>2.7737465000739012E-2</v>
      </c>
      <c r="E1865" s="516">
        <v>3.6043613970566089E-3</v>
      </c>
      <c r="F1865" s="145">
        <v>2.1813575707792295E-2</v>
      </c>
      <c r="G1865" s="145">
        <v>7.6568286126098718E-4</v>
      </c>
      <c r="H1865" s="517">
        <v>2.0000009999999999E-3</v>
      </c>
      <c r="I1865" s="517">
        <v>1.5750005000000001E-2</v>
      </c>
      <c r="J1865" s="148">
        <v>8.3178765415107766E-4</v>
      </c>
      <c r="K1865" s="518">
        <v>2.2711693623627789E-5</v>
      </c>
      <c r="L1865" s="519">
        <v>2.3738615923969744E-5</v>
      </c>
    </row>
    <row r="1866" spans="1:12" ht="15.5" x14ac:dyDescent="0.35">
      <c r="A1866" s="143" t="s">
        <v>971</v>
      </c>
      <c r="B1866" s="229">
        <v>2036</v>
      </c>
      <c r="C1866" s="514" t="s">
        <v>2706</v>
      </c>
      <c r="D1866" s="515">
        <v>2.7498096478036072E-2</v>
      </c>
      <c r="E1866" s="516">
        <v>3.3455415381566573E-3</v>
      </c>
      <c r="F1866" s="145">
        <v>2.1134623672205217E-2</v>
      </c>
      <c r="G1866" s="145">
        <v>7.243552606896761E-4</v>
      </c>
      <c r="H1866" s="517">
        <v>2.0000010000000004E-3</v>
      </c>
      <c r="I1866" s="517">
        <v>1.5750005000000004E-2</v>
      </c>
      <c r="J1866" s="148">
        <v>7.8688596772972358E-4</v>
      </c>
      <c r="K1866" s="518">
        <v>2.1631932222712073E-5</v>
      </c>
      <c r="L1866" s="519">
        <v>2.2610025362221562E-5</v>
      </c>
    </row>
    <row r="1867" spans="1:12" ht="15.5" x14ac:dyDescent="0.35">
      <c r="A1867" s="143" t="s">
        <v>971</v>
      </c>
      <c r="B1867" s="229">
        <v>2037</v>
      </c>
      <c r="C1867" s="514" t="s">
        <v>2707</v>
      </c>
      <c r="D1867" s="515">
        <v>2.7296747941781822E-2</v>
      </c>
      <c r="E1867" s="516">
        <v>3.1255523638619234E-3</v>
      </c>
      <c r="F1867" s="145">
        <v>2.0591168203062546E-2</v>
      </c>
      <c r="G1867" s="145">
        <v>6.8732962373939746E-4</v>
      </c>
      <c r="H1867" s="517">
        <v>2.0000010000000004E-3</v>
      </c>
      <c r="I1867" s="517">
        <v>1.5750005000000001E-2</v>
      </c>
      <c r="J1867" s="148">
        <v>7.4665943004038101E-4</v>
      </c>
      <c r="K1867" s="518">
        <v>2.0634088088227734E-5</v>
      </c>
      <c r="L1867" s="519">
        <v>2.1567070506136515E-5</v>
      </c>
    </row>
    <row r="1868" spans="1:12" ht="15.5" x14ac:dyDescent="0.35">
      <c r="A1868" s="143" t="s">
        <v>971</v>
      </c>
      <c r="B1868" s="229">
        <v>2038</v>
      </c>
      <c r="C1868" s="514" t="s">
        <v>2708</v>
      </c>
      <c r="D1868" s="515">
        <v>2.7128928281878947E-2</v>
      </c>
      <c r="E1868" s="516">
        <v>2.930692524667146E-3</v>
      </c>
      <c r="F1868" s="145">
        <v>2.0119892801353897E-2</v>
      </c>
      <c r="G1868" s="145">
        <v>6.5446282417599684E-4</v>
      </c>
      <c r="H1868" s="517">
        <v>2.0000009999999999E-3</v>
      </c>
      <c r="I1868" s="517">
        <v>1.5750005000000001E-2</v>
      </c>
      <c r="J1868" s="148">
        <v>7.1094870537573643E-4</v>
      </c>
      <c r="K1868" s="518">
        <v>1.980301325090428E-5</v>
      </c>
      <c r="L1868" s="519">
        <v>2.0698413159115082E-5</v>
      </c>
    </row>
    <row r="1869" spans="1:12" ht="15.5" x14ac:dyDescent="0.35">
      <c r="A1869" s="143" t="s">
        <v>971</v>
      </c>
      <c r="B1869" s="229">
        <v>2039</v>
      </c>
      <c r="C1869" s="514" t="s">
        <v>2709</v>
      </c>
      <c r="D1869" s="515">
        <v>2.6989914075530367E-2</v>
      </c>
      <c r="E1869" s="516">
        <v>2.7515780352702596E-3</v>
      </c>
      <c r="F1869" s="145">
        <v>1.9692436546908183E-2</v>
      </c>
      <c r="G1869" s="145">
        <v>6.2554968030608359E-4</v>
      </c>
      <c r="H1869" s="517">
        <v>2.0000009999999995E-3</v>
      </c>
      <c r="I1869" s="517">
        <v>1.5750005000000001E-2</v>
      </c>
      <c r="J1869" s="148">
        <v>6.7953252091693117E-4</v>
      </c>
      <c r="K1869" s="518">
        <v>1.9107939914009635E-5</v>
      </c>
      <c r="L1869" s="519">
        <v>1.9971916808810939E-5</v>
      </c>
    </row>
    <row r="1870" spans="1:12" ht="15.5" x14ac:dyDescent="0.35">
      <c r="A1870" s="143" t="s">
        <v>971</v>
      </c>
      <c r="B1870" s="229">
        <v>2040</v>
      </c>
      <c r="C1870" s="514" t="s">
        <v>2710</v>
      </c>
      <c r="D1870" s="515">
        <v>2.6875270934349084E-2</v>
      </c>
      <c r="E1870" s="516">
        <v>2.5993969856286472E-3</v>
      </c>
      <c r="F1870" s="145">
        <v>1.93584863231228E-2</v>
      </c>
      <c r="G1870" s="145">
        <v>6.0061610735753345E-4</v>
      </c>
      <c r="H1870" s="517">
        <v>2.0000010000000004E-3</v>
      </c>
      <c r="I1870" s="517">
        <v>1.5750005000000004E-2</v>
      </c>
      <c r="J1870" s="148">
        <v>6.5244024386189488E-4</v>
      </c>
      <c r="K1870" s="518">
        <v>1.8510356860322807E-5</v>
      </c>
      <c r="L1870" s="519">
        <v>1.9347310746102583E-5</v>
      </c>
    </row>
    <row r="1871" spans="1:12" ht="15.5" x14ac:dyDescent="0.35">
      <c r="A1871" s="143" t="s">
        <v>971</v>
      </c>
      <c r="B1871" s="229">
        <v>2041</v>
      </c>
      <c r="C1871" s="514" t="s">
        <v>2711</v>
      </c>
      <c r="D1871" s="515">
        <v>2.6781849777153775E-2</v>
      </c>
      <c r="E1871" s="516">
        <v>2.4797922313523789E-3</v>
      </c>
      <c r="F1871" s="145">
        <v>1.9096157537083557E-2</v>
      </c>
      <c r="G1871" s="145">
        <v>5.8050246716856923E-4</v>
      </c>
      <c r="H1871" s="517">
        <v>2.0000010000000004E-3</v>
      </c>
      <c r="I1871" s="517">
        <v>1.5750005000000004E-2</v>
      </c>
      <c r="J1871" s="148">
        <v>6.3058544656363516E-4</v>
      </c>
      <c r="K1871" s="518">
        <v>1.8029375494891629E-5</v>
      </c>
      <c r="L1871" s="519">
        <v>1.8844582417902458E-5</v>
      </c>
    </row>
    <row r="1872" spans="1:12" ht="15.5" x14ac:dyDescent="0.35">
      <c r="A1872" s="143" t="s">
        <v>971</v>
      </c>
      <c r="B1872" s="229">
        <v>2042</v>
      </c>
      <c r="C1872" s="514" t="s">
        <v>2712</v>
      </c>
      <c r="D1872" s="515">
        <v>2.6705439689185411E-2</v>
      </c>
      <c r="E1872" s="516">
        <v>2.3785698834525265E-3</v>
      </c>
      <c r="F1872" s="145">
        <v>1.885982953491748E-2</v>
      </c>
      <c r="G1872" s="145">
        <v>5.635544291871837E-4</v>
      </c>
      <c r="H1872" s="517">
        <v>2.0000009999999999E-3</v>
      </c>
      <c r="I1872" s="517">
        <v>1.5750005000000001E-2</v>
      </c>
      <c r="J1872" s="148">
        <v>6.1216903851777846E-4</v>
      </c>
      <c r="K1872" s="518">
        <v>1.7648825522911441E-5</v>
      </c>
      <c r="L1872" s="519">
        <v>1.8446831993285612E-5</v>
      </c>
    </row>
    <row r="1873" spans="1:12" ht="15.5" x14ac:dyDescent="0.35">
      <c r="A1873" s="143" t="s">
        <v>971</v>
      </c>
      <c r="B1873" s="229">
        <v>2043</v>
      </c>
      <c r="C1873" s="514" t="s">
        <v>2713</v>
      </c>
      <c r="D1873" s="515">
        <v>2.6643451105755226E-2</v>
      </c>
      <c r="E1873" s="516">
        <v>2.3021014053303574E-3</v>
      </c>
      <c r="F1873" s="145">
        <v>1.869062959696613E-2</v>
      </c>
      <c r="G1873" s="145">
        <v>5.4944006315599465E-4</v>
      </c>
      <c r="H1873" s="517">
        <v>2.0000009999999995E-3</v>
      </c>
      <c r="I1873" s="517">
        <v>1.5750005000000001E-2</v>
      </c>
      <c r="J1873" s="148">
        <v>5.9683107453756528E-4</v>
      </c>
      <c r="K1873" s="518">
        <v>1.7348004480574556E-5</v>
      </c>
      <c r="L1873" s="519">
        <v>1.8132397020441969E-5</v>
      </c>
    </row>
    <row r="1874" spans="1:12" ht="15.5" x14ac:dyDescent="0.35">
      <c r="A1874" s="143" t="s">
        <v>971</v>
      </c>
      <c r="B1874" s="229">
        <v>2044</v>
      </c>
      <c r="C1874" s="514" t="s">
        <v>2714</v>
      </c>
      <c r="D1874" s="515">
        <v>2.6593191164704846E-2</v>
      </c>
      <c r="E1874" s="516">
        <v>2.2443543017435477E-3</v>
      </c>
      <c r="F1874" s="145">
        <v>1.8557579021149691E-2</v>
      </c>
      <c r="G1874" s="145">
        <v>5.3772219633438649E-4</v>
      </c>
      <c r="H1874" s="517">
        <v>2.0000009999999999E-3</v>
      </c>
      <c r="I1874" s="517">
        <v>1.5750005000000001E-2</v>
      </c>
      <c r="J1874" s="148">
        <v>5.8409675468257206E-4</v>
      </c>
      <c r="K1874" s="518">
        <v>1.7111895918186826E-5</v>
      </c>
      <c r="L1874" s="519">
        <v>1.7885620466272242E-5</v>
      </c>
    </row>
    <row r="1875" spans="1:12" ht="15.5" x14ac:dyDescent="0.35">
      <c r="A1875" s="143" t="s">
        <v>971</v>
      </c>
      <c r="B1875" s="229">
        <v>2045</v>
      </c>
      <c r="C1875" s="514" t="s">
        <v>2715</v>
      </c>
      <c r="D1875" s="515">
        <v>2.6551701468362894E-2</v>
      </c>
      <c r="E1875" s="516">
        <v>2.2043693803632E-3</v>
      </c>
      <c r="F1875" s="145">
        <v>1.8472279661579053E-2</v>
      </c>
      <c r="G1875" s="145">
        <v>5.2805126300683243E-4</v>
      </c>
      <c r="H1875" s="517">
        <v>2.0000009999999995E-3</v>
      </c>
      <c r="I1875" s="517">
        <v>1.5750005000000004E-2</v>
      </c>
      <c r="J1875" s="148">
        <v>5.7358594193022429E-4</v>
      </c>
      <c r="K1875" s="518">
        <v>1.6929715743205657E-5</v>
      </c>
      <c r="L1875" s="519">
        <v>1.7695205903441686E-5</v>
      </c>
    </row>
    <row r="1876" spans="1:12" ht="15.5" x14ac:dyDescent="0.35">
      <c r="A1876" s="143" t="s">
        <v>971</v>
      </c>
      <c r="B1876" s="229">
        <v>2046</v>
      </c>
      <c r="C1876" s="514" t="s">
        <v>2716</v>
      </c>
      <c r="D1876" s="515">
        <v>2.6518166551693534E-2</v>
      </c>
      <c r="E1876" s="516">
        <v>2.1698198542301032E-3</v>
      </c>
      <c r="F1876" s="145">
        <v>1.840015078598016E-2</v>
      </c>
      <c r="G1876" s="145">
        <v>5.2017432380174809E-4</v>
      </c>
      <c r="H1876" s="517">
        <v>2.0000009999999991E-3</v>
      </c>
      <c r="I1876" s="517">
        <v>1.5750005000000001E-2</v>
      </c>
      <c r="J1876" s="148">
        <v>5.6502526820151962E-4</v>
      </c>
      <c r="K1876" s="518">
        <v>1.679552353251258E-5</v>
      </c>
      <c r="L1876" s="519">
        <v>1.7554943968067709E-5</v>
      </c>
    </row>
    <row r="1877" spans="1:12" ht="15.5" x14ac:dyDescent="0.35">
      <c r="A1877" s="143" t="s">
        <v>971</v>
      </c>
      <c r="B1877" s="229">
        <v>2047</v>
      </c>
      <c r="C1877" s="514" t="s">
        <v>2717</v>
      </c>
      <c r="D1877" s="515">
        <v>2.6490710362880188E-2</v>
      </c>
      <c r="E1877" s="516">
        <v>2.1405044446830093E-3</v>
      </c>
      <c r="F1877" s="145">
        <v>1.8335359229727718E-2</v>
      </c>
      <c r="G1877" s="145">
        <v>5.1381075708222565E-4</v>
      </c>
      <c r="H1877" s="517">
        <v>2.0000009999999999E-3</v>
      </c>
      <c r="I1877" s="517">
        <v>1.5750004999999997E-2</v>
      </c>
      <c r="J1877" s="148">
        <v>5.5810866803380718E-4</v>
      </c>
      <c r="K1877" s="518">
        <v>1.6690803529290547E-5</v>
      </c>
      <c r="L1877" s="519">
        <v>1.7445491920659141E-5</v>
      </c>
    </row>
    <row r="1878" spans="1:12" ht="15.5" x14ac:dyDescent="0.35">
      <c r="A1878" s="143" t="s">
        <v>971</v>
      </c>
      <c r="B1878" s="229">
        <v>2048</v>
      </c>
      <c r="C1878" s="514" t="s">
        <v>2718</v>
      </c>
      <c r="D1878" s="515">
        <v>2.6468523523707297E-2</v>
      </c>
      <c r="E1878" s="516">
        <v>2.1168721328202345E-3</v>
      </c>
      <c r="F1878" s="145">
        <v>1.8281255068354499E-2</v>
      </c>
      <c r="G1878" s="145">
        <v>5.0867169954778736E-4</v>
      </c>
      <c r="H1878" s="517">
        <v>2.0000010000000004E-3</v>
      </c>
      <c r="I1878" s="517">
        <v>1.5750005000000001E-2</v>
      </c>
      <c r="J1878" s="148">
        <v>5.5252337080400921E-4</v>
      </c>
      <c r="K1878" s="518">
        <v>1.6603013573031198E-5</v>
      </c>
      <c r="L1878" s="519">
        <v>1.7353724702939038E-5</v>
      </c>
    </row>
    <row r="1879" spans="1:12" ht="15.5" x14ac:dyDescent="0.35">
      <c r="A1879" s="143" t="s">
        <v>971</v>
      </c>
      <c r="B1879" s="229">
        <v>2049</v>
      </c>
      <c r="C1879" s="514" t="s">
        <v>2719</v>
      </c>
      <c r="D1879" s="515">
        <v>2.6449929126573728E-2</v>
      </c>
      <c r="E1879" s="516">
        <v>2.1073015146900105E-3</v>
      </c>
      <c r="F1879" s="145">
        <v>1.8294654701588756E-2</v>
      </c>
      <c r="G1879" s="145">
        <v>5.0518846926469812E-4</v>
      </c>
      <c r="H1879" s="517">
        <v>2.0000009999999999E-3</v>
      </c>
      <c r="I1879" s="517">
        <v>1.5750004999999997E-2</v>
      </c>
      <c r="J1879" s="148">
        <v>5.4873724850640782E-4</v>
      </c>
      <c r="K1879" s="518">
        <v>1.6540930495935536E-5</v>
      </c>
      <c r="L1879" s="519">
        <v>1.7288842604155697E-5</v>
      </c>
    </row>
    <row r="1880" spans="1:12" ht="15.5" x14ac:dyDescent="0.35">
      <c r="A1880" s="143" t="s">
        <v>971</v>
      </c>
      <c r="B1880" s="229">
        <v>2050</v>
      </c>
      <c r="C1880" s="514" t="s">
        <v>2720</v>
      </c>
      <c r="D1880" s="515">
        <v>2.6435150602814057E-2</v>
      </c>
      <c r="E1880" s="516">
        <v>2.0997882744457088E-3</v>
      </c>
      <c r="F1880" s="145">
        <v>1.8307608213516825E-2</v>
      </c>
      <c r="G1880" s="145">
        <v>5.0245840585342585E-4</v>
      </c>
      <c r="H1880" s="517">
        <v>2.0000009999999999E-3</v>
      </c>
      <c r="I1880" s="517">
        <v>1.5750004999999997E-2</v>
      </c>
      <c r="J1880" s="148">
        <v>5.4577132508157301E-4</v>
      </c>
      <c r="K1880" s="518">
        <v>1.647960379944303E-5</v>
      </c>
      <c r="L1880" s="519">
        <v>1.7224740667177407E-5</v>
      </c>
    </row>
    <row r="1881" spans="1:12" ht="15.5" x14ac:dyDescent="0.35">
      <c r="A1881" s="143" t="s">
        <v>974</v>
      </c>
      <c r="B1881" s="229">
        <v>2015</v>
      </c>
      <c r="C1881" s="514" t="s">
        <v>975</v>
      </c>
      <c r="D1881" s="515">
        <v>4.5449080178047968E-2</v>
      </c>
      <c r="E1881" s="516">
        <v>5.4521959436443633E-2</v>
      </c>
      <c r="F1881" s="145">
        <v>0.2265951520852223</v>
      </c>
      <c r="G1881" s="145">
        <v>1.8100355400674916E-3</v>
      </c>
      <c r="H1881" s="517">
        <v>2.0000009999999999E-3</v>
      </c>
      <c r="I1881" s="517">
        <v>1.5750005000000001E-2</v>
      </c>
      <c r="J1881" s="148">
        <v>1.9585667758079042E-3</v>
      </c>
      <c r="K1881" s="518">
        <v>1.4144514104806166E-4</v>
      </c>
      <c r="L1881" s="519">
        <v>1.4784066379699206E-4</v>
      </c>
    </row>
    <row r="1882" spans="1:12" ht="15.5" x14ac:dyDescent="0.35">
      <c r="A1882" s="143" t="s">
        <v>974</v>
      </c>
      <c r="B1882" s="229">
        <v>2016</v>
      </c>
      <c r="C1882" s="514" t="s">
        <v>976</v>
      </c>
      <c r="D1882" s="515">
        <v>4.4506119553162422E-2</v>
      </c>
      <c r="E1882" s="516">
        <v>4.4913525567643602E-2</v>
      </c>
      <c r="F1882" s="145">
        <v>0.19180072566592973</v>
      </c>
      <c r="G1882" s="145">
        <v>1.6789318147434253E-3</v>
      </c>
      <c r="H1882" s="517">
        <v>2.0000010000000004E-3</v>
      </c>
      <c r="I1882" s="517">
        <v>1.5750005000000001E-2</v>
      </c>
      <c r="J1882" s="148">
        <v>1.8177964696928434E-3</v>
      </c>
      <c r="K1882" s="518">
        <v>1.2751402777572515E-4</v>
      </c>
      <c r="L1882" s="519">
        <v>1.3327964630565169E-4</v>
      </c>
    </row>
    <row r="1883" spans="1:12" ht="15.5" x14ac:dyDescent="0.35">
      <c r="A1883" s="143" t="s">
        <v>974</v>
      </c>
      <c r="B1883" s="229">
        <v>2017</v>
      </c>
      <c r="C1883" s="514" t="s">
        <v>2721</v>
      </c>
      <c r="D1883" s="515">
        <v>4.3431172682508748E-2</v>
      </c>
      <c r="E1883" s="516">
        <v>3.693463678244141E-2</v>
      </c>
      <c r="F1883" s="145">
        <v>0.16268467453884336</v>
      </c>
      <c r="G1883" s="145">
        <v>1.6026408981258265E-3</v>
      </c>
      <c r="H1883" s="517">
        <v>2.0000009999999999E-3</v>
      </c>
      <c r="I1883" s="517">
        <v>1.5750005000000001E-2</v>
      </c>
      <c r="J1883" s="148">
        <v>1.736316912332541E-3</v>
      </c>
      <c r="K1883" s="518">
        <v>1.1566450973148594E-4</v>
      </c>
      <c r="L1883" s="519">
        <v>1.2089434129965749E-4</v>
      </c>
    </row>
    <row r="1884" spans="1:12" ht="15.5" x14ac:dyDescent="0.35">
      <c r="A1884" s="143" t="s">
        <v>974</v>
      </c>
      <c r="B1884" s="229">
        <v>2018</v>
      </c>
      <c r="C1884" s="514" t="s">
        <v>2722</v>
      </c>
      <c r="D1884" s="515">
        <v>4.2327381720294703E-2</v>
      </c>
      <c r="E1884" s="516">
        <v>3.0158542154453037E-2</v>
      </c>
      <c r="F1884" s="145">
        <v>0.13749804073041719</v>
      </c>
      <c r="G1884" s="145">
        <v>1.5600124608001161E-3</v>
      </c>
      <c r="H1884" s="517">
        <v>2.0000009999999995E-3</v>
      </c>
      <c r="I1884" s="517">
        <v>1.5750004999999997E-2</v>
      </c>
      <c r="J1884" s="148">
        <v>1.6911486359241256E-3</v>
      </c>
      <c r="K1884" s="518">
        <v>1.0585537262338887E-4</v>
      </c>
      <c r="L1884" s="519">
        <v>1.1064167766164972E-4</v>
      </c>
    </row>
    <row r="1885" spans="1:12" ht="15.5" x14ac:dyDescent="0.35">
      <c r="A1885" s="143" t="s">
        <v>974</v>
      </c>
      <c r="B1885" s="229">
        <v>2019</v>
      </c>
      <c r="C1885" s="514" t="s">
        <v>2723</v>
      </c>
      <c r="D1885" s="515">
        <v>4.1130525649774353E-2</v>
      </c>
      <c r="E1885" s="516">
        <v>2.436538673700487E-2</v>
      </c>
      <c r="F1885" s="145">
        <v>0.11620186539296377</v>
      </c>
      <c r="G1885" s="145">
        <v>1.5188488968335362E-3</v>
      </c>
      <c r="H1885" s="517">
        <v>2.0000009999999999E-3</v>
      </c>
      <c r="I1885" s="517">
        <v>1.5750005000000004E-2</v>
      </c>
      <c r="J1885" s="148">
        <v>1.647266562394395E-3</v>
      </c>
      <c r="K1885" s="518">
        <v>9.7788364874457477E-5</v>
      </c>
      <c r="L1885" s="519">
        <v>1.0220991650977657E-4</v>
      </c>
    </row>
    <row r="1886" spans="1:12" ht="15.5" x14ac:dyDescent="0.35">
      <c r="A1886" s="143" t="s">
        <v>974</v>
      </c>
      <c r="B1886" s="229">
        <v>2020</v>
      </c>
      <c r="C1886" s="514" t="s">
        <v>2724</v>
      </c>
      <c r="D1886" s="515">
        <v>3.9913676608180765E-2</v>
      </c>
      <c r="E1886" s="516">
        <v>2.0295556193230202E-2</v>
      </c>
      <c r="F1886" s="145">
        <v>9.8729036541768594E-2</v>
      </c>
      <c r="G1886" s="145">
        <v>1.4743120668241532E-3</v>
      </c>
      <c r="H1886" s="517">
        <v>2.0000009999999995E-3</v>
      </c>
      <c r="I1886" s="517">
        <v>1.5750005000000001E-2</v>
      </c>
      <c r="J1886" s="148">
        <v>1.5993174164706809E-3</v>
      </c>
      <c r="K1886" s="518">
        <v>9.0844265767510741E-5</v>
      </c>
      <c r="L1886" s="519">
        <v>9.4951837930139438E-5</v>
      </c>
    </row>
    <row r="1887" spans="1:12" ht="15.5" x14ac:dyDescent="0.35">
      <c r="A1887" s="143" t="s">
        <v>974</v>
      </c>
      <c r="B1887" s="229">
        <v>2021</v>
      </c>
      <c r="C1887" s="514" t="s">
        <v>2725</v>
      </c>
      <c r="D1887" s="515">
        <v>3.8691394673550684E-2</v>
      </c>
      <c r="E1887" s="516">
        <v>1.7203663739751861E-2</v>
      </c>
      <c r="F1887" s="145">
        <v>8.4293815860623289E-2</v>
      </c>
      <c r="G1887" s="145">
        <v>1.4016133538111951E-3</v>
      </c>
      <c r="H1887" s="517">
        <v>2.0000009999999999E-3</v>
      </c>
      <c r="I1887" s="517">
        <v>1.5750004999999997E-2</v>
      </c>
      <c r="J1887" s="148">
        <v>1.5206389633871992E-3</v>
      </c>
      <c r="K1887" s="518">
        <v>8.3507754952339222E-5</v>
      </c>
      <c r="L1887" s="519">
        <v>8.7283605413480196E-5</v>
      </c>
    </row>
    <row r="1888" spans="1:12" ht="15.5" x14ac:dyDescent="0.35">
      <c r="A1888" s="143" t="s">
        <v>974</v>
      </c>
      <c r="B1888" s="229">
        <v>2022</v>
      </c>
      <c r="C1888" s="514" t="s">
        <v>2726</v>
      </c>
      <c r="D1888" s="515">
        <v>3.748290549506314E-2</v>
      </c>
      <c r="E1888" s="516">
        <v>1.4323868052074262E-2</v>
      </c>
      <c r="F1888" s="145">
        <v>7.1934667084062237E-2</v>
      </c>
      <c r="G1888" s="145">
        <v>1.3301455283027295E-3</v>
      </c>
      <c r="H1888" s="517">
        <v>2.0000010000000004E-3</v>
      </c>
      <c r="I1888" s="517">
        <v>1.5750005000000001E-2</v>
      </c>
      <c r="J1888" s="148">
        <v>1.443324038758535E-3</v>
      </c>
      <c r="K1888" s="518">
        <v>7.7333605202004085E-5</v>
      </c>
      <c r="L1888" s="519">
        <v>8.0830283438488822E-5</v>
      </c>
    </row>
    <row r="1889" spans="1:12" ht="15.5" x14ac:dyDescent="0.35">
      <c r="A1889" s="143" t="s">
        <v>974</v>
      </c>
      <c r="B1889" s="229">
        <v>2023</v>
      </c>
      <c r="C1889" s="514" t="s">
        <v>2727</v>
      </c>
      <c r="D1889" s="515">
        <v>3.6288050355046626E-2</v>
      </c>
      <c r="E1889" s="516">
        <v>1.2288378689650593E-2</v>
      </c>
      <c r="F1889" s="145">
        <v>6.2173286690563434E-2</v>
      </c>
      <c r="G1889" s="145">
        <v>1.2651753829229279E-3</v>
      </c>
      <c r="H1889" s="517">
        <v>2.0000009999999995E-3</v>
      </c>
      <c r="I1889" s="517">
        <v>1.5750004999999997E-2</v>
      </c>
      <c r="J1889" s="148">
        <v>1.3729983497090313E-3</v>
      </c>
      <c r="K1889" s="518">
        <v>6.9927353160180512E-5</v>
      </c>
      <c r="L1889" s="519">
        <v>7.3089156352420856E-5</v>
      </c>
    </row>
    <row r="1890" spans="1:12" ht="15.5" x14ac:dyDescent="0.35">
      <c r="A1890" s="143" t="s">
        <v>974</v>
      </c>
      <c r="B1890" s="229">
        <v>2024</v>
      </c>
      <c r="C1890" s="514" t="s">
        <v>2728</v>
      </c>
      <c r="D1890" s="515">
        <v>3.5118861564441176E-2</v>
      </c>
      <c r="E1890" s="516">
        <v>1.0556824113044674E-2</v>
      </c>
      <c r="F1890" s="145">
        <v>5.4019843766020266E-2</v>
      </c>
      <c r="G1890" s="145">
        <v>1.2079491578747741E-3</v>
      </c>
      <c r="H1890" s="517">
        <v>2.0000009999999995E-3</v>
      </c>
      <c r="I1890" s="517">
        <v>1.5750005000000001E-2</v>
      </c>
      <c r="J1890" s="148">
        <v>1.3109844920854532E-3</v>
      </c>
      <c r="K1890" s="518">
        <v>6.5187415519709743E-5</v>
      </c>
      <c r="L1890" s="519">
        <v>6.8134900553669134E-5</v>
      </c>
    </row>
    <row r="1891" spans="1:12" ht="15.5" x14ac:dyDescent="0.35">
      <c r="A1891" s="143" t="s">
        <v>974</v>
      </c>
      <c r="B1891" s="229">
        <v>2025</v>
      </c>
      <c r="C1891" s="514" t="s">
        <v>2729</v>
      </c>
      <c r="D1891" s="515">
        <v>3.3963743171710178E-2</v>
      </c>
      <c r="E1891" s="516">
        <v>9.168822063413698E-3</v>
      </c>
      <c r="F1891" s="145">
        <v>4.7532557313588596E-2</v>
      </c>
      <c r="G1891" s="145">
        <v>1.1586156788577487E-3</v>
      </c>
      <c r="H1891" s="517">
        <v>2.0000009999999999E-3</v>
      </c>
      <c r="I1891" s="517">
        <v>1.5750005000000004E-2</v>
      </c>
      <c r="J1891" s="148">
        <v>1.2575693227147853E-3</v>
      </c>
      <c r="K1891" s="518">
        <v>5.9703775085204712E-5</v>
      </c>
      <c r="L1891" s="519">
        <v>6.2403310985201328E-5</v>
      </c>
    </row>
    <row r="1892" spans="1:12" ht="15.5" x14ac:dyDescent="0.35">
      <c r="A1892" s="143" t="s">
        <v>974</v>
      </c>
      <c r="B1892" s="229">
        <v>2026</v>
      </c>
      <c r="C1892" s="514" t="s">
        <v>2730</v>
      </c>
      <c r="D1892" s="515">
        <v>3.2934715220433716E-2</v>
      </c>
      <c r="E1892" s="516">
        <v>8.0356530777585793E-3</v>
      </c>
      <c r="F1892" s="145">
        <v>4.2340834396978701E-2</v>
      </c>
      <c r="G1892" s="145">
        <v>1.1102049112052465E-3</v>
      </c>
      <c r="H1892" s="517">
        <v>2.0000009999999999E-3</v>
      </c>
      <c r="I1892" s="517">
        <v>1.5750005000000001E-2</v>
      </c>
      <c r="J1892" s="148">
        <v>1.2050893605750918E-3</v>
      </c>
      <c r="K1892" s="518">
        <v>5.5672244417710509E-5</v>
      </c>
      <c r="L1892" s="519">
        <v>5.8189495396577935E-5</v>
      </c>
    </row>
    <row r="1893" spans="1:12" ht="15.5" x14ac:dyDescent="0.35">
      <c r="A1893" s="143" t="s">
        <v>974</v>
      </c>
      <c r="B1893" s="229">
        <v>2027</v>
      </c>
      <c r="C1893" s="514" t="s">
        <v>2731</v>
      </c>
      <c r="D1893" s="515">
        <v>3.1964079494759254E-2</v>
      </c>
      <c r="E1893" s="516">
        <v>7.0877603469791323E-3</v>
      </c>
      <c r="F1893" s="145">
        <v>3.8042547227833449E-2</v>
      </c>
      <c r="G1893" s="145">
        <v>1.0503676561350861E-3</v>
      </c>
      <c r="H1893" s="517">
        <v>2.0000009999999999E-3</v>
      </c>
      <c r="I1893" s="517">
        <v>1.5750005000000004E-2</v>
      </c>
      <c r="J1893" s="148">
        <v>1.1404254015751965E-3</v>
      </c>
      <c r="K1893" s="518">
        <v>4.5919924116728743E-5</v>
      </c>
      <c r="L1893" s="519">
        <v>4.7996221104432193E-5</v>
      </c>
    </row>
    <row r="1894" spans="1:12" ht="15.5" x14ac:dyDescent="0.35">
      <c r="A1894" s="143" t="s">
        <v>974</v>
      </c>
      <c r="B1894" s="229">
        <v>2028</v>
      </c>
      <c r="C1894" s="514" t="s">
        <v>2732</v>
      </c>
      <c r="D1894" s="515">
        <v>3.1089382018512621E-2</v>
      </c>
      <c r="E1894" s="516">
        <v>6.3076035484228099E-3</v>
      </c>
      <c r="F1894" s="145">
        <v>3.4562547623481134E-2</v>
      </c>
      <c r="G1894" s="145">
        <v>9.8882206002180425E-4</v>
      </c>
      <c r="H1894" s="517">
        <v>2.0000009999999999E-3</v>
      </c>
      <c r="I1894" s="517">
        <v>1.5750005000000001E-2</v>
      </c>
      <c r="J1894" s="148">
        <v>1.0737210073945866E-3</v>
      </c>
      <c r="K1894" s="518">
        <v>4.0431972109777034E-5</v>
      </c>
      <c r="L1894" s="519">
        <v>4.2260130013424552E-5</v>
      </c>
    </row>
    <row r="1895" spans="1:12" ht="15.5" x14ac:dyDescent="0.35">
      <c r="A1895" s="143" t="s">
        <v>974</v>
      </c>
      <c r="B1895" s="229">
        <v>2029</v>
      </c>
      <c r="C1895" s="514" t="s">
        <v>2733</v>
      </c>
      <c r="D1895" s="515">
        <v>3.0303977111668608E-2</v>
      </c>
      <c r="E1895" s="516">
        <v>5.6379403975677549E-3</v>
      </c>
      <c r="F1895" s="145">
        <v>3.1658121620111362E-2</v>
      </c>
      <c r="G1895" s="145">
        <v>9.2890211542456217E-4</v>
      </c>
      <c r="H1895" s="517">
        <v>2.0000009999999995E-3</v>
      </c>
      <c r="I1895" s="517">
        <v>1.5750004999999997E-2</v>
      </c>
      <c r="J1895" s="148">
        <v>1.00874779539534E-3</v>
      </c>
      <c r="K1895" s="518">
        <v>3.5818317779050769E-5</v>
      </c>
      <c r="L1895" s="519">
        <v>3.7437857995488135E-5</v>
      </c>
    </row>
    <row r="1896" spans="1:12" ht="15.5" x14ac:dyDescent="0.35">
      <c r="A1896" s="143" t="s">
        <v>974</v>
      </c>
      <c r="B1896" s="229">
        <v>2030</v>
      </c>
      <c r="C1896" s="514" t="s">
        <v>2734</v>
      </c>
      <c r="D1896" s="515">
        <v>2.9602851519772811E-2</v>
      </c>
      <c r="E1896" s="516">
        <v>5.0852418431771088E-3</v>
      </c>
      <c r="F1896" s="145">
        <v>2.930706331890175E-2</v>
      </c>
      <c r="G1896" s="145">
        <v>8.7242816989476651E-4</v>
      </c>
      <c r="H1896" s="517">
        <v>2.0000009999999999E-3</v>
      </c>
      <c r="I1896" s="517">
        <v>1.5750005000000001E-2</v>
      </c>
      <c r="J1896" s="148">
        <v>9.4747910671057699E-4</v>
      </c>
      <c r="K1896" s="518">
        <v>3.2228975528534909E-5</v>
      </c>
      <c r="L1896" s="519">
        <v>3.3686226401307447E-5</v>
      </c>
    </row>
    <row r="1897" spans="1:12" ht="15.5" x14ac:dyDescent="0.35">
      <c r="A1897" s="143" t="s">
        <v>974</v>
      </c>
      <c r="B1897" s="229">
        <v>2031</v>
      </c>
      <c r="C1897" s="514" t="s">
        <v>2735</v>
      </c>
      <c r="D1897" s="515">
        <v>2.8980198790030633E-2</v>
      </c>
      <c r="E1897" s="516">
        <v>4.5995379026834539E-3</v>
      </c>
      <c r="F1897" s="145">
        <v>2.7284513884342932E-2</v>
      </c>
      <c r="G1897" s="145">
        <v>8.1961650486217117E-4</v>
      </c>
      <c r="H1897" s="517">
        <v>2.0000009999999999E-3</v>
      </c>
      <c r="I1897" s="517">
        <v>1.5750004999999997E-2</v>
      </c>
      <c r="J1897" s="148">
        <v>8.9013685241172099E-4</v>
      </c>
      <c r="K1897" s="518">
        <v>2.999536736804677E-5</v>
      </c>
      <c r="L1897" s="519">
        <v>3.1351623649976122E-5</v>
      </c>
    </row>
    <row r="1898" spans="1:12" ht="15.5" x14ac:dyDescent="0.35">
      <c r="A1898" s="143" t="s">
        <v>974</v>
      </c>
      <c r="B1898" s="229">
        <v>2032</v>
      </c>
      <c r="C1898" s="514" t="s">
        <v>2736</v>
      </c>
      <c r="D1898" s="515">
        <v>2.8429679862971603E-2</v>
      </c>
      <c r="E1898" s="516">
        <v>4.1867089448054768E-3</v>
      </c>
      <c r="F1898" s="145">
        <v>2.5648852634630702E-2</v>
      </c>
      <c r="G1898" s="145">
        <v>7.7013058835002186E-4</v>
      </c>
      <c r="H1898" s="517">
        <v>2.0000009999999999E-3</v>
      </c>
      <c r="I1898" s="517">
        <v>1.5750004999999997E-2</v>
      </c>
      <c r="J1898" s="148">
        <v>8.3641153227371459E-4</v>
      </c>
      <c r="K1898" s="518">
        <v>2.7755001519056322E-5</v>
      </c>
      <c r="L1898" s="519">
        <v>2.9009959303930674E-5</v>
      </c>
    </row>
    <row r="1899" spans="1:12" ht="15.5" x14ac:dyDescent="0.35">
      <c r="A1899" s="143" t="s">
        <v>974</v>
      </c>
      <c r="B1899" s="229">
        <v>2033</v>
      </c>
      <c r="C1899" s="514" t="s">
        <v>2737</v>
      </c>
      <c r="D1899" s="515">
        <v>2.794485905741401E-2</v>
      </c>
      <c r="E1899" s="516">
        <v>3.8293504230343372E-3</v>
      </c>
      <c r="F1899" s="145">
        <v>2.4289237862909749E-2</v>
      </c>
      <c r="G1899" s="145">
        <v>7.2442553502919532E-4</v>
      </c>
      <c r="H1899" s="517">
        <v>2.0000009999999999E-3</v>
      </c>
      <c r="I1899" s="517">
        <v>1.5750005000000001E-2</v>
      </c>
      <c r="J1899" s="148">
        <v>7.8677734503944711E-4</v>
      </c>
      <c r="K1899" s="518">
        <v>2.5997089576221486E-5</v>
      </c>
      <c r="L1899" s="519">
        <v>2.7172567693911675E-5</v>
      </c>
    </row>
    <row r="1900" spans="1:12" ht="15.5" x14ac:dyDescent="0.35">
      <c r="A1900" s="143" t="s">
        <v>974</v>
      </c>
      <c r="B1900" s="229">
        <v>2034</v>
      </c>
      <c r="C1900" s="514" t="s">
        <v>2738</v>
      </c>
      <c r="D1900" s="515">
        <v>2.7520453430845367E-2</v>
      </c>
      <c r="E1900" s="516">
        <v>3.5070788354227963E-3</v>
      </c>
      <c r="F1900" s="145">
        <v>2.3108433843062298E-2</v>
      </c>
      <c r="G1900" s="145">
        <v>6.8188202660918456E-4</v>
      </c>
      <c r="H1900" s="517">
        <v>2.0000009999999995E-3</v>
      </c>
      <c r="I1900" s="517">
        <v>1.5750005000000001E-2</v>
      </c>
      <c r="J1900" s="148">
        <v>7.4057169351963114E-4</v>
      </c>
      <c r="K1900" s="518">
        <v>2.447176398664226E-5</v>
      </c>
      <c r="L1900" s="519">
        <v>2.5578275014562679E-5</v>
      </c>
    </row>
    <row r="1901" spans="1:12" ht="15.5" x14ac:dyDescent="0.35">
      <c r="A1901" s="143" t="s">
        <v>974</v>
      </c>
      <c r="B1901" s="229">
        <v>2035</v>
      </c>
      <c r="C1901" s="514" t="s">
        <v>2739</v>
      </c>
      <c r="D1901" s="515">
        <v>2.7151728532937975E-2</v>
      </c>
      <c r="E1901" s="516">
        <v>3.2253153348614505E-3</v>
      </c>
      <c r="F1901" s="145">
        <v>2.2136584829128683E-2</v>
      </c>
      <c r="G1901" s="145">
        <v>6.4282934361952209E-4</v>
      </c>
      <c r="H1901" s="517">
        <v>2.0000009999999999E-3</v>
      </c>
      <c r="I1901" s="517">
        <v>1.5750005000000001E-2</v>
      </c>
      <c r="J1901" s="148">
        <v>6.9815415158987551E-4</v>
      </c>
      <c r="K1901" s="518">
        <v>2.3156914416637736E-5</v>
      </c>
      <c r="L1901" s="519">
        <v>2.4203969919192046E-5</v>
      </c>
    </row>
    <row r="1902" spans="1:12" ht="15.5" x14ac:dyDescent="0.35">
      <c r="A1902" s="143" t="s">
        <v>974</v>
      </c>
      <c r="B1902" s="229">
        <v>2036</v>
      </c>
      <c r="C1902" s="514" t="s">
        <v>2740</v>
      </c>
      <c r="D1902" s="515">
        <v>2.6832771867696E-2</v>
      </c>
      <c r="E1902" s="516">
        <v>2.976711183010594E-3</v>
      </c>
      <c r="F1902" s="145">
        <v>2.1306906268175354E-2</v>
      </c>
      <c r="G1902" s="145">
        <v>6.0844637692938322E-4</v>
      </c>
      <c r="H1902" s="517">
        <v>2.0000009999999999E-3</v>
      </c>
      <c r="I1902" s="517">
        <v>1.5750005000000004E-2</v>
      </c>
      <c r="J1902" s="148">
        <v>6.6081031863760649E-4</v>
      </c>
      <c r="K1902" s="518">
        <v>2.1973571409918183E-5</v>
      </c>
      <c r="L1902" s="519">
        <v>2.2967124294221808E-5</v>
      </c>
    </row>
    <row r="1903" spans="1:12" ht="15.5" x14ac:dyDescent="0.35">
      <c r="A1903" s="143" t="s">
        <v>974</v>
      </c>
      <c r="B1903" s="229">
        <v>2037</v>
      </c>
      <c r="C1903" s="514" t="s">
        <v>2741</v>
      </c>
      <c r="D1903" s="515">
        <v>2.6560015403981254E-2</v>
      </c>
      <c r="E1903" s="516">
        <v>2.7662195096776403E-3</v>
      </c>
      <c r="F1903" s="145">
        <v>2.064540484408639E-2</v>
      </c>
      <c r="G1903" s="145">
        <v>5.7753778377826043E-4</v>
      </c>
      <c r="H1903" s="517">
        <v>2.0000009999999999E-3</v>
      </c>
      <c r="I1903" s="517">
        <v>1.5750005000000001E-2</v>
      </c>
      <c r="J1903" s="148">
        <v>6.2724296966464488E-4</v>
      </c>
      <c r="K1903" s="518">
        <v>2.0805955552850125E-5</v>
      </c>
      <c r="L1903" s="519">
        <v>2.1746711965529278E-5</v>
      </c>
    </row>
    <row r="1904" spans="1:12" ht="15.5" x14ac:dyDescent="0.35">
      <c r="A1904" s="143" t="s">
        <v>974</v>
      </c>
      <c r="B1904" s="229">
        <v>2038</v>
      </c>
      <c r="C1904" s="514" t="s">
        <v>2742</v>
      </c>
      <c r="D1904" s="515">
        <v>2.6328786339489797E-2</v>
      </c>
      <c r="E1904" s="516">
        <v>2.5729625319075825E-3</v>
      </c>
      <c r="F1904" s="145">
        <v>2.0034950390109489E-2</v>
      </c>
      <c r="G1904" s="145">
        <v>5.4996855081584656E-4</v>
      </c>
      <c r="H1904" s="517">
        <v>2.0000009999999999E-3</v>
      </c>
      <c r="I1904" s="517">
        <v>1.5750005000000001E-2</v>
      </c>
      <c r="J1904" s="148">
        <v>5.9729812575135325E-4</v>
      </c>
      <c r="K1904" s="518">
        <v>1.9889300167935191E-5</v>
      </c>
      <c r="L1904" s="519">
        <v>2.0788607887602331E-5</v>
      </c>
    </row>
    <row r="1905" spans="1:12" ht="15.5" x14ac:dyDescent="0.35">
      <c r="A1905" s="143" t="s">
        <v>974</v>
      </c>
      <c r="B1905" s="229">
        <v>2039</v>
      </c>
      <c r="C1905" s="514" t="s">
        <v>2743</v>
      </c>
      <c r="D1905" s="515">
        <v>2.6133724838017056E-2</v>
      </c>
      <c r="E1905" s="516">
        <v>2.3933606921247384E-3</v>
      </c>
      <c r="F1905" s="145">
        <v>1.9471130127854265E-2</v>
      </c>
      <c r="G1905" s="145">
        <v>5.2554765607940826E-4</v>
      </c>
      <c r="H1905" s="517">
        <v>2.0000009999999999E-3</v>
      </c>
      <c r="I1905" s="517">
        <v>1.5750005000000001E-2</v>
      </c>
      <c r="J1905" s="148">
        <v>5.7077136274880438E-4</v>
      </c>
      <c r="K1905" s="518">
        <v>1.9106964450366307E-5</v>
      </c>
      <c r="L1905" s="519">
        <v>1.9970896575786731E-5</v>
      </c>
    </row>
    <row r="1906" spans="1:12" ht="15.5" x14ac:dyDescent="0.35">
      <c r="A1906" s="143" t="s">
        <v>974</v>
      </c>
      <c r="B1906" s="229">
        <v>2040</v>
      </c>
      <c r="C1906" s="514" t="s">
        <v>2744</v>
      </c>
      <c r="D1906" s="515">
        <v>2.5970825964962602E-2</v>
      </c>
      <c r="E1906" s="516">
        <v>2.2344420362993274E-3</v>
      </c>
      <c r="F1906" s="145">
        <v>1.9010455547080717E-2</v>
      </c>
      <c r="G1906" s="145">
        <v>5.041544839536799E-4</v>
      </c>
      <c r="H1906" s="517">
        <v>2.0000009999999999E-3</v>
      </c>
      <c r="I1906" s="517">
        <v>1.5750005000000001E-2</v>
      </c>
      <c r="J1906" s="148">
        <v>5.4753158407287077E-4</v>
      </c>
      <c r="K1906" s="518">
        <v>1.8449782425582995E-5</v>
      </c>
      <c r="L1906" s="519">
        <v>1.9284000829865057E-5</v>
      </c>
    </row>
    <row r="1907" spans="1:12" ht="15.5" x14ac:dyDescent="0.35">
      <c r="A1907" s="143" t="s">
        <v>974</v>
      </c>
      <c r="B1907" s="229">
        <v>2041</v>
      </c>
      <c r="C1907" s="514" t="s">
        <v>2745</v>
      </c>
      <c r="D1907" s="515">
        <v>2.5837113216529348E-2</v>
      </c>
      <c r="E1907" s="516">
        <v>2.1135357659553011E-3</v>
      </c>
      <c r="F1907" s="145">
        <v>1.8657465748936536E-2</v>
      </c>
      <c r="G1907" s="145">
        <v>4.8715841920577932E-4</v>
      </c>
      <c r="H1907" s="517">
        <v>2.0000009999999999E-3</v>
      </c>
      <c r="I1907" s="517">
        <v>1.5750004999999997E-2</v>
      </c>
      <c r="J1907" s="148">
        <v>5.2907212186624605E-4</v>
      </c>
      <c r="K1907" s="518">
        <v>1.7873281371762068E-5</v>
      </c>
      <c r="L1907" s="519">
        <v>1.8681431112222103E-5</v>
      </c>
    </row>
    <row r="1908" spans="1:12" ht="15.5" x14ac:dyDescent="0.35">
      <c r="A1908" s="143" t="s">
        <v>974</v>
      </c>
      <c r="B1908" s="229">
        <v>2042</v>
      </c>
      <c r="C1908" s="514" t="s">
        <v>2746</v>
      </c>
      <c r="D1908" s="515">
        <v>2.5726448378427365E-2</v>
      </c>
      <c r="E1908" s="516">
        <v>2.0074677243323465E-3</v>
      </c>
      <c r="F1908" s="145">
        <v>1.8328261286447212E-2</v>
      </c>
      <c r="G1908" s="145">
        <v>4.7271851976120061E-4</v>
      </c>
      <c r="H1908" s="517">
        <v>2.0000009999999995E-3</v>
      </c>
      <c r="I1908" s="517">
        <v>1.5750005000000001E-2</v>
      </c>
      <c r="J1908" s="148">
        <v>5.1338609127109811E-4</v>
      </c>
      <c r="K1908" s="518">
        <v>1.7421503993308284E-5</v>
      </c>
      <c r="L1908" s="519">
        <v>1.8209229335969016E-5</v>
      </c>
    </row>
    <row r="1909" spans="1:12" ht="15.5" x14ac:dyDescent="0.35">
      <c r="A1909" s="143" t="s">
        <v>974</v>
      </c>
      <c r="B1909" s="229">
        <v>2043</v>
      </c>
      <c r="C1909" s="514" t="s">
        <v>2747</v>
      </c>
      <c r="D1909" s="515">
        <v>2.563622407560226E-2</v>
      </c>
      <c r="E1909" s="516">
        <v>1.9281060428747937E-3</v>
      </c>
      <c r="F1909" s="145">
        <v>1.8091052516314675E-2</v>
      </c>
      <c r="G1909" s="145">
        <v>4.6063326734076141E-4</v>
      </c>
      <c r="H1909" s="517">
        <v>2.0000009999999999E-3</v>
      </c>
      <c r="I1909" s="517">
        <v>1.5750005000000001E-2</v>
      </c>
      <c r="J1909" s="148">
        <v>5.0025640826216391E-4</v>
      </c>
      <c r="K1909" s="518">
        <v>1.7082509554578524E-5</v>
      </c>
      <c r="L1909" s="519">
        <v>1.7854910134412153E-5</v>
      </c>
    </row>
    <row r="1910" spans="1:12" ht="15.5" x14ac:dyDescent="0.35">
      <c r="A1910" s="143" t="s">
        <v>974</v>
      </c>
      <c r="B1910" s="229">
        <v>2044</v>
      </c>
      <c r="C1910" s="514" t="s">
        <v>2748</v>
      </c>
      <c r="D1910" s="515">
        <v>2.5562062075229066E-2</v>
      </c>
      <c r="E1910" s="516">
        <v>1.8694282124410925E-3</v>
      </c>
      <c r="F1910" s="145">
        <v>1.790613746130932E-2</v>
      </c>
      <c r="G1910" s="145">
        <v>4.5054208306197842E-4</v>
      </c>
      <c r="H1910" s="517">
        <v>2.0000009999999999E-3</v>
      </c>
      <c r="I1910" s="517">
        <v>1.5750005000000004E-2</v>
      </c>
      <c r="J1910" s="148">
        <v>4.8929376860014156E-4</v>
      </c>
      <c r="K1910" s="518">
        <v>1.6806507197528292E-5</v>
      </c>
      <c r="L1910" s="519">
        <v>1.7566425360223102E-5</v>
      </c>
    </row>
    <row r="1911" spans="1:12" ht="15.5" x14ac:dyDescent="0.35">
      <c r="A1911" s="143" t="s">
        <v>974</v>
      </c>
      <c r="B1911" s="229">
        <v>2045</v>
      </c>
      <c r="C1911" s="514" t="s">
        <v>2749</v>
      </c>
      <c r="D1911" s="515">
        <v>2.5500310478287602E-2</v>
      </c>
      <c r="E1911" s="516">
        <v>1.8305420020679163E-3</v>
      </c>
      <c r="F1911" s="145">
        <v>1.7787443771274315E-2</v>
      </c>
      <c r="G1911" s="145">
        <v>4.4217640456581001E-4</v>
      </c>
      <c r="H1911" s="517">
        <v>2.0000009999999995E-3</v>
      </c>
      <c r="I1911" s="517">
        <v>1.5750004999999997E-2</v>
      </c>
      <c r="J1911" s="148">
        <v>4.8020439340592754E-4</v>
      </c>
      <c r="K1911" s="518">
        <v>1.6590956897896368E-5</v>
      </c>
      <c r="L1911" s="519">
        <v>1.7341122300431879E-5</v>
      </c>
    </row>
    <row r="1912" spans="1:12" ht="15.5" x14ac:dyDescent="0.35">
      <c r="A1912" s="143" t="s">
        <v>974</v>
      </c>
      <c r="B1912" s="229">
        <v>2046</v>
      </c>
      <c r="C1912" s="514" t="s">
        <v>2750</v>
      </c>
      <c r="D1912" s="515">
        <v>2.5449198679077301E-2</v>
      </c>
      <c r="E1912" s="516">
        <v>1.7970419628646316E-3</v>
      </c>
      <c r="F1912" s="145">
        <v>1.7688570447684109E-2</v>
      </c>
      <c r="G1912" s="145">
        <v>4.3530697469868352E-4</v>
      </c>
      <c r="H1912" s="517">
        <v>2.0000009999999999E-3</v>
      </c>
      <c r="I1912" s="517">
        <v>1.5750004999999997E-2</v>
      </c>
      <c r="J1912" s="148">
        <v>4.7274004614708271E-4</v>
      </c>
      <c r="K1912" s="518">
        <v>1.6432210743163525E-5</v>
      </c>
      <c r="L1912" s="519">
        <v>1.7175207088869565E-5</v>
      </c>
    </row>
    <row r="1913" spans="1:12" ht="15.5" x14ac:dyDescent="0.35">
      <c r="A1913" s="143" t="s">
        <v>974</v>
      </c>
      <c r="B1913" s="229">
        <v>2047</v>
      </c>
      <c r="C1913" s="514" t="s">
        <v>2751</v>
      </c>
      <c r="D1913" s="515">
        <v>2.5407581283422541E-2</v>
      </c>
      <c r="E1913" s="516">
        <v>1.7684856804359079E-3</v>
      </c>
      <c r="F1913" s="145">
        <v>1.7600455548798001E-2</v>
      </c>
      <c r="G1913" s="145">
        <v>4.2969204448086178E-4</v>
      </c>
      <c r="H1913" s="517">
        <v>2.0000009999999999E-3</v>
      </c>
      <c r="I1913" s="517">
        <v>1.5750005000000001E-2</v>
      </c>
      <c r="J1913" s="148">
        <v>4.6663896007740111E-4</v>
      </c>
      <c r="K1913" s="518">
        <v>1.6292401824054281E-5</v>
      </c>
      <c r="L1913" s="519">
        <v>1.7029074577810825E-5</v>
      </c>
    </row>
    <row r="1914" spans="1:12" ht="15.5" x14ac:dyDescent="0.35">
      <c r="A1914" s="143" t="s">
        <v>974</v>
      </c>
      <c r="B1914" s="229">
        <v>2048</v>
      </c>
      <c r="C1914" s="514" t="s">
        <v>2752</v>
      </c>
      <c r="D1914" s="515">
        <v>2.5373541425201148E-2</v>
      </c>
      <c r="E1914" s="516">
        <v>1.7457024660634615E-3</v>
      </c>
      <c r="F1914" s="145">
        <v>1.752939651325006E-2</v>
      </c>
      <c r="G1914" s="145">
        <v>4.251373295361466E-4</v>
      </c>
      <c r="H1914" s="517">
        <v>2.0000009999999999E-3</v>
      </c>
      <c r="I1914" s="517">
        <v>1.5750005000000001E-2</v>
      </c>
      <c r="J1914" s="148">
        <v>4.6168928122272446E-4</v>
      </c>
      <c r="K1914" s="518">
        <v>1.6192086313744956E-5</v>
      </c>
      <c r="L1914" s="519">
        <v>1.6924226059582877E-5</v>
      </c>
    </row>
    <row r="1915" spans="1:12" ht="15.5" x14ac:dyDescent="0.35">
      <c r="A1915" s="143" t="s">
        <v>974</v>
      </c>
      <c r="B1915" s="229">
        <v>2049</v>
      </c>
      <c r="C1915" s="514" t="s">
        <v>2753</v>
      </c>
      <c r="D1915" s="515">
        <v>2.5345706294833747E-2</v>
      </c>
      <c r="E1915" s="516">
        <v>1.7366580698723615E-3</v>
      </c>
      <c r="F1915" s="145">
        <v>1.7537204657131475E-2</v>
      </c>
      <c r="G1915" s="145">
        <v>4.221080657578102E-4</v>
      </c>
      <c r="H1915" s="517">
        <v>2.0000010000000004E-3</v>
      </c>
      <c r="I1915" s="517">
        <v>1.5750005000000001E-2</v>
      </c>
      <c r="J1915" s="148">
        <v>4.5839853191408374E-4</v>
      </c>
      <c r="K1915" s="518">
        <v>1.6103005750363752E-5</v>
      </c>
      <c r="L1915" s="519">
        <v>1.6831111888483283E-5</v>
      </c>
    </row>
    <row r="1916" spans="1:12" ht="15.5" x14ac:dyDescent="0.35">
      <c r="A1916" s="143" t="s">
        <v>974</v>
      </c>
      <c r="B1916" s="229">
        <v>2050</v>
      </c>
      <c r="C1916" s="514" t="s">
        <v>2754</v>
      </c>
      <c r="D1916" s="515">
        <v>2.5323459881811831E-2</v>
      </c>
      <c r="E1916" s="516">
        <v>1.7295314986323456E-3</v>
      </c>
      <c r="F1916" s="145">
        <v>1.75453510660349E-2</v>
      </c>
      <c r="G1916" s="145">
        <v>4.1972093346247659E-4</v>
      </c>
      <c r="H1916" s="517">
        <v>2.0000009999999999E-3</v>
      </c>
      <c r="I1916" s="517">
        <v>1.5750005000000001E-2</v>
      </c>
      <c r="J1916" s="148">
        <v>4.5580594283513325E-4</v>
      </c>
      <c r="K1916" s="518">
        <v>1.6022521540962764E-5</v>
      </c>
      <c r="L1916" s="519">
        <v>1.6746986457829012E-5</v>
      </c>
    </row>
    <row r="1917" spans="1:12" ht="15.5" x14ac:dyDescent="0.35">
      <c r="A1917" s="143" t="s">
        <v>977</v>
      </c>
      <c r="B1917" s="229">
        <v>2015</v>
      </c>
      <c r="C1917" s="514" t="s">
        <v>978</v>
      </c>
      <c r="D1917" s="515">
        <v>4.4322714817089048E-2</v>
      </c>
      <c r="E1917" s="516">
        <v>6.7888603862450075E-2</v>
      </c>
      <c r="F1917" s="145">
        <v>0.25666218666864249</v>
      </c>
      <c r="G1917" s="145">
        <v>2.2862146639123664E-3</v>
      </c>
      <c r="H1917" s="517">
        <v>2.0000009999999999E-3</v>
      </c>
      <c r="I1917" s="517">
        <v>1.5750004999999997E-2</v>
      </c>
      <c r="J1917" s="148">
        <v>2.4711735134603243E-3</v>
      </c>
      <c r="K1917" s="518">
        <v>2.3466124102962155E-4</v>
      </c>
      <c r="L1917" s="519">
        <v>2.452715839049091E-4</v>
      </c>
    </row>
    <row r="1918" spans="1:12" ht="15.5" x14ac:dyDescent="0.35">
      <c r="A1918" s="143" t="s">
        <v>977</v>
      </c>
      <c r="B1918" s="229">
        <v>2016</v>
      </c>
      <c r="C1918" s="514" t="s">
        <v>979</v>
      </c>
      <c r="D1918" s="515">
        <v>4.3375406221063388E-2</v>
      </c>
      <c r="E1918" s="516">
        <v>5.5834093262833992E-2</v>
      </c>
      <c r="F1918" s="145">
        <v>0.21809486371345985</v>
      </c>
      <c r="G1918" s="145">
        <v>2.1159799292577702E-3</v>
      </c>
      <c r="H1918" s="517">
        <v>2.0000009999999995E-3</v>
      </c>
      <c r="I1918" s="517">
        <v>1.5750004999999997E-2</v>
      </c>
      <c r="J1918" s="148">
        <v>2.2883434625515292E-3</v>
      </c>
      <c r="K1918" s="518">
        <v>2.1792141249785205E-4</v>
      </c>
      <c r="L1918" s="519">
        <v>2.2777485612435194E-4</v>
      </c>
    </row>
    <row r="1919" spans="1:12" ht="15.5" x14ac:dyDescent="0.35">
      <c r="A1919" s="143" t="s">
        <v>977</v>
      </c>
      <c r="B1919" s="229">
        <v>2017</v>
      </c>
      <c r="C1919" s="514" t="s">
        <v>2755</v>
      </c>
      <c r="D1919" s="515">
        <v>4.2312407576900607E-2</v>
      </c>
      <c r="E1919" s="516">
        <v>4.600410757975696E-2</v>
      </c>
      <c r="F1919" s="145">
        <v>0.18552357154908247</v>
      </c>
      <c r="G1919" s="145">
        <v>2.0111075811480345E-3</v>
      </c>
      <c r="H1919" s="517">
        <v>2.0000009999999999E-3</v>
      </c>
      <c r="I1919" s="517">
        <v>1.5750005000000001E-2</v>
      </c>
      <c r="J1919" s="148">
        <v>2.1764998728724051E-3</v>
      </c>
      <c r="K1919" s="518">
        <v>1.95517681029772E-4</v>
      </c>
      <c r="L1919" s="519">
        <v>2.0435812649772213E-4</v>
      </c>
    </row>
    <row r="1920" spans="1:12" ht="15.5" x14ac:dyDescent="0.35">
      <c r="A1920" s="143" t="s">
        <v>977</v>
      </c>
      <c r="B1920" s="229">
        <v>2018</v>
      </c>
      <c r="C1920" s="514" t="s">
        <v>2756</v>
      </c>
      <c r="D1920" s="515">
        <v>4.1104936057783981E-2</v>
      </c>
      <c r="E1920" s="516">
        <v>3.7488370682642672E-2</v>
      </c>
      <c r="F1920" s="145">
        <v>0.15703218792440823</v>
      </c>
      <c r="G1920" s="145">
        <v>1.9449868844166427E-3</v>
      </c>
      <c r="H1920" s="517">
        <v>2.0000009999999999E-3</v>
      </c>
      <c r="I1920" s="517">
        <v>1.5750005000000001E-2</v>
      </c>
      <c r="J1920" s="148">
        <v>2.1064390411439354E-3</v>
      </c>
      <c r="K1920" s="518">
        <v>1.7619674357808698E-4</v>
      </c>
      <c r="L1920" s="519">
        <v>1.8416357439171967E-4</v>
      </c>
    </row>
    <row r="1921" spans="1:12" ht="15.5" x14ac:dyDescent="0.35">
      <c r="A1921" s="143" t="s">
        <v>977</v>
      </c>
      <c r="B1921" s="229">
        <v>2019</v>
      </c>
      <c r="C1921" s="514" t="s">
        <v>2757</v>
      </c>
      <c r="D1921" s="515">
        <v>3.9930743401810138E-2</v>
      </c>
      <c r="E1921" s="516">
        <v>3.0658508141533838E-2</v>
      </c>
      <c r="F1921" s="145">
        <v>0.13308101191904509</v>
      </c>
      <c r="G1921" s="145">
        <v>1.8990754536312839E-3</v>
      </c>
      <c r="H1921" s="517">
        <v>2.0000009999999999E-3</v>
      </c>
      <c r="I1921" s="517">
        <v>1.5750004999999997E-2</v>
      </c>
      <c r="J1921" s="148">
        <v>2.0579156222970902E-3</v>
      </c>
      <c r="K1921" s="518">
        <v>1.5919377393786219E-4</v>
      </c>
      <c r="L1921" s="519">
        <v>1.6639180818247756E-4</v>
      </c>
    </row>
    <row r="1922" spans="1:12" ht="15.5" x14ac:dyDescent="0.35">
      <c r="A1922" s="143" t="s">
        <v>977</v>
      </c>
      <c r="B1922" s="229">
        <v>2020</v>
      </c>
      <c r="C1922" s="514" t="s">
        <v>2758</v>
      </c>
      <c r="D1922" s="515">
        <v>3.8741957352556478E-2</v>
      </c>
      <c r="E1922" s="516">
        <v>2.5549151537388119E-2</v>
      </c>
      <c r="F1922" s="145">
        <v>0.11325890510641272</v>
      </c>
      <c r="G1922" s="145">
        <v>1.8310269556704917E-3</v>
      </c>
      <c r="H1922" s="517">
        <v>2.0000009999999999E-3</v>
      </c>
      <c r="I1922" s="517">
        <v>1.5750005000000001E-2</v>
      </c>
      <c r="J1922" s="148">
        <v>1.9848312874167183E-3</v>
      </c>
      <c r="K1922" s="518">
        <v>1.4367714301607927E-4</v>
      </c>
      <c r="L1922" s="519">
        <v>1.5017357695387785E-4</v>
      </c>
    </row>
    <row r="1923" spans="1:12" ht="15.5" x14ac:dyDescent="0.35">
      <c r="A1923" s="143" t="s">
        <v>977</v>
      </c>
      <c r="B1923" s="229">
        <v>2021</v>
      </c>
      <c r="C1923" s="514" t="s">
        <v>2759</v>
      </c>
      <c r="D1923" s="515">
        <v>3.7498441550083202E-2</v>
      </c>
      <c r="E1923" s="516">
        <v>2.1584780143399093E-2</v>
      </c>
      <c r="F1923" s="145">
        <v>9.6659843508022661E-2</v>
      </c>
      <c r="G1923" s="145">
        <v>1.7312429414225272E-3</v>
      </c>
      <c r="H1923" s="517">
        <v>2.0000010000000004E-3</v>
      </c>
      <c r="I1923" s="517">
        <v>1.5750005000000004E-2</v>
      </c>
      <c r="J1923" s="148">
        <v>1.8770343758572484E-3</v>
      </c>
      <c r="K1923" s="518">
        <v>1.2988322197275652E-4</v>
      </c>
      <c r="L1923" s="519">
        <v>1.3575596374450937E-4</v>
      </c>
    </row>
    <row r="1924" spans="1:12" ht="15.5" x14ac:dyDescent="0.35">
      <c r="A1924" s="143" t="s">
        <v>977</v>
      </c>
      <c r="B1924" s="229">
        <v>2022</v>
      </c>
      <c r="C1924" s="514" t="s">
        <v>2760</v>
      </c>
      <c r="D1924" s="515">
        <v>3.6330928179851216E-2</v>
      </c>
      <c r="E1924" s="516">
        <v>1.7724052392873463E-2</v>
      </c>
      <c r="F1924" s="145">
        <v>8.2186721034436638E-2</v>
      </c>
      <c r="G1924" s="145">
        <v>1.6323028960156438E-3</v>
      </c>
      <c r="H1924" s="517">
        <v>2.0000009999999999E-3</v>
      </c>
      <c r="I1924" s="517">
        <v>1.5750005000000001E-2</v>
      </c>
      <c r="J1924" s="148">
        <v>1.770266956987598E-3</v>
      </c>
      <c r="K1924" s="518">
        <v>1.1621179581462943E-4</v>
      </c>
      <c r="L1924" s="519">
        <v>1.214663746224964E-4</v>
      </c>
    </row>
    <row r="1925" spans="1:12" ht="15.5" x14ac:dyDescent="0.35">
      <c r="A1925" s="143" t="s">
        <v>977</v>
      </c>
      <c r="B1925" s="229">
        <v>2023</v>
      </c>
      <c r="C1925" s="514" t="s">
        <v>2761</v>
      </c>
      <c r="D1925" s="515">
        <v>3.517931550621467E-2</v>
      </c>
      <c r="E1925" s="516">
        <v>1.5145817412577955E-2</v>
      </c>
      <c r="F1925" s="145">
        <v>7.0872849274003585E-2</v>
      </c>
      <c r="G1925" s="145">
        <v>1.5437838166856713E-3</v>
      </c>
      <c r="H1925" s="517">
        <v>2.0000009999999999E-3</v>
      </c>
      <c r="I1925" s="517">
        <v>1.5750005000000004E-2</v>
      </c>
      <c r="J1925" s="148">
        <v>1.6746451195251103E-3</v>
      </c>
      <c r="K1925" s="518">
        <v>1.0177578460976778E-4</v>
      </c>
      <c r="L1925" s="519">
        <v>1.0637763281008953E-4</v>
      </c>
    </row>
    <row r="1926" spans="1:12" ht="15.5" x14ac:dyDescent="0.35">
      <c r="A1926" s="143" t="s">
        <v>977</v>
      </c>
      <c r="B1926" s="229">
        <v>2024</v>
      </c>
      <c r="C1926" s="514" t="s">
        <v>2762</v>
      </c>
      <c r="D1926" s="515">
        <v>3.3991413646188871E-2</v>
      </c>
      <c r="E1926" s="516">
        <v>1.2991423481960016E-2</v>
      </c>
      <c r="F1926" s="145">
        <v>6.1528591157870606E-2</v>
      </c>
      <c r="G1926" s="145">
        <v>1.4677798765517687E-3</v>
      </c>
      <c r="H1926" s="517">
        <v>2.0000009999999999E-3</v>
      </c>
      <c r="I1926" s="517">
        <v>1.5750005000000001E-2</v>
      </c>
      <c r="J1926" s="148">
        <v>1.5924619905153155E-3</v>
      </c>
      <c r="K1926" s="518">
        <v>9.1312400096605012E-5</v>
      </c>
      <c r="L1926" s="519">
        <v>9.5441147666859002E-5</v>
      </c>
    </row>
    <row r="1927" spans="1:12" ht="15.5" x14ac:dyDescent="0.35">
      <c r="A1927" s="143" t="s">
        <v>977</v>
      </c>
      <c r="B1927" s="229">
        <v>2025</v>
      </c>
      <c r="C1927" s="514" t="s">
        <v>2763</v>
      </c>
      <c r="D1927" s="515">
        <v>3.288553445242539E-2</v>
      </c>
      <c r="E1927" s="516">
        <v>1.1280208645923637E-2</v>
      </c>
      <c r="F1927" s="145">
        <v>5.4127336647614759E-2</v>
      </c>
      <c r="G1927" s="145">
        <v>1.4033928836685238E-3</v>
      </c>
      <c r="H1927" s="517">
        <v>2.0000009999999995E-3</v>
      </c>
      <c r="I1927" s="517">
        <v>1.5750004999999997E-2</v>
      </c>
      <c r="J1927" s="148">
        <v>1.5228652776042575E-3</v>
      </c>
      <c r="K1927" s="518">
        <v>8.1448236094698977E-5</v>
      </c>
      <c r="L1927" s="519">
        <v>8.5130961891839271E-5</v>
      </c>
    </row>
    <row r="1928" spans="1:12" ht="15.5" x14ac:dyDescent="0.35">
      <c r="A1928" s="143" t="s">
        <v>977</v>
      </c>
      <c r="B1928" s="229">
        <v>2026</v>
      </c>
      <c r="C1928" s="514" t="s">
        <v>2764</v>
      </c>
      <c r="D1928" s="515">
        <v>3.1863722759525863E-2</v>
      </c>
      <c r="E1928" s="516">
        <v>9.8856911302660118E-3</v>
      </c>
      <c r="F1928" s="145">
        <v>4.8176123112849099E-2</v>
      </c>
      <c r="G1928" s="145">
        <v>1.3355889045210164E-3</v>
      </c>
      <c r="H1928" s="517">
        <v>2.0000009999999999E-3</v>
      </c>
      <c r="I1928" s="517">
        <v>1.5750005000000001E-2</v>
      </c>
      <c r="J1928" s="148">
        <v>1.4496463156806214E-3</v>
      </c>
      <c r="K1928" s="518">
        <v>6.9096264893192319E-5</v>
      </c>
      <c r="L1928" s="519">
        <v>7.2220492044597541E-5</v>
      </c>
    </row>
    <row r="1929" spans="1:12" ht="15.5" x14ac:dyDescent="0.35">
      <c r="A1929" s="143" t="s">
        <v>977</v>
      </c>
      <c r="B1929" s="229">
        <v>2027</v>
      </c>
      <c r="C1929" s="514" t="s">
        <v>2765</v>
      </c>
      <c r="D1929" s="515">
        <v>3.0943562594526054E-2</v>
      </c>
      <c r="E1929" s="516">
        <v>8.7108820949064018E-3</v>
      </c>
      <c r="F1929" s="145">
        <v>4.3221187506000076E-2</v>
      </c>
      <c r="G1929" s="145">
        <v>1.2608196072510197E-3</v>
      </c>
      <c r="H1929" s="517">
        <v>2.0000010000000004E-3</v>
      </c>
      <c r="I1929" s="517">
        <v>1.5750004999999997E-2</v>
      </c>
      <c r="J1929" s="148">
        <v>1.368818269437404E-3</v>
      </c>
      <c r="K1929" s="518">
        <v>5.7523380883883255E-5</v>
      </c>
      <c r="L1929" s="519">
        <v>6.0124327403799434E-5</v>
      </c>
    </row>
    <row r="1930" spans="1:12" ht="15.5" x14ac:dyDescent="0.35">
      <c r="A1930" s="143" t="s">
        <v>977</v>
      </c>
      <c r="B1930" s="229">
        <v>2028</v>
      </c>
      <c r="C1930" s="514" t="s">
        <v>2766</v>
      </c>
      <c r="D1930" s="515">
        <v>3.0118669791809202E-2</v>
      </c>
      <c r="E1930" s="516">
        <v>7.7433531752779767E-3</v>
      </c>
      <c r="F1930" s="145">
        <v>3.9173654636828245E-2</v>
      </c>
      <c r="G1930" s="145">
        <v>1.1808980001505253E-3</v>
      </c>
      <c r="H1930" s="517">
        <v>2.0000009999999999E-3</v>
      </c>
      <c r="I1930" s="517">
        <v>1.5750005000000001E-2</v>
      </c>
      <c r="J1930" s="148">
        <v>1.2823160391988689E-3</v>
      </c>
      <c r="K1930" s="518">
        <v>4.7629458009779978E-5</v>
      </c>
      <c r="L1930" s="519">
        <v>4.9783056851010188E-5</v>
      </c>
    </row>
    <row r="1931" spans="1:12" ht="15.5" x14ac:dyDescent="0.35">
      <c r="A1931" s="143" t="s">
        <v>977</v>
      </c>
      <c r="B1931" s="229">
        <v>2029</v>
      </c>
      <c r="C1931" s="514" t="s">
        <v>2767</v>
      </c>
      <c r="D1931" s="515">
        <v>2.9382424807382471E-2</v>
      </c>
      <c r="E1931" s="516">
        <v>6.908380133639494E-3</v>
      </c>
      <c r="F1931" s="145">
        <v>3.5772215445993058E-2</v>
      </c>
      <c r="G1931" s="145">
        <v>1.1062464404101857E-3</v>
      </c>
      <c r="H1931" s="517">
        <v>2.0000009999999999E-3</v>
      </c>
      <c r="I1931" s="517">
        <v>1.5750005000000001E-2</v>
      </c>
      <c r="J1931" s="148">
        <v>1.201393600260387E-3</v>
      </c>
      <c r="K1931" s="518">
        <v>4.1309131401490668E-5</v>
      </c>
      <c r="L1931" s="519">
        <v>4.3176953042235721E-5</v>
      </c>
    </row>
    <row r="1932" spans="1:12" ht="15.5" x14ac:dyDescent="0.35">
      <c r="A1932" s="143" t="s">
        <v>977</v>
      </c>
      <c r="B1932" s="229">
        <v>2030</v>
      </c>
      <c r="C1932" s="514" t="s">
        <v>2768</v>
      </c>
      <c r="D1932" s="515">
        <v>2.8728195329302264E-2</v>
      </c>
      <c r="E1932" s="516">
        <v>6.2151695009997508E-3</v>
      </c>
      <c r="F1932" s="145">
        <v>3.2964178936042435E-2</v>
      </c>
      <c r="G1932" s="145">
        <v>1.0362481991533612E-3</v>
      </c>
      <c r="H1932" s="517">
        <v>2.0000009999999999E-3</v>
      </c>
      <c r="I1932" s="517">
        <v>1.5750005000000001E-2</v>
      </c>
      <c r="J1932" s="148">
        <v>1.1254804354850969E-3</v>
      </c>
      <c r="K1932" s="518">
        <v>3.6212288610560647E-5</v>
      </c>
      <c r="L1932" s="519">
        <v>3.784964789676486E-5</v>
      </c>
    </row>
    <row r="1933" spans="1:12" ht="15.5" x14ac:dyDescent="0.35">
      <c r="A1933" s="143" t="s">
        <v>977</v>
      </c>
      <c r="B1933" s="229">
        <v>2031</v>
      </c>
      <c r="C1933" s="514" t="s">
        <v>2769</v>
      </c>
      <c r="D1933" s="515">
        <v>2.8149207822533363E-2</v>
      </c>
      <c r="E1933" s="516">
        <v>5.6015409123605876E-3</v>
      </c>
      <c r="F1933" s="145">
        <v>3.0515982780229281E-2</v>
      </c>
      <c r="G1933" s="145">
        <v>9.7103107014761885E-4</v>
      </c>
      <c r="H1933" s="517">
        <v>2.0000009999999995E-3</v>
      </c>
      <c r="I1933" s="517">
        <v>1.5750005000000001E-2</v>
      </c>
      <c r="J1933" s="148">
        <v>1.0546917222601069E-3</v>
      </c>
      <c r="K1933" s="518">
        <v>3.2873412698494203E-5</v>
      </c>
      <c r="L1933" s="519">
        <v>3.4359796992775427E-5</v>
      </c>
    </row>
    <row r="1934" spans="1:12" ht="15.5" x14ac:dyDescent="0.35">
      <c r="A1934" s="143" t="s">
        <v>977</v>
      </c>
      <c r="B1934" s="229">
        <v>2032</v>
      </c>
      <c r="C1934" s="514" t="s">
        <v>2770</v>
      </c>
      <c r="D1934" s="515">
        <v>2.7639131987159189E-2</v>
      </c>
      <c r="E1934" s="516">
        <v>5.0849510598800166E-3</v>
      </c>
      <c r="F1934" s="145">
        <v>2.854598870369442E-2</v>
      </c>
      <c r="G1934" s="145">
        <v>9.1072998729149702E-4</v>
      </c>
      <c r="H1934" s="517">
        <v>2.0000009999999999E-3</v>
      </c>
      <c r="I1934" s="517">
        <v>1.5750005000000001E-2</v>
      </c>
      <c r="J1934" s="148">
        <v>9.8923908071057868E-4</v>
      </c>
      <c r="K1934" s="518">
        <v>2.9808028768114748E-5</v>
      </c>
      <c r="L1934" s="519">
        <v>3.1155817340348948E-5</v>
      </c>
    </row>
    <row r="1935" spans="1:12" ht="15.5" x14ac:dyDescent="0.35">
      <c r="A1935" s="143" t="s">
        <v>977</v>
      </c>
      <c r="B1935" s="229">
        <v>2033</v>
      </c>
      <c r="C1935" s="514" t="s">
        <v>2771</v>
      </c>
      <c r="D1935" s="515">
        <v>2.7190906346359182E-2</v>
      </c>
      <c r="E1935" s="516">
        <v>4.6298494124260197E-3</v>
      </c>
      <c r="F1935" s="145">
        <v>2.6866376625564261E-2</v>
      </c>
      <c r="G1935" s="145">
        <v>8.5527386623007035E-4</v>
      </c>
      <c r="H1935" s="517">
        <v>2.0000009999999995E-3</v>
      </c>
      <c r="I1935" s="517">
        <v>1.5750004999999997E-2</v>
      </c>
      <c r="J1935" s="148">
        <v>9.2901147214346635E-4</v>
      </c>
      <c r="K1935" s="518">
        <v>2.7768268884452707E-5</v>
      </c>
      <c r="L1935" s="519">
        <v>2.9023831039269684E-5</v>
      </c>
    </row>
    <row r="1936" spans="1:12" ht="15.5" x14ac:dyDescent="0.35">
      <c r="A1936" s="143" t="s">
        <v>977</v>
      </c>
      <c r="B1936" s="229">
        <v>2034</v>
      </c>
      <c r="C1936" s="514" t="s">
        <v>2772</v>
      </c>
      <c r="D1936" s="515">
        <v>2.6799093743202444E-2</v>
      </c>
      <c r="E1936" s="516">
        <v>4.2217407641208932E-3</v>
      </c>
      <c r="F1936" s="145">
        <v>2.541776520091486E-2</v>
      </c>
      <c r="G1936" s="145">
        <v>8.0380512031840497E-4</v>
      </c>
      <c r="H1936" s="517">
        <v>2.0000009999999999E-3</v>
      </c>
      <c r="I1936" s="517">
        <v>1.5750005000000001E-2</v>
      </c>
      <c r="J1936" s="148">
        <v>8.7311515867175872E-4</v>
      </c>
      <c r="K1936" s="518">
        <v>2.5876335982766749E-5</v>
      </c>
      <c r="L1936" s="519">
        <v>2.7046342239435137E-5</v>
      </c>
    </row>
    <row r="1937" spans="1:12" ht="15.5" x14ac:dyDescent="0.35">
      <c r="A1937" s="143" t="s">
        <v>977</v>
      </c>
      <c r="B1937" s="229">
        <v>2035</v>
      </c>
      <c r="C1937" s="514" t="s">
        <v>2773</v>
      </c>
      <c r="D1937" s="515">
        <v>2.6459122569181627E-2</v>
      </c>
      <c r="E1937" s="516">
        <v>3.8670716595057154E-3</v>
      </c>
      <c r="F1937" s="145">
        <v>2.4223616818316935E-2</v>
      </c>
      <c r="G1937" s="145">
        <v>7.5703031478859895E-4</v>
      </c>
      <c r="H1937" s="517">
        <v>2.0000009999999995E-3</v>
      </c>
      <c r="I1937" s="517">
        <v>1.5750005000000001E-2</v>
      </c>
      <c r="J1937" s="148">
        <v>8.2230809447520392E-4</v>
      </c>
      <c r="K1937" s="518">
        <v>2.4343509269138251E-5</v>
      </c>
      <c r="L1937" s="519">
        <v>2.5444218814088948E-5</v>
      </c>
    </row>
    <row r="1938" spans="1:12" ht="15.5" x14ac:dyDescent="0.35">
      <c r="A1938" s="143" t="s">
        <v>977</v>
      </c>
      <c r="B1938" s="229">
        <v>2036</v>
      </c>
      <c r="C1938" s="514" t="s">
        <v>2774</v>
      </c>
      <c r="D1938" s="515">
        <v>2.6165692709851279E-2</v>
      </c>
      <c r="E1938" s="516">
        <v>3.5561829235817169E-3</v>
      </c>
      <c r="F1938" s="145">
        <v>2.3205746196062905E-2</v>
      </c>
      <c r="G1938" s="145">
        <v>7.1636175020540495E-4</v>
      </c>
      <c r="H1938" s="517">
        <v>2.0000010000000004E-3</v>
      </c>
      <c r="I1938" s="517">
        <v>1.5750005000000004E-2</v>
      </c>
      <c r="J1938" s="148">
        <v>7.7813889644249385E-4</v>
      </c>
      <c r="K1938" s="518">
        <v>2.2892090230982646E-5</v>
      </c>
      <c r="L1938" s="519">
        <v>2.3927169654292269E-5</v>
      </c>
    </row>
    <row r="1939" spans="1:12" ht="15.5" x14ac:dyDescent="0.35">
      <c r="A1939" s="143" t="s">
        <v>977</v>
      </c>
      <c r="B1939" s="229">
        <v>2037</v>
      </c>
      <c r="C1939" s="514" t="s">
        <v>2775</v>
      </c>
      <c r="D1939" s="515">
        <v>2.591499298151587E-2</v>
      </c>
      <c r="E1939" s="516">
        <v>3.2886559414970163E-3</v>
      </c>
      <c r="F1939" s="145">
        <v>2.2368586780647279E-2</v>
      </c>
      <c r="G1939" s="145">
        <v>6.8016265636965502E-4</v>
      </c>
      <c r="H1939" s="517">
        <v>2.0000009999999999E-3</v>
      </c>
      <c r="I1939" s="517">
        <v>1.5750005000000001E-2</v>
      </c>
      <c r="J1939" s="148">
        <v>7.3882077629449955E-4</v>
      </c>
      <c r="K1939" s="518">
        <v>2.1676745885812052E-5</v>
      </c>
      <c r="L1939" s="519">
        <v>2.2656873249699146E-5</v>
      </c>
    </row>
    <row r="1940" spans="1:12" ht="15.5" x14ac:dyDescent="0.35">
      <c r="A1940" s="143" t="s">
        <v>977</v>
      </c>
      <c r="B1940" s="229">
        <v>2038</v>
      </c>
      <c r="C1940" s="514" t="s">
        <v>2776</v>
      </c>
      <c r="D1940" s="515">
        <v>2.5702244550737521E-2</v>
      </c>
      <c r="E1940" s="516">
        <v>3.0456924127879727E-3</v>
      </c>
      <c r="F1940" s="145">
        <v>2.1614828574686586E-2</v>
      </c>
      <c r="G1940" s="145">
        <v>6.4792966482394058E-4</v>
      </c>
      <c r="H1940" s="517">
        <v>2.0000009999999999E-3</v>
      </c>
      <c r="I1940" s="517">
        <v>1.5750005000000001E-2</v>
      </c>
      <c r="J1940" s="148">
        <v>7.0380838949726668E-4</v>
      </c>
      <c r="K1940" s="518">
        <v>2.0637768166339592E-5</v>
      </c>
      <c r="L1940" s="519">
        <v>2.1570915713697603E-5</v>
      </c>
    </row>
    <row r="1941" spans="1:12" ht="15.5" x14ac:dyDescent="0.35">
      <c r="A1941" s="143" t="s">
        <v>977</v>
      </c>
      <c r="B1941" s="229">
        <v>2039</v>
      </c>
      <c r="C1941" s="514" t="s">
        <v>2777</v>
      </c>
      <c r="D1941" s="515">
        <v>2.5523303825633486E-2</v>
      </c>
      <c r="E1941" s="516">
        <v>2.8210388617908753E-3</v>
      </c>
      <c r="F1941" s="145">
        <v>2.0921296086984831E-2</v>
      </c>
      <c r="G1941" s="145">
        <v>6.194130432284451E-4</v>
      </c>
      <c r="H1941" s="517">
        <v>2.0000009999999999E-3</v>
      </c>
      <c r="I1941" s="517">
        <v>1.5750005000000001E-2</v>
      </c>
      <c r="J1941" s="148">
        <v>6.7283166573811756E-4</v>
      </c>
      <c r="K1941" s="518">
        <v>1.9747079940869187E-5</v>
      </c>
      <c r="L1941" s="519">
        <v>2.0639954402633256E-5</v>
      </c>
    </row>
    <row r="1942" spans="1:12" ht="15.5" x14ac:dyDescent="0.35">
      <c r="A1942" s="143" t="s">
        <v>977</v>
      </c>
      <c r="B1942" s="229">
        <v>2040</v>
      </c>
      <c r="C1942" s="514" t="s">
        <v>2778</v>
      </c>
      <c r="D1942" s="515">
        <v>2.537421719960992E-2</v>
      </c>
      <c r="E1942" s="516">
        <v>2.6275314246726042E-3</v>
      </c>
      <c r="F1942" s="145">
        <v>2.0378297339010795E-2</v>
      </c>
      <c r="G1942" s="145">
        <v>5.9464788695374115E-4</v>
      </c>
      <c r="H1942" s="517">
        <v>2.0000009999999999E-3</v>
      </c>
      <c r="I1942" s="517">
        <v>1.5750004999999997E-2</v>
      </c>
      <c r="J1942" s="148">
        <v>6.4592918146570808E-4</v>
      </c>
      <c r="K1942" s="518">
        <v>1.8991425183726851E-5</v>
      </c>
      <c r="L1942" s="519">
        <v>1.9850129890466968E-5</v>
      </c>
    </row>
    <row r="1943" spans="1:12" ht="15.5" x14ac:dyDescent="0.35">
      <c r="A1943" s="143" t="s">
        <v>977</v>
      </c>
      <c r="B1943" s="229">
        <v>2041</v>
      </c>
      <c r="C1943" s="514" t="s">
        <v>2779</v>
      </c>
      <c r="D1943" s="515">
        <v>2.5251751842768295E-2</v>
      </c>
      <c r="E1943" s="516">
        <v>2.4804423404944241E-3</v>
      </c>
      <c r="F1943" s="145">
        <v>1.9961932119524177E-2</v>
      </c>
      <c r="G1943" s="145">
        <v>5.7525085363212671E-4</v>
      </c>
      <c r="H1943" s="517">
        <v>2.0000009999999995E-3</v>
      </c>
      <c r="I1943" s="517">
        <v>1.5750005000000001E-2</v>
      </c>
      <c r="J1943" s="148">
        <v>6.2485891564485264E-4</v>
      </c>
      <c r="K1943" s="518">
        <v>1.8391989101167073E-5</v>
      </c>
      <c r="L1943" s="519">
        <v>1.9223584743840356E-5</v>
      </c>
    </row>
    <row r="1944" spans="1:12" ht="15.5" x14ac:dyDescent="0.35">
      <c r="A1944" s="143" t="s">
        <v>977</v>
      </c>
      <c r="B1944" s="229">
        <v>2042</v>
      </c>
      <c r="C1944" s="514" t="s">
        <v>2780</v>
      </c>
      <c r="D1944" s="515">
        <v>2.5150822605425577E-2</v>
      </c>
      <c r="E1944" s="516">
        <v>2.3532212764570074E-3</v>
      </c>
      <c r="F1944" s="145">
        <v>1.9571830949262202E-2</v>
      </c>
      <c r="G1944" s="145">
        <v>5.5866457705872009E-4</v>
      </c>
      <c r="H1944" s="517">
        <v>2.0000009999999999E-3</v>
      </c>
      <c r="I1944" s="517">
        <v>1.5750005000000001E-2</v>
      </c>
      <c r="J1944" s="148">
        <v>6.0684105863669207E-4</v>
      </c>
      <c r="K1944" s="518">
        <v>1.7879812667215212E-5</v>
      </c>
      <c r="L1944" s="519">
        <v>1.8688257015657164E-5</v>
      </c>
    </row>
    <row r="1945" spans="1:12" ht="15.5" x14ac:dyDescent="0.35">
      <c r="A1945" s="143" t="s">
        <v>977</v>
      </c>
      <c r="B1945" s="229">
        <v>2043</v>
      </c>
      <c r="C1945" s="514" t="s">
        <v>2781</v>
      </c>
      <c r="D1945" s="515">
        <v>2.5068675589112927E-2</v>
      </c>
      <c r="E1945" s="516">
        <v>2.2592700323639902E-3</v>
      </c>
      <c r="F1945" s="145">
        <v>1.9291453571700541E-2</v>
      </c>
      <c r="G1945" s="145">
        <v>5.4469388839207026E-4</v>
      </c>
      <c r="H1945" s="517">
        <v>2.0000010000000004E-3</v>
      </c>
      <c r="I1945" s="517">
        <v>1.5750005000000001E-2</v>
      </c>
      <c r="J1945" s="148">
        <v>5.9166263140093605E-4</v>
      </c>
      <c r="K1945" s="518">
        <v>1.7487073294981179E-5</v>
      </c>
      <c r="L1945" s="519">
        <v>1.827775684527575E-5</v>
      </c>
    </row>
    <row r="1946" spans="1:12" ht="15.5" x14ac:dyDescent="0.35">
      <c r="A1946" s="143" t="s">
        <v>977</v>
      </c>
      <c r="B1946" s="229">
        <v>2044</v>
      </c>
      <c r="C1946" s="514" t="s">
        <v>2782</v>
      </c>
      <c r="D1946" s="515">
        <v>2.5001804779627986E-2</v>
      </c>
      <c r="E1946" s="516">
        <v>2.1906671896480918E-3</v>
      </c>
      <c r="F1946" s="145">
        <v>1.9080494380613489E-2</v>
      </c>
      <c r="G1946" s="145">
        <v>5.3300360242330481E-4</v>
      </c>
      <c r="H1946" s="517">
        <v>2.0000009999999999E-3</v>
      </c>
      <c r="I1946" s="517">
        <v>1.5750005000000001E-2</v>
      </c>
      <c r="J1946" s="148">
        <v>5.7896179337294353E-4</v>
      </c>
      <c r="K1946" s="518">
        <v>1.7181502283759771E-5</v>
      </c>
      <c r="L1946" s="519">
        <v>1.7958367220428151E-5</v>
      </c>
    </row>
    <row r="1947" spans="1:12" ht="15.5" x14ac:dyDescent="0.35">
      <c r="A1947" s="143" t="s">
        <v>977</v>
      </c>
      <c r="B1947" s="229">
        <v>2045</v>
      </c>
      <c r="C1947" s="514" t="s">
        <v>2783</v>
      </c>
      <c r="D1947" s="515">
        <v>2.4946928848972594E-2</v>
      </c>
      <c r="E1947" s="516">
        <v>2.1443860167648121E-3</v>
      </c>
      <c r="F1947" s="145">
        <v>1.8940792295061713E-2</v>
      </c>
      <c r="G1947" s="145">
        <v>5.2326319234569812E-4</v>
      </c>
      <c r="H1947" s="517">
        <v>2.0000010000000004E-3</v>
      </c>
      <c r="I1947" s="517">
        <v>1.5750005000000001E-2</v>
      </c>
      <c r="J1947" s="148">
        <v>5.6837900914286478E-4</v>
      </c>
      <c r="K1947" s="518">
        <v>1.6936810366081867E-5</v>
      </c>
      <c r="L1947" s="519">
        <v>1.7702611416464872E-5</v>
      </c>
    </row>
    <row r="1948" spans="1:12" ht="15.5" x14ac:dyDescent="0.35">
      <c r="A1948" s="143" t="s">
        <v>977</v>
      </c>
      <c r="B1948" s="229">
        <v>2046</v>
      </c>
      <c r="C1948" s="514" t="s">
        <v>2784</v>
      </c>
      <c r="D1948" s="515">
        <v>2.4901735581944369E-2</v>
      </c>
      <c r="E1948" s="516">
        <v>2.1050387244915011E-3</v>
      </c>
      <c r="F1948" s="145">
        <v>1.8829191717047316E-2</v>
      </c>
      <c r="G1948" s="145">
        <v>5.1528691694484904E-4</v>
      </c>
      <c r="H1948" s="517">
        <v>2.0000009999999999E-3</v>
      </c>
      <c r="I1948" s="517">
        <v>1.5750005000000001E-2</v>
      </c>
      <c r="J1948" s="148">
        <v>5.5971171577282692E-4</v>
      </c>
      <c r="K1948" s="518">
        <v>1.6746807030889997E-5</v>
      </c>
      <c r="L1948" s="519">
        <v>1.7504016805253963E-5</v>
      </c>
    </row>
    <row r="1949" spans="1:12" ht="15.5" x14ac:dyDescent="0.35">
      <c r="A1949" s="143" t="s">
        <v>977</v>
      </c>
      <c r="B1949" s="229">
        <v>2047</v>
      </c>
      <c r="C1949" s="514" t="s">
        <v>2785</v>
      </c>
      <c r="D1949" s="515">
        <v>2.4865301025391001E-2</v>
      </c>
      <c r="E1949" s="516">
        <v>2.0708582384973474E-3</v>
      </c>
      <c r="F1949" s="145">
        <v>1.8727555599104398E-2</v>
      </c>
      <c r="G1949" s="145">
        <v>5.0875267392137857E-4</v>
      </c>
      <c r="H1949" s="517">
        <v>2.0000009999999999E-3</v>
      </c>
      <c r="I1949" s="517">
        <v>1.5750005000000001E-2</v>
      </c>
      <c r="J1949" s="148">
        <v>5.526129269801302E-4</v>
      </c>
      <c r="K1949" s="518">
        <v>1.65777972185165E-5</v>
      </c>
      <c r="L1949" s="519">
        <v>1.7327370565601674E-5</v>
      </c>
    </row>
    <row r="1950" spans="1:12" ht="15.5" x14ac:dyDescent="0.35">
      <c r="A1950" s="143" t="s">
        <v>977</v>
      </c>
      <c r="B1950" s="229">
        <v>2048</v>
      </c>
      <c r="C1950" s="514" t="s">
        <v>2786</v>
      </c>
      <c r="D1950" s="515">
        <v>2.4836081152200103E-2</v>
      </c>
      <c r="E1950" s="516">
        <v>2.0430904166281018E-3</v>
      </c>
      <c r="F1950" s="145">
        <v>1.8642154609590816E-2</v>
      </c>
      <c r="G1950" s="145">
        <v>5.0342181974495637E-4</v>
      </c>
      <c r="H1950" s="517">
        <v>2.0000009999999999E-3</v>
      </c>
      <c r="I1950" s="517">
        <v>1.5750005000000001E-2</v>
      </c>
      <c r="J1950" s="148">
        <v>5.4682087653506713E-4</v>
      </c>
      <c r="K1950" s="518">
        <v>1.6435292169515375E-5</v>
      </c>
      <c r="L1950" s="519">
        <v>1.7178417241361416E-5</v>
      </c>
    </row>
    <row r="1951" spans="1:12" ht="15.5" x14ac:dyDescent="0.35">
      <c r="A1951" s="143" t="s">
        <v>977</v>
      </c>
      <c r="B1951" s="229">
        <v>2049</v>
      </c>
      <c r="C1951" s="514" t="s">
        <v>2787</v>
      </c>
      <c r="D1951" s="515">
        <v>2.4812949539911686E-2</v>
      </c>
      <c r="E1951" s="516">
        <v>2.0324203359902483E-3</v>
      </c>
      <c r="F1951" s="145">
        <v>1.8648459801637415E-2</v>
      </c>
      <c r="G1951" s="145">
        <v>4.999208337929836E-4</v>
      </c>
      <c r="H1951" s="517">
        <v>2.0000009999999995E-3</v>
      </c>
      <c r="I1951" s="517">
        <v>1.5750005000000001E-2</v>
      </c>
      <c r="J1951" s="148">
        <v>5.4301728941324892E-4</v>
      </c>
      <c r="K1951" s="518">
        <v>1.6327510797239431E-5</v>
      </c>
      <c r="L1951" s="519">
        <v>1.7065766509640082E-5</v>
      </c>
    </row>
    <row r="1952" spans="1:12" ht="15.5" x14ac:dyDescent="0.35">
      <c r="A1952" s="143" t="s">
        <v>977</v>
      </c>
      <c r="B1952" s="229">
        <v>2050</v>
      </c>
      <c r="C1952" s="514" t="s">
        <v>2788</v>
      </c>
      <c r="D1952" s="515">
        <v>2.4794949773486535E-2</v>
      </c>
      <c r="E1952" s="516">
        <v>2.0239498008186099E-3</v>
      </c>
      <c r="F1952" s="145">
        <v>1.8654946370732037E-2</v>
      </c>
      <c r="G1952" s="145">
        <v>4.97119935391375E-4</v>
      </c>
      <c r="H1952" s="517">
        <v>2.0000009999999999E-3</v>
      </c>
      <c r="I1952" s="517">
        <v>1.5750005000000001E-2</v>
      </c>
      <c r="J1952" s="148">
        <v>5.3997606047054563E-4</v>
      </c>
      <c r="K1952" s="518">
        <v>1.621791290844071E-5</v>
      </c>
      <c r="L1952" s="519">
        <v>1.6951216040653941E-5</v>
      </c>
    </row>
    <row r="1953" spans="1:12" ht="15.5" x14ac:dyDescent="0.35">
      <c r="A1953" s="143" t="s">
        <v>980</v>
      </c>
      <c r="B1953" s="229">
        <v>2015</v>
      </c>
      <c r="C1953" s="514" t="s">
        <v>981</v>
      </c>
      <c r="D1953" s="515">
        <v>4.3375704400339395E-2</v>
      </c>
      <c r="E1953" s="516">
        <v>0.1166021080693128</v>
      </c>
      <c r="F1953" s="145">
        <v>0.3332845159453095</v>
      </c>
      <c r="G1953" s="145">
        <v>3.8166533928066966E-3</v>
      </c>
      <c r="H1953" s="517">
        <v>2.0000005732018801E-3</v>
      </c>
      <c r="I1953" s="517">
        <v>1.5750004513964799E-2</v>
      </c>
      <c r="J1953" s="148">
        <v>4.1255508742137166E-3</v>
      </c>
      <c r="K1953" s="518">
        <v>3.7026604854901996E-4</v>
      </c>
      <c r="L1953" s="519">
        <v>3.8700783623315003E-4</v>
      </c>
    </row>
    <row r="1954" spans="1:12" ht="15.5" x14ac:dyDescent="0.35">
      <c r="A1954" s="143" t="s">
        <v>980</v>
      </c>
      <c r="B1954" s="229">
        <v>2016</v>
      </c>
      <c r="C1954" s="514" t="s">
        <v>982</v>
      </c>
      <c r="D1954" s="515">
        <v>4.257387128202849E-2</v>
      </c>
      <c r="E1954" s="516">
        <v>9.6964641671420604E-2</v>
      </c>
      <c r="F1954" s="145">
        <v>0.28861496204890591</v>
      </c>
      <c r="G1954" s="145">
        <v>3.4809452819321227E-3</v>
      </c>
      <c r="H1954" s="517">
        <v>2.000000573201881E-3</v>
      </c>
      <c r="I1954" s="517">
        <v>1.5750004513964803E-2</v>
      </c>
      <c r="J1954" s="148">
        <v>3.7671054713294206E-3</v>
      </c>
      <c r="K1954" s="518">
        <v>2.8230152492551315E-4</v>
      </c>
      <c r="L1954" s="519">
        <v>2.9506594718818087E-4</v>
      </c>
    </row>
    <row r="1955" spans="1:12" ht="15.5" x14ac:dyDescent="0.35">
      <c r="A1955" s="143" t="s">
        <v>980</v>
      </c>
      <c r="B1955" s="229">
        <v>2017</v>
      </c>
      <c r="C1955" s="514" t="s">
        <v>2789</v>
      </c>
      <c r="D1955" s="515">
        <v>4.1590527903214873E-2</v>
      </c>
      <c r="E1955" s="516">
        <v>8.1189990887444205E-2</v>
      </c>
      <c r="F1955" s="145">
        <v>0.24937616553782346</v>
      </c>
      <c r="G1955" s="145">
        <v>3.2952255085337313E-3</v>
      </c>
      <c r="H1955" s="517">
        <v>2.0000005732018801E-3</v>
      </c>
      <c r="I1955" s="517">
        <v>1.5750004513964799E-2</v>
      </c>
      <c r="J1955" s="148">
        <v>3.5682679085922995E-3</v>
      </c>
      <c r="K1955" s="518">
        <v>2.5657907276625667E-4</v>
      </c>
      <c r="L1955" s="519">
        <v>2.6818043988397405E-4</v>
      </c>
    </row>
    <row r="1956" spans="1:12" ht="15.5" x14ac:dyDescent="0.35">
      <c r="A1956" s="143" t="s">
        <v>980</v>
      </c>
      <c r="B1956" s="229">
        <v>2018</v>
      </c>
      <c r="C1956" s="514" t="s">
        <v>2790</v>
      </c>
      <c r="D1956" s="515">
        <v>4.0552146372987319E-2</v>
      </c>
      <c r="E1956" s="516">
        <v>6.6946543232526676E-2</v>
      </c>
      <c r="F1956" s="145">
        <v>0.21436954628917224</v>
      </c>
      <c r="G1956" s="145">
        <v>3.1617524484504281E-3</v>
      </c>
      <c r="H1956" s="517">
        <v>2.0000005732018801E-3</v>
      </c>
      <c r="I1956" s="517">
        <v>1.5750004513964806E-2</v>
      </c>
      <c r="J1956" s="148">
        <v>3.4258660341160564E-3</v>
      </c>
      <c r="K1956" s="518">
        <v>2.3532071629528105E-4</v>
      </c>
      <c r="L1956" s="519">
        <v>2.4596087486594069E-4</v>
      </c>
    </row>
    <row r="1957" spans="1:12" ht="15.5" x14ac:dyDescent="0.35">
      <c r="A1957" s="143" t="s">
        <v>980</v>
      </c>
      <c r="B1957" s="229">
        <v>2019</v>
      </c>
      <c r="C1957" s="514" t="s">
        <v>2791</v>
      </c>
      <c r="D1957" s="515">
        <v>3.9473084627638884E-2</v>
      </c>
      <c r="E1957" s="516">
        <v>5.4977012656089987E-2</v>
      </c>
      <c r="F1957" s="145">
        <v>0.18421442213469416</v>
      </c>
      <c r="G1957" s="145">
        <v>3.0549719551146376E-3</v>
      </c>
      <c r="H1957" s="517">
        <v>2.0000005732018805E-3</v>
      </c>
      <c r="I1957" s="517">
        <v>1.5750004513964803E-2</v>
      </c>
      <c r="J1957" s="148">
        <v>3.3119006440563386E-3</v>
      </c>
      <c r="K1957" s="518">
        <v>2.1739152914210385E-4</v>
      </c>
      <c r="L1957" s="519">
        <v>2.2722100942928618E-4</v>
      </c>
    </row>
    <row r="1958" spans="1:12" ht="15.5" x14ac:dyDescent="0.35">
      <c r="A1958" s="143" t="s">
        <v>980</v>
      </c>
      <c r="B1958" s="229">
        <v>2020</v>
      </c>
      <c r="C1958" s="514" t="s">
        <v>2792</v>
      </c>
      <c r="D1958" s="515">
        <v>3.8367794449331763E-2</v>
      </c>
      <c r="E1958" s="516">
        <v>4.6423707213046367E-2</v>
      </c>
      <c r="F1958" s="145">
        <v>0.15896880388322973</v>
      </c>
      <c r="G1958" s="145">
        <v>2.919467802042967E-3</v>
      </c>
      <c r="H1958" s="517">
        <v>2.0000005732018797E-3</v>
      </c>
      <c r="I1958" s="517">
        <v>1.5750004513964799E-2</v>
      </c>
      <c r="J1958" s="148">
        <v>3.1656302583124903E-3</v>
      </c>
      <c r="K1958" s="518">
        <v>2.0272014110532966E-4</v>
      </c>
      <c r="L1958" s="519">
        <v>2.1188624632880937E-4</v>
      </c>
    </row>
    <row r="1959" spans="1:12" ht="15.5" x14ac:dyDescent="0.35">
      <c r="A1959" s="143" t="s">
        <v>980</v>
      </c>
      <c r="B1959" s="229">
        <v>2021</v>
      </c>
      <c r="C1959" s="514" t="s">
        <v>2793</v>
      </c>
      <c r="D1959" s="515">
        <v>3.724667538447439E-2</v>
      </c>
      <c r="E1959" s="516">
        <v>3.9310343059509395E-2</v>
      </c>
      <c r="F1959" s="145">
        <v>0.1369772400513696</v>
      </c>
      <c r="G1959" s="145">
        <v>2.7330031225492038E-3</v>
      </c>
      <c r="H1959" s="517">
        <v>2.0000005732018801E-3</v>
      </c>
      <c r="I1959" s="517">
        <v>1.5750004513964799E-2</v>
      </c>
      <c r="J1959" s="148">
        <v>2.9638309748964311E-3</v>
      </c>
      <c r="K1959" s="518">
        <v>1.8784128652589446E-4</v>
      </c>
      <c r="L1959" s="519">
        <v>1.9633463596923143E-4</v>
      </c>
    </row>
    <row r="1960" spans="1:12" ht="15.5" x14ac:dyDescent="0.35">
      <c r="A1960" s="143" t="s">
        <v>980</v>
      </c>
      <c r="B1960" s="229">
        <v>2022</v>
      </c>
      <c r="C1960" s="514" t="s">
        <v>2794</v>
      </c>
      <c r="D1960" s="515">
        <v>3.6137980733898012E-2</v>
      </c>
      <c r="E1960" s="516">
        <v>3.3150364881956156E-2</v>
      </c>
      <c r="F1960" s="145">
        <v>0.11854136986694688</v>
      </c>
      <c r="G1960" s="145">
        <v>2.5685288467225836E-3</v>
      </c>
      <c r="H1960" s="517">
        <v>2.0000005732018805E-3</v>
      </c>
      <c r="I1960" s="517">
        <v>1.5750004513964799E-2</v>
      </c>
      <c r="J1960" s="148">
        <v>2.7858720950432532E-3</v>
      </c>
      <c r="K1960" s="518">
        <v>1.7458107955503052E-4</v>
      </c>
      <c r="L1960" s="519">
        <v>1.8247486128044216E-4</v>
      </c>
    </row>
    <row r="1961" spans="1:12" ht="15.5" x14ac:dyDescent="0.35">
      <c r="A1961" s="143" t="s">
        <v>980</v>
      </c>
      <c r="B1961" s="229">
        <v>2023</v>
      </c>
      <c r="C1961" s="514" t="s">
        <v>2795</v>
      </c>
      <c r="D1961" s="515">
        <v>3.5035078370107983E-2</v>
      </c>
      <c r="E1961" s="516">
        <v>2.8574666075087882E-2</v>
      </c>
      <c r="F1961" s="145">
        <v>0.10317481470478394</v>
      </c>
      <c r="G1961" s="145">
        <v>2.4213267456766993E-3</v>
      </c>
      <c r="H1961" s="517">
        <v>2.0000005732018801E-3</v>
      </c>
      <c r="I1961" s="517">
        <v>1.5750004513964799E-2</v>
      </c>
      <c r="J1961" s="148">
        <v>2.6264029336953748E-3</v>
      </c>
      <c r="K1961" s="518">
        <v>1.6228242625134802E-4</v>
      </c>
      <c r="L1961" s="519">
        <v>1.6962011744883285E-4</v>
      </c>
    </row>
    <row r="1962" spans="1:12" ht="15.5" x14ac:dyDescent="0.35">
      <c r="A1962" s="143" t="s">
        <v>980</v>
      </c>
      <c r="B1962" s="229">
        <v>2024</v>
      </c>
      <c r="C1962" s="514" t="s">
        <v>2796</v>
      </c>
      <c r="D1962" s="515">
        <v>3.3943943824184683E-2</v>
      </c>
      <c r="E1962" s="516">
        <v>2.4689993642698138E-2</v>
      </c>
      <c r="F1962" s="145">
        <v>9.0200769403858544E-2</v>
      </c>
      <c r="G1962" s="145">
        <v>2.2790176095116967E-3</v>
      </c>
      <c r="H1962" s="517">
        <v>2.0000005732018797E-3</v>
      </c>
      <c r="I1962" s="517">
        <v>1.5750004513964799E-2</v>
      </c>
      <c r="J1962" s="148">
        <v>2.4727638539925605E-3</v>
      </c>
      <c r="K1962" s="518">
        <v>1.3752430248468528E-4</v>
      </c>
      <c r="L1962" s="519">
        <v>1.4374254118798874E-4</v>
      </c>
    </row>
    <row r="1963" spans="1:12" ht="15.5" x14ac:dyDescent="0.35">
      <c r="A1963" s="143" t="s">
        <v>980</v>
      </c>
      <c r="B1963" s="229">
        <v>2025</v>
      </c>
      <c r="C1963" s="514" t="s">
        <v>2797</v>
      </c>
      <c r="D1963" s="515">
        <v>3.2866756557175983E-2</v>
      </c>
      <c r="E1963" s="516">
        <v>2.149691667906977E-2</v>
      </c>
      <c r="F1963" s="145">
        <v>7.9572616088001313E-2</v>
      </c>
      <c r="G1963" s="145">
        <v>2.1698948406708588E-3</v>
      </c>
      <c r="H1963" s="517">
        <v>2.0000005732018797E-3</v>
      </c>
      <c r="I1963" s="517">
        <v>1.5750004513964796E-2</v>
      </c>
      <c r="J1963" s="148">
        <v>2.3545344306050791E-3</v>
      </c>
      <c r="K1963" s="518">
        <v>1.2787828022327213E-4</v>
      </c>
      <c r="L1963" s="519">
        <v>1.3366036860350421E-4</v>
      </c>
    </row>
    <row r="1964" spans="1:12" ht="15.5" x14ac:dyDescent="0.35">
      <c r="A1964" s="143" t="s">
        <v>980</v>
      </c>
      <c r="B1964" s="229">
        <v>2026</v>
      </c>
      <c r="C1964" s="514" t="s">
        <v>2798</v>
      </c>
      <c r="D1964" s="515">
        <v>3.1875274694064037E-2</v>
      </c>
      <c r="E1964" s="516">
        <v>1.8879081016997742E-2</v>
      </c>
      <c r="F1964" s="145">
        <v>7.0921334821351364E-2</v>
      </c>
      <c r="G1964" s="145">
        <v>2.060865380202719E-3</v>
      </c>
      <c r="H1964" s="517">
        <v>2.0000005732018797E-3</v>
      </c>
      <c r="I1964" s="517">
        <v>1.5750004513964796E-2</v>
      </c>
      <c r="J1964" s="148">
        <v>2.2366215567980628E-3</v>
      </c>
      <c r="K1964" s="518">
        <v>1.1223766268667071E-4</v>
      </c>
      <c r="L1964" s="519">
        <v>1.1731255174610946E-4</v>
      </c>
    </row>
    <row r="1965" spans="1:12" ht="15.5" x14ac:dyDescent="0.35">
      <c r="A1965" s="143" t="s">
        <v>980</v>
      </c>
      <c r="B1965" s="229">
        <v>2027</v>
      </c>
      <c r="C1965" s="514" t="s">
        <v>2799</v>
      </c>
      <c r="D1965" s="515">
        <v>3.0959282310544064E-2</v>
      </c>
      <c r="E1965" s="516">
        <v>1.6688889728323233E-2</v>
      </c>
      <c r="F1965" s="145">
        <v>6.3605102560694043E-2</v>
      </c>
      <c r="G1965" s="145">
        <v>1.9339049940496277E-3</v>
      </c>
      <c r="H1965" s="517">
        <v>2.0000005732018801E-3</v>
      </c>
      <c r="I1965" s="517">
        <v>1.5750004513964799E-2</v>
      </c>
      <c r="J1965" s="148">
        <v>2.0996133439702409E-3</v>
      </c>
      <c r="K1965" s="518">
        <v>8.6955262812413823E-5</v>
      </c>
      <c r="L1965" s="519">
        <v>9.0886993938527237E-5</v>
      </c>
    </row>
    <row r="1966" spans="1:12" ht="15.5" x14ac:dyDescent="0.35">
      <c r="A1966" s="143" t="s">
        <v>980</v>
      </c>
      <c r="B1966" s="229">
        <v>2028</v>
      </c>
      <c r="C1966" s="514" t="s">
        <v>2800</v>
      </c>
      <c r="D1966" s="515">
        <v>3.0126596055859683E-2</v>
      </c>
      <c r="E1966" s="516">
        <v>1.4807058241881972E-2</v>
      </c>
      <c r="F1966" s="145">
        <v>5.7274121641322139E-2</v>
      </c>
      <c r="G1966" s="145">
        <v>1.8066119888742566E-3</v>
      </c>
      <c r="H1966" s="517">
        <v>2.0000005732018801E-3</v>
      </c>
      <c r="I1966" s="517">
        <v>1.5750004513964796E-2</v>
      </c>
      <c r="J1966" s="148">
        <v>1.9618119521904584E-3</v>
      </c>
      <c r="K1966" s="518">
        <v>7.1820031960664719E-5</v>
      </c>
      <c r="L1966" s="519">
        <v>7.5067415109254145E-5</v>
      </c>
    </row>
    <row r="1967" spans="1:12" ht="15.5" x14ac:dyDescent="0.35">
      <c r="A1967" s="143" t="s">
        <v>980</v>
      </c>
      <c r="B1967" s="229">
        <v>2029</v>
      </c>
      <c r="C1967" s="514" t="s">
        <v>2801</v>
      </c>
      <c r="D1967" s="515">
        <v>2.9372519404292662E-2</v>
      </c>
      <c r="E1967" s="516">
        <v>1.3167173437967358E-2</v>
      </c>
      <c r="F1967" s="145">
        <v>5.1829298758625089E-2</v>
      </c>
      <c r="G1967" s="145">
        <v>1.6866575963593938E-3</v>
      </c>
      <c r="H1967" s="517">
        <v>2.0000005732018801E-3</v>
      </c>
      <c r="I1967" s="517">
        <v>1.5750004513964799E-2</v>
      </c>
      <c r="J1967" s="148">
        <v>1.8318922523210487E-3</v>
      </c>
      <c r="K1967" s="518">
        <v>5.9038012747277158E-5</v>
      </c>
      <c r="L1967" s="519">
        <v>6.1707449706407459E-5</v>
      </c>
    </row>
    <row r="1968" spans="1:12" ht="15.5" x14ac:dyDescent="0.35">
      <c r="A1968" s="143" t="s">
        <v>980</v>
      </c>
      <c r="B1968" s="229">
        <v>2030</v>
      </c>
      <c r="C1968" s="514" t="s">
        <v>2802</v>
      </c>
      <c r="D1968" s="515">
        <v>2.8695255831971179E-2</v>
      </c>
      <c r="E1968" s="516">
        <v>1.1802839823922865E-2</v>
      </c>
      <c r="F1968" s="145">
        <v>4.7225121492992232E-2</v>
      </c>
      <c r="G1968" s="145">
        <v>1.5750175052946949E-3</v>
      </c>
      <c r="H1968" s="517">
        <v>2.0000005732018801E-3</v>
      </c>
      <c r="I1968" s="517">
        <v>1.5750004513964796E-2</v>
      </c>
      <c r="J1968" s="148">
        <v>1.710928498635221E-3</v>
      </c>
      <c r="K1968" s="518">
        <v>4.829997845786461E-5</v>
      </c>
      <c r="L1968" s="519">
        <v>5.0483889155749189E-5</v>
      </c>
    </row>
    <row r="1969" spans="1:12" ht="15.5" x14ac:dyDescent="0.35">
      <c r="A1969" s="143" t="s">
        <v>980</v>
      </c>
      <c r="B1969" s="229">
        <v>2031</v>
      </c>
      <c r="C1969" s="514" t="s">
        <v>2803</v>
      </c>
      <c r="D1969" s="515">
        <v>2.8089317206724636E-2</v>
      </c>
      <c r="E1969" s="516">
        <v>1.0547077147433899E-2</v>
      </c>
      <c r="F1969" s="145">
        <v>4.2956135781984775E-2</v>
      </c>
      <c r="G1969" s="145">
        <v>1.4722657366370703E-3</v>
      </c>
      <c r="H1969" s="517">
        <v>2.0000005732018805E-3</v>
      </c>
      <c r="I1969" s="517">
        <v>1.5750004513964803E-2</v>
      </c>
      <c r="J1969" s="148">
        <v>1.5993991874235823E-3</v>
      </c>
      <c r="K1969" s="518">
        <v>4.3046673406953783E-5</v>
      </c>
      <c r="L1969" s="519">
        <v>4.4993052961632036E-5</v>
      </c>
    </row>
    <row r="1970" spans="1:12" ht="15.5" x14ac:dyDescent="0.35">
      <c r="A1970" s="143" t="s">
        <v>980</v>
      </c>
      <c r="B1970" s="229">
        <v>2032</v>
      </c>
      <c r="C1970" s="514" t="s">
        <v>2804</v>
      </c>
      <c r="D1970" s="515">
        <v>2.7550543570848653E-2</v>
      </c>
      <c r="E1970" s="516">
        <v>9.4847445631694016E-3</v>
      </c>
      <c r="F1970" s="145">
        <v>3.9498224323590028E-2</v>
      </c>
      <c r="G1970" s="145">
        <v>1.3802191366664412E-3</v>
      </c>
      <c r="H1970" s="517">
        <v>2.0000005732018805E-3</v>
      </c>
      <c r="I1970" s="517">
        <v>1.5750004513964799E-2</v>
      </c>
      <c r="J1970" s="148">
        <v>1.4994068211512189E-3</v>
      </c>
      <c r="K1970" s="518">
        <v>4.0292508453082426E-5</v>
      </c>
      <c r="L1970" s="519">
        <v>4.2114356889972582E-5</v>
      </c>
    </row>
    <row r="1971" spans="1:12" ht="15.5" x14ac:dyDescent="0.35">
      <c r="A1971" s="143" t="s">
        <v>980</v>
      </c>
      <c r="B1971" s="229">
        <v>2033</v>
      </c>
      <c r="C1971" s="514" t="s">
        <v>2805</v>
      </c>
      <c r="D1971" s="515">
        <v>2.7075243973388619E-2</v>
      </c>
      <c r="E1971" s="516">
        <v>8.5399227134074496E-3</v>
      </c>
      <c r="F1971" s="145">
        <v>3.6524881580301656E-2</v>
      </c>
      <c r="G1971" s="145">
        <v>1.2943491959143806E-3</v>
      </c>
      <c r="H1971" s="517">
        <v>2.0000005732018801E-3</v>
      </c>
      <c r="I1971" s="517">
        <v>1.5750004513964799E-2</v>
      </c>
      <c r="J1971" s="148">
        <v>1.4061200240953131E-3</v>
      </c>
      <c r="K1971" s="518">
        <v>3.7824150075358359E-5</v>
      </c>
      <c r="L1971" s="519">
        <v>3.953439029958597E-5</v>
      </c>
    </row>
    <row r="1972" spans="1:12" ht="15.5" x14ac:dyDescent="0.35">
      <c r="A1972" s="143" t="s">
        <v>980</v>
      </c>
      <c r="B1972" s="229">
        <v>2034</v>
      </c>
      <c r="C1972" s="514" t="s">
        <v>2806</v>
      </c>
      <c r="D1972" s="515">
        <v>2.6656874376713338E-2</v>
      </c>
      <c r="E1972" s="516">
        <v>7.7144814949257189E-3</v>
      </c>
      <c r="F1972" s="145">
        <v>3.4007081864152251E-2</v>
      </c>
      <c r="G1972" s="145">
        <v>1.2153150364425402E-3</v>
      </c>
      <c r="H1972" s="517">
        <v>2.0000005732018797E-3</v>
      </c>
      <c r="I1972" s="517">
        <v>1.5750004513964799E-2</v>
      </c>
      <c r="J1972" s="148">
        <v>1.320258162679806E-3</v>
      </c>
      <c r="K1972" s="518">
        <v>3.5582341569859202E-5</v>
      </c>
      <c r="L1972" s="519">
        <v>3.7191217161346004E-5</v>
      </c>
    </row>
    <row r="1973" spans="1:12" ht="15.5" x14ac:dyDescent="0.35">
      <c r="A1973" s="143" t="s">
        <v>980</v>
      </c>
      <c r="B1973" s="229">
        <v>2035</v>
      </c>
      <c r="C1973" s="514" t="s">
        <v>2807</v>
      </c>
      <c r="D1973" s="515">
        <v>2.6291777041762821E-2</v>
      </c>
      <c r="E1973" s="516">
        <v>7.0009090287262666E-3</v>
      </c>
      <c r="F1973" s="145">
        <v>3.198103642134062E-2</v>
      </c>
      <c r="G1973" s="145">
        <v>1.1429908651205978E-3</v>
      </c>
      <c r="H1973" s="517">
        <v>2.0000005732018797E-3</v>
      </c>
      <c r="I1973" s="517">
        <v>1.5750004513964796E-2</v>
      </c>
      <c r="J1973" s="148">
        <v>1.2416832202260819E-3</v>
      </c>
      <c r="K1973" s="518">
        <v>3.3595523116881463E-5</v>
      </c>
      <c r="L1973" s="519">
        <v>3.5114563594300965E-5</v>
      </c>
    </row>
    <row r="1974" spans="1:12" ht="15.5" x14ac:dyDescent="0.35">
      <c r="A1974" s="143" t="s">
        <v>980</v>
      </c>
      <c r="B1974" s="229">
        <v>2036</v>
      </c>
      <c r="C1974" s="514" t="s">
        <v>2808</v>
      </c>
      <c r="D1974" s="515">
        <v>2.5975325315322789E-2</v>
      </c>
      <c r="E1974" s="516">
        <v>6.3502364570813524E-3</v>
      </c>
      <c r="F1974" s="145">
        <v>3.0164102189391834E-2</v>
      </c>
      <c r="G1974" s="145">
        <v>1.0805382560639429E-3</v>
      </c>
      <c r="H1974" s="517">
        <v>2.0000005732018801E-3</v>
      </c>
      <c r="I1974" s="517">
        <v>1.5750004513964796E-2</v>
      </c>
      <c r="J1974" s="148">
        <v>1.1738384260358652E-3</v>
      </c>
      <c r="K1974" s="518">
        <v>3.175209800211464E-5</v>
      </c>
      <c r="L1974" s="519">
        <v>3.3187786975922159E-5</v>
      </c>
    </row>
    <row r="1975" spans="1:12" ht="15.5" x14ac:dyDescent="0.35">
      <c r="A1975" s="143" t="s">
        <v>980</v>
      </c>
      <c r="B1975" s="229">
        <v>2037</v>
      </c>
      <c r="C1975" s="514" t="s">
        <v>2809</v>
      </c>
      <c r="D1975" s="515">
        <v>2.5704530080452034E-2</v>
      </c>
      <c r="E1975" s="516">
        <v>5.8060989279809985E-3</v>
      </c>
      <c r="F1975" s="145">
        <v>2.868015142025972E-2</v>
      </c>
      <c r="G1975" s="145">
        <v>1.0249607921368308E-3</v>
      </c>
      <c r="H1975" s="517">
        <v>2.0000005732018801E-3</v>
      </c>
      <c r="I1975" s="517">
        <v>1.5750004513964799E-2</v>
      </c>
      <c r="J1975" s="148">
        <v>1.1134612997339257E-3</v>
      </c>
      <c r="K1975" s="518">
        <v>3.0137099540432479E-5</v>
      </c>
      <c r="L1975" s="519">
        <v>3.1499765450252239E-5</v>
      </c>
    </row>
    <row r="1976" spans="1:12" ht="15.5" x14ac:dyDescent="0.35">
      <c r="A1976" s="143" t="s">
        <v>980</v>
      </c>
      <c r="B1976" s="229">
        <v>2038</v>
      </c>
      <c r="C1976" s="514" t="s">
        <v>2810</v>
      </c>
      <c r="D1976" s="515">
        <v>2.5473747003941224E-2</v>
      </c>
      <c r="E1976" s="516">
        <v>5.3063129801699752E-3</v>
      </c>
      <c r="F1976" s="145">
        <v>2.7328063318977108E-2</v>
      </c>
      <c r="G1976" s="145">
        <v>9.7494773514090951E-4</v>
      </c>
      <c r="H1976" s="517">
        <v>2.0000005732018801E-3</v>
      </c>
      <c r="I1976" s="517">
        <v>1.5750004513964796E-2</v>
      </c>
      <c r="J1976" s="148">
        <v>1.0591273629829416E-3</v>
      </c>
      <c r="K1976" s="518">
        <v>2.8725299904571982E-5</v>
      </c>
      <c r="L1976" s="519">
        <v>3.0024130499626255E-5</v>
      </c>
    </row>
    <row r="1977" spans="1:12" ht="15.5" x14ac:dyDescent="0.35">
      <c r="A1977" s="143" t="s">
        <v>980</v>
      </c>
      <c r="B1977" s="229">
        <v>2039</v>
      </c>
      <c r="C1977" s="514" t="s">
        <v>2811</v>
      </c>
      <c r="D1977" s="515">
        <v>2.5277046094323994E-2</v>
      </c>
      <c r="E1977" s="516">
        <v>4.823319340209054E-3</v>
      </c>
      <c r="F1977" s="145">
        <v>2.6021307949532686E-2</v>
      </c>
      <c r="G1977" s="145">
        <v>9.298985284954403E-4</v>
      </c>
      <c r="H1977" s="517">
        <v>2.0000005732018805E-3</v>
      </c>
      <c r="I1977" s="517">
        <v>1.5750004513964799E-2</v>
      </c>
      <c r="J1977" s="148">
        <v>1.0101864906277955E-3</v>
      </c>
      <c r="K1977" s="518">
        <v>2.7445079668802248E-5</v>
      </c>
      <c r="L1977" s="519">
        <v>2.8686024385688113E-5</v>
      </c>
    </row>
    <row r="1978" spans="1:12" ht="15.5" x14ac:dyDescent="0.35">
      <c r="A1978" s="143" t="s">
        <v>980</v>
      </c>
      <c r="B1978" s="229">
        <v>2040</v>
      </c>
      <c r="C1978" s="514" t="s">
        <v>2812</v>
      </c>
      <c r="D1978" s="515">
        <v>2.5111235090449747E-2</v>
      </c>
      <c r="E1978" s="516">
        <v>4.3770229063005281E-3</v>
      </c>
      <c r="F1978" s="145">
        <v>2.4904286951138378E-2</v>
      </c>
      <c r="G1978" s="145">
        <v>8.8962572848502784E-4</v>
      </c>
      <c r="H1978" s="517">
        <v>2.0000005732018801E-3</v>
      </c>
      <c r="I1978" s="517">
        <v>1.5750004513964799E-2</v>
      </c>
      <c r="J1978" s="148">
        <v>9.6642904506323037E-4</v>
      </c>
      <c r="K1978" s="518">
        <v>2.643273074564327E-5</v>
      </c>
      <c r="L1978" s="519">
        <v>2.762790153645574E-5</v>
      </c>
    </row>
    <row r="1979" spans="1:12" ht="15.5" x14ac:dyDescent="0.35">
      <c r="A1979" s="143" t="s">
        <v>980</v>
      </c>
      <c r="B1979" s="229">
        <v>2041</v>
      </c>
      <c r="C1979" s="514" t="s">
        <v>2813</v>
      </c>
      <c r="D1979" s="515">
        <v>2.497344636290718E-2</v>
      </c>
      <c r="E1979" s="516">
        <v>4.0557881458280791E-3</v>
      </c>
      <c r="F1979" s="145">
        <v>2.4108278320298718E-2</v>
      </c>
      <c r="G1979" s="145">
        <v>8.5972663776489276E-4</v>
      </c>
      <c r="H1979" s="517">
        <v>2.0000005732018797E-3</v>
      </c>
      <c r="I1979" s="517">
        <v>1.5750004513964796E-2</v>
      </c>
      <c r="J1979" s="148">
        <v>9.3394939242987093E-4</v>
      </c>
      <c r="K1979" s="518">
        <v>2.5528048023353852E-5</v>
      </c>
      <c r="L1979" s="519">
        <v>2.6682313075934473E-5</v>
      </c>
    </row>
    <row r="1980" spans="1:12" ht="15.5" x14ac:dyDescent="0.35">
      <c r="A1980" s="143" t="s">
        <v>980</v>
      </c>
      <c r="B1980" s="229">
        <v>2042</v>
      </c>
      <c r="C1980" s="514" t="s">
        <v>2814</v>
      </c>
      <c r="D1980" s="515">
        <v>2.4858328576746653E-2</v>
      </c>
      <c r="E1980" s="516">
        <v>3.7682578563175235E-3</v>
      </c>
      <c r="F1980" s="145">
        <v>2.3337347215895771E-2</v>
      </c>
      <c r="G1980" s="145">
        <v>8.3360629606758871E-4</v>
      </c>
      <c r="H1980" s="517">
        <v>2.0000005732018805E-3</v>
      </c>
      <c r="I1980" s="517">
        <v>1.5750004513964803E-2</v>
      </c>
      <c r="J1980" s="148">
        <v>9.0557514970141624E-4</v>
      </c>
      <c r="K1980" s="518">
        <v>2.4725415202479987E-5</v>
      </c>
      <c r="L1980" s="519">
        <v>2.5843388760531149E-5</v>
      </c>
    </row>
    <row r="1981" spans="1:12" ht="15.5" x14ac:dyDescent="0.35">
      <c r="A1981" s="143" t="s">
        <v>980</v>
      </c>
      <c r="B1981" s="229">
        <v>2043</v>
      </c>
      <c r="C1981" s="514" t="s">
        <v>2815</v>
      </c>
      <c r="D1981" s="515">
        <v>2.4762399659715568E-2</v>
      </c>
      <c r="E1981" s="516">
        <v>3.5560496006030538E-3</v>
      </c>
      <c r="F1981" s="145">
        <v>2.2770946247134931E-2</v>
      </c>
      <c r="G1981" s="145">
        <v>8.1130125148777391E-4</v>
      </c>
      <c r="H1981" s="517">
        <v>2.0000005732018797E-3</v>
      </c>
      <c r="I1981" s="517">
        <v>1.5750004513964796E-2</v>
      </c>
      <c r="J1981" s="148">
        <v>8.8134000095154634E-4</v>
      </c>
      <c r="K1981" s="518">
        <v>2.416796424414828E-5</v>
      </c>
      <c r="L1981" s="519">
        <v>2.5260732343515643E-5</v>
      </c>
    </row>
    <row r="1982" spans="1:12" ht="15.5" x14ac:dyDescent="0.35">
      <c r="A1982" s="143" t="s">
        <v>980</v>
      </c>
      <c r="B1982" s="229">
        <v>2044</v>
      </c>
      <c r="C1982" s="514" t="s">
        <v>2816</v>
      </c>
      <c r="D1982" s="515">
        <v>2.4682143981996488E-2</v>
      </c>
      <c r="E1982" s="516">
        <v>3.4095114336768402E-3</v>
      </c>
      <c r="F1982" s="145">
        <v>2.2359032160971515E-2</v>
      </c>
      <c r="G1982" s="145">
        <v>7.9225840879593396E-4</v>
      </c>
      <c r="H1982" s="517">
        <v>2.0000005732018801E-3</v>
      </c>
      <c r="I1982" s="517">
        <v>1.5750004513964799E-2</v>
      </c>
      <c r="J1982" s="148">
        <v>8.6065047235471981E-4</v>
      </c>
      <c r="K1982" s="518">
        <v>2.3665309961174608E-5</v>
      </c>
      <c r="L1982" s="519">
        <v>2.4735350264361253E-5</v>
      </c>
    </row>
    <row r="1983" spans="1:12" ht="15.5" x14ac:dyDescent="0.35">
      <c r="A1983" s="143" t="s">
        <v>980</v>
      </c>
      <c r="B1983" s="229">
        <v>2045</v>
      </c>
      <c r="C1983" s="514" t="s">
        <v>2817</v>
      </c>
      <c r="D1983" s="515">
        <v>2.4613220513787854E-2</v>
      </c>
      <c r="E1983" s="516">
        <v>3.3140777427187748E-3</v>
      </c>
      <c r="F1983" s="145">
        <v>2.2082854068835457E-2</v>
      </c>
      <c r="G1983" s="145">
        <v>7.7594037187706595E-4</v>
      </c>
      <c r="H1983" s="517">
        <v>2.0000005732018797E-3</v>
      </c>
      <c r="I1983" s="517">
        <v>1.5750004513964796E-2</v>
      </c>
      <c r="J1983" s="148">
        <v>8.4292163463044645E-4</v>
      </c>
      <c r="K1983" s="518">
        <v>2.3228354195149934E-5</v>
      </c>
      <c r="L1983" s="519">
        <v>2.4278637297559418E-5</v>
      </c>
    </row>
    <row r="1984" spans="1:12" ht="15.5" x14ac:dyDescent="0.35">
      <c r="A1984" s="143" t="s">
        <v>980</v>
      </c>
      <c r="B1984" s="229">
        <v>2046</v>
      </c>
      <c r="C1984" s="514" t="s">
        <v>2818</v>
      </c>
      <c r="D1984" s="515">
        <v>2.4554916707836383E-2</v>
      </c>
      <c r="E1984" s="516">
        <v>3.2328538839995636E-3</v>
      </c>
      <c r="F1984" s="145">
        <v>2.186025820003586E-2</v>
      </c>
      <c r="G1984" s="145">
        <v>7.6216622660459045E-4</v>
      </c>
      <c r="H1984" s="517">
        <v>2.0000005732018801E-3</v>
      </c>
      <c r="I1984" s="517">
        <v>1.5750004513964799E-2</v>
      </c>
      <c r="J1984" s="148">
        <v>8.2796083680494379E-4</v>
      </c>
      <c r="K1984" s="518">
        <v>2.276011571059099E-5</v>
      </c>
      <c r="L1984" s="519">
        <v>2.3789227146506284E-5</v>
      </c>
    </row>
    <row r="1985" spans="1:12" ht="15.5" x14ac:dyDescent="0.35">
      <c r="A1985" s="143" t="s">
        <v>980</v>
      </c>
      <c r="B1985" s="229">
        <v>2047</v>
      </c>
      <c r="C1985" s="514" t="s">
        <v>2819</v>
      </c>
      <c r="D1985" s="515">
        <v>2.4505466793558209E-2</v>
      </c>
      <c r="E1985" s="516">
        <v>3.1601679672312913E-3</v>
      </c>
      <c r="F1985" s="145">
        <v>2.1654678084410548E-2</v>
      </c>
      <c r="G1985" s="145">
        <v>7.5077740573421142E-4</v>
      </c>
      <c r="H1985" s="517">
        <v>2.0000005732018797E-3</v>
      </c>
      <c r="I1985" s="517">
        <v>1.5750004513964799E-2</v>
      </c>
      <c r="J1985" s="148">
        <v>8.1558574244819631E-4</v>
      </c>
      <c r="K1985" s="518">
        <v>2.2493749100506465E-5</v>
      </c>
      <c r="L1985" s="519">
        <v>2.3510816620298039E-5</v>
      </c>
    </row>
    <row r="1986" spans="1:12" ht="15.5" x14ac:dyDescent="0.35">
      <c r="A1986" s="143" t="s">
        <v>980</v>
      </c>
      <c r="B1986" s="229">
        <v>2048</v>
      </c>
      <c r="C1986" s="514" t="s">
        <v>2820</v>
      </c>
      <c r="D1986" s="515">
        <v>2.4463820713236811E-2</v>
      </c>
      <c r="E1986" s="516">
        <v>3.1016816097298107E-3</v>
      </c>
      <c r="F1986" s="145">
        <v>2.1483865201566768E-2</v>
      </c>
      <c r="G1986" s="145">
        <v>7.4122622083012837E-4</v>
      </c>
      <c r="H1986" s="517">
        <v>2.0000005732018801E-3</v>
      </c>
      <c r="I1986" s="517">
        <v>1.5750004513964803E-2</v>
      </c>
      <c r="J1986" s="148">
        <v>8.0520932945406286E-4</v>
      </c>
      <c r="K1986" s="518">
        <v>2.2225386492828157E-5</v>
      </c>
      <c r="L1986" s="519">
        <v>2.3230319846341943E-5</v>
      </c>
    </row>
    <row r="1987" spans="1:12" ht="15.5" x14ac:dyDescent="0.35">
      <c r="A1987" s="143" t="s">
        <v>980</v>
      </c>
      <c r="B1987" s="229">
        <v>2049</v>
      </c>
      <c r="C1987" s="514" t="s">
        <v>2821</v>
      </c>
      <c r="D1987" s="515">
        <v>2.4428452259699116E-2</v>
      </c>
      <c r="E1987" s="516">
        <v>3.0807479582040595E-3</v>
      </c>
      <c r="F1987" s="145">
        <v>2.1485534706044512E-2</v>
      </c>
      <c r="G1987" s="145">
        <v>7.3528161348229465E-4</v>
      </c>
      <c r="H1987" s="517">
        <v>2.0000005732018805E-3</v>
      </c>
      <c r="I1987" s="517">
        <v>1.5750004513964803E-2</v>
      </c>
      <c r="J1987" s="148">
        <v>7.9875271260479008E-4</v>
      </c>
      <c r="K1987" s="518">
        <v>2.2020409651758586E-5</v>
      </c>
      <c r="L1987" s="519">
        <v>2.3016074862090483E-5</v>
      </c>
    </row>
    <row r="1988" spans="1:12" ht="15.5" x14ac:dyDescent="0.35">
      <c r="A1988" s="143" t="s">
        <v>980</v>
      </c>
      <c r="B1988" s="229">
        <v>2050</v>
      </c>
      <c r="C1988" s="514" t="s">
        <v>2822</v>
      </c>
      <c r="D1988" s="515">
        <v>2.4399608100783305E-2</v>
      </c>
      <c r="E1988" s="516">
        <v>3.0635234846512877E-3</v>
      </c>
      <c r="F1988" s="145">
        <v>2.148642888231626E-2</v>
      </c>
      <c r="G1988" s="145">
        <v>7.3031562905454634E-4</v>
      </c>
      <c r="H1988" s="517">
        <v>2.0000005732018805E-3</v>
      </c>
      <c r="I1988" s="517">
        <v>1.5750004513964803E-2</v>
      </c>
      <c r="J1988" s="148">
        <v>7.9336461165818034E-4</v>
      </c>
      <c r="K1988" s="518">
        <v>2.1716928507657032E-5</v>
      </c>
      <c r="L1988" s="519">
        <v>2.2698871647330254E-5</v>
      </c>
    </row>
    <row r="1989" spans="1:12" ht="15.5" x14ac:dyDescent="0.35">
      <c r="A1989" s="143" t="s">
        <v>983</v>
      </c>
      <c r="B1989" s="229">
        <v>2015</v>
      </c>
      <c r="C1989" s="514" t="s">
        <v>984</v>
      </c>
      <c r="D1989" s="515">
        <v>4.0947770089689875E-2</v>
      </c>
      <c r="E1989" s="516">
        <v>5.9815432091944065E-2</v>
      </c>
      <c r="F1989" s="145">
        <v>0.24202385760038106</v>
      </c>
      <c r="G1989" s="145">
        <v>1.8770109333771496E-3</v>
      </c>
      <c r="H1989" s="517">
        <v>2.0000005732018805E-3</v>
      </c>
      <c r="I1989" s="517">
        <v>1.5750004513964799E-2</v>
      </c>
      <c r="J1989" s="148">
        <v>2.0312338488494308E-3</v>
      </c>
      <c r="K1989" s="518">
        <v>1.2461239598336184E-4</v>
      </c>
      <c r="L1989" s="519">
        <v>1.3024681557041167E-4</v>
      </c>
    </row>
    <row r="1990" spans="1:12" ht="15.5" x14ac:dyDescent="0.35">
      <c r="A1990" s="143" t="s">
        <v>983</v>
      </c>
      <c r="B1990" s="229">
        <v>2016</v>
      </c>
      <c r="C1990" s="514" t="s">
        <v>985</v>
      </c>
      <c r="D1990" s="515">
        <v>4.0031575126183216E-2</v>
      </c>
      <c r="E1990" s="516">
        <v>4.9932125851037387E-2</v>
      </c>
      <c r="F1990" s="145">
        <v>0.20708309227350497</v>
      </c>
      <c r="G1990" s="145">
        <v>1.7454248610920952E-3</v>
      </c>
      <c r="H1990" s="517">
        <v>2.0000005732018801E-3</v>
      </c>
      <c r="I1990" s="517">
        <v>1.5750004513964799E-2</v>
      </c>
      <c r="J1990" s="148">
        <v>1.8898818055613231E-3</v>
      </c>
      <c r="K1990" s="518">
        <v>1.1439788696525252E-4</v>
      </c>
      <c r="L1990" s="519">
        <v>1.1957045178071621E-4</v>
      </c>
    </row>
    <row r="1991" spans="1:12" ht="15.5" x14ac:dyDescent="0.35">
      <c r="A1991" s="143" t="s">
        <v>983</v>
      </c>
      <c r="B1991" s="229">
        <v>2017</v>
      </c>
      <c r="C1991" s="514" t="s">
        <v>2823</v>
      </c>
      <c r="D1991" s="515">
        <v>3.9209546420441159E-2</v>
      </c>
      <c r="E1991" s="516">
        <v>4.1114496618404266E-2</v>
      </c>
      <c r="F1991" s="145">
        <v>0.17632078402642598</v>
      </c>
      <c r="G1991" s="145">
        <v>1.6536781551371048E-3</v>
      </c>
      <c r="H1991" s="517">
        <v>2.0000005732018801E-3</v>
      </c>
      <c r="I1991" s="517">
        <v>1.5750004513964799E-2</v>
      </c>
      <c r="J1991" s="148">
        <v>1.7917453364190347E-3</v>
      </c>
      <c r="K1991" s="518">
        <v>1.0408252654257568E-4</v>
      </c>
      <c r="L1991" s="519">
        <v>1.0878867653345967E-4</v>
      </c>
    </row>
    <row r="1992" spans="1:12" ht="15.5" x14ac:dyDescent="0.35">
      <c r="A1992" s="143" t="s">
        <v>983</v>
      </c>
      <c r="B1992" s="229">
        <v>2018</v>
      </c>
      <c r="C1992" s="514" t="s">
        <v>2824</v>
      </c>
      <c r="D1992" s="515">
        <v>3.8338075934885467E-2</v>
      </c>
      <c r="E1992" s="516">
        <v>3.3599298850251494E-2</v>
      </c>
      <c r="F1992" s="145">
        <v>0.14936189726918492</v>
      </c>
      <c r="G1992" s="145">
        <v>1.5914823276656812E-3</v>
      </c>
      <c r="H1992" s="517">
        <v>2.0000005732018797E-3</v>
      </c>
      <c r="I1992" s="517">
        <v>1.5750004513964799E-2</v>
      </c>
      <c r="J1992" s="148">
        <v>1.7254111701165706E-3</v>
      </c>
      <c r="K1992" s="518">
        <v>9.5298541156514045E-5</v>
      </c>
      <c r="L1992" s="519">
        <v>9.960751830659847E-5</v>
      </c>
    </row>
    <row r="1993" spans="1:12" ht="15.5" x14ac:dyDescent="0.35">
      <c r="A1993" s="143" t="s">
        <v>983</v>
      </c>
      <c r="B1993" s="229">
        <v>2019</v>
      </c>
      <c r="C1993" s="514" t="s">
        <v>2825</v>
      </c>
      <c r="D1993" s="515">
        <v>3.7425958261989058E-2</v>
      </c>
      <c r="E1993" s="516">
        <v>2.7436340152695509E-2</v>
      </c>
      <c r="F1993" s="145">
        <v>0.12688564195900034</v>
      </c>
      <c r="G1993" s="145">
        <v>1.5501633061126173E-3</v>
      </c>
      <c r="H1993" s="517">
        <v>2.0000005732018801E-3</v>
      </c>
      <c r="I1993" s="517">
        <v>1.5750004513964799E-2</v>
      </c>
      <c r="J1993" s="148">
        <v>1.6815533652459369E-3</v>
      </c>
      <c r="K1993" s="518">
        <v>8.6284411745096341E-5</v>
      </c>
      <c r="L1993" s="519">
        <v>9.0185809962803226E-5</v>
      </c>
    </row>
    <row r="1994" spans="1:12" ht="15.5" x14ac:dyDescent="0.35">
      <c r="A1994" s="143" t="s">
        <v>983</v>
      </c>
      <c r="B1994" s="229">
        <v>2020</v>
      </c>
      <c r="C1994" s="514" t="s">
        <v>2826</v>
      </c>
      <c r="D1994" s="515">
        <v>3.6494280112553817E-2</v>
      </c>
      <c r="E1994" s="516">
        <v>2.2810600508331287E-2</v>
      </c>
      <c r="F1994" s="145">
        <v>0.10830929889711298</v>
      </c>
      <c r="G1994" s="145">
        <v>1.4981646256565847E-3</v>
      </c>
      <c r="H1994" s="517">
        <v>2.0000005732018797E-3</v>
      </c>
      <c r="I1994" s="517">
        <v>1.5750004513964796E-2</v>
      </c>
      <c r="J1994" s="148">
        <v>1.625567661831479E-3</v>
      </c>
      <c r="K1994" s="518">
        <v>7.9858492919729658E-5</v>
      </c>
      <c r="L1994" s="519">
        <v>8.3469339602745783E-5</v>
      </c>
    </row>
    <row r="1995" spans="1:12" ht="15.5" x14ac:dyDescent="0.35">
      <c r="A1995" s="143" t="s">
        <v>983</v>
      </c>
      <c r="B1995" s="229">
        <v>2021</v>
      </c>
      <c r="C1995" s="514" t="s">
        <v>2827</v>
      </c>
      <c r="D1995" s="515">
        <v>3.5549094008671379E-2</v>
      </c>
      <c r="E1995" s="516">
        <v>1.9357917107258649E-2</v>
      </c>
      <c r="F1995" s="145">
        <v>9.2921484261823853E-2</v>
      </c>
      <c r="G1995" s="145">
        <v>1.4250198250382769E-3</v>
      </c>
      <c r="H1995" s="517">
        <v>2.0000005732018797E-3</v>
      </c>
      <c r="I1995" s="517">
        <v>1.5750004513964796E-2</v>
      </c>
      <c r="J1995" s="148">
        <v>1.5463962186202807E-3</v>
      </c>
      <c r="K1995" s="518">
        <v>7.3882782884067478E-5</v>
      </c>
      <c r="L1995" s="519">
        <v>7.7223434476091581E-5</v>
      </c>
    </row>
    <row r="1996" spans="1:12" ht="15.5" x14ac:dyDescent="0.35">
      <c r="A1996" s="143" t="s">
        <v>983</v>
      </c>
      <c r="B1996" s="229">
        <v>2022</v>
      </c>
      <c r="C1996" s="514" t="s">
        <v>2828</v>
      </c>
      <c r="D1996" s="515">
        <v>3.4621126214105187E-2</v>
      </c>
      <c r="E1996" s="516">
        <v>1.6004055207707011E-2</v>
      </c>
      <c r="F1996" s="145">
        <v>7.9286311845317717E-2</v>
      </c>
      <c r="G1996" s="145">
        <v>1.3513562532041256E-3</v>
      </c>
      <c r="H1996" s="517">
        <v>2.0000005732018797E-3</v>
      </c>
      <c r="I1996" s="517">
        <v>1.5750004513964803E-2</v>
      </c>
      <c r="J1996" s="148">
        <v>1.4667715029514439E-3</v>
      </c>
      <c r="K1996" s="518">
        <v>6.7713212907800907E-5</v>
      </c>
      <c r="L1996" s="519">
        <v>7.0774903922559521E-5</v>
      </c>
    </row>
    <row r="1997" spans="1:12" ht="15.5" x14ac:dyDescent="0.35">
      <c r="A1997" s="143" t="s">
        <v>983</v>
      </c>
      <c r="B1997" s="229">
        <v>2023</v>
      </c>
      <c r="C1997" s="514" t="s">
        <v>2829</v>
      </c>
      <c r="D1997" s="515">
        <v>3.3696779048722439E-2</v>
      </c>
      <c r="E1997" s="516">
        <v>1.3698912660700308E-2</v>
      </c>
      <c r="F1997" s="145">
        <v>6.8478677035673702E-2</v>
      </c>
      <c r="G1997" s="145">
        <v>1.2864257585795834E-3</v>
      </c>
      <c r="H1997" s="517">
        <v>2.0000005732018801E-3</v>
      </c>
      <c r="I1997" s="517">
        <v>1.5750004513964799E-2</v>
      </c>
      <c r="J1997" s="148">
        <v>1.3964074405623085E-3</v>
      </c>
      <c r="K1997" s="518">
        <v>6.262689070172408E-5</v>
      </c>
      <c r="L1997" s="519">
        <v>6.5458600796544427E-5</v>
      </c>
    </row>
    <row r="1998" spans="1:12" ht="15.5" x14ac:dyDescent="0.35">
      <c r="A1998" s="143" t="s">
        <v>983</v>
      </c>
      <c r="B1998" s="229">
        <v>2024</v>
      </c>
      <c r="C1998" s="514" t="s">
        <v>2830</v>
      </c>
      <c r="D1998" s="515">
        <v>3.2777362340350981E-2</v>
      </c>
      <c r="E1998" s="516">
        <v>1.1786186016122725E-2</v>
      </c>
      <c r="F1998" s="145">
        <v>5.9486497804692472E-2</v>
      </c>
      <c r="G1998" s="145">
        <v>1.2277780895310435E-3</v>
      </c>
      <c r="H1998" s="517">
        <v>2.0000005732018797E-3</v>
      </c>
      <c r="I1998" s="517">
        <v>1.5750004513964792E-2</v>
      </c>
      <c r="J1998" s="148">
        <v>1.3329635191910384E-3</v>
      </c>
      <c r="K1998" s="518">
        <v>5.5303344833019258E-5</v>
      </c>
      <c r="L1998" s="519">
        <v>5.7803916681410265E-5</v>
      </c>
    </row>
    <row r="1999" spans="1:12" ht="15.5" x14ac:dyDescent="0.35">
      <c r="A1999" s="143" t="s">
        <v>983</v>
      </c>
      <c r="B1999" s="229">
        <v>2025</v>
      </c>
      <c r="C1999" s="514" t="s">
        <v>2831</v>
      </c>
      <c r="D1999" s="515">
        <v>3.1857678564620205E-2</v>
      </c>
      <c r="E1999" s="516">
        <v>1.0224485558616063E-2</v>
      </c>
      <c r="F1999" s="145">
        <v>5.2282420750166196E-2</v>
      </c>
      <c r="G1999" s="145">
        <v>1.178759413068784E-3</v>
      </c>
      <c r="H1999" s="517">
        <v>2.0000005732018805E-3</v>
      </c>
      <c r="I1999" s="517">
        <v>1.5750004513964803E-2</v>
      </c>
      <c r="J1999" s="148">
        <v>1.2798834613088775E-3</v>
      </c>
      <c r="K1999" s="518">
        <v>5.0108879457752813E-5</v>
      </c>
      <c r="L1999" s="519">
        <v>5.2374580631972932E-5</v>
      </c>
    </row>
    <row r="2000" spans="1:12" ht="15.5" x14ac:dyDescent="0.35">
      <c r="A2000" s="143" t="s">
        <v>983</v>
      </c>
      <c r="B2000" s="229">
        <v>2026</v>
      </c>
      <c r="C2000" s="514" t="s">
        <v>2832</v>
      </c>
      <c r="D2000" s="515">
        <v>3.106768122813346E-2</v>
      </c>
      <c r="E2000" s="516">
        <v>8.9150425163856909E-3</v>
      </c>
      <c r="F2000" s="145">
        <v>4.632141697872532E-2</v>
      </c>
      <c r="G2000" s="145">
        <v>1.1241028677264756E-3</v>
      </c>
      <c r="H2000" s="517">
        <v>2.0000005732018801E-3</v>
      </c>
      <c r="I2000" s="517">
        <v>1.5750004513964799E-2</v>
      </c>
      <c r="J2000" s="148">
        <v>1.2206300004815518E-3</v>
      </c>
      <c r="K2000" s="518">
        <v>4.5637572055499681E-5</v>
      </c>
      <c r="L2000" s="519">
        <v>4.7701100550122735E-5</v>
      </c>
    </row>
    <row r="2001" spans="1:12" ht="15.5" x14ac:dyDescent="0.35">
      <c r="A2001" s="143" t="s">
        <v>983</v>
      </c>
      <c r="B2001" s="229">
        <v>2027</v>
      </c>
      <c r="C2001" s="514" t="s">
        <v>2833</v>
      </c>
      <c r="D2001" s="515">
        <v>3.0369748300211802E-2</v>
      </c>
      <c r="E2001" s="516">
        <v>7.8517304451950834E-3</v>
      </c>
      <c r="F2001" s="145">
        <v>4.1518324725910473E-2</v>
      </c>
      <c r="G2001" s="145">
        <v>1.0675561938867778E-3</v>
      </c>
      <c r="H2001" s="517">
        <v>2.0000005732018801E-3</v>
      </c>
      <c r="I2001" s="517">
        <v>1.5750004513964803E-2</v>
      </c>
      <c r="J2001" s="148">
        <v>1.1594146105788315E-3</v>
      </c>
      <c r="K2001" s="518">
        <v>3.8941088403888998E-5</v>
      </c>
      <c r="L2001" s="519">
        <v>4.0701831622992342E-5</v>
      </c>
    </row>
    <row r="2002" spans="1:12" ht="15.5" x14ac:dyDescent="0.35">
      <c r="A2002" s="143" t="s">
        <v>983</v>
      </c>
      <c r="B2002" s="229">
        <v>2028</v>
      </c>
      <c r="C2002" s="514" t="s">
        <v>2834</v>
      </c>
      <c r="D2002" s="515">
        <v>2.9747810690274351E-2</v>
      </c>
      <c r="E2002" s="516">
        <v>6.9837968927963729E-3</v>
      </c>
      <c r="F2002" s="145">
        <v>3.7614143278998043E-2</v>
      </c>
      <c r="G2002" s="145">
        <v>1.0076228626371571E-3</v>
      </c>
      <c r="H2002" s="517">
        <v>2.0000005732018801E-3</v>
      </c>
      <c r="I2002" s="517">
        <v>1.5750004513964803E-2</v>
      </c>
      <c r="J2002" s="148">
        <v>1.0944090694765725E-3</v>
      </c>
      <c r="K2002" s="518">
        <v>3.4754134745098454E-5</v>
      </c>
      <c r="L2002" s="519">
        <v>3.6325562499082945E-5</v>
      </c>
    </row>
    <row r="2003" spans="1:12" ht="15.5" x14ac:dyDescent="0.35">
      <c r="A2003" s="143" t="s">
        <v>983</v>
      </c>
      <c r="B2003" s="229">
        <v>2029</v>
      </c>
      <c r="C2003" s="514" t="s">
        <v>2835</v>
      </c>
      <c r="D2003" s="515">
        <v>2.9193671001985201E-2</v>
      </c>
      <c r="E2003" s="516">
        <v>6.2275483023510637E-3</v>
      </c>
      <c r="F2003" s="145">
        <v>3.4296024744845471E-2</v>
      </c>
      <c r="G2003" s="145">
        <v>9.4830847173413746E-4</v>
      </c>
      <c r="H2003" s="517">
        <v>2.0000005732018805E-3</v>
      </c>
      <c r="I2003" s="517">
        <v>1.5750004513964803E-2</v>
      </c>
      <c r="J2003" s="148">
        <v>1.0300526215254759E-3</v>
      </c>
      <c r="K2003" s="518">
        <v>3.1134981989837404E-5</v>
      </c>
      <c r="L2003" s="519">
        <v>3.2542767715981466E-5</v>
      </c>
    </row>
    <row r="2004" spans="1:12" ht="15.5" x14ac:dyDescent="0.35">
      <c r="A2004" s="143" t="s">
        <v>983</v>
      </c>
      <c r="B2004" s="229">
        <v>2030</v>
      </c>
      <c r="C2004" s="514" t="s">
        <v>2836</v>
      </c>
      <c r="D2004" s="515">
        <v>2.8702431983227257E-2</v>
      </c>
      <c r="E2004" s="516">
        <v>5.5977654977547994E-3</v>
      </c>
      <c r="F2004" s="145">
        <v>3.156050322131617E-2</v>
      </c>
      <c r="G2004" s="145">
        <v>8.9219077605729097E-4</v>
      </c>
      <c r="H2004" s="517">
        <v>2.0000005732018801E-3</v>
      </c>
      <c r="I2004" s="517">
        <v>1.5750004513964803E-2</v>
      </c>
      <c r="J2004" s="148">
        <v>9.6912013090450486E-4</v>
      </c>
      <c r="K2004" s="518">
        <v>2.8760420464913052E-5</v>
      </c>
      <c r="L2004" s="519">
        <v>3.0060839055860724E-5</v>
      </c>
    </row>
    <row r="2005" spans="1:12" ht="15.5" x14ac:dyDescent="0.35">
      <c r="A2005" s="143" t="s">
        <v>983</v>
      </c>
      <c r="B2005" s="229">
        <v>2031</v>
      </c>
      <c r="C2005" s="514" t="s">
        <v>2837</v>
      </c>
      <c r="D2005" s="515">
        <v>2.8266613669873639E-2</v>
      </c>
      <c r="E2005" s="516">
        <v>5.0493181124319098E-3</v>
      </c>
      <c r="F2005" s="145">
        <v>2.9217327516955462E-2</v>
      </c>
      <c r="G2005" s="145">
        <v>8.3887003100956755E-4</v>
      </c>
      <c r="H2005" s="517">
        <v>2.0000005732018797E-3</v>
      </c>
      <c r="I2005" s="517">
        <v>1.5750004513964799E-2</v>
      </c>
      <c r="J2005" s="148">
        <v>9.1119957328174804E-4</v>
      </c>
      <c r="K2005" s="518">
        <v>2.7093953969504499E-5</v>
      </c>
      <c r="L2005" s="519">
        <v>2.8319022340365368E-5</v>
      </c>
    </row>
    <row r="2006" spans="1:12" ht="15.5" x14ac:dyDescent="0.35">
      <c r="A2006" s="143" t="s">
        <v>983</v>
      </c>
      <c r="B2006" s="229">
        <v>2032</v>
      </c>
      <c r="C2006" s="514" t="s">
        <v>2838</v>
      </c>
      <c r="D2006" s="515">
        <v>2.7881544317124612E-2</v>
      </c>
      <c r="E2006" s="516">
        <v>4.5766326914688776E-3</v>
      </c>
      <c r="F2006" s="145">
        <v>2.7287274693400448E-2</v>
      </c>
      <c r="G2006" s="145">
        <v>7.884341647559841E-4</v>
      </c>
      <c r="H2006" s="517">
        <v>2.0000005732018797E-3</v>
      </c>
      <c r="I2006" s="517">
        <v>1.5750004513964796E-2</v>
      </c>
      <c r="J2006" s="148">
        <v>8.564170796888606E-4</v>
      </c>
      <c r="K2006" s="518">
        <v>2.541580335730219E-5</v>
      </c>
      <c r="L2006" s="519">
        <v>2.6564993204162331E-5</v>
      </c>
    </row>
    <row r="2007" spans="1:12" ht="15.5" x14ac:dyDescent="0.35">
      <c r="A2007" s="143" t="s">
        <v>983</v>
      </c>
      <c r="B2007" s="229">
        <v>2033</v>
      </c>
      <c r="C2007" s="514" t="s">
        <v>2839</v>
      </c>
      <c r="D2007" s="515">
        <v>2.7543354267010222E-2</v>
      </c>
      <c r="E2007" s="516">
        <v>4.1596448155050885E-3</v>
      </c>
      <c r="F2007" s="145">
        <v>2.5634856225830043E-2</v>
      </c>
      <c r="G2007" s="145">
        <v>7.4104648504776842E-4</v>
      </c>
      <c r="H2007" s="517">
        <v>2.0000005732018801E-3</v>
      </c>
      <c r="I2007" s="517">
        <v>1.5750004513964799E-2</v>
      </c>
      <c r="J2007" s="148">
        <v>8.0493396748085961E-4</v>
      </c>
      <c r="K2007" s="518">
        <v>2.4110498751128167E-5</v>
      </c>
      <c r="L2007" s="519">
        <v>2.5200668515900568E-5</v>
      </c>
    </row>
    <row r="2008" spans="1:12" ht="15.5" x14ac:dyDescent="0.35">
      <c r="A2008" s="143" t="s">
        <v>983</v>
      </c>
      <c r="B2008" s="229">
        <v>2034</v>
      </c>
      <c r="C2008" s="514" t="s">
        <v>2840</v>
      </c>
      <c r="D2008" s="515">
        <v>2.724707786156497E-2</v>
      </c>
      <c r="E2008" s="516">
        <v>3.7896213403570797E-3</v>
      </c>
      <c r="F2008" s="145">
        <v>2.4246551250861292E-2</v>
      </c>
      <c r="G2008" s="145">
        <v>6.9670218877671062E-4</v>
      </c>
      <c r="H2008" s="517">
        <v>2.0000005732018801E-3</v>
      </c>
      <c r="I2008" s="517">
        <v>1.5750004513964799E-2</v>
      </c>
      <c r="J2008" s="148">
        <v>7.5675662433953063E-4</v>
      </c>
      <c r="K2008" s="518">
        <v>2.2904026833319644E-5</v>
      </c>
      <c r="L2008" s="519">
        <v>2.3939645291608497E-5</v>
      </c>
    </row>
    <row r="2009" spans="1:12" ht="15.5" x14ac:dyDescent="0.35">
      <c r="A2009" s="143" t="s">
        <v>983</v>
      </c>
      <c r="B2009" s="229">
        <v>2035</v>
      </c>
      <c r="C2009" s="514" t="s">
        <v>2841</v>
      </c>
      <c r="D2009" s="515">
        <v>2.6988679671353672E-2</v>
      </c>
      <c r="E2009" s="516">
        <v>3.4658919653671304E-3</v>
      </c>
      <c r="F2009" s="145">
        <v>2.3098884147956612E-2</v>
      </c>
      <c r="G2009" s="145">
        <v>6.5580708363271914E-4</v>
      </c>
      <c r="H2009" s="517">
        <v>2.0000005732018801E-3</v>
      </c>
      <c r="I2009" s="517">
        <v>1.5750004513964799E-2</v>
      </c>
      <c r="J2009" s="148">
        <v>7.1232700246316922E-4</v>
      </c>
      <c r="K2009" s="518">
        <v>2.1782244838561445E-5</v>
      </c>
      <c r="L2009" s="519">
        <v>2.2767141292881286E-5</v>
      </c>
    </row>
    <row r="2010" spans="1:12" ht="15.5" x14ac:dyDescent="0.35">
      <c r="A2010" s="143" t="s">
        <v>983</v>
      </c>
      <c r="B2010" s="229">
        <v>2036</v>
      </c>
      <c r="C2010" s="514" t="s">
        <v>2842</v>
      </c>
      <c r="D2010" s="515">
        <v>2.6765595035298954E-2</v>
      </c>
      <c r="E2010" s="516">
        <v>3.1817361432717561E-3</v>
      </c>
      <c r="F2010" s="145">
        <v>2.2131471562995036E-2</v>
      </c>
      <c r="G2010" s="145">
        <v>6.1967434100955671E-4</v>
      </c>
      <c r="H2010" s="517">
        <v>2.0000005732018801E-3</v>
      </c>
      <c r="I2010" s="517">
        <v>1.5750004513964799E-2</v>
      </c>
      <c r="J2010" s="148">
        <v>6.730761533652092E-4</v>
      </c>
      <c r="K2010" s="518">
        <v>2.0677712954211946E-5</v>
      </c>
      <c r="L2010" s="519">
        <v>2.1612667378009131E-5</v>
      </c>
    </row>
    <row r="2011" spans="1:12" ht="15.5" x14ac:dyDescent="0.35">
      <c r="A2011" s="143" t="s">
        <v>983</v>
      </c>
      <c r="B2011" s="229">
        <v>2037</v>
      </c>
      <c r="C2011" s="514" t="s">
        <v>2843</v>
      </c>
      <c r="D2011" s="515">
        <v>2.6574724772723931E-2</v>
      </c>
      <c r="E2011" s="516">
        <v>2.9332741339650704E-3</v>
      </c>
      <c r="F2011" s="145">
        <v>2.1321123691135417E-2</v>
      </c>
      <c r="G2011" s="145">
        <v>5.8714676598713817E-4</v>
      </c>
      <c r="H2011" s="517">
        <v>2.0000005732018797E-3</v>
      </c>
      <c r="I2011" s="517">
        <v>1.5750004513964796E-2</v>
      </c>
      <c r="J2011" s="148">
        <v>6.3774097717498289E-4</v>
      </c>
      <c r="K2011" s="518">
        <v>1.9697681654495349E-5</v>
      </c>
      <c r="L2011" s="519">
        <v>2.0588323411743814E-5</v>
      </c>
    </row>
    <row r="2012" spans="1:12" ht="15.5" x14ac:dyDescent="0.35">
      <c r="A2012" s="143" t="s">
        <v>983</v>
      </c>
      <c r="B2012" s="229">
        <v>2038</v>
      </c>
      <c r="C2012" s="514" t="s">
        <v>2844</v>
      </c>
      <c r="D2012" s="515">
        <v>2.6412970195335346E-2</v>
      </c>
      <c r="E2012" s="516">
        <v>2.714334627793111E-3</v>
      </c>
      <c r="F2012" s="145">
        <v>2.0619175572688799E-2</v>
      </c>
      <c r="G2012" s="145">
        <v>5.5821012600567037E-4</v>
      </c>
      <c r="H2012" s="517">
        <v>2.0000005732018801E-3</v>
      </c>
      <c r="I2012" s="517">
        <v>1.5750004513964799E-2</v>
      </c>
      <c r="J2012" s="148">
        <v>6.0630461843105745E-4</v>
      </c>
      <c r="K2012" s="518">
        <v>1.8874628391660032E-5</v>
      </c>
      <c r="L2012" s="519">
        <v>1.9728055332607862E-5</v>
      </c>
    </row>
    <row r="2013" spans="1:12" ht="15.5" x14ac:dyDescent="0.35">
      <c r="A2013" s="143" t="s">
        <v>983</v>
      </c>
      <c r="B2013" s="229">
        <v>2039</v>
      </c>
      <c r="C2013" s="514" t="s">
        <v>2845</v>
      </c>
      <c r="D2013" s="515">
        <v>2.6276710234574303E-2</v>
      </c>
      <c r="E2013" s="516">
        <v>2.506644310424569E-3</v>
      </c>
      <c r="F2013" s="145">
        <v>1.9953271293507935E-2</v>
      </c>
      <c r="G2013" s="145">
        <v>5.3250736704804115E-4</v>
      </c>
      <c r="H2013" s="517">
        <v>2.0000005732018801E-3</v>
      </c>
      <c r="I2013" s="517">
        <v>1.5750004513964799E-2</v>
      </c>
      <c r="J2013" s="148">
        <v>5.78380458446904E-4</v>
      </c>
      <c r="K2013" s="518">
        <v>1.8168196643489367E-5</v>
      </c>
      <c r="L2013" s="519">
        <v>1.8989681875529358E-5</v>
      </c>
    </row>
    <row r="2014" spans="1:12" ht="15.5" x14ac:dyDescent="0.35">
      <c r="A2014" s="143" t="s">
        <v>983</v>
      </c>
      <c r="B2014" s="229">
        <v>2040</v>
      </c>
      <c r="C2014" s="514" t="s">
        <v>2846</v>
      </c>
      <c r="D2014" s="515">
        <v>2.616356376103976E-2</v>
      </c>
      <c r="E2014" s="516">
        <v>2.3275873266741295E-3</v>
      </c>
      <c r="F2014" s="145">
        <v>1.9418743675820478E-2</v>
      </c>
      <c r="G2014" s="145">
        <v>5.1015534457030673E-4</v>
      </c>
      <c r="H2014" s="517">
        <v>2.0000005732018801E-3</v>
      </c>
      <c r="I2014" s="517">
        <v>1.5750004513964796E-2</v>
      </c>
      <c r="J2014" s="148">
        <v>5.5409672548372671E-4</v>
      </c>
      <c r="K2014" s="518">
        <v>1.7551548119828939E-5</v>
      </c>
      <c r="L2014" s="519">
        <v>1.834515124196633E-5</v>
      </c>
    </row>
    <row r="2015" spans="1:12" ht="15.5" x14ac:dyDescent="0.35">
      <c r="A2015" s="143" t="s">
        <v>983</v>
      </c>
      <c r="B2015" s="229">
        <v>2041</v>
      </c>
      <c r="C2015" s="514" t="s">
        <v>2847</v>
      </c>
      <c r="D2015" s="515">
        <v>2.6070712444133934E-2</v>
      </c>
      <c r="E2015" s="516">
        <v>2.1963241065105074E-3</v>
      </c>
      <c r="F2015" s="145">
        <v>1.9016824312533591E-2</v>
      </c>
      <c r="G2015" s="145">
        <v>4.925695587132432E-4</v>
      </c>
      <c r="H2015" s="517">
        <v>2.0000005732018801E-3</v>
      </c>
      <c r="I2015" s="517">
        <v>1.5750004513964799E-2</v>
      </c>
      <c r="J2015" s="148">
        <v>5.3499130367503517E-4</v>
      </c>
      <c r="K2015" s="518">
        <v>1.706247386317949E-5</v>
      </c>
      <c r="L2015" s="519">
        <v>1.7833963217666062E-5</v>
      </c>
    </row>
    <row r="2016" spans="1:12" ht="15.5" x14ac:dyDescent="0.35">
      <c r="A2016" s="143" t="s">
        <v>983</v>
      </c>
      <c r="B2016" s="229">
        <v>2042</v>
      </c>
      <c r="C2016" s="514" t="s">
        <v>2848</v>
      </c>
      <c r="D2016" s="515">
        <v>2.5994197408851193E-2</v>
      </c>
      <c r="E2016" s="516">
        <v>2.0812117352464413E-3</v>
      </c>
      <c r="F2016" s="145">
        <v>1.8632201804985368E-2</v>
      </c>
      <c r="G2016" s="145">
        <v>4.775999593592716E-4</v>
      </c>
      <c r="H2016" s="517">
        <v>2.0000005732018801E-3</v>
      </c>
      <c r="I2016" s="517">
        <v>1.5750004513964799E-2</v>
      </c>
      <c r="J2016" s="148">
        <v>5.1872718107976237E-4</v>
      </c>
      <c r="K2016" s="518">
        <v>1.6668791869303647E-5</v>
      </c>
      <c r="L2016" s="519">
        <v>1.7422480670965108E-5</v>
      </c>
    </row>
    <row r="2017" spans="1:12" ht="15.5" x14ac:dyDescent="0.35">
      <c r="A2017" s="143" t="s">
        <v>983</v>
      </c>
      <c r="B2017" s="229">
        <v>2043</v>
      </c>
      <c r="C2017" s="514" t="s">
        <v>2849</v>
      </c>
      <c r="D2017" s="515">
        <v>2.5931811406203886E-2</v>
      </c>
      <c r="E2017" s="516">
        <v>1.9969333951348053E-3</v>
      </c>
      <c r="F2017" s="145">
        <v>1.836283084608888E-2</v>
      </c>
      <c r="G2017" s="145">
        <v>4.6506567803221264E-4</v>
      </c>
      <c r="H2017" s="517">
        <v>2.0000005732018805E-3</v>
      </c>
      <c r="I2017" s="517">
        <v>1.5750004513964799E-2</v>
      </c>
      <c r="J2017" s="148">
        <v>5.0510827531720251E-4</v>
      </c>
      <c r="K2017" s="518">
        <v>1.6355668399591705E-5</v>
      </c>
      <c r="L2017" s="519">
        <v>1.709519914741762E-5</v>
      </c>
    </row>
    <row r="2018" spans="1:12" ht="15.5" x14ac:dyDescent="0.35">
      <c r="A2018" s="143" t="s">
        <v>983</v>
      </c>
      <c r="B2018" s="229">
        <v>2044</v>
      </c>
      <c r="C2018" s="514" t="s">
        <v>2850</v>
      </c>
      <c r="D2018" s="515">
        <v>2.5881005651103225E-2</v>
      </c>
      <c r="E2018" s="516">
        <v>1.931987722933897E-3</v>
      </c>
      <c r="F2018" s="145">
        <v>1.8139161478033475E-2</v>
      </c>
      <c r="G2018" s="145">
        <v>4.5454052720136028E-4</v>
      </c>
      <c r="H2018" s="517">
        <v>2.0000005732018801E-3</v>
      </c>
      <c r="I2018" s="517">
        <v>1.5750004513964799E-2</v>
      </c>
      <c r="J2018" s="148">
        <v>4.9367165560811358E-4</v>
      </c>
      <c r="K2018" s="518">
        <v>1.6109250079923317E-5</v>
      </c>
      <c r="L2018" s="519">
        <v>1.6837638884798938E-5</v>
      </c>
    </row>
    <row r="2019" spans="1:12" ht="15.5" x14ac:dyDescent="0.35">
      <c r="A2019" s="143" t="s">
        <v>983</v>
      </c>
      <c r="B2019" s="229">
        <v>2045</v>
      </c>
      <c r="C2019" s="514" t="s">
        <v>2851</v>
      </c>
      <c r="D2019" s="515">
        <v>2.5839041557564457E-2</v>
      </c>
      <c r="E2019" s="516">
        <v>1.8857890503913473E-3</v>
      </c>
      <c r="F2019" s="145">
        <v>1.7983852438599571E-2</v>
      </c>
      <c r="G2019" s="145">
        <v>4.4575731289123692E-4</v>
      </c>
      <c r="H2019" s="517">
        <v>2.0000005732018801E-3</v>
      </c>
      <c r="I2019" s="517">
        <v>1.5750004513964799E-2</v>
      </c>
      <c r="J2019" s="148">
        <v>4.8412733862147661E-4</v>
      </c>
      <c r="K2019" s="518">
        <v>1.5915035754239646E-5</v>
      </c>
      <c r="L2019" s="519">
        <v>1.6634643049121144E-5</v>
      </c>
    </row>
    <row r="2020" spans="1:12" ht="15.5" x14ac:dyDescent="0.35">
      <c r="A2020" s="143" t="s">
        <v>983</v>
      </c>
      <c r="B2020" s="229">
        <v>2046</v>
      </c>
      <c r="C2020" s="514" t="s">
        <v>2852</v>
      </c>
      <c r="D2020" s="515">
        <v>2.5805373149462119E-2</v>
      </c>
      <c r="E2020" s="516">
        <v>1.8454146415076398E-3</v>
      </c>
      <c r="F2020" s="145">
        <v>1.7855033446329473E-2</v>
      </c>
      <c r="G2020" s="145">
        <v>4.3851479098588696E-4</v>
      </c>
      <c r="H2020" s="517">
        <v>2.0000005732018801E-3</v>
      </c>
      <c r="I2020" s="517">
        <v>1.5750004513964799E-2</v>
      </c>
      <c r="J2020" s="148">
        <v>4.76256747869081E-4</v>
      </c>
      <c r="K2020" s="518">
        <v>1.5766067431659175E-5</v>
      </c>
      <c r="L2020" s="519">
        <v>1.6478939040030719E-5</v>
      </c>
    </row>
    <row r="2021" spans="1:12" ht="15.5" x14ac:dyDescent="0.35">
      <c r="A2021" s="143" t="s">
        <v>983</v>
      </c>
      <c r="B2021" s="229">
        <v>2047</v>
      </c>
      <c r="C2021" s="514" t="s">
        <v>2853</v>
      </c>
      <c r="D2021" s="515">
        <v>2.5777942378879641E-2</v>
      </c>
      <c r="E2021" s="516">
        <v>1.8108439473375837E-3</v>
      </c>
      <c r="F2021" s="145">
        <v>1.774084179433431E-2</v>
      </c>
      <c r="G2021" s="145">
        <v>4.3263088822112115E-4</v>
      </c>
      <c r="H2021" s="517">
        <v>2.0000005732018801E-3</v>
      </c>
      <c r="I2021" s="517">
        <v>1.5750004513964799E-2</v>
      </c>
      <c r="J2021" s="148">
        <v>4.6986243031491069E-4</v>
      </c>
      <c r="K2021" s="518">
        <v>1.5648935266401651E-5</v>
      </c>
      <c r="L2021" s="519">
        <v>1.6356510678026529E-5</v>
      </c>
    </row>
    <row r="2022" spans="1:12" ht="15.5" x14ac:dyDescent="0.35">
      <c r="A2022" s="143" t="s">
        <v>983</v>
      </c>
      <c r="B2022" s="229">
        <v>2048</v>
      </c>
      <c r="C2022" s="514" t="s">
        <v>2854</v>
      </c>
      <c r="D2022" s="515">
        <v>2.5755856251426762E-2</v>
      </c>
      <c r="E2022" s="516">
        <v>1.783143985055766E-3</v>
      </c>
      <c r="F2022" s="145">
        <v>1.7647442002273358E-2</v>
      </c>
      <c r="G2022" s="145">
        <v>4.2784221513282003E-4</v>
      </c>
      <c r="H2022" s="517">
        <v>2.0000005732018801E-3</v>
      </c>
      <c r="I2022" s="517">
        <v>1.5750004513964799E-2</v>
      </c>
      <c r="J2022" s="148">
        <v>4.6465837016136451E-4</v>
      </c>
      <c r="K2022" s="518">
        <v>1.5553155024772714E-5</v>
      </c>
      <c r="L2022" s="519">
        <v>1.6256399678889663E-5</v>
      </c>
    </row>
    <row r="2023" spans="1:12" ht="15.5" x14ac:dyDescent="0.35">
      <c r="A2023" s="143" t="s">
        <v>983</v>
      </c>
      <c r="B2023" s="229">
        <v>2049</v>
      </c>
      <c r="C2023" s="514" t="s">
        <v>2855</v>
      </c>
      <c r="D2023" s="515">
        <v>2.5737430854745502E-2</v>
      </c>
      <c r="E2023" s="516">
        <v>1.77267832203054E-3</v>
      </c>
      <c r="F2023" s="145">
        <v>1.7652815439109511E-2</v>
      </c>
      <c r="G2023" s="145">
        <v>4.2473785706703779E-4</v>
      </c>
      <c r="H2023" s="517">
        <v>2.0000005732018797E-3</v>
      </c>
      <c r="I2023" s="517">
        <v>1.5750004513964799E-2</v>
      </c>
      <c r="J2023" s="148">
        <v>4.6128534465596991E-4</v>
      </c>
      <c r="K2023" s="518">
        <v>1.547652768518276E-5</v>
      </c>
      <c r="L2023" s="519">
        <v>1.6176307591032237E-5</v>
      </c>
    </row>
    <row r="2024" spans="1:12" ht="15.5" x14ac:dyDescent="0.35">
      <c r="A2024" s="143" t="s">
        <v>983</v>
      </c>
      <c r="B2024" s="229">
        <v>2050</v>
      </c>
      <c r="C2024" s="514" t="s">
        <v>2856</v>
      </c>
      <c r="D2024" s="515">
        <v>2.5723378742327059E-2</v>
      </c>
      <c r="E2024" s="516">
        <v>1.7644626746200689E-3</v>
      </c>
      <c r="F2024" s="145">
        <v>1.7660286272041477E-2</v>
      </c>
      <c r="G2024" s="145">
        <v>4.2228466410464962E-4</v>
      </c>
      <c r="H2024" s="517">
        <v>2.0000005732018801E-3</v>
      </c>
      <c r="I2024" s="517">
        <v>1.5750004513964803E-2</v>
      </c>
      <c r="J2024" s="148">
        <v>4.5862027020549933E-4</v>
      </c>
      <c r="K2024" s="518">
        <v>1.5405809581758988E-5</v>
      </c>
      <c r="L2024" s="519">
        <v>1.6102391928778585E-5</v>
      </c>
    </row>
    <row r="2025" spans="1:12" ht="15.5" x14ac:dyDescent="0.35">
      <c r="A2025" s="143" t="s">
        <v>986</v>
      </c>
      <c r="B2025" s="229">
        <v>2015</v>
      </c>
      <c r="C2025" s="514" t="s">
        <v>987</v>
      </c>
      <c r="D2025" s="515">
        <v>4.2815164581856718E-2</v>
      </c>
      <c r="E2025" s="516">
        <v>0.10642775053246198</v>
      </c>
      <c r="F2025" s="145">
        <v>0.37122816095523958</v>
      </c>
      <c r="G2025" s="145">
        <v>3.2294707371760545E-3</v>
      </c>
      <c r="H2025" s="517">
        <v>2.0000005732018801E-3</v>
      </c>
      <c r="I2025" s="517">
        <v>1.5750004513964796E-2</v>
      </c>
      <c r="J2025" s="148">
        <v>3.4924873276453248E-3</v>
      </c>
      <c r="K2025" s="518">
        <v>2.6092190840573378E-4</v>
      </c>
      <c r="L2025" s="519">
        <v>2.7271963928002089E-4</v>
      </c>
    </row>
    <row r="2026" spans="1:12" ht="15.5" x14ac:dyDescent="0.35">
      <c r="A2026" s="143" t="s">
        <v>986</v>
      </c>
      <c r="B2026" s="229">
        <v>2016</v>
      </c>
      <c r="C2026" s="514" t="s">
        <v>988</v>
      </c>
      <c r="D2026" s="515">
        <v>4.2021988571603601E-2</v>
      </c>
      <c r="E2026" s="516">
        <v>9.1878645724254998E-2</v>
      </c>
      <c r="F2026" s="145">
        <v>0.32901238205853622</v>
      </c>
      <c r="G2026" s="145">
        <v>2.9675268921614943E-3</v>
      </c>
      <c r="H2026" s="517">
        <v>2.0000005732018805E-3</v>
      </c>
      <c r="I2026" s="517">
        <v>1.5750004513964799E-2</v>
      </c>
      <c r="J2026" s="148">
        <v>3.2107352286676692E-3</v>
      </c>
      <c r="K2026" s="518">
        <v>2.3607692880887391E-4</v>
      </c>
      <c r="L2026" s="519">
        <v>2.467512799537547E-4</v>
      </c>
    </row>
    <row r="2027" spans="1:12" ht="15.5" x14ac:dyDescent="0.35">
      <c r="A2027" s="143" t="s">
        <v>986</v>
      </c>
      <c r="B2027" s="229">
        <v>2017</v>
      </c>
      <c r="C2027" s="514" t="s">
        <v>2857</v>
      </c>
      <c r="D2027" s="515">
        <v>4.1056001526082048E-2</v>
      </c>
      <c r="E2027" s="516">
        <v>7.9127001592180959E-2</v>
      </c>
      <c r="F2027" s="145">
        <v>0.29140309164631562</v>
      </c>
      <c r="G2027" s="145">
        <v>2.7767947733221671E-3</v>
      </c>
      <c r="H2027" s="517">
        <v>2.0000005732018805E-3</v>
      </c>
      <c r="I2027" s="517">
        <v>1.5750004513964799E-2</v>
      </c>
      <c r="J2027" s="148">
        <v>3.0058593916873376E-3</v>
      </c>
      <c r="K2027" s="518">
        <v>2.1846391302814957E-4</v>
      </c>
      <c r="L2027" s="519">
        <v>2.2834188175602615E-4</v>
      </c>
    </row>
    <row r="2028" spans="1:12" ht="15.5" x14ac:dyDescent="0.35">
      <c r="A2028" s="143" t="s">
        <v>986</v>
      </c>
      <c r="B2028" s="229">
        <v>2018</v>
      </c>
      <c r="C2028" s="514" t="s">
        <v>2858</v>
      </c>
      <c r="D2028" s="515">
        <v>4.0042915643214348E-2</v>
      </c>
      <c r="E2028" s="516">
        <v>6.8264034408666907E-2</v>
      </c>
      <c r="F2028" s="145">
        <v>0.25718815370512565</v>
      </c>
      <c r="G2028" s="145">
        <v>2.6312122148811645E-3</v>
      </c>
      <c r="H2028" s="517">
        <v>2.0000005732018801E-3</v>
      </c>
      <c r="I2028" s="517">
        <v>1.5750004513964796E-2</v>
      </c>
      <c r="J2028" s="148">
        <v>2.8494821671837217E-3</v>
      </c>
      <c r="K2028" s="518">
        <v>2.0283610494559957E-4</v>
      </c>
      <c r="L2028" s="519">
        <v>2.1200745353935438E-4</v>
      </c>
    </row>
    <row r="2029" spans="1:12" ht="15.5" x14ac:dyDescent="0.35">
      <c r="A2029" s="143" t="s">
        <v>986</v>
      </c>
      <c r="B2029" s="229">
        <v>2019</v>
      </c>
      <c r="C2029" s="514" t="s">
        <v>2859</v>
      </c>
      <c r="D2029" s="515">
        <v>3.8993558754613217E-2</v>
      </c>
      <c r="E2029" s="516">
        <v>5.8394639958340142E-2</v>
      </c>
      <c r="F2029" s="145">
        <v>0.22606658134610355</v>
      </c>
      <c r="G2029" s="145">
        <v>2.5092134910137589E-3</v>
      </c>
      <c r="H2029" s="517">
        <v>2.0000005732018801E-3</v>
      </c>
      <c r="I2029" s="517">
        <v>1.5750004513964799E-2</v>
      </c>
      <c r="J2029" s="148">
        <v>2.718525639768809E-3</v>
      </c>
      <c r="K2029" s="518">
        <v>1.8851911354825031E-4</v>
      </c>
      <c r="L2029" s="519">
        <v>1.9704311132172532E-4</v>
      </c>
    </row>
    <row r="2030" spans="1:12" ht="15.5" x14ac:dyDescent="0.35">
      <c r="A2030" s="143" t="s">
        <v>986</v>
      </c>
      <c r="B2030" s="229">
        <v>2020</v>
      </c>
      <c r="C2030" s="514" t="s">
        <v>2860</v>
      </c>
      <c r="D2030" s="515">
        <v>3.7920136161460484E-2</v>
      </c>
      <c r="E2030" s="516">
        <v>5.0099041711371382E-2</v>
      </c>
      <c r="F2030" s="145">
        <v>0.19832125888379179</v>
      </c>
      <c r="G2030" s="145">
        <v>2.3811998864837224E-3</v>
      </c>
      <c r="H2030" s="517">
        <v>2.0000005732018797E-3</v>
      </c>
      <c r="I2030" s="517">
        <v>1.5750004513964796E-2</v>
      </c>
      <c r="J2030" s="148">
        <v>2.5805834145907055E-3</v>
      </c>
      <c r="K2030" s="518">
        <v>1.7439059915020418E-4</v>
      </c>
      <c r="L2030" s="519">
        <v>1.8227576819695339E-4</v>
      </c>
    </row>
    <row r="2031" spans="1:12" ht="15.5" x14ac:dyDescent="0.35">
      <c r="A2031" s="143" t="s">
        <v>986</v>
      </c>
      <c r="B2031" s="229">
        <v>2021</v>
      </c>
      <c r="C2031" s="514" t="s">
        <v>2861</v>
      </c>
      <c r="D2031" s="515">
        <v>3.6830724430329052E-2</v>
      </c>
      <c r="E2031" s="516">
        <v>4.2792852522706475E-2</v>
      </c>
      <c r="F2031" s="145">
        <v>0.17259320289753829</v>
      </c>
      <c r="G2031" s="145">
        <v>2.2321885102237395E-3</v>
      </c>
      <c r="H2031" s="517">
        <v>2.0000005732018801E-3</v>
      </c>
      <c r="I2031" s="517">
        <v>1.5750004513964799E-2</v>
      </c>
      <c r="J2031" s="148">
        <v>2.4195979895101478E-3</v>
      </c>
      <c r="K2031" s="518">
        <v>1.614654490236058E-4</v>
      </c>
      <c r="L2031" s="519">
        <v>1.6876620013613454E-4</v>
      </c>
    </row>
    <row r="2032" spans="1:12" ht="15.5" x14ac:dyDescent="0.35">
      <c r="A2032" s="143" t="s">
        <v>986</v>
      </c>
      <c r="B2032" s="229">
        <v>2022</v>
      </c>
      <c r="C2032" s="514" t="s">
        <v>2862</v>
      </c>
      <c r="D2032" s="515">
        <v>3.5750942907902011E-2</v>
      </c>
      <c r="E2032" s="516">
        <v>3.4645186805388105E-2</v>
      </c>
      <c r="F2032" s="145">
        <v>0.14815799850422315</v>
      </c>
      <c r="G2032" s="145">
        <v>2.0815169667455775E-3</v>
      </c>
      <c r="H2032" s="517">
        <v>2.0000005732018801E-3</v>
      </c>
      <c r="I2032" s="517">
        <v>1.5750004513964799E-2</v>
      </c>
      <c r="J2032" s="148">
        <v>2.2573658580978041E-3</v>
      </c>
      <c r="K2032" s="518">
        <v>1.4452487749405348E-4</v>
      </c>
      <c r="L2032" s="519">
        <v>1.5105965113468915E-4</v>
      </c>
    </row>
    <row r="2033" spans="1:12" ht="15.5" x14ac:dyDescent="0.35">
      <c r="A2033" s="143" t="s">
        <v>986</v>
      </c>
      <c r="B2033" s="229">
        <v>2023</v>
      </c>
      <c r="C2033" s="514" t="s">
        <v>2863</v>
      </c>
      <c r="D2033" s="515">
        <v>3.467704108828415E-2</v>
      </c>
      <c r="E2033" s="516">
        <v>2.990044220895758E-2</v>
      </c>
      <c r="F2033" s="145">
        <v>0.12907935271724894</v>
      </c>
      <c r="G2033" s="145">
        <v>1.9464532243783155E-3</v>
      </c>
      <c r="H2033" s="517">
        <v>2.0000005732018801E-3</v>
      </c>
      <c r="I2033" s="517">
        <v>1.5750004513964803E-2</v>
      </c>
      <c r="J2033" s="148">
        <v>2.1112186028400207E-3</v>
      </c>
      <c r="K2033" s="518">
        <v>1.304477545217627E-4</v>
      </c>
      <c r="L2033" s="519">
        <v>1.3634602312789931E-4</v>
      </c>
    </row>
    <row r="2034" spans="1:12" ht="15.5" x14ac:dyDescent="0.35">
      <c r="A2034" s="143" t="s">
        <v>986</v>
      </c>
      <c r="B2034" s="229">
        <v>2024</v>
      </c>
      <c r="C2034" s="514" t="s">
        <v>2864</v>
      </c>
      <c r="D2034" s="515">
        <v>3.3615766160363665E-2</v>
      </c>
      <c r="E2034" s="516">
        <v>2.5636130260426899E-2</v>
      </c>
      <c r="F2034" s="145">
        <v>0.11213933316464379</v>
      </c>
      <c r="G2034" s="145">
        <v>1.818984875267198E-3</v>
      </c>
      <c r="H2034" s="517">
        <v>2.0000005732018801E-3</v>
      </c>
      <c r="I2034" s="517">
        <v>1.5750004513964803E-2</v>
      </c>
      <c r="J2034" s="148">
        <v>1.9733420657501392E-3</v>
      </c>
      <c r="K2034" s="518">
        <v>1.1627437803456949E-4</v>
      </c>
      <c r="L2034" s="519">
        <v>1.2153178944938175E-4</v>
      </c>
    </row>
    <row r="2035" spans="1:12" ht="15.5" x14ac:dyDescent="0.35">
      <c r="A2035" s="143" t="s">
        <v>986</v>
      </c>
      <c r="B2035" s="229">
        <v>2025</v>
      </c>
      <c r="C2035" s="514" t="s">
        <v>2865</v>
      </c>
      <c r="D2035" s="515">
        <v>3.2567060335006573E-2</v>
      </c>
      <c r="E2035" s="516">
        <v>2.2484255231817959E-2</v>
      </c>
      <c r="F2035" s="145">
        <v>9.9120258613673753E-2</v>
      </c>
      <c r="G2035" s="145">
        <v>1.7271754165234308E-3</v>
      </c>
      <c r="H2035" s="517">
        <v>2.0000005732018801E-3</v>
      </c>
      <c r="I2035" s="517">
        <v>1.5750004513964799E-2</v>
      </c>
      <c r="J2035" s="148">
        <v>1.8739242362990417E-3</v>
      </c>
      <c r="K2035" s="518">
        <v>1.0691729298795815E-4</v>
      </c>
      <c r="L2035" s="519">
        <v>1.1175161853841257E-4</v>
      </c>
    </row>
    <row r="2036" spans="1:12" ht="15.5" x14ac:dyDescent="0.35">
      <c r="A2036" s="143" t="s">
        <v>986</v>
      </c>
      <c r="B2036" s="229">
        <v>2026</v>
      </c>
      <c r="C2036" s="514" t="s">
        <v>2866</v>
      </c>
      <c r="D2036" s="515">
        <v>3.1537671714192472E-2</v>
      </c>
      <c r="E2036" s="516">
        <v>1.9841117161772844E-2</v>
      </c>
      <c r="F2036" s="145">
        <v>8.827537541390805E-2</v>
      </c>
      <c r="G2036" s="145">
        <v>1.6402422873995307E-3</v>
      </c>
      <c r="H2036" s="517">
        <v>2.0000005732018801E-3</v>
      </c>
      <c r="I2036" s="517">
        <v>1.5750004513964799E-2</v>
      </c>
      <c r="J2036" s="148">
        <v>1.7798943044782444E-3</v>
      </c>
      <c r="K2036" s="518">
        <v>9.4803545954458908E-5</v>
      </c>
      <c r="L2036" s="519">
        <v>9.9090141618014843E-5</v>
      </c>
    </row>
    <row r="2037" spans="1:12" ht="15.5" x14ac:dyDescent="0.35">
      <c r="A2037" s="143" t="s">
        <v>986</v>
      </c>
      <c r="B2037" s="229">
        <v>2027</v>
      </c>
      <c r="C2037" s="514" t="s">
        <v>2867</v>
      </c>
      <c r="D2037" s="515">
        <v>3.0644544664405669E-2</v>
      </c>
      <c r="E2037" s="516">
        <v>1.7569204836876157E-2</v>
      </c>
      <c r="F2037" s="145">
        <v>7.891806139961148E-2</v>
      </c>
      <c r="G2037" s="145">
        <v>1.5473638212530226E-3</v>
      </c>
      <c r="H2037" s="517">
        <v>2.0000005732018801E-3</v>
      </c>
      <c r="I2037" s="517">
        <v>1.5750004513964799E-2</v>
      </c>
      <c r="J2037" s="148">
        <v>1.67948973558429E-3</v>
      </c>
      <c r="K2037" s="518">
        <v>8.046131636697621E-5</v>
      </c>
      <c r="L2037" s="519">
        <v>8.4099420051287504E-5</v>
      </c>
    </row>
    <row r="2038" spans="1:12" ht="15.5" x14ac:dyDescent="0.35">
      <c r="A2038" s="143" t="s">
        <v>986</v>
      </c>
      <c r="B2038" s="229">
        <v>2028</v>
      </c>
      <c r="C2038" s="514" t="s">
        <v>2868</v>
      </c>
      <c r="D2038" s="515">
        <v>2.9831381415997688E-2</v>
      </c>
      <c r="E2038" s="516">
        <v>1.554302069637736E-2</v>
      </c>
      <c r="F2038" s="145">
        <v>7.0697113181626386E-2</v>
      </c>
      <c r="G2038" s="145">
        <v>1.4474108800642831E-3</v>
      </c>
      <c r="H2038" s="517">
        <v>2.0000005732018801E-3</v>
      </c>
      <c r="I2038" s="517">
        <v>1.5750004513964799E-2</v>
      </c>
      <c r="J2038" s="148">
        <v>1.5714572129424541E-3</v>
      </c>
      <c r="K2038" s="518">
        <v>6.4522440064330818E-5</v>
      </c>
      <c r="L2038" s="519">
        <v>6.743985848995255E-5</v>
      </c>
    </row>
    <row r="2039" spans="1:12" ht="15.5" x14ac:dyDescent="0.35">
      <c r="A2039" s="143" t="s">
        <v>986</v>
      </c>
      <c r="B2039" s="229">
        <v>2029</v>
      </c>
      <c r="C2039" s="514" t="s">
        <v>2869</v>
      </c>
      <c r="D2039" s="515">
        <v>2.9091938090279188E-2</v>
      </c>
      <c r="E2039" s="516">
        <v>1.3638409157071835E-2</v>
      </c>
      <c r="F2039" s="145">
        <v>6.3147678415662378E-2</v>
      </c>
      <c r="G2039" s="145">
        <v>1.3537715249005231E-3</v>
      </c>
      <c r="H2039" s="517">
        <v>2.0000005732018797E-3</v>
      </c>
      <c r="I2039" s="517">
        <v>1.5750004513964796E-2</v>
      </c>
      <c r="J2039" s="148">
        <v>1.469995012878918E-3</v>
      </c>
      <c r="K2039" s="518">
        <v>5.5575269683675499E-5</v>
      </c>
      <c r="L2039" s="519">
        <v>5.8088136767164438E-5</v>
      </c>
    </row>
    <row r="2040" spans="1:12" ht="15.5" x14ac:dyDescent="0.35">
      <c r="A2040" s="143" t="s">
        <v>986</v>
      </c>
      <c r="B2040" s="229">
        <v>2030</v>
      </c>
      <c r="C2040" s="514" t="s">
        <v>2870</v>
      </c>
      <c r="D2040" s="515">
        <v>2.8424781000449054E-2</v>
      </c>
      <c r="E2040" s="516">
        <v>1.2139070639184677E-2</v>
      </c>
      <c r="F2040" s="145">
        <v>5.6975350410088596E-2</v>
      </c>
      <c r="G2040" s="145">
        <v>1.2674507993329534E-3</v>
      </c>
      <c r="H2040" s="517">
        <v>2.0000005732018805E-3</v>
      </c>
      <c r="I2040" s="517">
        <v>1.5750004513964803E-2</v>
      </c>
      <c r="J2040" s="148">
        <v>1.3763961560940227E-3</v>
      </c>
      <c r="K2040" s="518">
        <v>4.8901435547597166E-5</v>
      </c>
      <c r="L2040" s="519">
        <v>5.111254146615303E-5</v>
      </c>
    </row>
    <row r="2041" spans="1:12" ht="15.5" x14ac:dyDescent="0.35">
      <c r="A2041" s="143" t="s">
        <v>986</v>
      </c>
      <c r="B2041" s="229">
        <v>2031</v>
      </c>
      <c r="C2041" s="514" t="s">
        <v>2871</v>
      </c>
      <c r="D2041" s="515">
        <v>2.7825183473056556E-2</v>
      </c>
      <c r="E2041" s="516">
        <v>1.0766399618814674E-2</v>
      </c>
      <c r="F2041" s="145">
        <v>5.1355903103773394E-2</v>
      </c>
      <c r="G2041" s="145">
        <v>1.1860368344866054E-3</v>
      </c>
      <c r="H2041" s="517">
        <v>2.0000005732018797E-3</v>
      </c>
      <c r="I2041" s="517">
        <v>1.5750004513964803E-2</v>
      </c>
      <c r="J2041" s="148">
        <v>1.2879982857371677E-3</v>
      </c>
      <c r="K2041" s="518">
        <v>4.5426690106584157E-5</v>
      </c>
      <c r="L2041" s="519">
        <v>4.7480683455252089E-5</v>
      </c>
    </row>
    <row r="2042" spans="1:12" ht="15.5" x14ac:dyDescent="0.35">
      <c r="A2042" s="143" t="s">
        <v>986</v>
      </c>
      <c r="B2042" s="229">
        <v>2032</v>
      </c>
      <c r="C2042" s="514" t="s">
        <v>2872</v>
      </c>
      <c r="D2042" s="515">
        <v>2.7289743393382911E-2</v>
      </c>
      <c r="E2042" s="516">
        <v>9.5969908429086835E-3</v>
      </c>
      <c r="F2042" s="145">
        <v>4.6706891720174233E-2</v>
      </c>
      <c r="G2042" s="145">
        <v>1.1099117125482167E-3</v>
      </c>
      <c r="H2042" s="517">
        <v>2.0000005732018801E-3</v>
      </c>
      <c r="I2042" s="517">
        <v>1.5750004513964799E-2</v>
      </c>
      <c r="J2042" s="148">
        <v>1.2053729936390527E-3</v>
      </c>
      <c r="K2042" s="518">
        <v>4.1468671276617669E-5</v>
      </c>
      <c r="L2042" s="519">
        <v>4.334370057724286E-5</v>
      </c>
    </row>
    <row r="2043" spans="1:12" ht="15.5" x14ac:dyDescent="0.35">
      <c r="A2043" s="143" t="s">
        <v>986</v>
      </c>
      <c r="B2043" s="229">
        <v>2033</v>
      </c>
      <c r="C2043" s="514" t="s">
        <v>2873</v>
      </c>
      <c r="D2043" s="515">
        <v>2.6813806197046292E-2</v>
      </c>
      <c r="E2043" s="516">
        <v>8.5954760233636959E-3</v>
      </c>
      <c r="F2043" s="145">
        <v>4.2832864177771414E-2</v>
      </c>
      <c r="G2043" s="145">
        <v>1.039372822706114E-3</v>
      </c>
      <c r="H2043" s="517">
        <v>2.0000005732018797E-3</v>
      </c>
      <c r="I2043" s="517">
        <v>1.5750004513964796E-2</v>
      </c>
      <c r="J2043" s="148">
        <v>1.1288041283603874E-3</v>
      </c>
      <c r="K2043" s="518">
        <v>3.796162523881661E-5</v>
      </c>
      <c r="L2043" s="519">
        <v>3.9678081479898751E-5</v>
      </c>
    </row>
    <row r="2044" spans="1:12" ht="15.5" x14ac:dyDescent="0.35">
      <c r="A2044" s="143" t="s">
        <v>986</v>
      </c>
      <c r="B2044" s="229">
        <v>2034</v>
      </c>
      <c r="C2044" s="514" t="s">
        <v>2874</v>
      </c>
      <c r="D2044" s="515">
        <v>2.6390597642120935E-2</v>
      </c>
      <c r="E2044" s="516">
        <v>7.6459407576710331E-3</v>
      </c>
      <c r="F2044" s="145">
        <v>3.9274960898239536E-2</v>
      </c>
      <c r="G2044" s="145">
        <v>9.7167428780741197E-4</v>
      </c>
      <c r="H2044" s="517">
        <v>2.0000005732018801E-3</v>
      </c>
      <c r="I2044" s="517">
        <v>1.5750004513964796E-2</v>
      </c>
      <c r="J2044" s="148">
        <v>1.0552952283719287E-3</v>
      </c>
      <c r="K2044" s="518">
        <v>3.5143178614197779E-5</v>
      </c>
      <c r="L2044" s="519">
        <v>3.6732197205586239E-5</v>
      </c>
    </row>
    <row r="2045" spans="1:12" ht="15.5" x14ac:dyDescent="0.35">
      <c r="A2045" s="143" t="s">
        <v>986</v>
      </c>
      <c r="B2045" s="229">
        <v>2035</v>
      </c>
      <c r="C2045" s="514" t="s">
        <v>2875</v>
      </c>
      <c r="D2045" s="515">
        <v>2.6017932404183191E-2</v>
      </c>
      <c r="E2045" s="516">
        <v>6.8209961090141503E-3</v>
      </c>
      <c r="F2045" s="145">
        <v>3.6278956160128897E-2</v>
      </c>
      <c r="G2045" s="145">
        <v>9.0959287987914749E-4</v>
      </c>
      <c r="H2045" s="517">
        <v>2.0000005732018797E-3</v>
      </c>
      <c r="I2045" s="517">
        <v>1.5750004513964796E-2</v>
      </c>
      <c r="J2045" s="148">
        <v>9.878687267776663E-4</v>
      </c>
      <c r="K2045" s="518">
        <v>3.2955747203969046E-5</v>
      </c>
      <c r="L2045" s="519">
        <v>3.4445859853570188E-5</v>
      </c>
    </row>
    <row r="2046" spans="1:12" ht="15.5" x14ac:dyDescent="0.35">
      <c r="A2046" s="143" t="s">
        <v>986</v>
      </c>
      <c r="B2046" s="229">
        <v>2036</v>
      </c>
      <c r="C2046" s="514" t="s">
        <v>2876</v>
      </c>
      <c r="D2046" s="515">
        <v>2.5691159327450898E-2</v>
      </c>
      <c r="E2046" s="516">
        <v>6.1332994348323785E-3</v>
      </c>
      <c r="F2046" s="145">
        <v>3.384674452820597E-2</v>
      </c>
      <c r="G2046" s="145">
        <v>8.5815250142508488E-4</v>
      </c>
      <c r="H2046" s="517">
        <v>2.0000005732018801E-3</v>
      </c>
      <c r="I2046" s="517">
        <v>1.5750004513964799E-2</v>
      </c>
      <c r="J2046" s="148">
        <v>9.3200548997418825E-4</v>
      </c>
      <c r="K2046" s="518">
        <v>3.1000186047088429E-5</v>
      </c>
      <c r="L2046" s="519">
        <v>3.2401876898849571E-5</v>
      </c>
    </row>
    <row r="2047" spans="1:12" ht="15.5" x14ac:dyDescent="0.35">
      <c r="A2047" s="143" t="s">
        <v>986</v>
      </c>
      <c r="B2047" s="229">
        <v>2037</v>
      </c>
      <c r="C2047" s="514" t="s">
        <v>2877</v>
      </c>
      <c r="D2047" s="515">
        <v>2.5408360525502133E-2</v>
      </c>
      <c r="E2047" s="516">
        <v>5.4782844127501586E-3</v>
      </c>
      <c r="F2047" s="145">
        <v>3.1541313120430819E-2</v>
      </c>
      <c r="G2047" s="145">
        <v>8.104932423810895E-4</v>
      </c>
      <c r="H2047" s="517">
        <v>2.0000005732018801E-3</v>
      </c>
      <c r="I2047" s="517">
        <v>1.5750004513964799E-2</v>
      </c>
      <c r="J2047" s="148">
        <v>8.8024485446795632E-4</v>
      </c>
      <c r="K2047" s="518">
        <v>2.9273790634177461E-5</v>
      </c>
      <c r="L2047" s="519">
        <v>3.0597421546132852E-5</v>
      </c>
    </row>
    <row r="2048" spans="1:12" ht="15.5" x14ac:dyDescent="0.35">
      <c r="A2048" s="143" t="s">
        <v>986</v>
      </c>
      <c r="B2048" s="229">
        <v>2038</v>
      </c>
      <c r="C2048" s="514" t="s">
        <v>2878</v>
      </c>
      <c r="D2048" s="515">
        <v>2.5164014952349809E-2</v>
      </c>
      <c r="E2048" s="516">
        <v>4.8906892795655453E-3</v>
      </c>
      <c r="F2048" s="145">
        <v>2.9481904150953107E-2</v>
      </c>
      <c r="G2048" s="145">
        <v>7.6728046315733785E-4</v>
      </c>
      <c r="H2048" s="517">
        <v>2.0000005732018805E-3</v>
      </c>
      <c r="I2048" s="517">
        <v>1.5750004513964799E-2</v>
      </c>
      <c r="J2048" s="148">
        <v>8.3331003940703631E-4</v>
      </c>
      <c r="K2048" s="518">
        <v>2.7786496052726972E-5</v>
      </c>
      <c r="L2048" s="519">
        <v>2.9042878103481215E-5</v>
      </c>
    </row>
    <row r="2049" spans="1:12" ht="15.5" x14ac:dyDescent="0.35">
      <c r="A2049" s="143" t="s">
        <v>986</v>
      </c>
      <c r="B2049" s="229">
        <v>2039</v>
      </c>
      <c r="C2049" s="514" t="s">
        <v>2879</v>
      </c>
      <c r="D2049" s="515">
        <v>2.4954055704232838E-2</v>
      </c>
      <c r="E2049" s="516">
        <v>4.3191131764210196E-3</v>
      </c>
      <c r="F2049" s="145">
        <v>2.7497100104389497E-2</v>
      </c>
      <c r="G2049" s="145">
        <v>7.2776516576253587E-4</v>
      </c>
      <c r="H2049" s="517">
        <v>2.0000005732018801E-3</v>
      </c>
      <c r="I2049" s="517">
        <v>1.5750004513964799E-2</v>
      </c>
      <c r="J2049" s="148">
        <v>7.9038599493476565E-4</v>
      </c>
      <c r="K2049" s="518">
        <v>2.6548831972422393E-5</v>
      </c>
      <c r="L2049" s="519">
        <v>2.7749252345518265E-5</v>
      </c>
    </row>
    <row r="2050" spans="1:12" ht="15.5" x14ac:dyDescent="0.35">
      <c r="A2050" s="143" t="s">
        <v>986</v>
      </c>
      <c r="B2050" s="229">
        <v>2040</v>
      </c>
      <c r="C2050" s="514" t="s">
        <v>2880</v>
      </c>
      <c r="D2050" s="515">
        <v>2.4774767742777336E-2</v>
      </c>
      <c r="E2050" s="516">
        <v>3.8119882260612531E-3</v>
      </c>
      <c r="F2050" s="145">
        <v>2.5802259818180334E-2</v>
      </c>
      <c r="G2050" s="145">
        <v>6.9170581245402802E-4</v>
      </c>
      <c r="H2050" s="517">
        <v>2.0000005732018801E-3</v>
      </c>
      <c r="I2050" s="517">
        <v>1.5750004513964799E-2</v>
      </c>
      <c r="J2050" s="148">
        <v>7.5122363664919753E-4</v>
      </c>
      <c r="K2050" s="518">
        <v>2.5239625214513869E-5</v>
      </c>
      <c r="L2050" s="519">
        <v>2.6380849067536119E-5</v>
      </c>
    </row>
    <row r="2051" spans="1:12" ht="15.5" x14ac:dyDescent="0.35">
      <c r="A2051" s="143" t="s">
        <v>986</v>
      </c>
      <c r="B2051" s="229">
        <v>2041</v>
      </c>
      <c r="C2051" s="514" t="s">
        <v>2881</v>
      </c>
      <c r="D2051" s="515">
        <v>2.4624075905154155E-2</v>
      </c>
      <c r="E2051" s="516">
        <v>3.4716469727836745E-3</v>
      </c>
      <c r="F2051" s="145">
        <v>2.4584213119989547E-2</v>
      </c>
      <c r="G2051" s="145">
        <v>6.6568394357860927E-4</v>
      </c>
      <c r="H2051" s="517">
        <v>2.0000005732018801E-3</v>
      </c>
      <c r="I2051" s="517">
        <v>1.5750004513964799E-2</v>
      </c>
      <c r="J2051" s="148">
        <v>7.2296678336002617E-4</v>
      </c>
      <c r="K2051" s="518">
        <v>2.4194134670835057E-5</v>
      </c>
      <c r="L2051" s="519">
        <v>2.5288086080767672E-5</v>
      </c>
    </row>
    <row r="2052" spans="1:12" ht="15.5" x14ac:dyDescent="0.35">
      <c r="A2052" s="143" t="s">
        <v>986</v>
      </c>
      <c r="B2052" s="229">
        <v>2042</v>
      </c>
      <c r="C2052" s="514" t="s">
        <v>2882</v>
      </c>
      <c r="D2052" s="515">
        <v>2.4495909528018011E-2</v>
      </c>
      <c r="E2052" s="516">
        <v>3.1747586564268462E-3</v>
      </c>
      <c r="F2052" s="145">
        <v>2.3454172584951406E-2</v>
      </c>
      <c r="G2052" s="145">
        <v>6.4284251341823221E-4</v>
      </c>
      <c r="H2052" s="517">
        <v>2.0000005732018801E-3</v>
      </c>
      <c r="I2052" s="517">
        <v>1.5750004513964799E-2</v>
      </c>
      <c r="J2052" s="148">
        <v>6.98156445333183E-4</v>
      </c>
      <c r="K2052" s="518">
        <v>2.3443672473414728E-5</v>
      </c>
      <c r="L2052" s="519">
        <v>2.4503691312906662E-5</v>
      </c>
    </row>
    <row r="2053" spans="1:12" ht="15.5" x14ac:dyDescent="0.35">
      <c r="A2053" s="143" t="s">
        <v>986</v>
      </c>
      <c r="B2053" s="229">
        <v>2043</v>
      </c>
      <c r="C2053" s="514" t="s">
        <v>2883</v>
      </c>
      <c r="D2053" s="515">
        <v>2.4388735230126968E-2</v>
      </c>
      <c r="E2053" s="516">
        <v>2.9456628849459754E-3</v>
      </c>
      <c r="F2053" s="145">
        <v>2.2553327162373685E-2</v>
      </c>
      <c r="G2053" s="145">
        <v>6.2291222184279879E-4</v>
      </c>
      <c r="H2053" s="517">
        <v>2.0000005732018801E-3</v>
      </c>
      <c r="I2053" s="517">
        <v>1.5750004513964799E-2</v>
      </c>
      <c r="J2053" s="148">
        <v>6.765145658459515E-4</v>
      </c>
      <c r="K2053" s="518">
        <v>2.2638232662787107E-5</v>
      </c>
      <c r="L2053" s="519">
        <v>2.3661833088128731E-5</v>
      </c>
    </row>
    <row r="2054" spans="1:12" ht="15.5" x14ac:dyDescent="0.35">
      <c r="A2054" s="143" t="s">
        <v>986</v>
      </c>
      <c r="B2054" s="229">
        <v>2044</v>
      </c>
      <c r="C2054" s="514" t="s">
        <v>2884</v>
      </c>
      <c r="D2054" s="515">
        <v>2.4298213928482616E-2</v>
      </c>
      <c r="E2054" s="516">
        <v>2.7565904899158949E-3</v>
      </c>
      <c r="F2054" s="145">
        <v>2.1747600525950862E-2</v>
      </c>
      <c r="G2054" s="145">
        <v>6.0553969374451864E-4</v>
      </c>
      <c r="H2054" s="517">
        <v>2.0000005732018801E-3</v>
      </c>
      <c r="I2054" s="517">
        <v>1.5750004513964799E-2</v>
      </c>
      <c r="J2054" s="148">
        <v>6.5764378037465332E-4</v>
      </c>
      <c r="K2054" s="518">
        <v>2.2085464631791354E-5</v>
      </c>
      <c r="L2054" s="519">
        <v>2.3084071339643138E-5</v>
      </c>
    </row>
    <row r="2055" spans="1:12" ht="15.5" x14ac:dyDescent="0.35">
      <c r="A2055" s="143" t="s">
        <v>986</v>
      </c>
      <c r="B2055" s="229">
        <v>2045</v>
      </c>
      <c r="C2055" s="514" t="s">
        <v>2885</v>
      </c>
      <c r="D2055" s="515">
        <v>2.4220451906735819E-2</v>
      </c>
      <c r="E2055" s="516">
        <v>2.6282756009893132E-3</v>
      </c>
      <c r="F2055" s="145">
        <v>2.1205238394957686E-2</v>
      </c>
      <c r="G2055" s="145">
        <v>5.9073185668896569E-4</v>
      </c>
      <c r="H2055" s="517">
        <v>2.0000005732018801E-3</v>
      </c>
      <c r="I2055" s="517">
        <v>1.5750004513964799E-2</v>
      </c>
      <c r="J2055" s="148">
        <v>6.4155685972638388E-4</v>
      </c>
      <c r="K2055" s="518">
        <v>2.1661796377176648E-5</v>
      </c>
      <c r="L2055" s="519">
        <v>2.2641246686554775E-5</v>
      </c>
    </row>
    <row r="2056" spans="1:12" ht="15.5" x14ac:dyDescent="0.35">
      <c r="A2056" s="143" t="s">
        <v>986</v>
      </c>
      <c r="B2056" s="229">
        <v>2046</v>
      </c>
      <c r="C2056" s="514" t="s">
        <v>2886</v>
      </c>
      <c r="D2056" s="515">
        <v>2.4154827639831199E-2</v>
      </c>
      <c r="E2056" s="516">
        <v>2.5169550191373072E-3</v>
      </c>
      <c r="F2056" s="145">
        <v>2.0766591194470156E-2</v>
      </c>
      <c r="G2056" s="145">
        <v>5.7793268230694236E-4</v>
      </c>
      <c r="H2056" s="517">
        <v>2.0000005732018797E-3</v>
      </c>
      <c r="I2056" s="517">
        <v>1.5750004513964799E-2</v>
      </c>
      <c r="J2056" s="148">
        <v>6.2765512287354323E-4</v>
      </c>
      <c r="K2056" s="518">
        <v>2.1224444192374149E-5</v>
      </c>
      <c r="L2056" s="519">
        <v>2.2184119376677092E-5</v>
      </c>
    </row>
    <row r="2057" spans="1:12" ht="15.5" x14ac:dyDescent="0.35">
      <c r="A2057" s="143" t="s">
        <v>986</v>
      </c>
      <c r="B2057" s="229">
        <v>2047</v>
      </c>
      <c r="C2057" s="514" t="s">
        <v>2887</v>
      </c>
      <c r="D2057" s="515">
        <v>2.4099496346096105E-2</v>
      </c>
      <c r="E2057" s="516">
        <v>2.4159889691876429E-3</v>
      </c>
      <c r="F2057" s="145">
        <v>2.0357615689264436E-2</v>
      </c>
      <c r="G2057" s="145">
        <v>5.6694621497590917E-4</v>
      </c>
      <c r="H2057" s="517">
        <v>2.0000005732018797E-3</v>
      </c>
      <c r="I2057" s="517">
        <v>1.5750004513964799E-2</v>
      </c>
      <c r="J2057" s="148">
        <v>6.1572327741069336E-4</v>
      </c>
      <c r="K2057" s="518">
        <v>2.0824682460485757E-5</v>
      </c>
      <c r="L2057" s="519">
        <v>2.1766282193189112E-5</v>
      </c>
    </row>
    <row r="2058" spans="1:12" ht="15.5" x14ac:dyDescent="0.35">
      <c r="A2058" s="143" t="s">
        <v>986</v>
      </c>
      <c r="B2058" s="229">
        <v>2048</v>
      </c>
      <c r="C2058" s="514" t="s">
        <v>2888</v>
      </c>
      <c r="D2058" s="515">
        <v>2.4052207159385563E-2</v>
      </c>
      <c r="E2058" s="516">
        <v>2.3352206143579931E-3</v>
      </c>
      <c r="F2058" s="145">
        <v>2.0023010000031708E-2</v>
      </c>
      <c r="G2058" s="145">
        <v>5.5758150745954219E-4</v>
      </c>
      <c r="H2058" s="517">
        <v>2.0000005732018801E-3</v>
      </c>
      <c r="I2058" s="517">
        <v>1.5750004513964799E-2</v>
      </c>
      <c r="J2058" s="148">
        <v>6.0555530500010343E-4</v>
      </c>
      <c r="K2058" s="518">
        <v>2.0423474544679269E-5</v>
      </c>
      <c r="L2058" s="519">
        <v>2.1346933435763602E-5</v>
      </c>
    </row>
    <row r="2059" spans="1:12" ht="15.5" x14ac:dyDescent="0.35">
      <c r="A2059" s="143" t="s">
        <v>986</v>
      </c>
      <c r="B2059" s="229">
        <v>2049</v>
      </c>
      <c r="C2059" s="514" t="s">
        <v>2889</v>
      </c>
      <c r="D2059" s="515">
        <v>2.4013542436966982E-2</v>
      </c>
      <c r="E2059" s="516">
        <v>2.3101706757626536E-3</v>
      </c>
      <c r="F2059" s="145">
        <v>1.9995431147251507E-2</v>
      </c>
      <c r="G2059" s="145">
        <v>5.5237208357798771E-4</v>
      </c>
      <c r="H2059" s="517">
        <v>2.0000005732018801E-3</v>
      </c>
      <c r="I2059" s="517">
        <v>1.5750004513964803E-2</v>
      </c>
      <c r="J2059" s="148">
        <v>5.9989929064966881E-4</v>
      </c>
      <c r="K2059" s="518">
        <v>2.0194347046540059E-5</v>
      </c>
      <c r="L2059" s="519">
        <v>2.110744580889676E-5</v>
      </c>
    </row>
    <row r="2060" spans="1:12" ht="15.5" x14ac:dyDescent="0.35">
      <c r="A2060" s="143" t="s">
        <v>986</v>
      </c>
      <c r="B2060" s="229">
        <v>2050</v>
      </c>
      <c r="C2060" s="514" t="s">
        <v>2890</v>
      </c>
      <c r="D2060" s="515">
        <v>2.3982812480493068E-2</v>
      </c>
      <c r="E2060" s="516">
        <v>2.2886063386944591E-3</v>
      </c>
      <c r="F2060" s="145">
        <v>1.9969457932865663E-2</v>
      </c>
      <c r="G2060" s="145">
        <v>5.4802817248019082E-4</v>
      </c>
      <c r="H2060" s="517">
        <v>2.0000005732018801E-3</v>
      </c>
      <c r="I2060" s="517">
        <v>1.5750004513964799E-2</v>
      </c>
      <c r="J2060" s="148">
        <v>5.9518764769350295E-4</v>
      </c>
      <c r="K2060" s="518">
        <v>1.9893308680877538E-5</v>
      </c>
      <c r="L2060" s="519">
        <v>2.079279582417693E-5</v>
      </c>
    </row>
    <row r="2061" spans="1:12" ht="15.5" x14ac:dyDescent="0.35">
      <c r="A2061" s="143" t="s">
        <v>989</v>
      </c>
      <c r="B2061" s="229">
        <v>2015</v>
      </c>
      <c r="C2061" s="514" t="s">
        <v>990</v>
      </c>
      <c r="D2061" s="515">
        <v>4.1684946102352932E-2</v>
      </c>
      <c r="E2061" s="516">
        <v>4.6697744532864537E-2</v>
      </c>
      <c r="F2061" s="145">
        <v>0.17767082298428144</v>
      </c>
      <c r="G2061" s="145">
        <v>1.8463394886001998E-3</v>
      </c>
      <c r="H2061" s="517">
        <v>2.0000005732018797E-3</v>
      </c>
      <c r="I2061" s="517">
        <v>1.5750004513964799E-2</v>
      </c>
      <c r="J2061" s="148">
        <v>1.998189502680102E-3</v>
      </c>
      <c r="K2061" s="518">
        <v>1.621635516734342E-4</v>
      </c>
      <c r="L2061" s="519">
        <v>1.6949586789000384E-4</v>
      </c>
    </row>
    <row r="2062" spans="1:12" ht="15.5" x14ac:dyDescent="0.35">
      <c r="A2062" s="143" t="s">
        <v>989</v>
      </c>
      <c r="B2062" s="229">
        <v>2016</v>
      </c>
      <c r="C2062" s="514" t="s">
        <v>991</v>
      </c>
      <c r="D2062" s="515">
        <v>4.0840271046063414E-2</v>
      </c>
      <c r="E2062" s="516">
        <v>3.9129388518210753E-2</v>
      </c>
      <c r="F2062" s="145">
        <v>0.1529138911868711</v>
      </c>
      <c r="G2062" s="145">
        <v>1.7680110714071568E-3</v>
      </c>
      <c r="H2062" s="517">
        <v>2.0000005732018805E-3</v>
      </c>
      <c r="I2062" s="517">
        <v>1.5750004513964803E-2</v>
      </c>
      <c r="J2062" s="148">
        <v>1.914852574673494E-3</v>
      </c>
      <c r="K2062" s="518">
        <v>1.4124626980320594E-4</v>
      </c>
      <c r="L2062" s="519">
        <v>1.4763279935266723E-4</v>
      </c>
    </row>
    <row r="2063" spans="1:12" ht="15.5" x14ac:dyDescent="0.35">
      <c r="A2063" s="143" t="s">
        <v>989</v>
      </c>
      <c r="B2063" s="229">
        <v>2017</v>
      </c>
      <c r="C2063" s="514" t="s">
        <v>2891</v>
      </c>
      <c r="D2063" s="515">
        <v>3.9899479202001188E-2</v>
      </c>
      <c r="E2063" s="516">
        <v>3.2791668406830378E-2</v>
      </c>
      <c r="F2063" s="145">
        <v>0.13111513724416518</v>
      </c>
      <c r="G2063" s="145">
        <v>1.7298442951263438E-3</v>
      </c>
      <c r="H2063" s="517">
        <v>2.0000005732018801E-3</v>
      </c>
      <c r="I2063" s="517">
        <v>1.5750004513964799E-2</v>
      </c>
      <c r="J2063" s="148">
        <v>1.8745757559700052E-3</v>
      </c>
      <c r="K2063" s="518">
        <v>1.2840068835664916E-4</v>
      </c>
      <c r="L2063" s="519">
        <v>1.3420639771452079E-4</v>
      </c>
    </row>
    <row r="2064" spans="1:12" ht="15.5" x14ac:dyDescent="0.35">
      <c r="A2064" s="143" t="s">
        <v>989</v>
      </c>
      <c r="B2064" s="229">
        <v>2018</v>
      </c>
      <c r="C2064" s="514" t="s">
        <v>2892</v>
      </c>
      <c r="D2064" s="515">
        <v>3.8901275206457968E-2</v>
      </c>
      <c r="E2064" s="516">
        <v>2.7448673159913235E-2</v>
      </c>
      <c r="F2064" s="145">
        <v>0.11236590251525376</v>
      </c>
      <c r="G2064" s="145">
        <v>1.7201451304588713E-3</v>
      </c>
      <c r="H2064" s="517">
        <v>2.0000005732018801E-3</v>
      </c>
      <c r="I2064" s="517">
        <v>1.5750004513964799E-2</v>
      </c>
      <c r="J2064" s="148">
        <v>1.864997649390975E-3</v>
      </c>
      <c r="K2064" s="518">
        <v>1.1775771676389602E-4</v>
      </c>
      <c r="L2064" s="519">
        <v>1.2308219817383086E-4</v>
      </c>
    </row>
    <row r="2065" spans="1:12" ht="15.5" x14ac:dyDescent="0.35">
      <c r="A2065" s="143" t="s">
        <v>989</v>
      </c>
      <c r="B2065" s="229">
        <v>2019</v>
      </c>
      <c r="C2065" s="514" t="s">
        <v>2893</v>
      </c>
      <c r="D2065" s="515">
        <v>3.7874855315884748E-2</v>
      </c>
      <c r="E2065" s="516">
        <v>2.3112880090258553E-2</v>
      </c>
      <c r="F2065" s="145">
        <v>9.6557350255051064E-2</v>
      </c>
      <c r="G2065" s="145">
        <v>1.7280828264106495E-3</v>
      </c>
      <c r="H2065" s="517">
        <v>2.0000005732018801E-3</v>
      </c>
      <c r="I2065" s="517">
        <v>1.5750004513964796E-2</v>
      </c>
      <c r="J2065" s="148">
        <v>1.8744076940592138E-3</v>
      </c>
      <c r="K2065" s="518">
        <v>1.0885578426346228E-4</v>
      </c>
      <c r="L2065" s="519">
        <v>1.1377775978746712E-4</v>
      </c>
    </row>
    <row r="2066" spans="1:12" ht="15.5" x14ac:dyDescent="0.35">
      <c r="A2066" s="143" t="s">
        <v>989</v>
      </c>
      <c r="B2066" s="229">
        <v>2020</v>
      </c>
      <c r="C2066" s="514" t="s">
        <v>2894</v>
      </c>
      <c r="D2066" s="515">
        <v>3.6831052977090495E-2</v>
      </c>
      <c r="E2066" s="516">
        <v>1.9641636332607553E-2</v>
      </c>
      <c r="F2066" s="145">
        <v>8.3308479096579652E-2</v>
      </c>
      <c r="G2066" s="145">
        <v>1.6848283003641099E-3</v>
      </c>
      <c r="H2066" s="517">
        <v>2.0000005732018801E-3</v>
      </c>
      <c r="I2066" s="517">
        <v>1.5750004513964803E-2</v>
      </c>
      <c r="J2066" s="148">
        <v>1.8278535556853076E-3</v>
      </c>
      <c r="K2066" s="518">
        <v>1.0104863422596291E-4</v>
      </c>
      <c r="L2066" s="519">
        <v>1.0561760506898742E-4</v>
      </c>
    </row>
    <row r="2067" spans="1:12" ht="15.5" x14ac:dyDescent="0.35">
      <c r="A2067" s="143" t="s">
        <v>989</v>
      </c>
      <c r="B2067" s="229">
        <v>2021</v>
      </c>
      <c r="C2067" s="514" t="s">
        <v>2895</v>
      </c>
      <c r="D2067" s="515">
        <v>3.5777753042256465E-2</v>
      </c>
      <c r="E2067" s="516">
        <v>1.7080794515757069E-2</v>
      </c>
      <c r="F2067" s="145">
        <v>7.2361241702284029E-2</v>
      </c>
      <c r="G2067" s="145">
        <v>1.6173338150981687E-3</v>
      </c>
      <c r="H2067" s="517">
        <v>2.0000005732018801E-3</v>
      </c>
      <c r="I2067" s="517">
        <v>1.5750004513964799E-2</v>
      </c>
      <c r="J2067" s="148">
        <v>1.7548783836399738E-3</v>
      </c>
      <c r="K2067" s="518">
        <v>9.2802312945164449E-5</v>
      </c>
      <c r="L2067" s="519">
        <v>9.6998421732380174E-5</v>
      </c>
    </row>
    <row r="2068" spans="1:12" ht="15.5" x14ac:dyDescent="0.35">
      <c r="A2068" s="143" t="s">
        <v>989</v>
      </c>
      <c r="B2068" s="229">
        <v>2022</v>
      </c>
      <c r="C2068" s="514" t="s">
        <v>2896</v>
      </c>
      <c r="D2068" s="515">
        <v>3.4741509166897208E-2</v>
      </c>
      <c r="E2068" s="516">
        <v>1.4507790409669543E-2</v>
      </c>
      <c r="F2068" s="145">
        <v>6.2802944821427897E-2</v>
      </c>
      <c r="G2068" s="145">
        <v>1.5341165439656614E-3</v>
      </c>
      <c r="H2068" s="517">
        <v>2.0000005732018805E-3</v>
      </c>
      <c r="I2068" s="517">
        <v>1.5750004513964803E-2</v>
      </c>
      <c r="J2068" s="148">
        <v>1.664832215728599E-3</v>
      </c>
      <c r="K2068" s="518">
        <v>8.5048780392070548E-5</v>
      </c>
      <c r="L2068" s="519">
        <v>8.889430884302649E-5</v>
      </c>
    </row>
    <row r="2069" spans="1:12" ht="15.5" x14ac:dyDescent="0.35">
      <c r="A2069" s="143" t="s">
        <v>989</v>
      </c>
      <c r="B2069" s="229">
        <v>2023</v>
      </c>
      <c r="C2069" s="514" t="s">
        <v>2897</v>
      </c>
      <c r="D2069" s="515">
        <v>3.371259640315008E-2</v>
      </c>
      <c r="E2069" s="516">
        <v>1.2612670607786208E-2</v>
      </c>
      <c r="F2069" s="145">
        <v>5.5059251338598313E-2</v>
      </c>
      <c r="G2069" s="145">
        <v>1.460706075997076E-3</v>
      </c>
      <c r="H2069" s="517">
        <v>2.0000005732018797E-3</v>
      </c>
      <c r="I2069" s="517">
        <v>1.5750004513964799E-2</v>
      </c>
      <c r="J2069" s="148">
        <v>1.5853339616723498E-3</v>
      </c>
      <c r="K2069" s="518">
        <v>7.7545286676048558E-5</v>
      </c>
      <c r="L2069" s="519">
        <v>8.1051540437426168E-5</v>
      </c>
    </row>
    <row r="2070" spans="1:12" ht="15.5" x14ac:dyDescent="0.35">
      <c r="A2070" s="143" t="s">
        <v>989</v>
      </c>
      <c r="B2070" s="229">
        <v>2024</v>
      </c>
      <c r="C2070" s="514" t="s">
        <v>2898</v>
      </c>
      <c r="D2070" s="515">
        <v>3.2695767645374345E-2</v>
      </c>
      <c r="E2070" s="516">
        <v>1.110609190312052E-2</v>
      </c>
      <c r="F2070" s="145">
        <v>4.8694055429581405E-2</v>
      </c>
      <c r="G2070" s="145">
        <v>1.4076689943899976E-3</v>
      </c>
      <c r="H2070" s="517">
        <v>2.0000005732018801E-3</v>
      </c>
      <c r="I2070" s="517">
        <v>1.5750004513964799E-2</v>
      </c>
      <c r="J2070" s="148">
        <v>1.5280283754978538E-3</v>
      </c>
      <c r="K2070" s="518">
        <v>6.9162040957840051E-5</v>
      </c>
      <c r="L2070" s="519">
        <v>7.228924154794221E-5</v>
      </c>
    </row>
    <row r="2071" spans="1:12" ht="15.5" x14ac:dyDescent="0.35">
      <c r="A2071" s="143" t="s">
        <v>989</v>
      </c>
      <c r="B2071" s="229">
        <v>2025</v>
      </c>
      <c r="C2071" s="514" t="s">
        <v>2899</v>
      </c>
      <c r="D2071" s="515">
        <v>3.1689412517089392E-2</v>
      </c>
      <c r="E2071" s="516">
        <v>9.7650726413138836E-3</v>
      </c>
      <c r="F2071" s="145">
        <v>4.3461705883747107E-2</v>
      </c>
      <c r="G2071" s="145">
        <v>1.3516540026003478E-3</v>
      </c>
      <c r="H2071" s="517">
        <v>2.0000005732018805E-3</v>
      </c>
      <c r="I2071" s="517">
        <v>1.5750004513964803E-2</v>
      </c>
      <c r="J2071" s="148">
        <v>1.4674030841759164E-3</v>
      </c>
      <c r="K2071" s="518">
        <v>6.2362927564886035E-5</v>
      </c>
      <c r="L2071" s="519">
        <v>6.5182702417977529E-5</v>
      </c>
    </row>
    <row r="2072" spans="1:12" ht="15.5" x14ac:dyDescent="0.35">
      <c r="A2072" s="143" t="s">
        <v>989</v>
      </c>
      <c r="B2072" s="229">
        <v>2026</v>
      </c>
      <c r="C2072" s="514" t="s">
        <v>2900</v>
      </c>
      <c r="D2072" s="515">
        <v>3.0779184448600012E-2</v>
      </c>
      <c r="E2072" s="516">
        <v>8.6503569860655119E-3</v>
      </c>
      <c r="F2072" s="145">
        <v>3.9213901651068847E-2</v>
      </c>
      <c r="G2072" s="145">
        <v>1.2912287442788878E-3</v>
      </c>
      <c r="H2072" s="517">
        <v>2.0000005732018801E-3</v>
      </c>
      <c r="I2072" s="517">
        <v>1.5750004513964799E-2</v>
      </c>
      <c r="J2072" s="148">
        <v>1.4019740437918029E-3</v>
      </c>
      <c r="K2072" s="518">
        <v>5.5565001502706109E-5</v>
      </c>
      <c r="L2072" s="519">
        <v>5.8077404304616085E-5</v>
      </c>
    </row>
    <row r="2073" spans="1:12" ht="15.5" x14ac:dyDescent="0.35">
      <c r="A2073" s="143" t="s">
        <v>989</v>
      </c>
      <c r="B2073" s="229">
        <v>2027</v>
      </c>
      <c r="C2073" s="514" t="s">
        <v>2901</v>
      </c>
      <c r="D2073" s="515">
        <v>2.9951595886241404E-2</v>
      </c>
      <c r="E2073" s="516">
        <v>7.6948294556806211E-3</v>
      </c>
      <c r="F2073" s="145">
        <v>3.563227931077604E-2</v>
      </c>
      <c r="G2073" s="145">
        <v>1.2199764448569716E-3</v>
      </c>
      <c r="H2073" s="517">
        <v>2.0000005732018801E-3</v>
      </c>
      <c r="I2073" s="517">
        <v>1.5750004513964803E-2</v>
      </c>
      <c r="J2073" s="148">
        <v>1.324812126332138E-3</v>
      </c>
      <c r="K2073" s="518">
        <v>4.7753080303056131E-5</v>
      </c>
      <c r="L2073" s="519">
        <v>4.9912262693204828E-5</v>
      </c>
    </row>
    <row r="2074" spans="1:12" ht="15.5" x14ac:dyDescent="0.35">
      <c r="A2074" s="143" t="s">
        <v>989</v>
      </c>
      <c r="B2074" s="229">
        <v>2028</v>
      </c>
      <c r="C2074" s="514" t="s">
        <v>2902</v>
      </c>
      <c r="D2074" s="515">
        <v>2.9209188156934306E-2</v>
      </c>
      <c r="E2074" s="516">
        <v>6.8975792142576056E-3</v>
      </c>
      <c r="F2074" s="145">
        <v>3.2675831467303552E-2</v>
      </c>
      <c r="G2074" s="145">
        <v>1.1422590615520892E-3</v>
      </c>
      <c r="H2074" s="517">
        <v>2.0000005732018797E-3</v>
      </c>
      <c r="I2074" s="517">
        <v>1.5750004513964799E-2</v>
      </c>
      <c r="J2074" s="148">
        <v>1.24054455219385E-3</v>
      </c>
      <c r="K2074" s="518">
        <v>4.1684240389307069E-5</v>
      </c>
      <c r="L2074" s="519">
        <v>4.3569016768634355E-5</v>
      </c>
    </row>
    <row r="2075" spans="1:12" ht="15.5" x14ac:dyDescent="0.35">
      <c r="A2075" s="143" t="s">
        <v>989</v>
      </c>
      <c r="B2075" s="229">
        <v>2029</v>
      </c>
      <c r="C2075" s="514" t="s">
        <v>2903</v>
      </c>
      <c r="D2075" s="515">
        <v>2.8545239716955412E-2</v>
      </c>
      <c r="E2075" s="516">
        <v>6.19267501565012E-3</v>
      </c>
      <c r="F2075" s="145">
        <v>3.0139672612809656E-2</v>
      </c>
      <c r="G2075" s="145">
        <v>1.0686873892752267E-3</v>
      </c>
      <c r="H2075" s="517">
        <v>2.0000005732018797E-3</v>
      </c>
      <c r="I2075" s="517">
        <v>1.5750004513964799E-2</v>
      </c>
      <c r="J2075" s="148">
        <v>1.1607278977365536E-3</v>
      </c>
      <c r="K2075" s="518">
        <v>3.6982206214133693E-5</v>
      </c>
      <c r="L2075" s="519">
        <v>3.8654377473027187E-5</v>
      </c>
    </row>
    <row r="2076" spans="1:12" ht="15.5" x14ac:dyDescent="0.35">
      <c r="A2076" s="143" t="s">
        <v>989</v>
      </c>
      <c r="B2076" s="229">
        <v>2030</v>
      </c>
      <c r="C2076" s="514" t="s">
        <v>2904</v>
      </c>
      <c r="D2076" s="515">
        <v>2.7954797594323819E-2</v>
      </c>
      <c r="E2076" s="516">
        <v>5.599072486029393E-3</v>
      </c>
      <c r="F2076" s="145">
        <v>2.8029860510758162E-2</v>
      </c>
      <c r="G2076" s="145">
        <v>1.0005658608405869E-3</v>
      </c>
      <c r="H2076" s="517">
        <v>2.0000005732018805E-3</v>
      </c>
      <c r="I2076" s="517">
        <v>1.5750004513964803E-2</v>
      </c>
      <c r="J2076" s="148">
        <v>1.0867996533022587E-3</v>
      </c>
      <c r="K2076" s="518">
        <v>3.320331198306666E-5</v>
      </c>
      <c r="L2076" s="519">
        <v>3.4704618413426172E-5</v>
      </c>
    </row>
    <row r="2077" spans="1:12" ht="15.5" x14ac:dyDescent="0.35">
      <c r="A2077" s="143" t="s">
        <v>989</v>
      </c>
      <c r="B2077" s="229">
        <v>2031</v>
      </c>
      <c r="C2077" s="514" t="s">
        <v>2905</v>
      </c>
      <c r="D2077" s="515">
        <v>2.7430972222317818E-2</v>
      </c>
      <c r="E2077" s="516">
        <v>5.1314338982828261E-3</v>
      </c>
      <c r="F2077" s="145">
        <v>2.6271258633635896E-2</v>
      </c>
      <c r="G2077" s="145">
        <v>9.4772874921912511E-4</v>
      </c>
      <c r="H2077" s="517">
        <v>2.0000005732018797E-3</v>
      </c>
      <c r="I2077" s="517">
        <v>1.5750004513964796E-2</v>
      </c>
      <c r="J2077" s="148">
        <v>1.0294417494207727E-3</v>
      </c>
      <c r="K2077" s="518">
        <v>3.0671767581270027E-5</v>
      </c>
      <c r="L2077" s="519">
        <v>3.2058608807342129E-5</v>
      </c>
    </row>
    <row r="2078" spans="1:12" ht="15.5" x14ac:dyDescent="0.35">
      <c r="A2078" s="143" t="s">
        <v>989</v>
      </c>
      <c r="B2078" s="229">
        <v>2032</v>
      </c>
      <c r="C2078" s="514" t="s">
        <v>2906</v>
      </c>
      <c r="D2078" s="515">
        <v>2.6968891357335992E-2</v>
      </c>
      <c r="E2078" s="516">
        <v>4.6725284971556409E-3</v>
      </c>
      <c r="F2078" s="145">
        <v>2.473368238604157E-2</v>
      </c>
      <c r="G2078" s="145">
        <v>8.8903869448576922E-4</v>
      </c>
      <c r="H2078" s="517">
        <v>2.0000005732018797E-3</v>
      </c>
      <c r="I2078" s="517">
        <v>1.5750004513964796E-2</v>
      </c>
      <c r="J2078" s="148">
        <v>9.6571924178304918E-4</v>
      </c>
      <c r="K2078" s="518">
        <v>2.8116485374200711E-5</v>
      </c>
      <c r="L2078" s="519">
        <v>2.9387788077766034E-5</v>
      </c>
    </row>
    <row r="2079" spans="1:12" ht="15.5" x14ac:dyDescent="0.35">
      <c r="A2079" s="143" t="s">
        <v>989</v>
      </c>
      <c r="B2079" s="229">
        <v>2033</v>
      </c>
      <c r="C2079" s="514" t="s">
        <v>2907</v>
      </c>
      <c r="D2079" s="515">
        <v>2.6563934208592269E-2</v>
      </c>
      <c r="E2079" s="516">
        <v>4.2758702584416563E-3</v>
      </c>
      <c r="F2079" s="145">
        <v>2.3456229544178333E-2</v>
      </c>
      <c r="G2079" s="145">
        <v>8.357237602687179E-4</v>
      </c>
      <c r="H2079" s="517">
        <v>2.0000005732018797E-3</v>
      </c>
      <c r="I2079" s="517">
        <v>1.5750004513964799E-2</v>
      </c>
      <c r="J2079" s="148">
        <v>9.0781019347265792E-4</v>
      </c>
      <c r="K2079" s="518">
        <v>2.6327554672133247E-5</v>
      </c>
      <c r="L2079" s="519">
        <v>2.7517969867613498E-5</v>
      </c>
    </row>
    <row r="2080" spans="1:12" ht="15.5" x14ac:dyDescent="0.35">
      <c r="A2080" s="143" t="s">
        <v>989</v>
      </c>
      <c r="B2080" s="229">
        <v>2034</v>
      </c>
      <c r="C2080" s="514" t="s">
        <v>2908</v>
      </c>
      <c r="D2080" s="515">
        <v>2.6209830379657378E-2</v>
      </c>
      <c r="E2080" s="516">
        <v>3.9219752317174597E-3</v>
      </c>
      <c r="F2080" s="145">
        <v>2.2376574729382863E-2</v>
      </c>
      <c r="G2080" s="145">
        <v>7.8673156389616711E-4</v>
      </c>
      <c r="H2080" s="517">
        <v>2.0000005732018805E-3</v>
      </c>
      <c r="I2080" s="517">
        <v>1.5750004513964803E-2</v>
      </c>
      <c r="J2080" s="148">
        <v>8.5459460454918922E-4</v>
      </c>
      <c r="K2080" s="518">
        <v>2.4725344977879916E-5</v>
      </c>
      <c r="L2080" s="519">
        <v>2.5843315360686295E-5</v>
      </c>
    </row>
    <row r="2081" spans="1:12" ht="15.5" x14ac:dyDescent="0.35">
      <c r="A2081" s="143" t="s">
        <v>989</v>
      </c>
      <c r="B2081" s="229">
        <v>2035</v>
      </c>
      <c r="C2081" s="514" t="s">
        <v>2909</v>
      </c>
      <c r="D2081" s="515">
        <v>2.5902877613399961E-2</v>
      </c>
      <c r="E2081" s="516">
        <v>3.6117477960692455E-3</v>
      </c>
      <c r="F2081" s="145">
        <v>2.1478955160512726E-2</v>
      </c>
      <c r="G2081" s="145">
        <v>7.4230000976608474E-4</v>
      </c>
      <c r="H2081" s="517">
        <v>2.0000005732018797E-3</v>
      </c>
      <c r="I2081" s="517">
        <v>1.5750004513964796E-2</v>
      </c>
      <c r="J2081" s="148">
        <v>8.0633167803856375E-4</v>
      </c>
      <c r="K2081" s="518">
        <v>2.329899424635945E-5</v>
      </c>
      <c r="L2081" s="519">
        <v>2.4352471378424036E-5</v>
      </c>
    </row>
    <row r="2082" spans="1:12" ht="15.5" x14ac:dyDescent="0.35">
      <c r="A2082" s="143" t="s">
        <v>989</v>
      </c>
      <c r="B2082" s="229">
        <v>2036</v>
      </c>
      <c r="C2082" s="514" t="s">
        <v>2910</v>
      </c>
      <c r="D2082" s="515">
        <v>2.5638704233048124E-2</v>
      </c>
      <c r="E2082" s="516">
        <v>3.3419537385774695E-3</v>
      </c>
      <c r="F2082" s="145">
        <v>2.0728155444518555E-2</v>
      </c>
      <c r="G2082" s="145">
        <v>7.038231049204004E-4</v>
      </c>
      <c r="H2082" s="517">
        <v>2.0000005732018792E-3</v>
      </c>
      <c r="I2082" s="517">
        <v>1.5750004513964796E-2</v>
      </c>
      <c r="J2082" s="148">
        <v>7.6453802991686135E-4</v>
      </c>
      <c r="K2082" s="518">
        <v>2.2036558655637352E-5</v>
      </c>
      <c r="L2082" s="519">
        <v>2.3032954052264479E-5</v>
      </c>
    </row>
    <row r="2083" spans="1:12" ht="15.5" x14ac:dyDescent="0.35">
      <c r="A2083" s="143" t="s">
        <v>989</v>
      </c>
      <c r="B2083" s="229">
        <v>2037</v>
      </c>
      <c r="C2083" s="514" t="s">
        <v>2911</v>
      </c>
      <c r="D2083" s="515">
        <v>2.5413890582011722E-2</v>
      </c>
      <c r="E2083" s="516">
        <v>3.1138635250955241E-3</v>
      </c>
      <c r="F2083" s="145">
        <v>2.0116581500256307E-2</v>
      </c>
      <c r="G2083" s="145">
        <v>6.6994425157517216E-4</v>
      </c>
      <c r="H2083" s="517">
        <v>2.0000005732018792E-3</v>
      </c>
      <c r="I2083" s="517">
        <v>1.5750004513964796E-2</v>
      </c>
      <c r="J2083" s="148">
        <v>7.2773602808224886E-4</v>
      </c>
      <c r="K2083" s="518">
        <v>2.0990149103122231E-5</v>
      </c>
      <c r="L2083" s="519">
        <v>2.1939230503158286E-5</v>
      </c>
    </row>
    <row r="2084" spans="1:12" ht="15.5" x14ac:dyDescent="0.35">
      <c r="A2084" s="143" t="s">
        <v>989</v>
      </c>
      <c r="B2084" s="229">
        <v>2038</v>
      </c>
      <c r="C2084" s="514" t="s">
        <v>2912</v>
      </c>
      <c r="D2084" s="515">
        <v>2.5224301694479475E-2</v>
      </c>
      <c r="E2084" s="516">
        <v>2.9088812779084002E-3</v>
      </c>
      <c r="F2084" s="145">
        <v>1.9569136146419936E-2</v>
      </c>
      <c r="G2084" s="145">
        <v>6.4022313084114292E-4</v>
      </c>
      <c r="H2084" s="517">
        <v>2.0000005732018797E-3</v>
      </c>
      <c r="I2084" s="517">
        <v>1.5750004513964796E-2</v>
      </c>
      <c r="J2084" s="148">
        <v>6.9544824689703037E-4</v>
      </c>
      <c r="K2084" s="518">
        <v>2.0125280490075473E-5</v>
      </c>
      <c r="L2084" s="519">
        <v>2.1035256369227118E-5</v>
      </c>
    </row>
    <row r="2085" spans="1:12" ht="15.5" x14ac:dyDescent="0.35">
      <c r="A2085" s="143" t="s">
        <v>989</v>
      </c>
      <c r="B2085" s="229">
        <v>2039</v>
      </c>
      <c r="C2085" s="514" t="s">
        <v>2913</v>
      </c>
      <c r="D2085" s="515">
        <v>2.5065483371611876E-2</v>
      </c>
      <c r="E2085" s="516">
        <v>2.7160288063878221E-3</v>
      </c>
      <c r="F2085" s="145">
        <v>1.9052941180657732E-2</v>
      </c>
      <c r="G2085" s="145">
        <v>6.1420228240613916E-4</v>
      </c>
      <c r="H2085" s="517">
        <v>2.0000005732018801E-3</v>
      </c>
      <c r="I2085" s="517">
        <v>1.5750004513964799E-2</v>
      </c>
      <c r="J2085" s="148">
        <v>6.671788675918491E-4</v>
      </c>
      <c r="K2085" s="518">
        <v>1.9401574484376312E-5</v>
      </c>
      <c r="L2085" s="519">
        <v>2.0278827589348117E-5</v>
      </c>
    </row>
    <row r="2086" spans="1:12" ht="15.5" x14ac:dyDescent="0.35">
      <c r="A2086" s="143" t="s">
        <v>989</v>
      </c>
      <c r="B2086" s="229">
        <v>2040</v>
      </c>
      <c r="C2086" s="514" t="s">
        <v>2914</v>
      </c>
      <c r="D2086" s="515">
        <v>2.4933012507104241E-2</v>
      </c>
      <c r="E2086" s="516">
        <v>2.5479673463056378E-3</v>
      </c>
      <c r="F2086" s="145">
        <v>1.8632394273172353E-2</v>
      </c>
      <c r="G2086" s="145">
        <v>5.9182632082291841E-4</v>
      </c>
      <c r="H2086" s="517">
        <v>2.0000005732018805E-3</v>
      </c>
      <c r="I2086" s="517">
        <v>1.5750004513964796E-2</v>
      </c>
      <c r="J2086" s="148">
        <v>6.4286885053136289E-4</v>
      </c>
      <c r="K2086" s="518">
        <v>1.8790781580694771E-5</v>
      </c>
      <c r="L2086" s="519">
        <v>1.964041734091547E-5</v>
      </c>
    </row>
    <row r="2087" spans="1:12" ht="15.5" x14ac:dyDescent="0.35">
      <c r="A2087" s="143" t="s">
        <v>989</v>
      </c>
      <c r="B2087" s="229">
        <v>2041</v>
      </c>
      <c r="C2087" s="514" t="s">
        <v>2915</v>
      </c>
      <c r="D2087" s="515">
        <v>2.4824471551326718E-2</v>
      </c>
      <c r="E2087" s="516">
        <v>2.4179766011840497E-3</v>
      </c>
      <c r="F2087" s="145">
        <v>1.8304416616860136E-2</v>
      </c>
      <c r="G2087" s="145">
        <v>5.7438706408725025E-4</v>
      </c>
      <c r="H2087" s="517">
        <v>2.0000005732018801E-3</v>
      </c>
      <c r="I2087" s="517">
        <v>1.5750004513964799E-2</v>
      </c>
      <c r="J2087" s="148">
        <v>6.2392330277021165E-4</v>
      </c>
      <c r="K2087" s="518">
        <v>1.8289666016430588E-5</v>
      </c>
      <c r="L2087" s="519">
        <v>1.9116643554502655E-5</v>
      </c>
    </row>
    <row r="2088" spans="1:12" ht="15.5" x14ac:dyDescent="0.35">
      <c r="A2088" s="143" t="s">
        <v>989</v>
      </c>
      <c r="B2088" s="229">
        <v>2042</v>
      </c>
      <c r="C2088" s="514" t="s">
        <v>2916</v>
      </c>
      <c r="D2088" s="515">
        <v>2.4734733850055757E-2</v>
      </c>
      <c r="E2088" s="516">
        <v>2.3084188063534137E-3</v>
      </c>
      <c r="F2088" s="145">
        <v>1.8009739974373926E-2</v>
      </c>
      <c r="G2088" s="145">
        <v>5.5969344750526429E-4</v>
      </c>
      <c r="H2088" s="517">
        <v>2.0000005732018801E-3</v>
      </c>
      <c r="I2088" s="517">
        <v>1.5750004513964799E-2</v>
      </c>
      <c r="J2088" s="148">
        <v>6.0795994669510527E-4</v>
      </c>
      <c r="K2088" s="518">
        <v>1.7881587209435377E-5</v>
      </c>
      <c r="L2088" s="519">
        <v>1.8690113234677988E-5</v>
      </c>
    </row>
    <row r="2089" spans="1:12" ht="15.5" x14ac:dyDescent="0.35">
      <c r="A2089" s="143" t="s">
        <v>989</v>
      </c>
      <c r="B2089" s="229">
        <v>2043</v>
      </c>
      <c r="C2089" s="514" t="s">
        <v>2917</v>
      </c>
      <c r="D2089" s="515">
        <v>2.4661527178936635E-2</v>
      </c>
      <c r="E2089" s="516">
        <v>2.2261062001788729E-3</v>
      </c>
      <c r="F2089" s="145">
        <v>1.7791201110179705E-2</v>
      </c>
      <c r="G2089" s="145">
        <v>5.4743909943964222E-4</v>
      </c>
      <c r="H2089" s="517">
        <v>2.0000005732018805E-3</v>
      </c>
      <c r="I2089" s="517">
        <v>1.5750004513964799E-2</v>
      </c>
      <c r="J2089" s="148">
        <v>5.9464573909373498E-4</v>
      </c>
      <c r="K2089" s="518">
        <v>1.7562677448375309E-5</v>
      </c>
      <c r="L2089" s="519">
        <v>1.8356783789363888E-5</v>
      </c>
    </row>
    <row r="2090" spans="1:12" ht="15.5" x14ac:dyDescent="0.35">
      <c r="A2090" s="143" t="s">
        <v>989</v>
      </c>
      <c r="B2090" s="229">
        <v>2044</v>
      </c>
      <c r="C2090" s="514" t="s">
        <v>2918</v>
      </c>
      <c r="D2090" s="515">
        <v>2.4601694880685344E-2</v>
      </c>
      <c r="E2090" s="516">
        <v>2.1651462112928111E-3</v>
      </c>
      <c r="F2090" s="145">
        <v>1.7618900984829995E-2</v>
      </c>
      <c r="G2090" s="145">
        <v>5.372119613622872E-4</v>
      </c>
      <c r="H2090" s="517">
        <v>2.0000005732018805E-3</v>
      </c>
      <c r="I2090" s="517">
        <v>1.5750004513964799E-2</v>
      </c>
      <c r="J2090" s="148">
        <v>5.8353382617501676E-4</v>
      </c>
      <c r="K2090" s="518">
        <v>1.7302318820925865E-5</v>
      </c>
      <c r="L2090" s="519">
        <v>1.8084652900105472E-5</v>
      </c>
    </row>
    <row r="2091" spans="1:12" ht="15.5" x14ac:dyDescent="0.35">
      <c r="A2091" s="143" t="s">
        <v>989</v>
      </c>
      <c r="B2091" s="229">
        <v>2045</v>
      </c>
      <c r="C2091" s="514" t="s">
        <v>2919</v>
      </c>
      <c r="D2091" s="515">
        <v>2.4551121309409781E-2</v>
      </c>
      <c r="E2091" s="516">
        <v>2.124271348988425E-3</v>
      </c>
      <c r="F2091" s="145">
        <v>1.7503016667657939E-2</v>
      </c>
      <c r="G2091" s="145">
        <v>5.2871167061905948E-4</v>
      </c>
      <c r="H2091" s="517">
        <v>2.0000005732018797E-3</v>
      </c>
      <c r="I2091" s="517">
        <v>1.5750004513964799E-2</v>
      </c>
      <c r="J2091" s="148">
        <v>5.7429757400059638E-4</v>
      </c>
      <c r="K2091" s="518">
        <v>1.7099618046443332E-5</v>
      </c>
      <c r="L2091" s="519">
        <v>1.7872786896072216E-5</v>
      </c>
    </row>
    <row r="2092" spans="1:12" ht="15.5" x14ac:dyDescent="0.35">
      <c r="A2092" s="143" t="s">
        <v>989</v>
      </c>
      <c r="B2092" s="229">
        <v>2046</v>
      </c>
      <c r="C2092" s="514" t="s">
        <v>2920</v>
      </c>
      <c r="D2092" s="515">
        <v>2.4509865596380506E-2</v>
      </c>
      <c r="E2092" s="516">
        <v>2.0890527657369605E-3</v>
      </c>
      <c r="F2092" s="145">
        <v>1.740716366912191E-2</v>
      </c>
      <c r="G2092" s="145">
        <v>5.2174198373013841E-4</v>
      </c>
      <c r="H2092" s="517">
        <v>2.0000005732018801E-3</v>
      </c>
      <c r="I2092" s="517">
        <v>1.5750004513964796E-2</v>
      </c>
      <c r="J2092" s="148">
        <v>5.66724082512817E-4</v>
      </c>
      <c r="K2092" s="518">
        <v>1.6942005837627502E-5</v>
      </c>
      <c r="L2092" s="519">
        <v>1.7708048162567546E-5</v>
      </c>
    </row>
    <row r="2093" spans="1:12" ht="15.5" x14ac:dyDescent="0.35">
      <c r="A2093" s="143" t="s">
        <v>989</v>
      </c>
      <c r="B2093" s="229">
        <v>2047</v>
      </c>
      <c r="C2093" s="514" t="s">
        <v>2921</v>
      </c>
      <c r="D2093" s="515">
        <v>2.4476837600941926E-2</v>
      </c>
      <c r="E2093" s="516">
        <v>2.0567618051196739E-3</v>
      </c>
      <c r="F2093" s="145">
        <v>1.7312032092166339E-2</v>
      </c>
      <c r="G2093" s="145">
        <v>5.1600625578747839E-4</v>
      </c>
      <c r="H2093" s="517">
        <v>2.0000005732018801E-3</v>
      </c>
      <c r="I2093" s="517">
        <v>1.5750004513964799E-2</v>
      </c>
      <c r="J2093" s="148">
        <v>5.6049149442826567E-4</v>
      </c>
      <c r="K2093" s="518">
        <v>1.6811284958239987E-5</v>
      </c>
      <c r="L2093" s="519">
        <v>1.7571416665079451E-5</v>
      </c>
    </row>
    <row r="2094" spans="1:12" ht="15.5" x14ac:dyDescent="0.35">
      <c r="A2094" s="143" t="s">
        <v>989</v>
      </c>
      <c r="B2094" s="229">
        <v>2048</v>
      </c>
      <c r="C2094" s="514" t="s">
        <v>2922</v>
      </c>
      <c r="D2094" s="515">
        <v>2.4450231240525151E-2</v>
      </c>
      <c r="E2094" s="516">
        <v>2.0297472444610943E-3</v>
      </c>
      <c r="F2094" s="145">
        <v>1.722836544450328E-2</v>
      </c>
      <c r="G2094" s="145">
        <v>5.1129086861264174E-4</v>
      </c>
      <c r="H2094" s="517">
        <v>2.0000005732018801E-3</v>
      </c>
      <c r="I2094" s="517">
        <v>1.5750004513964799E-2</v>
      </c>
      <c r="J2094" s="148">
        <v>5.5536773946205297E-4</v>
      </c>
      <c r="K2094" s="518">
        <v>1.670134400473843E-5</v>
      </c>
      <c r="L2094" s="519">
        <v>1.7456504669516301E-5</v>
      </c>
    </row>
    <row r="2095" spans="1:12" ht="15.5" x14ac:dyDescent="0.35">
      <c r="A2095" s="143" t="s">
        <v>989</v>
      </c>
      <c r="B2095" s="229">
        <v>2049</v>
      </c>
      <c r="C2095" s="514" t="s">
        <v>2923</v>
      </c>
      <c r="D2095" s="515">
        <v>2.4428039660366708E-2</v>
      </c>
      <c r="E2095" s="516">
        <v>2.0200552661887249E-3</v>
      </c>
      <c r="F2095" s="145">
        <v>1.7234805220969446E-2</v>
      </c>
      <c r="G2095" s="145">
        <v>5.0829699913289609E-4</v>
      </c>
      <c r="H2095" s="517">
        <v>2.0000005732018797E-3</v>
      </c>
      <c r="I2095" s="517">
        <v>1.5750004513964796E-2</v>
      </c>
      <c r="J2095" s="148">
        <v>5.5211509912881599E-4</v>
      </c>
      <c r="K2095" s="518">
        <v>1.6619554416993459E-5</v>
      </c>
      <c r="L2095" s="519">
        <v>1.7371016919549421E-5</v>
      </c>
    </row>
    <row r="2096" spans="1:12" ht="15.5" x14ac:dyDescent="0.35">
      <c r="A2096" s="143" t="s">
        <v>989</v>
      </c>
      <c r="B2096" s="229">
        <v>2050</v>
      </c>
      <c r="C2096" s="514" t="s">
        <v>2924</v>
      </c>
      <c r="D2096" s="515">
        <v>2.4410381632361765E-2</v>
      </c>
      <c r="E2096" s="516">
        <v>2.0126402625666616E-3</v>
      </c>
      <c r="F2096" s="145">
        <v>1.7243997352866813E-2</v>
      </c>
      <c r="G2096" s="145">
        <v>5.0589791514042757E-4</v>
      </c>
      <c r="H2096" s="517">
        <v>2.0000005732018788E-3</v>
      </c>
      <c r="I2096" s="517">
        <v>1.5750004513964799E-2</v>
      </c>
      <c r="J2096" s="148">
        <v>5.4950899452609883E-4</v>
      </c>
      <c r="K2096" s="518">
        <v>1.6545971320706651E-5</v>
      </c>
      <c r="L2096" s="519">
        <v>1.729410672216866E-5</v>
      </c>
    </row>
    <row r="2097" spans="1:12" ht="15.5" x14ac:dyDescent="0.35">
      <c r="A2097" s="143" t="s">
        <v>992</v>
      </c>
      <c r="B2097" s="229">
        <v>2015</v>
      </c>
      <c r="C2097" s="514" t="s">
        <v>993</v>
      </c>
      <c r="D2097" s="515">
        <v>4.5261570737754095E-2</v>
      </c>
      <c r="E2097" s="516">
        <v>4.3729125037586337E-2</v>
      </c>
      <c r="F2097" s="145">
        <v>0.17663293576332481</v>
      </c>
      <c r="G2097" s="145">
        <v>1.6612325318122385E-3</v>
      </c>
      <c r="H2097" s="517">
        <v>2.0000005732018805E-3</v>
      </c>
      <c r="I2097" s="517">
        <v>1.5750004513964799E-2</v>
      </c>
      <c r="J2097" s="148">
        <v>1.7966110729751808E-3</v>
      </c>
      <c r="K2097" s="518">
        <v>1.6858798463170933E-4</v>
      </c>
      <c r="L2097" s="519">
        <v>1.7621078519865303E-4</v>
      </c>
    </row>
    <row r="2098" spans="1:12" ht="15.5" x14ac:dyDescent="0.35">
      <c r="A2098" s="143" t="s">
        <v>992</v>
      </c>
      <c r="B2098" s="229">
        <v>2016</v>
      </c>
      <c r="C2098" s="514" t="s">
        <v>994</v>
      </c>
      <c r="D2098" s="515">
        <v>4.4441884003429022E-2</v>
      </c>
      <c r="E2098" s="516">
        <v>3.5788740001263204E-2</v>
      </c>
      <c r="F2098" s="145">
        <v>0.14858152713279657</v>
      </c>
      <c r="G2098" s="145">
        <v>1.5655279565538784E-3</v>
      </c>
      <c r="H2098" s="517">
        <v>2.0000005732018801E-3</v>
      </c>
      <c r="I2098" s="517">
        <v>1.5750004513964799E-2</v>
      </c>
      <c r="J2098" s="148">
        <v>1.6944383760478016E-3</v>
      </c>
      <c r="K2098" s="518">
        <v>1.4583262000748015E-4</v>
      </c>
      <c r="L2098" s="519">
        <v>1.5242652396155112E-4</v>
      </c>
    </row>
    <row r="2099" spans="1:12" ht="15.5" x14ac:dyDescent="0.35">
      <c r="A2099" s="143" t="s">
        <v>992</v>
      </c>
      <c r="B2099" s="229">
        <v>2017</v>
      </c>
      <c r="C2099" s="514" t="s">
        <v>2925</v>
      </c>
      <c r="D2099" s="515">
        <v>4.3401623333680507E-2</v>
      </c>
      <c r="E2099" s="516">
        <v>2.9389876528208615E-2</v>
      </c>
      <c r="F2099" s="145">
        <v>0.12572947276103894</v>
      </c>
      <c r="G2099" s="145">
        <v>1.5287102928756833E-3</v>
      </c>
      <c r="H2099" s="517">
        <v>2.0000005732018801E-3</v>
      </c>
      <c r="I2099" s="517">
        <v>1.5750004513964799E-2</v>
      </c>
      <c r="J2099" s="148">
        <v>1.6557586383302333E-3</v>
      </c>
      <c r="K2099" s="518">
        <v>1.3128880873634582E-4</v>
      </c>
      <c r="L2099" s="519">
        <v>1.3722510608194335E-4</v>
      </c>
    </row>
    <row r="2100" spans="1:12" ht="15.5" x14ac:dyDescent="0.35">
      <c r="A2100" s="143" t="s">
        <v>992</v>
      </c>
      <c r="B2100" s="229">
        <v>2018</v>
      </c>
      <c r="C2100" s="514" t="s">
        <v>2926</v>
      </c>
      <c r="D2100" s="515">
        <v>4.2308017997280956E-2</v>
      </c>
      <c r="E2100" s="516">
        <v>2.4089817320735799E-2</v>
      </c>
      <c r="F2100" s="145">
        <v>0.10628475018688373</v>
      </c>
      <c r="G2100" s="145">
        <v>1.5230146577407721E-3</v>
      </c>
      <c r="H2100" s="517">
        <v>2.0000005732018805E-3</v>
      </c>
      <c r="I2100" s="517">
        <v>1.5750004513964799E-2</v>
      </c>
      <c r="J2100" s="148">
        <v>1.6506317042306925E-3</v>
      </c>
      <c r="K2100" s="518">
        <v>1.1904838874454268E-4</v>
      </c>
      <c r="L2100" s="519">
        <v>1.2443122861416944E-4</v>
      </c>
    </row>
    <row r="2101" spans="1:12" ht="15.5" x14ac:dyDescent="0.35">
      <c r="A2101" s="143" t="s">
        <v>992</v>
      </c>
      <c r="B2101" s="229">
        <v>2019</v>
      </c>
      <c r="C2101" s="514" t="s">
        <v>2927</v>
      </c>
      <c r="D2101" s="515">
        <v>4.1178108118524515E-2</v>
      </c>
      <c r="E2101" s="516">
        <v>1.954170115111609E-2</v>
      </c>
      <c r="F2101" s="145">
        <v>8.9825692414296957E-2</v>
      </c>
      <c r="G2101" s="145">
        <v>1.5114963118228234E-3</v>
      </c>
      <c r="H2101" s="517">
        <v>2.0000005732018801E-3</v>
      </c>
      <c r="I2101" s="517">
        <v>1.5750004513964803E-2</v>
      </c>
      <c r="J2101" s="148">
        <v>1.6389731039720148E-3</v>
      </c>
      <c r="K2101" s="518">
        <v>1.0793483674873183E-4</v>
      </c>
      <c r="L2101" s="519">
        <v>1.1281517111276477E-4</v>
      </c>
    </row>
    <row r="2102" spans="1:12" ht="15.5" x14ac:dyDescent="0.35">
      <c r="A2102" s="143" t="s">
        <v>992</v>
      </c>
      <c r="B2102" s="229">
        <v>2020</v>
      </c>
      <c r="C2102" s="514" t="s">
        <v>2928</v>
      </c>
      <c r="D2102" s="515">
        <v>4.0025487091471586E-2</v>
      </c>
      <c r="E2102" s="516">
        <v>1.6304610792078719E-2</v>
      </c>
      <c r="F2102" s="145">
        <v>7.6499958866353801E-2</v>
      </c>
      <c r="G2102" s="145">
        <v>1.4839274047102012E-3</v>
      </c>
      <c r="H2102" s="517">
        <v>2.0000005732018801E-3</v>
      </c>
      <c r="I2102" s="517">
        <v>1.5750004513964799E-2</v>
      </c>
      <c r="J2102" s="148">
        <v>1.6095129143068746E-3</v>
      </c>
      <c r="K2102" s="518">
        <v>9.8965927732871318E-5</v>
      </c>
      <c r="L2102" s="519">
        <v>1.0344072783015152E-4</v>
      </c>
    </row>
    <row r="2103" spans="1:12" ht="15.5" x14ac:dyDescent="0.35">
      <c r="A2103" s="143" t="s">
        <v>992</v>
      </c>
      <c r="B2103" s="229">
        <v>2021</v>
      </c>
      <c r="C2103" s="514" t="s">
        <v>2929</v>
      </c>
      <c r="D2103" s="515">
        <v>3.8957576200193335E-2</v>
      </c>
      <c r="E2103" s="516">
        <v>1.3809059208034231E-2</v>
      </c>
      <c r="F2103" s="145">
        <v>6.5536895136817708E-2</v>
      </c>
      <c r="G2103" s="145">
        <v>1.4168026917419387E-3</v>
      </c>
      <c r="H2103" s="517">
        <v>2.0000005732018801E-3</v>
      </c>
      <c r="I2103" s="517">
        <v>1.5750004513964799E-2</v>
      </c>
      <c r="J2103" s="148">
        <v>1.5369964091326556E-3</v>
      </c>
      <c r="K2103" s="518">
        <v>8.9204672820805439E-5</v>
      </c>
      <c r="L2103" s="519">
        <v>9.3238112285889155E-5</v>
      </c>
    </row>
    <row r="2104" spans="1:12" ht="15.5" x14ac:dyDescent="0.35">
      <c r="A2104" s="143" t="s">
        <v>992</v>
      </c>
      <c r="B2104" s="229">
        <v>2022</v>
      </c>
      <c r="C2104" s="514" t="s">
        <v>2930</v>
      </c>
      <c r="D2104" s="515">
        <v>3.7800653105665952E-2</v>
      </c>
      <c r="E2104" s="516">
        <v>1.1649161431288337E-2</v>
      </c>
      <c r="F2104" s="145">
        <v>5.6423941758158992E-2</v>
      </c>
      <c r="G2104" s="145">
        <v>1.3475984566667914E-3</v>
      </c>
      <c r="H2104" s="517">
        <v>2.0000005732018801E-3</v>
      </c>
      <c r="I2104" s="517">
        <v>1.5750004513964796E-2</v>
      </c>
      <c r="J2104" s="148">
        <v>1.4621848373819993E-3</v>
      </c>
      <c r="K2104" s="518">
        <v>8.0600608051950581E-5</v>
      </c>
      <c r="L2104" s="519">
        <v>8.4245009888158615E-5</v>
      </c>
    </row>
    <row r="2105" spans="1:12" ht="15.5" x14ac:dyDescent="0.35">
      <c r="A2105" s="143" t="s">
        <v>992</v>
      </c>
      <c r="B2105" s="229">
        <v>2023</v>
      </c>
      <c r="C2105" s="514" t="s">
        <v>2931</v>
      </c>
      <c r="D2105" s="515">
        <v>3.6653691519165407E-2</v>
      </c>
      <c r="E2105" s="516">
        <v>1.0052203700024666E-2</v>
      </c>
      <c r="F2105" s="145">
        <v>4.9133878877934356E-2</v>
      </c>
      <c r="G2105" s="145">
        <v>1.2844689450656767E-3</v>
      </c>
      <c r="H2105" s="517">
        <v>2.0000005732018797E-3</v>
      </c>
      <c r="I2105" s="517">
        <v>1.5750004513964799E-2</v>
      </c>
      <c r="J2105" s="148">
        <v>1.393856352921795E-3</v>
      </c>
      <c r="K2105" s="518">
        <v>7.3146590141599671E-5</v>
      </c>
      <c r="L2105" s="519">
        <v>7.6453954364616233E-5</v>
      </c>
    </row>
    <row r="2106" spans="1:12" ht="15.5" x14ac:dyDescent="0.35">
      <c r="A2106" s="143" t="s">
        <v>992</v>
      </c>
      <c r="B2106" s="229">
        <v>2024</v>
      </c>
      <c r="C2106" s="514" t="s">
        <v>2932</v>
      </c>
      <c r="D2106" s="515">
        <v>3.5523881604787817E-2</v>
      </c>
      <c r="E2106" s="516">
        <v>8.712078505231655E-3</v>
      </c>
      <c r="F2106" s="145">
        <v>4.3125213457483907E-2</v>
      </c>
      <c r="G2106" s="145">
        <v>1.2257290032707687E-3</v>
      </c>
      <c r="H2106" s="517">
        <v>2.0000005732018805E-3</v>
      </c>
      <c r="I2106" s="517">
        <v>1.5750004513964803E-2</v>
      </c>
      <c r="J2106" s="148">
        <v>1.3303487201149907E-3</v>
      </c>
      <c r="K2106" s="518">
        <v>6.4573068779781695E-5</v>
      </c>
      <c r="L2106" s="519">
        <v>6.7492776411254431E-5</v>
      </c>
    </row>
    <row r="2107" spans="1:12" ht="15.5" x14ac:dyDescent="0.35">
      <c r="A2107" s="143" t="s">
        <v>992</v>
      </c>
      <c r="B2107" s="229">
        <v>2025</v>
      </c>
      <c r="C2107" s="514" t="s">
        <v>2933</v>
      </c>
      <c r="D2107" s="515">
        <v>3.441231628145669E-2</v>
      </c>
      <c r="E2107" s="516">
        <v>7.6016552350741361E-3</v>
      </c>
      <c r="F2107" s="145">
        <v>3.8260330932873857E-2</v>
      </c>
      <c r="G2107" s="145">
        <v>1.1759459958155343E-3</v>
      </c>
      <c r="H2107" s="517">
        <v>2.0000005732018805E-3</v>
      </c>
      <c r="I2107" s="517">
        <v>1.5750004513964799E-2</v>
      </c>
      <c r="J2107" s="148">
        <v>1.2764796374287784E-3</v>
      </c>
      <c r="K2107" s="518">
        <v>5.8249944980060732E-5</v>
      </c>
      <c r="L2107" s="519">
        <v>6.0883749011756467E-5</v>
      </c>
    </row>
    <row r="2108" spans="1:12" ht="15.5" x14ac:dyDescent="0.35">
      <c r="A2108" s="143" t="s">
        <v>992</v>
      </c>
      <c r="B2108" s="229">
        <v>2026</v>
      </c>
      <c r="C2108" s="514" t="s">
        <v>2934</v>
      </c>
      <c r="D2108" s="515">
        <v>3.3386427628274915E-2</v>
      </c>
      <c r="E2108" s="516">
        <v>6.6984541757450968E-3</v>
      </c>
      <c r="F2108" s="145">
        <v>3.4392282525539983E-2</v>
      </c>
      <c r="G2108" s="145">
        <v>1.1243507115661845E-3</v>
      </c>
      <c r="H2108" s="517">
        <v>2.0000005732018801E-3</v>
      </c>
      <c r="I2108" s="517">
        <v>1.5750004513964796E-2</v>
      </c>
      <c r="J2108" s="148">
        <v>1.2206125545965655E-3</v>
      </c>
      <c r="K2108" s="518">
        <v>5.2419607281115952E-5</v>
      </c>
      <c r="L2108" s="519">
        <v>5.4789789313805702E-5</v>
      </c>
    </row>
    <row r="2109" spans="1:12" ht="15.5" x14ac:dyDescent="0.35">
      <c r="A2109" s="143" t="s">
        <v>992</v>
      </c>
      <c r="B2109" s="229">
        <v>2027</v>
      </c>
      <c r="C2109" s="514" t="s">
        <v>2935</v>
      </c>
      <c r="D2109" s="515">
        <v>3.2435269455174963E-2</v>
      </c>
      <c r="E2109" s="516">
        <v>5.9479443048152088E-3</v>
      </c>
      <c r="F2109" s="145">
        <v>3.1234689872614328E-2</v>
      </c>
      <c r="G2109" s="145">
        <v>1.0635577697420608E-3</v>
      </c>
      <c r="H2109" s="517">
        <v>2.0000005732018801E-3</v>
      </c>
      <c r="I2109" s="517">
        <v>1.5750004513964799E-2</v>
      </c>
      <c r="J2109" s="148">
        <v>1.1548184574135985E-3</v>
      </c>
      <c r="K2109" s="518">
        <v>4.4781752152547328E-5</v>
      </c>
      <c r="L2109" s="519">
        <v>4.6806584268803463E-5</v>
      </c>
    </row>
    <row r="2110" spans="1:12" ht="15.5" x14ac:dyDescent="0.35">
      <c r="A2110" s="143" t="s">
        <v>992</v>
      </c>
      <c r="B2110" s="229">
        <v>2028</v>
      </c>
      <c r="C2110" s="514" t="s">
        <v>2936</v>
      </c>
      <c r="D2110" s="515">
        <v>3.1566425188454504E-2</v>
      </c>
      <c r="E2110" s="516">
        <v>5.3269292482877326E-3</v>
      </c>
      <c r="F2110" s="145">
        <v>2.8682172976822892E-2</v>
      </c>
      <c r="G2110" s="145">
        <v>9.9675386368726121E-4</v>
      </c>
      <c r="H2110" s="517">
        <v>2.0000005732018801E-3</v>
      </c>
      <c r="I2110" s="517">
        <v>1.5750004513964799E-2</v>
      </c>
      <c r="J2110" s="148">
        <v>1.0824312084756163E-3</v>
      </c>
      <c r="K2110" s="518">
        <v>3.8455147972843367E-5</v>
      </c>
      <c r="L2110" s="519">
        <v>4.0193919121983532E-5</v>
      </c>
    </row>
    <row r="2111" spans="1:12" ht="15.5" x14ac:dyDescent="0.35">
      <c r="A2111" s="143" t="s">
        <v>992</v>
      </c>
      <c r="B2111" s="229">
        <v>2029</v>
      </c>
      <c r="C2111" s="514" t="s">
        <v>2937</v>
      </c>
      <c r="D2111" s="515">
        <v>3.0774346427656512E-2</v>
      </c>
      <c r="E2111" s="516">
        <v>4.792631685969116E-3</v>
      </c>
      <c r="F2111" s="145">
        <v>2.6558537089159319E-2</v>
      </c>
      <c r="G2111" s="145">
        <v>9.3229940199351989E-4</v>
      </c>
      <c r="H2111" s="517">
        <v>2.0000005732018805E-3</v>
      </c>
      <c r="I2111" s="517">
        <v>1.5750004513964803E-2</v>
      </c>
      <c r="J2111" s="148">
        <v>1.0125338430005484E-3</v>
      </c>
      <c r="K2111" s="518">
        <v>3.3670740819996481E-5</v>
      </c>
      <c r="L2111" s="519">
        <v>3.5193182308177161E-5</v>
      </c>
    </row>
    <row r="2112" spans="1:12" ht="15.5" x14ac:dyDescent="0.35">
      <c r="A2112" s="143" t="s">
        <v>992</v>
      </c>
      <c r="B2112" s="229">
        <v>2030</v>
      </c>
      <c r="C2112" s="514" t="s">
        <v>2938</v>
      </c>
      <c r="D2112" s="515">
        <v>3.0060749732118398E-2</v>
      </c>
      <c r="E2112" s="516">
        <v>4.3493391242595937E-3</v>
      </c>
      <c r="F2112" s="145">
        <v>2.4845333666812811E-2</v>
      </c>
      <c r="G2112" s="145">
        <v>8.7233751872293824E-4</v>
      </c>
      <c r="H2112" s="517">
        <v>2.0000005732018801E-3</v>
      </c>
      <c r="I2112" s="517">
        <v>1.5750004513964803E-2</v>
      </c>
      <c r="J2112" s="148">
        <v>9.4747253398401346E-4</v>
      </c>
      <c r="K2112" s="518">
        <v>3.0067022341312626E-5</v>
      </c>
      <c r="L2112" s="519">
        <v>3.1426519671151157E-5</v>
      </c>
    </row>
    <row r="2113" spans="1:12" ht="15.5" x14ac:dyDescent="0.35">
      <c r="A2113" s="143" t="s">
        <v>992</v>
      </c>
      <c r="B2113" s="229">
        <v>2031</v>
      </c>
      <c r="C2113" s="514" t="s">
        <v>2939</v>
      </c>
      <c r="D2113" s="515">
        <v>2.941787010965476E-2</v>
      </c>
      <c r="E2113" s="516">
        <v>3.9673233489325391E-3</v>
      </c>
      <c r="F2113" s="145">
        <v>2.3423395339685047E-2</v>
      </c>
      <c r="G2113" s="145">
        <v>8.1741923830338289E-4</v>
      </c>
      <c r="H2113" s="517">
        <v>2.0000005732018801E-3</v>
      </c>
      <c r="I2113" s="517">
        <v>1.5750004513964799E-2</v>
      </c>
      <c r="J2113" s="148">
        <v>8.8783280852035512E-4</v>
      </c>
      <c r="K2113" s="518">
        <v>2.7968760126716142E-5</v>
      </c>
      <c r="L2113" s="519">
        <v>2.9233383350111284E-5</v>
      </c>
    </row>
    <row r="2114" spans="1:12" ht="15.5" x14ac:dyDescent="0.35">
      <c r="A2114" s="143" t="s">
        <v>992</v>
      </c>
      <c r="B2114" s="229">
        <v>2032</v>
      </c>
      <c r="C2114" s="514" t="s">
        <v>2940</v>
      </c>
      <c r="D2114" s="515">
        <v>2.8843971777566854E-2</v>
      </c>
      <c r="E2114" s="516">
        <v>3.6403897912802132E-3</v>
      </c>
      <c r="F2114" s="145">
        <v>2.2273336738494937E-2</v>
      </c>
      <c r="G2114" s="145">
        <v>7.6632045208568521E-4</v>
      </c>
      <c r="H2114" s="517">
        <v>2.0000005732018805E-3</v>
      </c>
      <c r="I2114" s="517">
        <v>1.5750004513964803E-2</v>
      </c>
      <c r="J2114" s="148">
        <v>8.3235931867037987E-4</v>
      </c>
      <c r="K2114" s="518">
        <v>2.558289956199996E-5</v>
      </c>
      <c r="L2114" s="519">
        <v>2.6739644757758118E-5</v>
      </c>
    </row>
    <row r="2115" spans="1:12" ht="15.5" x14ac:dyDescent="0.35">
      <c r="A2115" s="143" t="s">
        <v>992</v>
      </c>
      <c r="B2115" s="229">
        <v>2033</v>
      </c>
      <c r="C2115" s="514" t="s">
        <v>2941</v>
      </c>
      <c r="D2115" s="515">
        <v>2.8334880959080228E-2</v>
      </c>
      <c r="E2115" s="516">
        <v>3.3610021533852629E-3</v>
      </c>
      <c r="F2115" s="145">
        <v>2.1341114029471562E-2</v>
      </c>
      <c r="G2115" s="145">
        <v>7.2021608325562557E-4</v>
      </c>
      <c r="H2115" s="517">
        <v>2.0000005732018805E-3</v>
      </c>
      <c r="I2115" s="517">
        <v>1.5750004513964799E-2</v>
      </c>
      <c r="J2115" s="148">
        <v>7.8228415581603787E-4</v>
      </c>
      <c r="K2115" s="518">
        <v>2.3988946284152461E-5</v>
      </c>
      <c r="L2115" s="519">
        <v>2.5073619985749262E-5</v>
      </c>
    </row>
    <row r="2116" spans="1:12" ht="15.5" x14ac:dyDescent="0.35">
      <c r="A2116" s="143" t="s">
        <v>992</v>
      </c>
      <c r="B2116" s="229">
        <v>2034</v>
      </c>
      <c r="C2116" s="514" t="s">
        <v>2942</v>
      </c>
      <c r="D2116" s="515">
        <v>2.7881982598669568E-2</v>
      </c>
      <c r="E2116" s="516">
        <v>3.1144257214773259E-3</v>
      </c>
      <c r="F2116" s="145">
        <v>2.0568035652187032E-2</v>
      </c>
      <c r="G2116" s="145">
        <v>6.7830343457818073E-4</v>
      </c>
      <c r="H2116" s="517">
        <v>2.0000005732018801E-3</v>
      </c>
      <c r="I2116" s="517">
        <v>1.5750004513964799E-2</v>
      </c>
      <c r="J2116" s="148">
        <v>7.3676022683394652E-4</v>
      </c>
      <c r="K2116" s="518">
        <v>2.2575385397433303E-5</v>
      </c>
      <c r="L2116" s="519">
        <v>2.3596144148316204E-5</v>
      </c>
    </row>
    <row r="2117" spans="1:12" ht="15.5" x14ac:dyDescent="0.35">
      <c r="A2117" s="143" t="s">
        <v>992</v>
      </c>
      <c r="B2117" s="229">
        <v>2035</v>
      </c>
      <c r="C2117" s="514" t="s">
        <v>2943</v>
      </c>
      <c r="D2117" s="515">
        <v>2.7483208041432183E-2</v>
      </c>
      <c r="E2117" s="516">
        <v>2.8969217707506788E-3</v>
      </c>
      <c r="F2117" s="145">
        <v>1.992633396580739E-2</v>
      </c>
      <c r="G2117" s="145">
        <v>6.4045994349031465E-4</v>
      </c>
      <c r="H2117" s="517">
        <v>2.0000005732018801E-3</v>
      </c>
      <c r="I2117" s="517">
        <v>1.5750004513964799E-2</v>
      </c>
      <c r="J2117" s="148">
        <v>6.956554283571116E-4</v>
      </c>
      <c r="K2117" s="518">
        <v>2.1314026131325181E-5</v>
      </c>
      <c r="L2117" s="519">
        <v>2.2277751813393601E-5</v>
      </c>
    </row>
    <row r="2118" spans="1:12" ht="15.5" x14ac:dyDescent="0.35">
      <c r="A2118" s="143" t="s">
        <v>992</v>
      </c>
      <c r="B2118" s="229">
        <v>2036</v>
      </c>
      <c r="C2118" s="514" t="s">
        <v>2944</v>
      </c>
      <c r="D2118" s="515">
        <v>2.7134216934054534E-2</v>
      </c>
      <c r="E2118" s="516">
        <v>2.7098200658783318E-3</v>
      </c>
      <c r="F2118" s="145">
        <v>1.94103517535534E-2</v>
      </c>
      <c r="G2118" s="145">
        <v>6.0744216651612503E-4</v>
      </c>
      <c r="H2118" s="517">
        <v>2.0000005732018801E-3</v>
      </c>
      <c r="I2118" s="517">
        <v>1.5750004513964799E-2</v>
      </c>
      <c r="J2118" s="148">
        <v>6.5979528103673817E-4</v>
      </c>
      <c r="K2118" s="518">
        <v>2.0141237590093842E-5</v>
      </c>
      <c r="L2118" s="519">
        <v>2.1051934978499722E-5</v>
      </c>
    </row>
    <row r="2119" spans="1:12" ht="15.5" x14ac:dyDescent="0.35">
      <c r="A2119" s="143" t="s">
        <v>992</v>
      </c>
      <c r="B2119" s="229">
        <v>2037</v>
      </c>
      <c r="C2119" s="514" t="s">
        <v>2945</v>
      </c>
      <c r="D2119" s="515">
        <v>2.68319166499063E-2</v>
      </c>
      <c r="E2119" s="516">
        <v>2.5500004595984784E-3</v>
      </c>
      <c r="F2119" s="145">
        <v>1.8991182893373679E-2</v>
      </c>
      <c r="G2119" s="145">
        <v>5.7852146696265564E-4</v>
      </c>
      <c r="H2119" s="517">
        <v>2.0000005732018801E-3</v>
      </c>
      <c r="I2119" s="517">
        <v>1.5750004513964799E-2</v>
      </c>
      <c r="J2119" s="148">
        <v>6.2838086425399617E-4</v>
      </c>
      <c r="K2119" s="518">
        <v>1.9209506625780833E-5</v>
      </c>
      <c r="L2119" s="519">
        <v>2.0078075274475424E-5</v>
      </c>
    </row>
    <row r="2120" spans="1:12" ht="15.5" x14ac:dyDescent="0.35">
      <c r="A2120" s="143" t="s">
        <v>992</v>
      </c>
      <c r="B2120" s="229">
        <v>2038</v>
      </c>
      <c r="C2120" s="514" t="s">
        <v>2946</v>
      </c>
      <c r="D2120" s="515">
        <v>2.6571221907747231E-2</v>
      </c>
      <c r="E2120" s="516">
        <v>2.4071929169299359E-3</v>
      </c>
      <c r="F2120" s="145">
        <v>1.8618466562910354E-2</v>
      </c>
      <c r="G2120" s="145">
        <v>5.5321916463161561E-4</v>
      </c>
      <c r="H2120" s="517">
        <v>2.0000005732018801E-3</v>
      </c>
      <c r="I2120" s="517">
        <v>1.5750004513964799E-2</v>
      </c>
      <c r="J2120" s="148">
        <v>6.0089478951215946E-4</v>
      </c>
      <c r="K2120" s="518">
        <v>1.8442848752874434E-5</v>
      </c>
      <c r="L2120" s="519">
        <v>1.9276752534550106E-5</v>
      </c>
    </row>
    <row r="2121" spans="1:12" ht="15.5" x14ac:dyDescent="0.35">
      <c r="A2121" s="143" t="s">
        <v>992</v>
      </c>
      <c r="B2121" s="229">
        <v>2039</v>
      </c>
      <c r="C2121" s="514" t="s">
        <v>2947</v>
      </c>
      <c r="D2121" s="515">
        <v>2.6346945239874624E-2</v>
      </c>
      <c r="E2121" s="516">
        <v>2.2777884256824413E-3</v>
      </c>
      <c r="F2121" s="145">
        <v>1.8287647063999438E-2</v>
      </c>
      <c r="G2121" s="145">
        <v>5.3121014681533252E-4</v>
      </c>
      <c r="H2121" s="517">
        <v>2.0000005732018801E-3</v>
      </c>
      <c r="I2121" s="517">
        <v>1.5750004513964803E-2</v>
      </c>
      <c r="J2121" s="148">
        <v>5.7698486730144486E-4</v>
      </c>
      <c r="K2121" s="518">
        <v>1.7808220880710928E-5</v>
      </c>
      <c r="L2121" s="519">
        <v>1.861342960612688E-5</v>
      </c>
    </row>
    <row r="2122" spans="1:12" ht="15.5" x14ac:dyDescent="0.35">
      <c r="A2122" s="143" t="s">
        <v>992</v>
      </c>
      <c r="B2122" s="229">
        <v>2040</v>
      </c>
      <c r="C2122" s="514" t="s">
        <v>2948</v>
      </c>
      <c r="D2122" s="515">
        <v>2.6155013622059544E-2</v>
      </c>
      <c r="E2122" s="516">
        <v>2.1637998643395137E-3</v>
      </c>
      <c r="F2122" s="145">
        <v>1.8009358444875116E-2</v>
      </c>
      <c r="G2122" s="145">
        <v>5.1223206462469866E-4</v>
      </c>
      <c r="H2122" s="517">
        <v>2.0000005732018801E-3</v>
      </c>
      <c r="I2122" s="517">
        <v>1.5750004513964799E-2</v>
      </c>
      <c r="J2122" s="148">
        <v>5.5636779163404531E-4</v>
      </c>
      <c r="K2122" s="518">
        <v>1.7257898321024421E-5</v>
      </c>
      <c r="L2122" s="519">
        <v>1.8038223902311516E-5</v>
      </c>
    </row>
    <row r="2123" spans="1:12" ht="15.5" x14ac:dyDescent="0.35">
      <c r="A2123" s="143" t="s">
        <v>992</v>
      </c>
      <c r="B2123" s="229">
        <v>2041</v>
      </c>
      <c r="C2123" s="514" t="s">
        <v>2949</v>
      </c>
      <c r="D2123" s="515">
        <v>2.5992451610701552E-2</v>
      </c>
      <c r="E2123" s="516">
        <v>2.0726926645016834E-3</v>
      </c>
      <c r="F2123" s="145">
        <v>1.778568310703664E-2</v>
      </c>
      <c r="G2123" s="145">
        <v>4.9710053368088398E-4</v>
      </c>
      <c r="H2123" s="517">
        <v>2.0000005732018797E-3</v>
      </c>
      <c r="I2123" s="517">
        <v>1.5750004513964796E-2</v>
      </c>
      <c r="J2123" s="148">
        <v>5.3992928630729653E-4</v>
      </c>
      <c r="K2123" s="518">
        <v>1.6823328550782742E-5</v>
      </c>
      <c r="L2123" s="519">
        <v>1.7584004815434323E-5</v>
      </c>
    </row>
    <row r="2124" spans="1:12" ht="15.5" x14ac:dyDescent="0.35">
      <c r="A2124" s="143" t="s">
        <v>992</v>
      </c>
      <c r="B2124" s="229">
        <v>2042</v>
      </c>
      <c r="C2124" s="514" t="s">
        <v>2950</v>
      </c>
      <c r="D2124" s="515">
        <v>2.5852758919095862E-2</v>
      </c>
      <c r="E2124" s="516">
        <v>1.9955931277024679E-3</v>
      </c>
      <c r="F2124" s="145">
        <v>1.758279593034023E-2</v>
      </c>
      <c r="G2124" s="145">
        <v>4.8444955257271406E-4</v>
      </c>
      <c r="H2124" s="517">
        <v>2.0000005732018801E-3</v>
      </c>
      <c r="I2124" s="517">
        <v>1.5750004513964799E-2</v>
      </c>
      <c r="J2124" s="148">
        <v>5.2618497969014223E-4</v>
      </c>
      <c r="K2124" s="518">
        <v>1.64743164483676E-5</v>
      </c>
      <c r="L2124" s="519">
        <v>1.7219211934466242E-5</v>
      </c>
    </row>
    <row r="2125" spans="1:12" ht="15.5" x14ac:dyDescent="0.35">
      <c r="A2125" s="143" t="s">
        <v>992</v>
      </c>
      <c r="B2125" s="229">
        <v>2043</v>
      </c>
      <c r="C2125" s="514" t="s">
        <v>2951</v>
      </c>
      <c r="D2125" s="515">
        <v>2.5735019958138285E-2</v>
      </c>
      <c r="E2125" s="516">
        <v>1.9369062858326034E-3</v>
      </c>
      <c r="F2125" s="145">
        <v>1.743268222692225E-2</v>
      </c>
      <c r="G2125" s="145">
        <v>4.7397070333315082E-4</v>
      </c>
      <c r="H2125" s="517">
        <v>2.0000005732018801E-3</v>
      </c>
      <c r="I2125" s="517">
        <v>1.5750004513964799E-2</v>
      </c>
      <c r="J2125" s="148">
        <v>5.148001952908442E-4</v>
      </c>
      <c r="K2125" s="518">
        <v>1.6193017161015819E-5</v>
      </c>
      <c r="L2125" s="519">
        <v>1.6925193541587513E-5</v>
      </c>
    </row>
    <row r="2126" spans="1:12" ht="15.5" x14ac:dyDescent="0.35">
      <c r="A2126" s="143" t="s">
        <v>992</v>
      </c>
      <c r="B2126" s="229">
        <v>2044</v>
      </c>
      <c r="C2126" s="514" t="s">
        <v>2952</v>
      </c>
      <c r="D2126" s="515">
        <v>2.5635073435103291E-2</v>
      </c>
      <c r="E2126" s="516">
        <v>1.8923379092322182E-3</v>
      </c>
      <c r="F2126" s="145">
        <v>1.7311819148682479E-2</v>
      </c>
      <c r="G2126" s="145">
        <v>4.6532131495791249E-4</v>
      </c>
      <c r="H2126" s="517">
        <v>2.0000005732018801E-3</v>
      </c>
      <c r="I2126" s="517">
        <v>1.5750004513964799E-2</v>
      </c>
      <c r="J2126" s="148">
        <v>5.0540256528295332E-4</v>
      </c>
      <c r="K2126" s="518">
        <v>1.597192269536323E-5</v>
      </c>
      <c r="L2126" s="519">
        <v>1.6694102165290286E-5</v>
      </c>
    </row>
    <row r="2127" spans="1:12" ht="15.5" x14ac:dyDescent="0.35">
      <c r="A2127" s="143" t="s">
        <v>992</v>
      </c>
      <c r="B2127" s="229">
        <v>2045</v>
      </c>
      <c r="C2127" s="514" t="s">
        <v>2953</v>
      </c>
      <c r="D2127" s="515">
        <v>2.5547096231663933E-2</v>
      </c>
      <c r="E2127" s="516">
        <v>1.8621911558227722E-3</v>
      </c>
      <c r="F2127" s="145">
        <v>1.7234388684781311E-2</v>
      </c>
      <c r="G2127" s="145">
        <v>4.582107640464611E-4</v>
      </c>
      <c r="H2127" s="517">
        <v>2.0000005732018801E-3</v>
      </c>
      <c r="I2127" s="517">
        <v>1.5750004513964799E-2</v>
      </c>
      <c r="J2127" s="148">
        <v>4.9767663261641201E-4</v>
      </c>
      <c r="K2127" s="518">
        <v>1.5796345032607973E-5</v>
      </c>
      <c r="L2127" s="519">
        <v>1.6510585659739553E-5</v>
      </c>
    </row>
    <row r="2128" spans="1:12" ht="15.5" x14ac:dyDescent="0.35">
      <c r="A2128" s="143" t="s">
        <v>992</v>
      </c>
      <c r="B2128" s="229">
        <v>2046</v>
      </c>
      <c r="C2128" s="514" t="s">
        <v>2954</v>
      </c>
      <c r="D2128" s="515">
        <v>2.5471163646803869E-2</v>
      </c>
      <c r="E2128" s="516">
        <v>1.8364132621728601E-3</v>
      </c>
      <c r="F2128" s="145">
        <v>1.7170821610826066E-2</v>
      </c>
      <c r="G2128" s="145">
        <v>4.5240624975472377E-4</v>
      </c>
      <c r="H2128" s="517">
        <v>2.0000005732018797E-3</v>
      </c>
      <c r="I2128" s="517">
        <v>1.5750004513964796E-2</v>
      </c>
      <c r="J2128" s="148">
        <v>4.9136945147510412E-4</v>
      </c>
      <c r="K2128" s="518">
        <v>1.5660470867191679E-5</v>
      </c>
      <c r="L2128" s="519">
        <v>1.6368567867495824E-5</v>
      </c>
    </row>
    <row r="2129" spans="1:12" ht="15.5" x14ac:dyDescent="0.35">
      <c r="A2129" s="143" t="s">
        <v>992</v>
      </c>
      <c r="B2129" s="229">
        <v>2047</v>
      </c>
      <c r="C2129" s="514" t="s">
        <v>2955</v>
      </c>
      <c r="D2129" s="515">
        <v>2.5408416320695487E-2</v>
      </c>
      <c r="E2129" s="516">
        <v>1.8139149988987879E-3</v>
      </c>
      <c r="F2129" s="145">
        <v>1.7110272470876545E-2</v>
      </c>
      <c r="G2129" s="145">
        <v>4.476839143132089E-4</v>
      </c>
      <c r="H2129" s="517">
        <v>2.0000005732018797E-3</v>
      </c>
      <c r="I2129" s="517">
        <v>1.5750004513964799E-2</v>
      </c>
      <c r="J2129" s="148">
        <v>4.8623836142043107E-4</v>
      </c>
      <c r="K2129" s="518">
        <v>1.5545296120934998E-5</v>
      </c>
      <c r="L2129" s="519">
        <v>1.6248185430293791E-5</v>
      </c>
    </row>
    <row r="2130" spans="1:12" ht="15.5" x14ac:dyDescent="0.35">
      <c r="A2130" s="143" t="s">
        <v>992</v>
      </c>
      <c r="B2130" s="229">
        <v>2048</v>
      </c>
      <c r="C2130" s="514" t="s">
        <v>2956</v>
      </c>
      <c r="D2130" s="515">
        <v>2.5356230945525339E-2</v>
      </c>
      <c r="E2130" s="516">
        <v>1.7958209688215222E-3</v>
      </c>
      <c r="F2130" s="145">
        <v>1.7060120414794228E-2</v>
      </c>
      <c r="G2130" s="145">
        <v>4.4385846585600464E-4</v>
      </c>
      <c r="H2130" s="517">
        <v>2.0000005732018805E-3</v>
      </c>
      <c r="I2130" s="517">
        <v>1.5750004513964803E-2</v>
      </c>
      <c r="J2130" s="148">
        <v>4.8208202258502705E-4</v>
      </c>
      <c r="K2130" s="518">
        <v>1.544652722234919E-5</v>
      </c>
      <c r="L2130" s="519">
        <v>1.6144950640394427E-5</v>
      </c>
    </row>
    <row r="2131" spans="1:12" ht="15.5" x14ac:dyDescent="0.35">
      <c r="A2131" s="143" t="s">
        <v>992</v>
      </c>
      <c r="B2131" s="229">
        <v>2049</v>
      </c>
      <c r="C2131" s="514" t="s">
        <v>2957</v>
      </c>
      <c r="D2131" s="515">
        <v>2.5311231697957067E-2</v>
      </c>
      <c r="E2131" s="516">
        <v>1.7883734483682301E-3</v>
      </c>
      <c r="F2131" s="145">
        <v>1.7067378920964341E-2</v>
      </c>
      <c r="G2131" s="145">
        <v>4.4131164857881772E-4</v>
      </c>
      <c r="H2131" s="517">
        <v>2.0000005732018805E-3</v>
      </c>
      <c r="I2131" s="517">
        <v>1.5750004513964803E-2</v>
      </c>
      <c r="J2131" s="148">
        <v>4.7931489928466881E-4</v>
      </c>
      <c r="K2131" s="518">
        <v>1.5381091988455631E-5</v>
      </c>
      <c r="L2131" s="519">
        <v>1.6076556715588759E-5</v>
      </c>
    </row>
    <row r="2132" spans="1:12" ht="15.5" x14ac:dyDescent="0.35">
      <c r="A2132" s="143" t="s">
        <v>992</v>
      </c>
      <c r="B2132" s="229">
        <v>2050</v>
      </c>
      <c r="C2132" s="514" t="s">
        <v>2958</v>
      </c>
      <c r="D2132" s="515">
        <v>2.5275196169471926E-2</v>
      </c>
      <c r="E2132" s="516">
        <v>1.7824107174323289E-3</v>
      </c>
      <c r="F2132" s="145">
        <v>1.7074220673796148E-2</v>
      </c>
      <c r="G2132" s="145">
        <v>4.3930587603753876E-4</v>
      </c>
      <c r="H2132" s="517">
        <v>2.0000005732018801E-3</v>
      </c>
      <c r="I2132" s="517">
        <v>1.5750004513964799E-2</v>
      </c>
      <c r="J2132" s="148">
        <v>4.7713623368207566E-4</v>
      </c>
      <c r="K2132" s="518">
        <v>1.5315133292262558E-5</v>
      </c>
      <c r="L2132" s="519">
        <v>1.600761565984119E-5</v>
      </c>
    </row>
    <row r="2133" spans="1:12" ht="15.5" x14ac:dyDescent="0.35">
      <c r="A2133" s="143" t="s">
        <v>995</v>
      </c>
      <c r="B2133" s="229">
        <v>2015</v>
      </c>
      <c r="C2133" s="514" t="s">
        <v>996</v>
      </c>
      <c r="D2133" s="515">
        <v>4.6148092726537346E-2</v>
      </c>
      <c r="E2133" s="516">
        <v>6.8654692401963854E-2</v>
      </c>
      <c r="F2133" s="145">
        <v>0.27724371279434751</v>
      </c>
      <c r="G2133" s="145">
        <v>2.2066005999234022E-3</v>
      </c>
      <c r="H2133" s="517">
        <v>2.0000005732018805E-3</v>
      </c>
      <c r="I2133" s="517">
        <v>1.5750004513964799E-2</v>
      </c>
      <c r="J2133" s="148">
        <v>2.3869186837909995E-3</v>
      </c>
      <c r="K2133" s="518">
        <v>1.9713363446835139E-4</v>
      </c>
      <c r="L2133" s="519">
        <v>2.0604714265146291E-4</v>
      </c>
    </row>
    <row r="2134" spans="1:12" ht="15.5" x14ac:dyDescent="0.35">
      <c r="A2134" s="143" t="s">
        <v>995</v>
      </c>
      <c r="B2134" s="229">
        <v>2016</v>
      </c>
      <c r="C2134" s="514" t="s">
        <v>997</v>
      </c>
      <c r="D2134" s="515">
        <v>4.5244486953744188E-2</v>
      </c>
      <c r="E2134" s="516">
        <v>5.6369348658965285E-2</v>
      </c>
      <c r="F2134" s="145">
        <v>0.23573217453629966</v>
      </c>
      <c r="G2134" s="145">
        <v>1.9970150299087998E-3</v>
      </c>
      <c r="H2134" s="517">
        <v>2.0000005732018801E-3</v>
      </c>
      <c r="I2134" s="517">
        <v>1.5750004513964799E-2</v>
      </c>
      <c r="J2134" s="148">
        <v>2.1618809930784204E-3</v>
      </c>
      <c r="K2134" s="518">
        <v>1.663360039399862E-4</v>
      </c>
      <c r="L2134" s="519">
        <v>1.7385697993306637E-4</v>
      </c>
    </row>
    <row r="2135" spans="1:12" ht="15.5" x14ac:dyDescent="0.35">
      <c r="A2135" s="143" t="s">
        <v>995</v>
      </c>
      <c r="B2135" s="229">
        <v>2017</v>
      </c>
      <c r="C2135" s="514" t="s">
        <v>2959</v>
      </c>
      <c r="D2135" s="515">
        <v>4.4047492726792953E-2</v>
      </c>
      <c r="E2135" s="516">
        <v>4.7299838470102905E-2</v>
      </c>
      <c r="F2135" s="145">
        <v>0.2018431526952226</v>
      </c>
      <c r="G2135" s="145">
        <v>1.8777963845978119E-3</v>
      </c>
      <c r="H2135" s="517">
        <v>2.0000005732018801E-3</v>
      </c>
      <c r="I2135" s="517">
        <v>1.5750004513964799E-2</v>
      </c>
      <c r="J2135" s="148">
        <v>2.0338237646801301E-3</v>
      </c>
      <c r="K2135" s="518">
        <v>1.503443645470082E-4</v>
      </c>
      <c r="L2135" s="519">
        <v>1.5714226956858635E-4</v>
      </c>
    </row>
    <row r="2136" spans="1:12" ht="15.5" x14ac:dyDescent="0.35">
      <c r="A2136" s="143" t="s">
        <v>995</v>
      </c>
      <c r="B2136" s="229">
        <v>2018</v>
      </c>
      <c r="C2136" s="514" t="s">
        <v>2960</v>
      </c>
      <c r="D2136" s="515">
        <v>4.2813164803635582E-2</v>
      </c>
      <c r="E2136" s="516">
        <v>3.9132721841329911E-2</v>
      </c>
      <c r="F2136" s="145">
        <v>0.17155328878231571</v>
      </c>
      <c r="G2136" s="145">
        <v>1.7956100613352351E-3</v>
      </c>
      <c r="H2136" s="517">
        <v>2.0000005732018801E-3</v>
      </c>
      <c r="I2136" s="517">
        <v>1.5750004513964799E-2</v>
      </c>
      <c r="J2136" s="148">
        <v>1.9457997057247135E-3</v>
      </c>
      <c r="K2136" s="518">
        <v>1.3717132253965894E-4</v>
      </c>
      <c r="L2136" s="519">
        <v>1.4337360105617358E-4</v>
      </c>
    </row>
    <row r="2137" spans="1:12" ht="15.5" x14ac:dyDescent="0.35">
      <c r="A2137" s="143" t="s">
        <v>995</v>
      </c>
      <c r="B2137" s="229">
        <v>2019</v>
      </c>
      <c r="C2137" s="514" t="s">
        <v>2961</v>
      </c>
      <c r="D2137" s="515">
        <v>4.1552786889020719E-2</v>
      </c>
      <c r="E2137" s="516">
        <v>3.1841118393801347E-2</v>
      </c>
      <c r="F2137" s="145">
        <v>0.14494570469651072</v>
      </c>
      <c r="G2137" s="145">
        <v>1.708984486239572E-3</v>
      </c>
      <c r="H2137" s="517">
        <v>2.0000005732018797E-3</v>
      </c>
      <c r="I2137" s="517">
        <v>1.5750004513964796E-2</v>
      </c>
      <c r="J2137" s="148">
        <v>1.8527181197147279E-3</v>
      </c>
      <c r="K2137" s="518">
        <v>1.2361692608989645E-4</v>
      </c>
      <c r="L2137" s="519">
        <v>1.2920633494569622E-4</v>
      </c>
    </row>
    <row r="2138" spans="1:12" ht="15.5" x14ac:dyDescent="0.35">
      <c r="A2138" s="143" t="s">
        <v>995</v>
      </c>
      <c r="B2138" s="229">
        <v>2020</v>
      </c>
      <c r="C2138" s="514" t="s">
        <v>2962</v>
      </c>
      <c r="D2138" s="515">
        <v>4.0278426931378515E-2</v>
      </c>
      <c r="E2138" s="516">
        <v>2.6606701974274845E-2</v>
      </c>
      <c r="F2138" s="145">
        <v>0.12303991211157657</v>
      </c>
      <c r="G2138" s="145">
        <v>1.644116986937845E-3</v>
      </c>
      <c r="H2138" s="517">
        <v>2.0000005732018801E-3</v>
      </c>
      <c r="I2138" s="517">
        <v>1.5750004513964799E-2</v>
      </c>
      <c r="J2138" s="148">
        <v>1.782784822967934E-3</v>
      </c>
      <c r="K2138" s="518">
        <v>1.1466126700678402E-4</v>
      </c>
      <c r="L2138" s="519">
        <v>1.1984574069899432E-4</v>
      </c>
    </row>
    <row r="2139" spans="1:12" ht="15.5" x14ac:dyDescent="0.35">
      <c r="A2139" s="143" t="s">
        <v>995</v>
      </c>
      <c r="B2139" s="229">
        <v>2021</v>
      </c>
      <c r="C2139" s="514" t="s">
        <v>2963</v>
      </c>
      <c r="D2139" s="515">
        <v>3.9001055088149959E-2</v>
      </c>
      <c r="E2139" s="516">
        <v>2.2320952542283775E-2</v>
      </c>
      <c r="F2139" s="145">
        <v>0.10447074511379291</v>
      </c>
      <c r="G2139" s="145">
        <v>1.5583628735938058E-3</v>
      </c>
      <c r="H2139" s="517">
        <v>2.0000005732018797E-3</v>
      </c>
      <c r="I2139" s="517">
        <v>1.5750004513964796E-2</v>
      </c>
      <c r="J2139" s="148">
        <v>1.6900676295985228E-3</v>
      </c>
      <c r="K2139" s="518">
        <v>1.0531450564384165E-4</v>
      </c>
      <c r="L2139" s="519">
        <v>1.1007636026285829E-4</v>
      </c>
    </row>
    <row r="2140" spans="1:12" ht="15.5" x14ac:dyDescent="0.35">
      <c r="A2140" s="143" t="s">
        <v>995</v>
      </c>
      <c r="B2140" s="229">
        <v>2022</v>
      </c>
      <c r="C2140" s="514" t="s">
        <v>2964</v>
      </c>
      <c r="D2140" s="515">
        <v>3.7749480588756663E-2</v>
      </c>
      <c r="E2140" s="516">
        <v>1.8269253040542183E-2</v>
      </c>
      <c r="F2140" s="145">
        <v>8.8319331357122083E-2</v>
      </c>
      <c r="G2140" s="145">
        <v>1.4721596567940482E-3</v>
      </c>
      <c r="H2140" s="517">
        <v>2.0000005732018801E-3</v>
      </c>
      <c r="I2140" s="517">
        <v>1.5750004513964799E-2</v>
      </c>
      <c r="J2140" s="148">
        <v>1.5969291220584215E-3</v>
      </c>
      <c r="K2140" s="518">
        <v>9.6663606460939064E-5</v>
      </c>
      <c r="L2140" s="519">
        <v>1.0103430580670187E-4</v>
      </c>
    </row>
    <row r="2141" spans="1:12" ht="15.5" x14ac:dyDescent="0.35">
      <c r="A2141" s="143" t="s">
        <v>995</v>
      </c>
      <c r="B2141" s="229">
        <v>2023</v>
      </c>
      <c r="C2141" s="514" t="s">
        <v>2965</v>
      </c>
      <c r="D2141" s="515">
        <v>3.6520643624981433E-2</v>
      </c>
      <c r="E2141" s="516">
        <v>1.5434392053490403E-2</v>
      </c>
      <c r="F2141" s="145">
        <v>7.5373138800564524E-2</v>
      </c>
      <c r="G2141" s="145">
        <v>1.3906061928682118E-3</v>
      </c>
      <c r="H2141" s="517">
        <v>2.0000005732018805E-3</v>
      </c>
      <c r="I2141" s="517">
        <v>1.5750004513964799E-2</v>
      </c>
      <c r="J2141" s="148">
        <v>1.5087169206648287E-3</v>
      </c>
      <c r="K2141" s="518">
        <v>8.6221234821908026E-5</v>
      </c>
      <c r="L2141" s="519">
        <v>9.011977645949171E-5</v>
      </c>
    </row>
    <row r="2142" spans="1:12" ht="15.5" x14ac:dyDescent="0.35">
      <c r="A2142" s="143" t="s">
        <v>995</v>
      </c>
      <c r="B2142" s="229">
        <v>2024</v>
      </c>
      <c r="C2142" s="514" t="s">
        <v>2966</v>
      </c>
      <c r="D2142" s="515">
        <v>3.5318531964213196E-2</v>
      </c>
      <c r="E2142" s="516">
        <v>1.3124652107983839E-2</v>
      </c>
      <c r="F2142" s="145">
        <v>6.4846189388816297E-2</v>
      </c>
      <c r="G2142" s="145">
        <v>1.321155644075634E-3</v>
      </c>
      <c r="H2142" s="517">
        <v>2.0000005732018801E-3</v>
      </c>
      <c r="I2142" s="517">
        <v>1.5750004513964799E-2</v>
      </c>
      <c r="J2142" s="148">
        <v>1.4335893680706498E-3</v>
      </c>
      <c r="K2142" s="518">
        <v>7.7276882150138172E-5</v>
      </c>
      <c r="L2142" s="519">
        <v>8.0770999849881587E-5</v>
      </c>
    </row>
    <row r="2143" spans="1:12" ht="15.5" x14ac:dyDescent="0.35">
      <c r="A2143" s="143" t="s">
        <v>995</v>
      </c>
      <c r="B2143" s="229">
        <v>2025</v>
      </c>
      <c r="C2143" s="514" t="s">
        <v>2967</v>
      </c>
      <c r="D2143" s="515">
        <v>3.4143865999657304E-2</v>
      </c>
      <c r="E2143" s="516">
        <v>1.126543262838188E-2</v>
      </c>
      <c r="F2143" s="145">
        <v>5.6395252518420029E-2</v>
      </c>
      <c r="G2143" s="145">
        <v>1.2634338393566218E-3</v>
      </c>
      <c r="H2143" s="517">
        <v>2.0000005732018805E-3</v>
      </c>
      <c r="I2143" s="517">
        <v>1.5750004513964799E-2</v>
      </c>
      <c r="J2143" s="148">
        <v>1.3711497545013291E-3</v>
      </c>
      <c r="K2143" s="518">
        <v>6.9548360585513792E-5</v>
      </c>
      <c r="L2143" s="519">
        <v>7.2693028834911364E-5</v>
      </c>
    </row>
    <row r="2144" spans="1:12" ht="15.5" x14ac:dyDescent="0.35">
      <c r="A2144" s="143" t="s">
        <v>995</v>
      </c>
      <c r="B2144" s="229">
        <v>2026</v>
      </c>
      <c r="C2144" s="514" t="s">
        <v>2968</v>
      </c>
      <c r="D2144" s="515">
        <v>3.3077481552661499E-2</v>
      </c>
      <c r="E2144" s="516">
        <v>9.7575225876946683E-3</v>
      </c>
      <c r="F2144" s="145">
        <v>4.9635341919287854E-2</v>
      </c>
      <c r="G2144" s="145">
        <v>1.209083509812183E-3</v>
      </c>
      <c r="H2144" s="517">
        <v>2.0000005732018801E-3</v>
      </c>
      <c r="I2144" s="517">
        <v>1.5750004513964799E-2</v>
      </c>
      <c r="J2144" s="148">
        <v>1.312297136323639E-3</v>
      </c>
      <c r="K2144" s="518">
        <v>6.34994638730372E-5</v>
      </c>
      <c r="L2144" s="519">
        <v>6.6370627854678231E-5</v>
      </c>
    </row>
    <row r="2145" spans="1:12" ht="15.5" x14ac:dyDescent="0.35">
      <c r="A2145" s="143" t="s">
        <v>995</v>
      </c>
      <c r="B2145" s="229">
        <v>2027</v>
      </c>
      <c r="C2145" s="514" t="s">
        <v>2969</v>
      </c>
      <c r="D2145" s="515">
        <v>3.2106114262241185E-2</v>
      </c>
      <c r="E2145" s="516">
        <v>8.5038934430391837E-3</v>
      </c>
      <c r="F2145" s="145">
        <v>4.4045974535557933E-2</v>
      </c>
      <c r="G2145" s="145">
        <v>1.1474346677265615E-3</v>
      </c>
      <c r="H2145" s="517">
        <v>2.0000005732018801E-3</v>
      </c>
      <c r="I2145" s="517">
        <v>1.5750004513964803E-2</v>
      </c>
      <c r="J2145" s="148">
        <v>1.2456201362482033E-3</v>
      </c>
      <c r="K2145" s="518">
        <v>5.4742671765347164E-5</v>
      </c>
      <c r="L2145" s="519">
        <v>5.721789246556789E-5</v>
      </c>
    </row>
    <row r="2146" spans="1:12" ht="15.5" x14ac:dyDescent="0.35">
      <c r="A2146" s="143" t="s">
        <v>995</v>
      </c>
      <c r="B2146" s="229">
        <v>2028</v>
      </c>
      <c r="C2146" s="514" t="s">
        <v>2970</v>
      </c>
      <c r="D2146" s="515">
        <v>3.1235076505931322E-2</v>
      </c>
      <c r="E2146" s="516">
        <v>7.475182031109499E-3</v>
      </c>
      <c r="F2146" s="145">
        <v>3.9524299025795677E-2</v>
      </c>
      <c r="G2146" s="145">
        <v>1.0814311757129246E-3</v>
      </c>
      <c r="H2146" s="517">
        <v>2.0000005732018801E-3</v>
      </c>
      <c r="I2146" s="517">
        <v>1.5750004513964803E-2</v>
      </c>
      <c r="J2146" s="148">
        <v>1.1741523111640441E-3</v>
      </c>
      <c r="K2146" s="518">
        <v>4.7262090693109641E-5</v>
      </c>
      <c r="L2146" s="519">
        <v>4.939907271183071E-5</v>
      </c>
    </row>
    <row r="2147" spans="1:12" ht="15.5" x14ac:dyDescent="0.35">
      <c r="A2147" s="143" t="s">
        <v>995</v>
      </c>
      <c r="B2147" s="229">
        <v>2029</v>
      </c>
      <c r="C2147" s="514" t="s">
        <v>2971</v>
      </c>
      <c r="D2147" s="515">
        <v>3.0455438733590488E-2</v>
      </c>
      <c r="E2147" s="516">
        <v>6.6315621678583667E-3</v>
      </c>
      <c r="F2147" s="145">
        <v>3.585192768247196E-2</v>
      </c>
      <c r="G2147" s="145">
        <v>1.0168355045607311E-3</v>
      </c>
      <c r="H2147" s="517">
        <v>2.0000005732018801E-3</v>
      </c>
      <c r="I2147" s="517">
        <v>1.5750004513964803E-2</v>
      </c>
      <c r="J2147" s="148">
        <v>1.104181128313646E-3</v>
      </c>
      <c r="K2147" s="518">
        <v>4.0595453025003626E-5</v>
      </c>
      <c r="L2147" s="519">
        <v>4.2430999271139412E-5</v>
      </c>
    </row>
    <row r="2148" spans="1:12" ht="15.5" x14ac:dyDescent="0.35">
      <c r="A2148" s="143" t="s">
        <v>995</v>
      </c>
      <c r="B2148" s="229">
        <v>2030</v>
      </c>
      <c r="C2148" s="514" t="s">
        <v>2972</v>
      </c>
      <c r="D2148" s="515">
        <v>2.9761091817037216E-2</v>
      </c>
      <c r="E2148" s="516">
        <v>5.9231120360326356E-3</v>
      </c>
      <c r="F2148" s="145">
        <v>3.2818961149439593E-2</v>
      </c>
      <c r="G2148" s="145">
        <v>9.5675459260934537E-4</v>
      </c>
      <c r="H2148" s="517">
        <v>2.0000005732018801E-3</v>
      </c>
      <c r="I2148" s="517">
        <v>1.5750004513964799E-2</v>
      </c>
      <c r="J2148" s="148">
        <v>1.0390009208662905E-3</v>
      </c>
      <c r="K2148" s="518">
        <v>3.6742626561331913E-5</v>
      </c>
      <c r="L2148" s="519">
        <v>3.8403965091444692E-5</v>
      </c>
    </row>
    <row r="2149" spans="1:12" ht="15.5" x14ac:dyDescent="0.35">
      <c r="A2149" s="143" t="s">
        <v>995</v>
      </c>
      <c r="B2149" s="229">
        <v>2031</v>
      </c>
      <c r="C2149" s="514" t="s">
        <v>2973</v>
      </c>
      <c r="D2149" s="515">
        <v>2.9145799884873622E-2</v>
      </c>
      <c r="E2149" s="516">
        <v>5.2917756111101012E-3</v>
      </c>
      <c r="F2149" s="145">
        <v>3.0191278715035054E-2</v>
      </c>
      <c r="G2149" s="145">
        <v>8.9913124225923281E-4</v>
      </c>
      <c r="H2149" s="517">
        <v>2.0000005732018805E-3</v>
      </c>
      <c r="I2149" s="517">
        <v>1.5750004513964799E-2</v>
      </c>
      <c r="J2149" s="148">
        <v>9.7646337233514579E-4</v>
      </c>
      <c r="K2149" s="518">
        <v>3.3601613016094049E-5</v>
      </c>
      <c r="L2149" s="519">
        <v>3.5120928851732368E-5</v>
      </c>
    </row>
    <row r="2150" spans="1:12" ht="15.5" x14ac:dyDescent="0.35">
      <c r="A2150" s="143" t="s">
        <v>995</v>
      </c>
      <c r="B2150" s="229">
        <v>2032</v>
      </c>
      <c r="C2150" s="514" t="s">
        <v>2974</v>
      </c>
      <c r="D2150" s="515">
        <v>2.8603227156943228E-2</v>
      </c>
      <c r="E2150" s="516">
        <v>4.7662096733936E-3</v>
      </c>
      <c r="F2150" s="145">
        <v>2.8093062609321939E-2</v>
      </c>
      <c r="G2150" s="145">
        <v>8.4536515476162858E-4</v>
      </c>
      <c r="H2150" s="517">
        <v>2.0000005732018797E-3</v>
      </c>
      <c r="I2150" s="517">
        <v>1.5750004513964799E-2</v>
      </c>
      <c r="J2150" s="148">
        <v>9.1811121133040748E-4</v>
      </c>
      <c r="K2150" s="518">
        <v>3.0690395573849528E-5</v>
      </c>
      <c r="L2150" s="519">
        <v>3.2078079075085625E-5</v>
      </c>
    </row>
    <row r="2151" spans="1:12" ht="15.5" x14ac:dyDescent="0.35">
      <c r="A2151" s="143" t="s">
        <v>995</v>
      </c>
      <c r="B2151" s="229">
        <v>2033</v>
      </c>
      <c r="C2151" s="514" t="s">
        <v>2975</v>
      </c>
      <c r="D2151" s="515">
        <v>2.8127323270724161E-2</v>
      </c>
      <c r="E2151" s="516">
        <v>4.3230843650047639E-3</v>
      </c>
      <c r="F2151" s="145">
        <v>2.6403110388400854E-2</v>
      </c>
      <c r="G2151" s="145">
        <v>7.956764541492959E-4</v>
      </c>
      <c r="H2151" s="517">
        <v>2.0000005732018805E-3</v>
      </c>
      <c r="I2151" s="517">
        <v>1.5750004513964799E-2</v>
      </c>
      <c r="J2151" s="148">
        <v>8.6415470566235636E-4</v>
      </c>
      <c r="K2151" s="518">
        <v>2.8696565815902352E-5</v>
      </c>
      <c r="L2151" s="519">
        <v>2.9994097182972594E-5</v>
      </c>
    </row>
    <row r="2152" spans="1:12" ht="15.5" x14ac:dyDescent="0.35">
      <c r="A2152" s="143" t="s">
        <v>995</v>
      </c>
      <c r="B2152" s="229">
        <v>2034</v>
      </c>
      <c r="C2152" s="514" t="s">
        <v>2976</v>
      </c>
      <c r="D2152" s="515">
        <v>2.7710545829551923E-2</v>
      </c>
      <c r="E2152" s="516">
        <v>3.9273403078637498E-3</v>
      </c>
      <c r="F2152" s="145">
        <v>2.4946604753890649E-2</v>
      </c>
      <c r="G2152" s="145">
        <v>7.4877705751793166E-4</v>
      </c>
      <c r="H2152" s="517">
        <v>2.0000005732018801E-3</v>
      </c>
      <c r="I2152" s="517">
        <v>1.5750004513964796E-2</v>
      </c>
      <c r="J2152" s="148">
        <v>8.1322447013856337E-4</v>
      </c>
      <c r="K2152" s="518">
        <v>2.687624203775072E-5</v>
      </c>
      <c r="L2152" s="519">
        <v>2.8091466441140062E-5</v>
      </c>
    </row>
    <row r="2153" spans="1:12" ht="15.5" x14ac:dyDescent="0.35">
      <c r="A2153" s="143" t="s">
        <v>995</v>
      </c>
      <c r="B2153" s="229">
        <v>2035</v>
      </c>
      <c r="C2153" s="514" t="s">
        <v>2977</v>
      </c>
      <c r="D2153" s="515">
        <v>2.7349592415419413E-2</v>
      </c>
      <c r="E2153" s="516">
        <v>3.5893027351062007E-3</v>
      </c>
      <c r="F2153" s="145">
        <v>2.3777483563596765E-2</v>
      </c>
      <c r="G2153" s="145">
        <v>7.0557468078367752E-4</v>
      </c>
      <c r="H2153" s="517">
        <v>2.0000005732018801E-3</v>
      </c>
      <c r="I2153" s="517">
        <v>1.5750004513964799E-2</v>
      </c>
      <c r="J2153" s="148">
        <v>7.6630834293314807E-4</v>
      </c>
      <c r="K2153" s="518">
        <v>2.5214927845537292E-5</v>
      </c>
      <c r="L2153" s="519">
        <v>2.6355034993127327E-5</v>
      </c>
    </row>
    <row r="2154" spans="1:12" ht="15.5" x14ac:dyDescent="0.35">
      <c r="A2154" s="143" t="s">
        <v>995</v>
      </c>
      <c r="B2154" s="229">
        <v>2036</v>
      </c>
      <c r="C2154" s="514" t="s">
        <v>2978</v>
      </c>
      <c r="D2154" s="515">
        <v>2.7037339756971358E-2</v>
      </c>
      <c r="E2154" s="516">
        <v>3.6802498691236116E-3</v>
      </c>
      <c r="F2154" s="145">
        <v>2.3341149045713681E-2</v>
      </c>
      <c r="G2154" s="145">
        <v>7.4141387240263766E-4</v>
      </c>
      <c r="H2154" s="517">
        <v>2.0000005732018801E-3</v>
      </c>
      <c r="I2154" s="517">
        <v>1.5750004513964799E-2</v>
      </c>
      <c r="J2154" s="148">
        <v>8.0529316164369182E-4</v>
      </c>
      <c r="K2154" s="518">
        <v>2.5063241171838417E-5</v>
      </c>
      <c r="L2154" s="519">
        <v>2.6196489721143443E-5</v>
      </c>
    </row>
    <row r="2155" spans="1:12" ht="15.5" x14ac:dyDescent="0.35">
      <c r="A2155" s="143" t="s">
        <v>995</v>
      </c>
      <c r="B2155" s="229">
        <v>2037</v>
      </c>
      <c r="C2155" s="514" t="s">
        <v>2979</v>
      </c>
      <c r="D2155" s="515">
        <v>2.6771607206541748E-2</v>
      </c>
      <c r="E2155" s="516">
        <v>3.3861828064678558E-3</v>
      </c>
      <c r="F2155" s="145">
        <v>2.2472824366029914E-2</v>
      </c>
      <c r="G2155" s="145">
        <v>7.0217669546513177E-4</v>
      </c>
      <c r="H2155" s="517">
        <v>2.0000005732018797E-3</v>
      </c>
      <c r="I2155" s="517">
        <v>1.5750004513964799E-2</v>
      </c>
      <c r="J2155" s="148">
        <v>7.6269511107846151E-4</v>
      </c>
      <c r="K2155" s="518">
        <v>2.3270717919617966E-5</v>
      </c>
      <c r="L2155" s="519">
        <v>2.4322916521661704E-5</v>
      </c>
    </row>
    <row r="2156" spans="1:12" ht="15.5" x14ac:dyDescent="0.35">
      <c r="A2156" s="143" t="s">
        <v>995</v>
      </c>
      <c r="B2156" s="229">
        <v>2038</v>
      </c>
      <c r="C2156" s="514" t="s">
        <v>2980</v>
      </c>
      <c r="D2156" s="515">
        <v>2.6546621189971711E-2</v>
      </c>
      <c r="E2156" s="516">
        <v>3.1350951794797922E-3</v>
      </c>
      <c r="F2156" s="145">
        <v>2.1760065671391521E-2</v>
      </c>
      <c r="G2156" s="145">
        <v>6.6736833882627064E-4</v>
      </c>
      <c r="H2156" s="517">
        <v>2.0000005732018805E-3</v>
      </c>
      <c r="I2156" s="517">
        <v>1.5750004513964799E-2</v>
      </c>
      <c r="J2156" s="148">
        <v>7.2488790454205098E-4</v>
      </c>
      <c r="K2156" s="518">
        <v>2.2089444715368085E-5</v>
      </c>
      <c r="L2156" s="519">
        <v>2.3088231384937777E-5</v>
      </c>
    </row>
    <row r="2157" spans="1:12" ht="15.5" x14ac:dyDescent="0.35">
      <c r="A2157" s="143" t="s">
        <v>995</v>
      </c>
      <c r="B2157" s="229">
        <v>2039</v>
      </c>
      <c r="C2157" s="514" t="s">
        <v>2981</v>
      </c>
      <c r="D2157" s="515">
        <v>2.6355537669043853E-2</v>
      </c>
      <c r="E2157" s="516">
        <v>2.8870921197574439E-3</v>
      </c>
      <c r="F2157" s="145">
        <v>2.1057681381700714E-2</v>
      </c>
      <c r="G2157" s="145">
        <v>6.3597736738991496E-4</v>
      </c>
      <c r="H2157" s="517">
        <v>2.0000005732018801E-3</v>
      </c>
      <c r="I2157" s="517">
        <v>1.5750004513964803E-2</v>
      </c>
      <c r="J2157" s="148">
        <v>6.9078899056654525E-4</v>
      </c>
      <c r="K2157" s="518">
        <v>2.1107003774681966E-5</v>
      </c>
      <c r="L2157" s="519">
        <v>2.2061368824430928E-5</v>
      </c>
    </row>
    <row r="2158" spans="1:12" ht="15.5" x14ac:dyDescent="0.35">
      <c r="A2158" s="143" t="s">
        <v>995</v>
      </c>
      <c r="B2158" s="229">
        <v>2040</v>
      </c>
      <c r="C2158" s="514" t="s">
        <v>2982</v>
      </c>
      <c r="D2158" s="515">
        <v>2.6195950938153804E-2</v>
      </c>
      <c r="E2158" s="516">
        <v>2.6837913130629463E-3</v>
      </c>
      <c r="F2158" s="145">
        <v>2.0521539297489434E-2</v>
      </c>
      <c r="G2158" s="145">
        <v>6.0848106420387639E-4</v>
      </c>
      <c r="H2158" s="517">
        <v>2.0000005732018801E-3</v>
      </c>
      <c r="I2158" s="517">
        <v>1.5750004513964803E-2</v>
      </c>
      <c r="J2158" s="148">
        <v>6.6092017969720195E-4</v>
      </c>
      <c r="K2158" s="518">
        <v>2.0259167617418636E-5</v>
      </c>
      <c r="L2158" s="519">
        <v>2.1175197278353443E-5</v>
      </c>
    </row>
    <row r="2159" spans="1:12" ht="15.5" x14ac:dyDescent="0.35">
      <c r="A2159" s="143" t="s">
        <v>995</v>
      </c>
      <c r="B2159" s="229">
        <v>2041</v>
      </c>
      <c r="C2159" s="514" t="s">
        <v>2983</v>
      </c>
      <c r="D2159" s="515">
        <v>2.6064262779876675E-2</v>
      </c>
      <c r="E2159" s="516">
        <v>2.539834674545118E-3</v>
      </c>
      <c r="F2159" s="145">
        <v>2.0133519072954492E-2</v>
      </c>
      <c r="G2159" s="145">
        <v>5.8627896279008819E-4</v>
      </c>
      <c r="H2159" s="517">
        <v>2.0000005732018797E-3</v>
      </c>
      <c r="I2159" s="517">
        <v>1.5750004513964799E-2</v>
      </c>
      <c r="J2159" s="148">
        <v>6.3680709556642855E-4</v>
      </c>
      <c r="K2159" s="518">
        <v>1.9463265410146788E-5</v>
      </c>
      <c r="L2159" s="519">
        <v>2.0343307905032493E-5</v>
      </c>
    </row>
    <row r="2160" spans="1:12" ht="15.5" x14ac:dyDescent="0.35">
      <c r="A2160" s="143" t="s">
        <v>995</v>
      </c>
      <c r="B2160" s="229">
        <v>2042</v>
      </c>
      <c r="C2160" s="514" t="s">
        <v>2984</v>
      </c>
      <c r="D2160" s="515">
        <v>2.595438421258434E-2</v>
      </c>
      <c r="E2160" s="516">
        <v>2.4198280579879618E-3</v>
      </c>
      <c r="F2160" s="145">
        <v>1.9795175432139277E-2</v>
      </c>
      <c r="G2160" s="145">
        <v>5.6738862265596969E-4</v>
      </c>
      <c r="H2160" s="517">
        <v>2.0000005732018801E-3</v>
      </c>
      <c r="I2160" s="517">
        <v>1.5750004513964796E-2</v>
      </c>
      <c r="J2160" s="148">
        <v>6.1628698911816234E-4</v>
      </c>
      <c r="K2160" s="518">
        <v>1.887656049450876E-5</v>
      </c>
      <c r="L2160" s="519">
        <v>1.9730074796573844E-5</v>
      </c>
    </row>
    <row r="2161" spans="1:12" ht="15.5" x14ac:dyDescent="0.35">
      <c r="A2161" s="143" t="s">
        <v>995</v>
      </c>
      <c r="B2161" s="229">
        <v>2043</v>
      </c>
      <c r="C2161" s="514" t="s">
        <v>2985</v>
      </c>
      <c r="D2161" s="515">
        <v>2.5864274936046153E-2</v>
      </c>
      <c r="E2161" s="516">
        <v>2.3277533380345336E-3</v>
      </c>
      <c r="F2161" s="145">
        <v>1.9546156414396783E-2</v>
      </c>
      <c r="G2161" s="145">
        <v>5.5149046757723731E-4</v>
      </c>
      <c r="H2161" s="517">
        <v>2.0000005732018801E-3</v>
      </c>
      <c r="I2161" s="517">
        <v>1.5750004513964803E-2</v>
      </c>
      <c r="J2161" s="148">
        <v>5.9901529228070414E-4</v>
      </c>
      <c r="K2161" s="518">
        <v>1.8428252101225878E-5</v>
      </c>
      <c r="L2161" s="519">
        <v>1.9261495887085732E-5</v>
      </c>
    </row>
    <row r="2162" spans="1:12" ht="15.5" x14ac:dyDescent="0.35">
      <c r="A2162" s="143" t="s">
        <v>995</v>
      </c>
      <c r="B2162" s="229">
        <v>2044</v>
      </c>
      <c r="C2162" s="514" t="s">
        <v>2986</v>
      </c>
      <c r="D2162" s="515">
        <v>2.5788836563878148E-2</v>
      </c>
      <c r="E2162" s="516">
        <v>2.2521225284334702E-3</v>
      </c>
      <c r="F2162" s="145">
        <v>1.9319822799084792E-2</v>
      </c>
      <c r="G2162" s="145">
        <v>5.3805057443378243E-4</v>
      </c>
      <c r="H2162" s="517">
        <v>2.0000005732018797E-3</v>
      </c>
      <c r="I2162" s="517">
        <v>1.5750004513964796E-2</v>
      </c>
      <c r="J2162" s="148">
        <v>5.8441322951586171E-4</v>
      </c>
      <c r="K2162" s="518">
        <v>1.8073159347837874E-5</v>
      </c>
      <c r="L2162" s="519">
        <v>1.8890347415090237E-5</v>
      </c>
    </row>
    <row r="2163" spans="1:12" ht="15.5" x14ac:dyDescent="0.35">
      <c r="A2163" s="143" t="s">
        <v>995</v>
      </c>
      <c r="B2163" s="229">
        <v>2045</v>
      </c>
      <c r="C2163" s="514" t="s">
        <v>2987</v>
      </c>
      <c r="D2163" s="515">
        <v>2.5725192863854298E-2</v>
      </c>
      <c r="E2163" s="516">
        <v>2.1951956543499848E-3</v>
      </c>
      <c r="F2163" s="145">
        <v>1.9154164113706833E-2</v>
      </c>
      <c r="G2163" s="145">
        <v>5.2677817153948562E-4</v>
      </c>
      <c r="H2163" s="517">
        <v>2.0000005732018801E-3</v>
      </c>
      <c r="I2163" s="517">
        <v>1.5750004513964796E-2</v>
      </c>
      <c r="J2163" s="148">
        <v>5.7216515313476726E-4</v>
      </c>
      <c r="K2163" s="518">
        <v>1.7797287176998476E-5</v>
      </c>
      <c r="L2163" s="519">
        <v>1.8602001528850166E-5</v>
      </c>
    </row>
    <row r="2164" spans="1:12" ht="15.5" x14ac:dyDescent="0.35">
      <c r="A2164" s="143" t="s">
        <v>995</v>
      </c>
      <c r="B2164" s="229">
        <v>2046</v>
      </c>
      <c r="C2164" s="514" t="s">
        <v>2988</v>
      </c>
      <c r="D2164" s="515">
        <v>2.5672571432961581E-2</v>
      </c>
      <c r="E2164" s="516">
        <v>2.1470920632690378E-3</v>
      </c>
      <c r="F2164" s="145">
        <v>1.9025567695870035E-2</v>
      </c>
      <c r="G2164" s="145">
        <v>5.1747786413548096E-4</v>
      </c>
      <c r="H2164" s="517">
        <v>2.0000005732018797E-3</v>
      </c>
      <c r="I2164" s="517">
        <v>1.5750004513964799E-2</v>
      </c>
      <c r="J2164" s="148">
        <v>5.6206008743869427E-4</v>
      </c>
      <c r="K2164" s="518">
        <v>1.7564437241152312E-5</v>
      </c>
      <c r="L2164" s="519">
        <v>1.8358623152161277E-5</v>
      </c>
    </row>
    <row r="2165" spans="1:12" ht="15.5" x14ac:dyDescent="0.35">
      <c r="A2165" s="143" t="s">
        <v>995</v>
      </c>
      <c r="B2165" s="229">
        <v>2047</v>
      </c>
      <c r="C2165" s="514" t="s">
        <v>2989</v>
      </c>
      <c r="D2165" s="515">
        <v>2.5629494099065248E-2</v>
      </c>
      <c r="E2165" s="516">
        <v>2.1058003350207348E-3</v>
      </c>
      <c r="F2165" s="145">
        <v>1.8910969940263606E-2</v>
      </c>
      <c r="G2165" s="145">
        <v>5.0992542570149732E-4</v>
      </c>
      <c r="H2165" s="517">
        <v>2.0000005732018792E-3</v>
      </c>
      <c r="I2165" s="517">
        <v>1.5750004513964796E-2</v>
      </c>
      <c r="J2165" s="148">
        <v>5.5385371057640716E-4</v>
      </c>
      <c r="K2165" s="518">
        <v>1.7385348054359792E-5</v>
      </c>
      <c r="L2165" s="519">
        <v>1.8171436347038525E-5</v>
      </c>
    </row>
    <row r="2166" spans="1:12" ht="15.5" x14ac:dyDescent="0.35">
      <c r="A2166" s="143" t="s">
        <v>995</v>
      </c>
      <c r="B2166" s="229">
        <v>2048</v>
      </c>
      <c r="C2166" s="514" t="s">
        <v>2990</v>
      </c>
      <c r="D2166" s="515">
        <v>2.5593533789930237E-2</v>
      </c>
      <c r="E2166" s="516">
        <v>2.0738805772406613E-3</v>
      </c>
      <c r="F2166" s="145">
        <v>1.8821971360481145E-2</v>
      </c>
      <c r="G2166" s="145">
        <v>5.0381559203719413E-4</v>
      </c>
      <c r="H2166" s="517">
        <v>2.0000005732018801E-3</v>
      </c>
      <c r="I2166" s="517">
        <v>1.5750004513964799E-2</v>
      </c>
      <c r="J2166" s="148">
        <v>5.4721715973909176E-4</v>
      </c>
      <c r="K2166" s="518">
        <v>1.7185923773105996E-5</v>
      </c>
      <c r="L2166" s="519">
        <v>1.7962994984718577E-5</v>
      </c>
    </row>
    <row r="2167" spans="1:12" ht="15.5" x14ac:dyDescent="0.35">
      <c r="A2167" s="143" t="s">
        <v>995</v>
      </c>
      <c r="B2167" s="229">
        <v>2049</v>
      </c>
      <c r="C2167" s="514" t="s">
        <v>2991</v>
      </c>
      <c r="D2167" s="515">
        <v>2.5562984596955617E-2</v>
      </c>
      <c r="E2167" s="516">
        <v>2.0618366189590668E-3</v>
      </c>
      <c r="F2167" s="145">
        <v>1.8829770222769319E-2</v>
      </c>
      <c r="G2167" s="145">
        <v>4.9979904213821869E-4</v>
      </c>
      <c r="H2167" s="517">
        <v>2.0000005732018801E-3</v>
      </c>
      <c r="I2167" s="517">
        <v>1.5750004513964799E-2</v>
      </c>
      <c r="J2167" s="148">
        <v>5.4285421810771912E-4</v>
      </c>
      <c r="K2167" s="518">
        <v>1.705795278809155E-5</v>
      </c>
      <c r="L2167" s="519">
        <v>1.7829237719624603E-5</v>
      </c>
    </row>
    <row r="2168" spans="1:12" ht="15.5" x14ac:dyDescent="0.35">
      <c r="A2168" s="143" t="s">
        <v>995</v>
      </c>
      <c r="B2168" s="229">
        <v>2050</v>
      </c>
      <c r="C2168" s="514" t="s">
        <v>2992</v>
      </c>
      <c r="D2168" s="515">
        <v>2.5538477834818298E-2</v>
      </c>
      <c r="E2168" s="516">
        <v>2.0522394874164258E-3</v>
      </c>
      <c r="F2168" s="145">
        <v>1.8837457901409633E-2</v>
      </c>
      <c r="G2168" s="145">
        <v>4.9665969359804888E-4</v>
      </c>
      <c r="H2168" s="517">
        <v>2.0000005732018797E-3</v>
      </c>
      <c r="I2168" s="517">
        <v>1.5750004513964799E-2</v>
      </c>
      <c r="J2168" s="148">
        <v>5.3944497437360495E-4</v>
      </c>
      <c r="K2168" s="518">
        <v>1.6937972638301545E-5</v>
      </c>
      <c r="L2168" s="519">
        <v>1.7703832599865131E-5</v>
      </c>
    </row>
    <row r="2169" spans="1:12" ht="15.5" x14ac:dyDescent="0.35">
      <c r="A2169" s="143" t="s">
        <v>842</v>
      </c>
      <c r="B2169" s="229">
        <v>2015</v>
      </c>
      <c r="C2169" s="514" t="s">
        <v>2993</v>
      </c>
      <c r="D2169" s="515">
        <v>4.8650513184686536E-2</v>
      </c>
      <c r="E2169" s="516">
        <v>6.5722301834164082E-2</v>
      </c>
      <c r="F2169" s="145">
        <v>0.24935873252320492</v>
      </c>
      <c r="G2169" s="145">
        <v>2.2286641158813488E-3</v>
      </c>
      <c r="H2169" s="517">
        <v>2.0000005732018801E-3</v>
      </c>
      <c r="I2169" s="517">
        <v>1.5750004513964799E-2</v>
      </c>
      <c r="J2169" s="148">
        <v>2.4107060258131241E-3</v>
      </c>
      <c r="K2169" s="518">
        <v>1.8805240183411922E-4</v>
      </c>
      <c r="L2169" s="519">
        <v>1.965552969748836E-4</v>
      </c>
    </row>
    <row r="2170" spans="1:12" ht="15.5" x14ac:dyDescent="0.35">
      <c r="A2170" s="143" t="s">
        <v>842</v>
      </c>
      <c r="B2170" s="229">
        <v>2016</v>
      </c>
      <c r="C2170" s="514" t="s">
        <v>2994</v>
      </c>
      <c r="D2170" s="515">
        <v>4.7706502124935803E-2</v>
      </c>
      <c r="E2170" s="516">
        <v>5.4461632369476376E-2</v>
      </c>
      <c r="F2170" s="145">
        <v>0.21383389477462778</v>
      </c>
      <c r="G2170" s="145">
        <v>2.0837365952385144E-3</v>
      </c>
      <c r="H2170" s="517">
        <v>2.0000005732018801E-3</v>
      </c>
      <c r="I2170" s="517">
        <v>1.5750004513964799E-2</v>
      </c>
      <c r="J2170" s="148">
        <v>2.2555732393281969E-3</v>
      </c>
      <c r="K2170" s="518">
        <v>1.6594816357327875E-4</v>
      </c>
      <c r="L2170" s="519">
        <v>1.7345160314599263E-4</v>
      </c>
    </row>
    <row r="2171" spans="1:12" ht="15.5" x14ac:dyDescent="0.35">
      <c r="A2171" s="143" t="s">
        <v>842</v>
      </c>
      <c r="B2171" s="229">
        <v>2017</v>
      </c>
      <c r="C2171" s="514" t="s">
        <v>2995</v>
      </c>
      <c r="D2171" s="515">
        <v>4.6549254431920505E-2</v>
      </c>
      <c r="E2171" s="516">
        <v>4.5687176325112995E-2</v>
      </c>
      <c r="F2171" s="145">
        <v>0.18386384546929632</v>
      </c>
      <c r="G2171" s="145">
        <v>2.0011218330248603E-3</v>
      </c>
      <c r="H2171" s="517">
        <v>2.0000005732018797E-3</v>
      </c>
      <c r="I2171" s="517">
        <v>1.5750004513964799E-2</v>
      </c>
      <c r="J2171" s="148">
        <v>2.1674282012553144E-3</v>
      </c>
      <c r="K2171" s="518">
        <v>1.5051237677374732E-4</v>
      </c>
      <c r="L2171" s="519">
        <v>1.5731787856267587E-4</v>
      </c>
    </row>
    <row r="2172" spans="1:12" ht="15.5" x14ac:dyDescent="0.35">
      <c r="A2172" s="143" t="s">
        <v>842</v>
      </c>
      <c r="B2172" s="229">
        <v>2018</v>
      </c>
      <c r="C2172" s="514" t="s">
        <v>2996</v>
      </c>
      <c r="D2172" s="515">
        <v>4.5366684942113822E-2</v>
      </c>
      <c r="E2172" s="516">
        <v>3.7874618271284875E-2</v>
      </c>
      <c r="F2172" s="145">
        <v>0.15754158856526831</v>
      </c>
      <c r="G2172" s="145">
        <v>1.9508378406799395E-3</v>
      </c>
      <c r="H2172" s="517">
        <v>2.0000005732018805E-3</v>
      </c>
      <c r="I2172" s="517">
        <v>1.5750004513964799E-2</v>
      </c>
      <c r="J2172" s="148">
        <v>2.1141993600712833E-3</v>
      </c>
      <c r="K2172" s="518">
        <v>1.3788377161794559E-4</v>
      </c>
      <c r="L2172" s="519">
        <v>1.4411826392033439E-4</v>
      </c>
    </row>
    <row r="2173" spans="1:12" ht="15.5" x14ac:dyDescent="0.35">
      <c r="A2173" s="143" t="s">
        <v>842</v>
      </c>
      <c r="B2173" s="229">
        <v>2019</v>
      </c>
      <c r="C2173" s="514" t="s">
        <v>2997</v>
      </c>
      <c r="D2173" s="515">
        <v>4.4142378535393975E-2</v>
      </c>
      <c r="E2173" s="516">
        <v>3.1402369666954956E-2</v>
      </c>
      <c r="F2173" s="145">
        <v>0.1351466628522259</v>
      </c>
      <c r="G2173" s="145">
        <v>1.9126316934895326E-3</v>
      </c>
      <c r="H2173" s="517">
        <v>2.0000005732018801E-3</v>
      </c>
      <c r="I2173" s="517">
        <v>1.5750004513964799E-2</v>
      </c>
      <c r="J2173" s="148">
        <v>2.0737963947571013E-3</v>
      </c>
      <c r="K2173" s="518">
        <v>1.2698124114808069E-4</v>
      </c>
      <c r="L2173" s="519">
        <v>1.3272276940188462E-4</v>
      </c>
    </row>
    <row r="2174" spans="1:12" ht="15.5" x14ac:dyDescent="0.35">
      <c r="A2174" s="143" t="s">
        <v>842</v>
      </c>
      <c r="B2174" s="229">
        <v>2020</v>
      </c>
      <c r="C2174" s="514" t="s">
        <v>2998</v>
      </c>
      <c r="D2174" s="515">
        <v>4.2876779325859073E-2</v>
      </c>
      <c r="E2174" s="516">
        <v>2.6577242176251663E-2</v>
      </c>
      <c r="F2174" s="145">
        <v>0.11639894690687068</v>
      </c>
      <c r="G2174" s="145">
        <v>1.8448153046995777E-3</v>
      </c>
      <c r="H2174" s="517">
        <v>2.0000005732018797E-3</v>
      </c>
      <c r="I2174" s="517">
        <v>1.5750004513964799E-2</v>
      </c>
      <c r="J2174" s="148">
        <v>2.0007068786348217E-3</v>
      </c>
      <c r="K2174" s="518">
        <v>1.178363551877467E-4</v>
      </c>
      <c r="L2174" s="519">
        <v>1.2316439227825495E-4</v>
      </c>
    </row>
    <row r="2175" spans="1:12" ht="15.5" x14ac:dyDescent="0.35">
      <c r="A2175" s="143" t="s">
        <v>842</v>
      </c>
      <c r="B2175" s="229">
        <v>2021</v>
      </c>
      <c r="C2175" s="514" t="s">
        <v>2999</v>
      </c>
      <c r="D2175" s="515">
        <v>4.1599753030730637E-2</v>
      </c>
      <c r="E2175" s="516">
        <v>2.2503660039745989E-2</v>
      </c>
      <c r="F2175" s="145">
        <v>0.10011728041415754</v>
      </c>
      <c r="G2175" s="145">
        <v>1.7363419270385743E-3</v>
      </c>
      <c r="H2175" s="517">
        <v>2.0000005732018801E-3</v>
      </c>
      <c r="I2175" s="517">
        <v>1.5750004513964799E-2</v>
      </c>
      <c r="J2175" s="148">
        <v>1.8833731259423818E-3</v>
      </c>
      <c r="K2175" s="518">
        <v>1.0792641421661673E-4</v>
      </c>
      <c r="L2175" s="519">
        <v>1.1280636775112207E-4</v>
      </c>
    </row>
    <row r="2176" spans="1:12" ht="15.5" x14ac:dyDescent="0.35">
      <c r="A2176" s="143" t="s">
        <v>842</v>
      </c>
      <c r="B2176" s="229">
        <v>2022</v>
      </c>
      <c r="C2176" s="514" t="s">
        <v>3000</v>
      </c>
      <c r="D2176" s="515">
        <v>4.0329671885160519E-2</v>
      </c>
      <c r="E2176" s="516">
        <v>1.8398020194770361E-2</v>
      </c>
      <c r="F2176" s="145">
        <v>8.567553347539171E-2</v>
      </c>
      <c r="G2176" s="145">
        <v>1.6323461484442981E-3</v>
      </c>
      <c r="H2176" s="517">
        <v>2.0000005732018801E-3</v>
      </c>
      <c r="I2176" s="517">
        <v>1.5750004513964796E-2</v>
      </c>
      <c r="J2176" s="148">
        <v>1.7710687948596182E-3</v>
      </c>
      <c r="K2176" s="518">
        <v>9.7436920185247342E-5</v>
      </c>
      <c r="L2176" s="519">
        <v>1.0184258534609452E-4</v>
      </c>
    </row>
    <row r="2177" spans="1:12" ht="15.5" x14ac:dyDescent="0.35">
      <c r="A2177" s="143" t="s">
        <v>842</v>
      </c>
      <c r="B2177" s="229">
        <v>2023</v>
      </c>
      <c r="C2177" s="514" t="s">
        <v>3001</v>
      </c>
      <c r="D2177" s="515">
        <v>3.9079913676726009E-2</v>
      </c>
      <c r="E2177" s="516">
        <v>1.583145297982707E-2</v>
      </c>
      <c r="F2177" s="145">
        <v>7.4496047304460244E-2</v>
      </c>
      <c r="G2177" s="145">
        <v>1.5425686817582039E-3</v>
      </c>
      <c r="H2177" s="517">
        <v>2.0000005732018805E-3</v>
      </c>
      <c r="I2177" s="517">
        <v>1.5750004513964799E-2</v>
      </c>
      <c r="J2177" s="148">
        <v>1.6739002600388718E-3</v>
      </c>
      <c r="K2177" s="518">
        <v>8.7613297597525388E-5</v>
      </c>
      <c r="L2177" s="519">
        <v>9.1574782136635353E-5</v>
      </c>
    </row>
    <row r="2178" spans="1:12" ht="15.5" x14ac:dyDescent="0.35">
      <c r="A2178" s="143" t="s">
        <v>842</v>
      </c>
      <c r="B2178" s="229">
        <v>2024</v>
      </c>
      <c r="C2178" s="514" t="s">
        <v>3002</v>
      </c>
      <c r="D2178" s="515">
        <v>3.7840620651809369E-2</v>
      </c>
      <c r="E2178" s="516">
        <v>1.3623293113957888E-2</v>
      </c>
      <c r="F2178" s="145">
        <v>6.5049117680725702E-2</v>
      </c>
      <c r="G2178" s="145">
        <v>1.4614838048490827E-3</v>
      </c>
      <c r="H2178" s="517">
        <v>2.0000005732018801E-3</v>
      </c>
      <c r="I2178" s="517">
        <v>1.5750004513964803E-2</v>
      </c>
      <c r="J2178" s="148">
        <v>1.586199985215358E-3</v>
      </c>
      <c r="K2178" s="518">
        <v>7.7425109467411655E-5</v>
      </c>
      <c r="L2178" s="519">
        <v>8.0925929348693137E-5</v>
      </c>
    </row>
    <row r="2179" spans="1:12" ht="15.5" x14ac:dyDescent="0.35">
      <c r="A2179" s="143" t="s">
        <v>842</v>
      </c>
      <c r="B2179" s="229">
        <v>2025</v>
      </c>
      <c r="C2179" s="514" t="s">
        <v>3003</v>
      </c>
      <c r="D2179" s="515">
        <v>3.6623200388191605E-2</v>
      </c>
      <c r="E2179" s="516">
        <v>1.1918124957730064E-2</v>
      </c>
      <c r="F2179" s="145">
        <v>5.7656886121113422E-2</v>
      </c>
      <c r="G2179" s="145">
        <v>1.3987503193175618E-3</v>
      </c>
      <c r="H2179" s="517">
        <v>2.0000005732018801E-3</v>
      </c>
      <c r="I2179" s="517">
        <v>1.5750004513964799E-2</v>
      </c>
      <c r="J2179" s="148">
        <v>1.5182315588432541E-3</v>
      </c>
      <c r="K2179" s="518">
        <v>7.1631301142154472E-5</v>
      </c>
      <c r="L2179" s="519">
        <v>7.4870150720611454E-5</v>
      </c>
    </row>
    <row r="2180" spans="1:12" ht="15.5" x14ac:dyDescent="0.35">
      <c r="A2180" s="143" t="s">
        <v>842</v>
      </c>
      <c r="B2180" s="229">
        <v>2026</v>
      </c>
      <c r="C2180" s="514" t="s">
        <v>3004</v>
      </c>
      <c r="D2180" s="515">
        <v>3.552763674430879E-2</v>
      </c>
      <c r="E2180" s="516">
        <v>1.0541690098980525E-2</v>
      </c>
      <c r="F2180" s="145">
        <v>5.1718439226228895E-2</v>
      </c>
      <c r="G2180" s="145">
        <v>1.3345524416834131E-3</v>
      </c>
      <c r="H2180" s="517">
        <v>2.0000005732018805E-3</v>
      </c>
      <c r="I2180" s="517">
        <v>1.5750004513964799E-2</v>
      </c>
      <c r="J2180" s="148">
        <v>1.4487078364204429E-3</v>
      </c>
      <c r="K2180" s="518">
        <v>6.4635496365841164E-5</v>
      </c>
      <c r="L2180" s="519">
        <v>6.7558026695737234E-5</v>
      </c>
    </row>
    <row r="2181" spans="1:12" ht="15.5" x14ac:dyDescent="0.35">
      <c r="A2181" s="143" t="s">
        <v>842</v>
      </c>
      <c r="B2181" s="229">
        <v>2027</v>
      </c>
      <c r="C2181" s="514" t="s">
        <v>3005</v>
      </c>
      <c r="D2181" s="515">
        <v>3.4527584094135859E-2</v>
      </c>
      <c r="E2181" s="516">
        <v>9.3450038876615928E-3</v>
      </c>
      <c r="F2181" s="145">
        <v>4.6637496307129003E-2</v>
      </c>
      <c r="G2181" s="145">
        <v>1.2585400715260163E-3</v>
      </c>
      <c r="H2181" s="517">
        <v>2.0000005732018797E-3</v>
      </c>
      <c r="I2181" s="517">
        <v>1.5750004513964799E-2</v>
      </c>
      <c r="J2181" s="148">
        <v>1.3664849365056869E-3</v>
      </c>
      <c r="K2181" s="518">
        <v>5.4092858657565531E-5</v>
      </c>
      <c r="L2181" s="519">
        <v>5.6538697692555381E-5</v>
      </c>
    </row>
    <row r="2182" spans="1:12" ht="15.5" x14ac:dyDescent="0.35">
      <c r="A2182" s="143" t="s">
        <v>842</v>
      </c>
      <c r="B2182" s="229">
        <v>2028</v>
      </c>
      <c r="C2182" s="514" t="s">
        <v>3006</v>
      </c>
      <c r="D2182" s="515">
        <v>3.3624968657941852E-2</v>
      </c>
      <c r="E2182" s="516">
        <v>8.3436664913057474E-3</v>
      </c>
      <c r="F2182" s="145">
        <v>4.2400499786775424E-2</v>
      </c>
      <c r="G2182" s="145">
        <v>1.1781268637408024E-3</v>
      </c>
      <c r="H2182" s="517">
        <v>2.0000005732018797E-3</v>
      </c>
      <c r="I2182" s="517">
        <v>1.5750004513964799E-2</v>
      </c>
      <c r="J2182" s="148">
        <v>1.2793711756637978E-3</v>
      </c>
      <c r="K2182" s="518">
        <v>4.600001838429032E-5</v>
      </c>
      <c r="L2182" s="519">
        <v>4.8079935093569537E-5</v>
      </c>
    </row>
    <row r="2183" spans="1:12" ht="15.5" x14ac:dyDescent="0.35">
      <c r="A2183" s="143" t="s">
        <v>842</v>
      </c>
      <c r="B2183" s="229">
        <v>2029</v>
      </c>
      <c r="C2183" s="514" t="s">
        <v>3007</v>
      </c>
      <c r="D2183" s="515">
        <v>3.2809021348110506E-2</v>
      </c>
      <c r="E2183" s="516">
        <v>7.4409362008915876E-3</v>
      </c>
      <c r="F2183" s="145">
        <v>3.8676942106799943E-2</v>
      </c>
      <c r="G2183" s="145">
        <v>1.1029938742600832E-3</v>
      </c>
      <c r="H2183" s="517">
        <v>2.0000005732018805E-3</v>
      </c>
      <c r="I2183" s="517">
        <v>1.5750004513964799E-2</v>
      </c>
      <c r="J2183" s="148">
        <v>1.1978745909230169E-3</v>
      </c>
      <c r="K2183" s="518">
        <v>4.0869799165310911E-5</v>
      </c>
      <c r="L2183" s="519">
        <v>4.2717750126518441E-5</v>
      </c>
    </row>
    <row r="2184" spans="1:12" ht="15.5" x14ac:dyDescent="0.35">
      <c r="A2184" s="143" t="s">
        <v>842</v>
      </c>
      <c r="B2184" s="229">
        <v>2030</v>
      </c>
      <c r="C2184" s="514" t="s">
        <v>3008</v>
      </c>
      <c r="D2184" s="515">
        <v>3.2080954242159031E-2</v>
      </c>
      <c r="E2184" s="516">
        <v>6.7080706572696562E-3</v>
      </c>
      <c r="F2184" s="145">
        <v>3.5636821546926732E-2</v>
      </c>
      <c r="G2184" s="145">
        <v>1.0326348750615783E-3</v>
      </c>
      <c r="H2184" s="517">
        <v>2.0000005732018801E-3</v>
      </c>
      <c r="I2184" s="517">
        <v>1.5750004513964799E-2</v>
      </c>
      <c r="J2184" s="148">
        <v>1.1215746938780132E-3</v>
      </c>
      <c r="K2184" s="518">
        <v>3.5632497747882164E-5</v>
      </c>
      <c r="L2184" s="519">
        <v>3.7243641179174373E-5</v>
      </c>
    </row>
    <row r="2185" spans="1:12" ht="15.5" x14ac:dyDescent="0.35">
      <c r="A2185" s="143" t="s">
        <v>842</v>
      </c>
      <c r="B2185" s="229">
        <v>2031</v>
      </c>
      <c r="C2185" s="514" t="s">
        <v>3009</v>
      </c>
      <c r="D2185" s="515">
        <v>3.1429429551282646E-2</v>
      </c>
      <c r="E2185" s="516">
        <v>6.0586191265871924E-3</v>
      </c>
      <c r="F2185" s="145">
        <v>3.2983053657491379E-2</v>
      </c>
      <c r="G2185" s="145">
        <v>9.6886336970045117E-4</v>
      </c>
      <c r="H2185" s="517">
        <v>2.0000005732018801E-3</v>
      </c>
      <c r="I2185" s="517">
        <v>1.5750004513964799E-2</v>
      </c>
      <c r="J2185" s="148">
        <v>1.0523157159625443E-3</v>
      </c>
      <c r="K2185" s="518">
        <v>3.3311526457544951E-5</v>
      </c>
      <c r="L2185" s="519">
        <v>3.4817725866245727E-5</v>
      </c>
    </row>
    <row r="2186" spans="1:12" ht="15.5" x14ac:dyDescent="0.35">
      <c r="A2186" s="143" t="s">
        <v>842</v>
      </c>
      <c r="B2186" s="229">
        <v>2032</v>
      </c>
      <c r="C2186" s="514" t="s">
        <v>3010</v>
      </c>
      <c r="D2186" s="515">
        <v>3.0852985506854912E-2</v>
      </c>
      <c r="E2186" s="516">
        <v>5.4938991292706697E-3</v>
      </c>
      <c r="F2186" s="145">
        <v>3.0756499292926821E-2</v>
      </c>
      <c r="G2186" s="145">
        <v>9.0983960839109148E-4</v>
      </c>
      <c r="H2186" s="517">
        <v>2.0000005732018801E-3</v>
      </c>
      <c r="I2186" s="517">
        <v>1.5750004513964799E-2</v>
      </c>
      <c r="J2186" s="148">
        <v>9.8820874646564599E-4</v>
      </c>
      <c r="K2186" s="518">
        <v>3.1264212758461833E-5</v>
      </c>
      <c r="L2186" s="519">
        <v>3.2677841726510086E-5</v>
      </c>
    </row>
    <row r="2187" spans="1:12" ht="15.5" x14ac:dyDescent="0.35">
      <c r="A2187" s="143" t="s">
        <v>842</v>
      </c>
      <c r="B2187" s="229">
        <v>2033</v>
      </c>
      <c r="C2187" s="514" t="s">
        <v>3011</v>
      </c>
      <c r="D2187" s="515">
        <v>3.0346784352120286E-2</v>
      </c>
      <c r="E2187" s="516">
        <v>4.9911636447552577E-3</v>
      </c>
      <c r="F2187" s="145">
        <v>2.8835627197862673E-2</v>
      </c>
      <c r="G2187" s="145">
        <v>8.5480254583157004E-4</v>
      </c>
      <c r="H2187" s="517">
        <v>2.0000005732018805E-3</v>
      </c>
      <c r="I2187" s="517">
        <v>1.5750004513964803E-2</v>
      </c>
      <c r="J2187" s="148">
        <v>9.2843580961698242E-4</v>
      </c>
      <c r="K2187" s="518">
        <v>2.9260933566346198E-5</v>
      </c>
      <c r="L2187" s="519">
        <v>3.0583983138746745E-5</v>
      </c>
    </row>
    <row r="2188" spans="1:12" ht="15.5" x14ac:dyDescent="0.35">
      <c r="A2188" s="143" t="s">
        <v>842</v>
      </c>
      <c r="B2188" s="229">
        <v>2034</v>
      </c>
      <c r="C2188" s="514" t="s">
        <v>3012</v>
      </c>
      <c r="D2188" s="515">
        <v>2.9897006888419717E-2</v>
      </c>
      <c r="E2188" s="516">
        <v>4.5449680476178436E-3</v>
      </c>
      <c r="F2188" s="145">
        <v>2.7203013440695457E-2</v>
      </c>
      <c r="G2188" s="145">
        <v>8.0430364737613244E-4</v>
      </c>
      <c r="H2188" s="517">
        <v>2.0000005732018801E-3</v>
      </c>
      <c r="I2188" s="517">
        <v>1.5750004513964799E-2</v>
      </c>
      <c r="J2188" s="148">
        <v>8.7358293084869437E-4</v>
      </c>
      <c r="K2188" s="518">
        <v>2.7626013053200281E-5</v>
      </c>
      <c r="L2188" s="519">
        <v>2.8875138774848672E-5</v>
      </c>
    </row>
    <row r="2189" spans="1:12" ht="15.5" x14ac:dyDescent="0.35">
      <c r="A2189" s="143" t="s">
        <v>842</v>
      </c>
      <c r="B2189" s="229">
        <v>2035</v>
      </c>
      <c r="C2189" s="514" t="s">
        <v>3013</v>
      </c>
      <c r="D2189" s="515">
        <v>2.9499323340936599E-2</v>
      </c>
      <c r="E2189" s="516">
        <v>4.1554897899981572E-3</v>
      </c>
      <c r="F2189" s="145">
        <v>2.5855506933198283E-2</v>
      </c>
      <c r="G2189" s="145">
        <v>7.5704358677316445E-4</v>
      </c>
      <c r="H2189" s="517">
        <v>2.0000005732018801E-3</v>
      </c>
      <c r="I2189" s="517">
        <v>1.5750004513964796E-2</v>
      </c>
      <c r="J2189" s="148">
        <v>8.2230018817642115E-4</v>
      </c>
      <c r="K2189" s="518">
        <v>2.4867702450507007E-5</v>
      </c>
      <c r="L2189" s="519">
        <v>2.5992109606523582E-5</v>
      </c>
    </row>
    <row r="2190" spans="1:12" ht="15.5" x14ac:dyDescent="0.35">
      <c r="A2190" s="143" t="s">
        <v>842</v>
      </c>
      <c r="B2190" s="229">
        <v>2036</v>
      </c>
      <c r="C2190" s="514" t="s">
        <v>3014</v>
      </c>
      <c r="D2190" s="515">
        <v>2.91554659220714E-2</v>
      </c>
      <c r="E2190" s="516">
        <v>3.8134599177977626E-3</v>
      </c>
      <c r="F2190" s="145">
        <v>2.4701484923322345E-2</v>
      </c>
      <c r="G2190" s="145">
        <v>7.1720096895569669E-4</v>
      </c>
      <c r="H2190" s="517">
        <v>2.0000005732018805E-3</v>
      </c>
      <c r="I2190" s="517">
        <v>1.5750004513964803E-2</v>
      </c>
      <c r="J2190" s="148">
        <v>7.7902915986800586E-4</v>
      </c>
      <c r="K2190" s="518">
        <v>2.3417487471558612E-5</v>
      </c>
      <c r="L2190" s="519">
        <v>2.4476322341460829E-5</v>
      </c>
    </row>
    <row r="2191" spans="1:12" ht="15.5" x14ac:dyDescent="0.35">
      <c r="A2191" s="143" t="s">
        <v>842</v>
      </c>
      <c r="B2191" s="229">
        <v>2037</v>
      </c>
      <c r="C2191" s="514" t="s">
        <v>3015</v>
      </c>
      <c r="D2191" s="515">
        <v>2.8858828832057488E-2</v>
      </c>
      <c r="E2191" s="516">
        <v>3.5199783588389841E-3</v>
      </c>
      <c r="F2191" s="145">
        <v>2.3744368478440914E-2</v>
      </c>
      <c r="G2191" s="145">
        <v>6.8173187703595177E-4</v>
      </c>
      <c r="H2191" s="517">
        <v>2.0000005732018801E-3</v>
      </c>
      <c r="I2191" s="517">
        <v>1.5750004513964803E-2</v>
      </c>
      <c r="J2191" s="148">
        <v>7.4050636787114884E-4</v>
      </c>
      <c r="K2191" s="518">
        <v>2.216484210994657E-5</v>
      </c>
      <c r="L2191" s="519">
        <v>2.3167037915128221E-5</v>
      </c>
    </row>
    <row r="2192" spans="1:12" ht="15.5" x14ac:dyDescent="0.35">
      <c r="A2192" s="143" t="s">
        <v>842</v>
      </c>
      <c r="B2192" s="229">
        <v>2038</v>
      </c>
      <c r="C2192" s="514" t="s">
        <v>3016</v>
      </c>
      <c r="D2192" s="515">
        <v>2.8607123539999082E-2</v>
      </c>
      <c r="E2192" s="516">
        <v>3.2479700978758582E-3</v>
      </c>
      <c r="F2192" s="145">
        <v>2.2851159824739935E-2</v>
      </c>
      <c r="G2192" s="145">
        <v>6.5017288265994022E-4</v>
      </c>
      <c r="H2192" s="517">
        <v>2.0000005732018801E-3</v>
      </c>
      <c r="I2192" s="517">
        <v>1.5750004513964803E-2</v>
      </c>
      <c r="J2192" s="148">
        <v>7.0622235959612832E-4</v>
      </c>
      <c r="K2192" s="518">
        <v>2.123795242349742E-5</v>
      </c>
      <c r="L2192" s="519">
        <v>2.2198238390069827E-5</v>
      </c>
    </row>
    <row r="2193" spans="1:12" ht="15.5" x14ac:dyDescent="0.35">
      <c r="A2193" s="143" t="s">
        <v>842</v>
      </c>
      <c r="B2193" s="229">
        <v>2039</v>
      </c>
      <c r="C2193" s="514" t="s">
        <v>3017</v>
      </c>
      <c r="D2193" s="515">
        <v>2.839156308915337E-2</v>
      </c>
      <c r="E2193" s="516">
        <v>2.9949226074947664E-3</v>
      </c>
      <c r="F2193" s="145">
        <v>2.202674158675192E-2</v>
      </c>
      <c r="G2193" s="145">
        <v>6.2210499201087617E-4</v>
      </c>
      <c r="H2193" s="517">
        <v>2.0000005732018805E-3</v>
      </c>
      <c r="I2193" s="517">
        <v>1.5750004513964799E-2</v>
      </c>
      <c r="J2193" s="148">
        <v>6.7573111327101751E-4</v>
      </c>
      <c r="K2193" s="518">
        <v>2.0408568775246762E-5</v>
      </c>
      <c r="L2193" s="519">
        <v>2.1331353693580754E-5</v>
      </c>
    </row>
    <row r="2194" spans="1:12" ht="15.5" x14ac:dyDescent="0.35">
      <c r="A2194" s="143" t="s">
        <v>842</v>
      </c>
      <c r="B2194" s="229">
        <v>2040</v>
      </c>
      <c r="C2194" s="514" t="s">
        <v>3018</v>
      </c>
      <c r="D2194" s="515">
        <v>2.8208138067981666E-2</v>
      </c>
      <c r="E2194" s="516">
        <v>2.7753636341890219E-3</v>
      </c>
      <c r="F2194" s="145">
        <v>2.1360586230139395E-2</v>
      </c>
      <c r="G2194" s="145">
        <v>5.9767365133941909E-4</v>
      </c>
      <c r="H2194" s="517">
        <v>2.0000005732018801E-3</v>
      </c>
      <c r="I2194" s="517">
        <v>1.5750004513964796E-2</v>
      </c>
      <c r="J2194" s="148">
        <v>6.4918677745298453E-4</v>
      </c>
      <c r="K2194" s="518">
        <v>1.9771970137185186E-5</v>
      </c>
      <c r="L2194" s="519">
        <v>2.066597088997065E-5</v>
      </c>
    </row>
    <row r="2195" spans="1:12" ht="15.5" x14ac:dyDescent="0.35">
      <c r="A2195" s="143" t="s">
        <v>842</v>
      </c>
      <c r="B2195" s="229">
        <v>2041</v>
      </c>
      <c r="C2195" s="514" t="s">
        <v>3019</v>
      </c>
      <c r="D2195" s="515">
        <v>2.8056057675791054E-2</v>
      </c>
      <c r="E2195" s="516">
        <v>2.6018378206495965E-3</v>
      </c>
      <c r="F2195" s="145">
        <v>2.0812077924331981E-2</v>
      </c>
      <c r="G2195" s="145">
        <v>5.7868664841764718E-4</v>
      </c>
      <c r="H2195" s="517">
        <v>2.0000005732018801E-3</v>
      </c>
      <c r="I2195" s="517">
        <v>1.5750004513964799E-2</v>
      </c>
      <c r="J2195" s="148">
        <v>6.285591751617383E-4</v>
      </c>
      <c r="K2195" s="518">
        <v>1.9241104842385161E-5</v>
      </c>
      <c r="L2195" s="519">
        <v>2.0111102222219605E-5</v>
      </c>
    </row>
    <row r="2196" spans="1:12" ht="15.5" x14ac:dyDescent="0.35">
      <c r="A2196" s="143" t="s">
        <v>842</v>
      </c>
      <c r="B2196" s="229">
        <v>2042</v>
      </c>
      <c r="C2196" s="514" t="s">
        <v>3020</v>
      </c>
      <c r="D2196" s="515">
        <v>2.792666640667275E-2</v>
      </c>
      <c r="E2196" s="516">
        <v>2.4538501986315388E-3</v>
      </c>
      <c r="F2196" s="145">
        <v>2.0314218766582362E-2</v>
      </c>
      <c r="G2196" s="145">
        <v>5.6238668955407823E-4</v>
      </c>
      <c r="H2196" s="517">
        <v>2.0000005732018801E-3</v>
      </c>
      <c r="I2196" s="517">
        <v>1.5750004513964799E-2</v>
      </c>
      <c r="J2196" s="148">
        <v>6.1085113612978966E-4</v>
      </c>
      <c r="K2196" s="518">
        <v>1.8777313925277547E-5</v>
      </c>
      <c r="L2196" s="519">
        <v>1.9626340737882111E-5</v>
      </c>
    </row>
    <row r="2197" spans="1:12" ht="15.5" x14ac:dyDescent="0.35">
      <c r="A2197" s="143" t="s">
        <v>842</v>
      </c>
      <c r="B2197" s="229">
        <v>2043</v>
      </c>
      <c r="C2197" s="514" t="s">
        <v>3021</v>
      </c>
      <c r="D2197" s="515">
        <v>2.7819427777630894E-2</v>
      </c>
      <c r="E2197" s="516">
        <v>2.3423136926722559E-3</v>
      </c>
      <c r="F2197" s="145">
        <v>1.9941512187311439E-2</v>
      </c>
      <c r="G2197" s="145">
        <v>5.4855636051737253E-4</v>
      </c>
      <c r="H2197" s="517">
        <v>2.0000005732018801E-3</v>
      </c>
      <c r="I2197" s="517">
        <v>1.5750004513964799E-2</v>
      </c>
      <c r="J2197" s="148">
        <v>5.9582548747087554E-4</v>
      </c>
      <c r="K2197" s="518">
        <v>1.8397471985731335E-5</v>
      </c>
      <c r="L2197" s="519">
        <v>1.9229324031353282E-5</v>
      </c>
    </row>
    <row r="2198" spans="1:12" ht="15.5" x14ac:dyDescent="0.35">
      <c r="A2198" s="143" t="s">
        <v>842</v>
      </c>
      <c r="B2198" s="229">
        <v>2044</v>
      </c>
      <c r="C2198" s="514" t="s">
        <v>3022</v>
      </c>
      <c r="D2198" s="515">
        <v>2.7727448816865893E-2</v>
      </c>
      <c r="E2198" s="516">
        <v>2.2585594002450349E-3</v>
      </c>
      <c r="F2198" s="145">
        <v>1.9642166923576222E-2</v>
      </c>
      <c r="G2198" s="145">
        <v>5.3675124578114329E-4</v>
      </c>
      <c r="H2198" s="517">
        <v>2.0000005732018801E-3</v>
      </c>
      <c r="I2198" s="517">
        <v>1.5750004513964799E-2</v>
      </c>
      <c r="J2198" s="148">
        <v>5.8300192387283846E-4</v>
      </c>
      <c r="K2198" s="518">
        <v>1.802990768370462E-5</v>
      </c>
      <c r="L2198" s="519">
        <v>1.8845140102631312E-5</v>
      </c>
    </row>
    <row r="2199" spans="1:12" ht="15.5" x14ac:dyDescent="0.35">
      <c r="A2199" s="143" t="s">
        <v>842</v>
      </c>
      <c r="B2199" s="229">
        <v>2045</v>
      </c>
      <c r="C2199" s="514" t="s">
        <v>3023</v>
      </c>
      <c r="D2199" s="515">
        <v>2.7647778859353753E-2</v>
      </c>
      <c r="E2199" s="516">
        <v>2.2024790856883503E-3</v>
      </c>
      <c r="F2199" s="145">
        <v>1.9443480182078473E-2</v>
      </c>
      <c r="G2199" s="145">
        <v>5.2680714770501761E-4</v>
      </c>
      <c r="H2199" s="517">
        <v>2.0000005732018801E-3</v>
      </c>
      <c r="I2199" s="517">
        <v>1.5750004513964803E-2</v>
      </c>
      <c r="J2199" s="148">
        <v>5.7219768216229549E-4</v>
      </c>
      <c r="K2199" s="518">
        <v>1.777333939037626E-5</v>
      </c>
      <c r="L2199" s="519">
        <v>1.8576970929583606E-5</v>
      </c>
    </row>
    <row r="2200" spans="1:12" ht="15.5" x14ac:dyDescent="0.35">
      <c r="A2200" s="143" t="s">
        <v>842</v>
      </c>
      <c r="B2200" s="229">
        <v>2046</v>
      </c>
      <c r="C2200" s="514" t="s">
        <v>3024</v>
      </c>
      <c r="D2200" s="515">
        <v>2.758263021262037E-2</v>
      </c>
      <c r="E2200" s="516">
        <v>2.1530705908785579E-3</v>
      </c>
      <c r="F2200" s="145">
        <v>1.9277203538276552E-2</v>
      </c>
      <c r="G2200" s="145">
        <v>5.1844456024242272E-4</v>
      </c>
      <c r="H2200" s="517">
        <v>2.0000005732018801E-3</v>
      </c>
      <c r="I2200" s="517">
        <v>1.5750004513964799E-2</v>
      </c>
      <c r="J2200" s="148">
        <v>5.6311198309795345E-4</v>
      </c>
      <c r="K2200" s="518">
        <v>1.7552037657675806E-5</v>
      </c>
      <c r="L2200" s="519">
        <v>1.8345662914542336E-5</v>
      </c>
    </row>
    <row r="2201" spans="1:12" ht="15.5" x14ac:dyDescent="0.35">
      <c r="A2201" s="143" t="s">
        <v>842</v>
      </c>
      <c r="B2201" s="229">
        <v>2047</v>
      </c>
      <c r="C2201" s="514" t="s">
        <v>3025</v>
      </c>
      <c r="D2201" s="515">
        <v>2.7524961234389064E-2</v>
      </c>
      <c r="E2201" s="516">
        <v>2.1097379979315282E-3</v>
      </c>
      <c r="F2201" s="145">
        <v>1.9126068412177247E-2</v>
      </c>
      <c r="G2201" s="145">
        <v>5.1147815054337572E-4</v>
      </c>
      <c r="H2201" s="517">
        <v>2.0000005732018801E-3</v>
      </c>
      <c r="I2201" s="517">
        <v>1.5750004513964799E-2</v>
      </c>
      <c r="J2201" s="148">
        <v>5.5554396613266088E-4</v>
      </c>
      <c r="K2201" s="518">
        <v>1.7349345828612315E-5</v>
      </c>
      <c r="L2201" s="519">
        <v>1.8133806260400248E-5</v>
      </c>
    </row>
    <row r="2202" spans="1:12" ht="15.5" x14ac:dyDescent="0.35">
      <c r="A2202" s="143" t="s">
        <v>842</v>
      </c>
      <c r="B2202" s="229">
        <v>2048</v>
      </c>
      <c r="C2202" s="514" t="s">
        <v>3026</v>
      </c>
      <c r="D2202" s="515">
        <v>2.7478302090373448E-2</v>
      </c>
      <c r="E2202" s="516">
        <v>2.0747719852289158E-3</v>
      </c>
      <c r="F2202" s="145">
        <v>1.9000761477569624E-2</v>
      </c>
      <c r="G2202" s="145">
        <v>5.0566710294257483E-4</v>
      </c>
      <c r="H2202" s="517">
        <v>2.0000005732018805E-3</v>
      </c>
      <c r="I2202" s="517">
        <v>1.5750004513964799E-2</v>
      </c>
      <c r="J2202" s="148">
        <v>5.4923202325098878E-4</v>
      </c>
      <c r="K2202" s="518">
        <v>1.7158160941563191E-5</v>
      </c>
      <c r="L2202" s="519">
        <v>1.7933976841129123E-5</v>
      </c>
    </row>
    <row r="2203" spans="1:12" ht="15.5" x14ac:dyDescent="0.35">
      <c r="A2203" s="143" t="s">
        <v>842</v>
      </c>
      <c r="B2203" s="229">
        <v>2049</v>
      </c>
      <c r="C2203" s="514" t="s">
        <v>3027</v>
      </c>
      <c r="D2203" s="515">
        <v>2.7437207052038996E-2</v>
      </c>
      <c r="E2203" s="516">
        <v>2.0616177018062663E-3</v>
      </c>
      <c r="F2203" s="145">
        <v>1.9001454259801955E-2</v>
      </c>
      <c r="G2203" s="145">
        <v>5.0200074012141983E-4</v>
      </c>
      <c r="H2203" s="517">
        <v>2.0000005732018805E-3</v>
      </c>
      <c r="I2203" s="517">
        <v>1.5750004513964799E-2</v>
      </c>
      <c r="J2203" s="148">
        <v>5.4525054212519982E-4</v>
      </c>
      <c r="K2203" s="518">
        <v>1.7016028364277121E-5</v>
      </c>
      <c r="L2203" s="519">
        <v>1.7785417659402177E-5</v>
      </c>
    </row>
    <row r="2204" spans="1:12" ht="15.5" x14ac:dyDescent="0.35">
      <c r="A2204" s="143" t="s">
        <v>842</v>
      </c>
      <c r="B2204" s="229">
        <v>2050</v>
      </c>
      <c r="C2204" s="514" t="s">
        <v>3028</v>
      </c>
      <c r="D2204" s="515">
        <v>2.740417818086377E-2</v>
      </c>
      <c r="E2204" s="516">
        <v>2.0513328237001483E-3</v>
      </c>
      <c r="F2204" s="145">
        <v>1.9006060722862241E-2</v>
      </c>
      <c r="G2204" s="145">
        <v>4.9901781290093649E-4</v>
      </c>
      <c r="H2204" s="517">
        <v>2.0000005732018801E-3</v>
      </c>
      <c r="I2204" s="517">
        <v>1.5750004513964799E-2</v>
      </c>
      <c r="J2204" s="148">
        <v>5.420122993188216E-4</v>
      </c>
      <c r="K2204" s="518">
        <v>1.6875317677688399E-5</v>
      </c>
      <c r="L2204" s="519">
        <v>1.7638344659960338E-5</v>
      </c>
    </row>
    <row r="2205" spans="1:12" ht="15.5" x14ac:dyDescent="0.35">
      <c r="A2205" s="143" t="s">
        <v>858</v>
      </c>
      <c r="B2205" s="229">
        <v>2015</v>
      </c>
      <c r="C2205" s="514" t="s">
        <v>3029</v>
      </c>
      <c r="D2205" s="515">
        <v>4.8260611278034465E-2</v>
      </c>
      <c r="E2205" s="516">
        <v>0.11034545706501209</v>
      </c>
      <c r="F2205" s="145">
        <v>0.38564736053027615</v>
      </c>
      <c r="G2205" s="145">
        <v>3.4129201496763029E-3</v>
      </c>
      <c r="H2205" s="517">
        <v>2.0000005732018797E-3</v>
      </c>
      <c r="I2205" s="517">
        <v>1.5750004513964796E-2</v>
      </c>
      <c r="J2205" s="148">
        <v>3.6854777982756339E-3</v>
      </c>
      <c r="K2205" s="518">
        <v>3.8668613815877068E-4</v>
      </c>
      <c r="L2205" s="519">
        <v>4.0417036943198601E-4</v>
      </c>
    </row>
    <row r="2206" spans="1:12" ht="15.5" x14ac:dyDescent="0.35">
      <c r="A2206" s="143" t="s">
        <v>858</v>
      </c>
      <c r="B2206" s="229">
        <v>2016</v>
      </c>
      <c r="C2206" s="514" t="s">
        <v>3030</v>
      </c>
      <c r="D2206" s="515">
        <v>4.7364348605140535E-2</v>
      </c>
      <c r="E2206" s="516">
        <v>9.2288804480581146E-2</v>
      </c>
      <c r="F2206" s="145">
        <v>0.33705688951560592</v>
      </c>
      <c r="G2206" s="145">
        <v>3.0770690344034137E-3</v>
      </c>
      <c r="H2206" s="517">
        <v>2.0000005732018797E-3</v>
      </c>
      <c r="I2206" s="517">
        <v>1.5750004513964799E-2</v>
      </c>
      <c r="J2206" s="148">
        <v>3.3248077493728901E-3</v>
      </c>
      <c r="K2206" s="518">
        <v>3.5249188852613946E-4</v>
      </c>
      <c r="L2206" s="519">
        <v>3.6843000756570229E-4</v>
      </c>
    </row>
    <row r="2207" spans="1:12" ht="15.5" x14ac:dyDescent="0.35">
      <c r="A2207" s="143" t="s">
        <v>858</v>
      </c>
      <c r="B2207" s="229">
        <v>2017</v>
      </c>
      <c r="C2207" s="514" t="s">
        <v>3031</v>
      </c>
      <c r="D2207" s="515">
        <v>4.6232526560177713E-2</v>
      </c>
      <c r="E2207" s="516">
        <v>7.7762139227578075E-2</v>
      </c>
      <c r="F2207" s="145">
        <v>0.29419677168578873</v>
      </c>
      <c r="G2207" s="145">
        <v>2.8348818185211411E-3</v>
      </c>
      <c r="H2207" s="517">
        <v>2.0000005732018805E-3</v>
      </c>
      <c r="I2207" s="517">
        <v>1.5750004513964803E-2</v>
      </c>
      <c r="J2207" s="148">
        <v>3.0650856779042891E-3</v>
      </c>
      <c r="K2207" s="518">
        <v>3.1845403518396319E-4</v>
      </c>
      <c r="L2207" s="519">
        <v>3.3285311353613008E-4</v>
      </c>
    </row>
    <row r="2208" spans="1:12" ht="15.5" x14ac:dyDescent="0.35">
      <c r="A2208" s="143" t="s">
        <v>858</v>
      </c>
      <c r="B2208" s="229">
        <v>2018</v>
      </c>
      <c r="C2208" s="514" t="s">
        <v>3032</v>
      </c>
      <c r="D2208" s="515">
        <v>4.5060864424509364E-2</v>
      </c>
      <c r="E2208" s="516">
        <v>6.4758276846356641E-2</v>
      </c>
      <c r="F2208" s="145">
        <v>0.2550725901376068</v>
      </c>
      <c r="G2208" s="145">
        <v>2.6410685732531063E-3</v>
      </c>
      <c r="H2208" s="517">
        <v>2.0000005732018805E-3</v>
      </c>
      <c r="I2208" s="517">
        <v>1.5750004513964803E-2</v>
      </c>
      <c r="J2208" s="148">
        <v>2.8573392827576168E-3</v>
      </c>
      <c r="K2208" s="518">
        <v>2.9103782118635553E-4</v>
      </c>
      <c r="L2208" s="519">
        <v>3.0419725999919798E-4</v>
      </c>
    </row>
    <row r="2209" spans="1:12" ht="15.5" x14ac:dyDescent="0.35">
      <c r="A2209" s="143" t="s">
        <v>858</v>
      </c>
      <c r="B2209" s="229">
        <v>2019</v>
      </c>
      <c r="C2209" s="514" t="s">
        <v>3033</v>
      </c>
      <c r="D2209" s="515">
        <v>4.3837401526688982E-2</v>
      </c>
      <c r="E2209" s="516">
        <v>5.4182150376771716E-2</v>
      </c>
      <c r="F2209" s="145">
        <v>0.22117956984114467</v>
      </c>
      <c r="G2209" s="145">
        <v>2.4862070765770987E-3</v>
      </c>
      <c r="H2209" s="517">
        <v>2.0000005732018805E-3</v>
      </c>
      <c r="I2209" s="517">
        <v>1.5750004513964799E-2</v>
      </c>
      <c r="J2209" s="148">
        <v>2.6911891048300822E-3</v>
      </c>
      <c r="K2209" s="518">
        <v>2.6677125857807747E-4</v>
      </c>
      <c r="L2209" s="519">
        <v>2.7883347111105049E-4</v>
      </c>
    </row>
    <row r="2210" spans="1:12" ht="15.5" x14ac:dyDescent="0.35">
      <c r="A2210" s="143" t="s">
        <v>858</v>
      </c>
      <c r="B2210" s="229">
        <v>2020</v>
      </c>
      <c r="C2210" s="514" t="s">
        <v>3034</v>
      </c>
      <c r="D2210" s="515">
        <v>4.2587144192337563E-2</v>
      </c>
      <c r="E2210" s="516">
        <v>4.6532625801637487E-2</v>
      </c>
      <c r="F2210" s="145">
        <v>0.19237744943854182</v>
      </c>
      <c r="G2210" s="145">
        <v>2.3406764582444366E-3</v>
      </c>
      <c r="H2210" s="517">
        <v>2.0000005732018805E-3</v>
      </c>
      <c r="I2210" s="517">
        <v>1.5750004513964803E-2</v>
      </c>
      <c r="J2210" s="148">
        <v>2.534335011412306E-3</v>
      </c>
      <c r="K2210" s="518">
        <v>2.4264436074346107E-4</v>
      </c>
      <c r="L2210" s="519">
        <v>2.5361566201787639E-4</v>
      </c>
    </row>
    <row r="2211" spans="1:12" ht="15.5" x14ac:dyDescent="0.35">
      <c r="A2211" s="143" t="s">
        <v>858</v>
      </c>
      <c r="B2211" s="229">
        <v>2021</v>
      </c>
      <c r="C2211" s="514" t="s">
        <v>3035</v>
      </c>
      <c r="D2211" s="515">
        <v>4.1316248392716741E-2</v>
      </c>
      <c r="E2211" s="516">
        <v>3.9668755845462693E-2</v>
      </c>
      <c r="F2211" s="145">
        <v>0.16603151758594423</v>
      </c>
      <c r="G2211" s="145">
        <v>2.1710029428026081E-3</v>
      </c>
      <c r="H2211" s="517">
        <v>2.0000005732018805E-3</v>
      </c>
      <c r="I2211" s="517">
        <v>1.5750004513964799E-2</v>
      </c>
      <c r="J2211" s="148">
        <v>2.3512737445479186E-3</v>
      </c>
      <c r="K2211" s="518">
        <v>2.1657249625065849E-4</v>
      </c>
      <c r="L2211" s="519">
        <v>2.2636494350489458E-4</v>
      </c>
    </row>
    <row r="2212" spans="1:12" ht="15.5" x14ac:dyDescent="0.35">
      <c r="A2212" s="143" t="s">
        <v>858</v>
      </c>
      <c r="B2212" s="229">
        <v>2022</v>
      </c>
      <c r="C2212" s="514" t="s">
        <v>3036</v>
      </c>
      <c r="D2212" s="515">
        <v>4.0046508861335983E-2</v>
      </c>
      <c r="E2212" s="516">
        <v>3.3254495493116043E-2</v>
      </c>
      <c r="F2212" s="145">
        <v>0.14285685071965387</v>
      </c>
      <c r="G2212" s="145">
        <v>2.0114974646287163E-3</v>
      </c>
      <c r="H2212" s="517">
        <v>2.0000005732018801E-3</v>
      </c>
      <c r="I2212" s="517">
        <v>1.5750004513964799E-2</v>
      </c>
      <c r="J2212" s="148">
        <v>2.1792149344140475E-3</v>
      </c>
      <c r="K2212" s="518">
        <v>1.9370020662826717E-4</v>
      </c>
      <c r="L2212" s="519">
        <v>2.0245847044006047E-4</v>
      </c>
    </row>
    <row r="2213" spans="1:12" ht="15.5" x14ac:dyDescent="0.35">
      <c r="A2213" s="143" t="s">
        <v>858</v>
      </c>
      <c r="B2213" s="229">
        <v>2023</v>
      </c>
      <c r="C2213" s="514" t="s">
        <v>3037</v>
      </c>
      <c r="D2213" s="515">
        <v>3.8792870690157744E-2</v>
      </c>
      <c r="E2213" s="516">
        <v>2.8606637942129101E-2</v>
      </c>
      <c r="F2213" s="145">
        <v>0.1237702962692644</v>
      </c>
      <c r="G2213" s="145">
        <v>1.8687165699354986E-3</v>
      </c>
      <c r="H2213" s="517">
        <v>2.0000005732018797E-3</v>
      </c>
      <c r="I2213" s="517">
        <v>1.5750004513964799E-2</v>
      </c>
      <c r="J2213" s="148">
        <v>2.0249273742981881E-3</v>
      </c>
      <c r="K2213" s="518">
        <v>1.7256233328172692E-4</v>
      </c>
      <c r="L2213" s="519">
        <v>1.8036483625871407E-4</v>
      </c>
    </row>
    <row r="2214" spans="1:12" ht="15.5" x14ac:dyDescent="0.35">
      <c r="A2214" s="143" t="s">
        <v>858</v>
      </c>
      <c r="B2214" s="229">
        <v>2024</v>
      </c>
      <c r="C2214" s="514" t="s">
        <v>3038</v>
      </c>
      <c r="D2214" s="515">
        <v>3.7560908532043816E-2</v>
      </c>
      <c r="E2214" s="516">
        <v>2.4468051584997014E-2</v>
      </c>
      <c r="F2214" s="145">
        <v>0.10705096624192377</v>
      </c>
      <c r="G2214" s="145">
        <v>1.7321372960835948E-3</v>
      </c>
      <c r="H2214" s="517">
        <v>2.0000005732018801E-3</v>
      </c>
      <c r="I2214" s="517">
        <v>1.5750004513964799E-2</v>
      </c>
      <c r="J2214" s="148">
        <v>1.8775434536210617E-3</v>
      </c>
      <c r="K2214" s="518">
        <v>1.4817779321747214E-4</v>
      </c>
      <c r="L2214" s="519">
        <v>1.5487773549754732E-4</v>
      </c>
    </row>
    <row r="2215" spans="1:12" ht="15.5" x14ac:dyDescent="0.35">
      <c r="A2215" s="143" t="s">
        <v>858</v>
      </c>
      <c r="B2215" s="229">
        <v>2025</v>
      </c>
      <c r="C2215" s="514" t="s">
        <v>3039</v>
      </c>
      <c r="D2215" s="515">
        <v>3.6352922595448658E-2</v>
      </c>
      <c r="E2215" s="516">
        <v>2.1263317201350176E-2</v>
      </c>
      <c r="F2215" s="145">
        <v>9.3773456677834321E-2</v>
      </c>
      <c r="G2215" s="145">
        <v>1.6308875943260076E-3</v>
      </c>
      <c r="H2215" s="517">
        <v>2.0000005732018801E-3</v>
      </c>
      <c r="I2215" s="517">
        <v>1.5750004513964803E-2</v>
      </c>
      <c r="J2215" s="148">
        <v>1.7681479935293383E-3</v>
      </c>
      <c r="K2215" s="518">
        <v>1.3187480763296496E-4</v>
      </c>
      <c r="L2215" s="519">
        <v>1.3783760124833533E-4</v>
      </c>
    </row>
    <row r="2216" spans="1:12" ht="15.5" x14ac:dyDescent="0.35">
      <c r="A2216" s="143" t="s">
        <v>858</v>
      </c>
      <c r="B2216" s="229">
        <v>2026</v>
      </c>
      <c r="C2216" s="514" t="s">
        <v>3040</v>
      </c>
      <c r="D2216" s="515">
        <v>3.5250736066788808E-2</v>
      </c>
      <c r="E2216" s="516">
        <v>1.8649231874449401E-2</v>
      </c>
      <c r="F2216" s="145">
        <v>8.2943361854827188E-2</v>
      </c>
      <c r="G2216" s="145">
        <v>1.5432059488644729E-3</v>
      </c>
      <c r="H2216" s="517">
        <v>2.0000005732018801E-3</v>
      </c>
      <c r="I2216" s="517">
        <v>1.5750004513964799E-2</v>
      </c>
      <c r="J2216" s="148">
        <v>1.6734590326373852E-3</v>
      </c>
      <c r="K2216" s="518">
        <v>1.1603697655305448E-4</v>
      </c>
      <c r="L2216" s="519">
        <v>1.2128365372632611E-4</v>
      </c>
    </row>
    <row r="2217" spans="1:12" ht="15.5" x14ac:dyDescent="0.35">
      <c r="A2217" s="143" t="s">
        <v>858</v>
      </c>
      <c r="B2217" s="229">
        <v>2027</v>
      </c>
      <c r="C2217" s="514" t="s">
        <v>3041</v>
      </c>
      <c r="D2217" s="515">
        <v>3.4239216135635714E-2</v>
      </c>
      <c r="E2217" s="516">
        <v>1.6388299449979014E-2</v>
      </c>
      <c r="F2217" s="145">
        <v>7.3582199757532621E-2</v>
      </c>
      <c r="G2217" s="145">
        <v>1.4456265352555044E-3</v>
      </c>
      <c r="H2217" s="517">
        <v>2.0000005732018805E-3</v>
      </c>
      <c r="I2217" s="517">
        <v>1.5750004513964799E-2</v>
      </c>
      <c r="J2217" s="148">
        <v>1.5683684996794871E-3</v>
      </c>
      <c r="K2217" s="518">
        <v>9.1615233006380232E-5</v>
      </c>
      <c r="L2217" s="519">
        <v>9.5757667306353226E-5</v>
      </c>
    </row>
    <row r="2218" spans="1:12" ht="15.5" x14ac:dyDescent="0.35">
      <c r="A2218" s="143" t="s">
        <v>858</v>
      </c>
      <c r="B2218" s="229">
        <v>2028</v>
      </c>
      <c r="C2218" s="514" t="s">
        <v>3042</v>
      </c>
      <c r="D2218" s="515">
        <v>3.3324384726205226E-2</v>
      </c>
      <c r="E2218" s="516">
        <v>1.4495529832113366E-2</v>
      </c>
      <c r="F2218" s="145">
        <v>6.5711432476752332E-2</v>
      </c>
      <c r="G2218" s="145">
        <v>1.3519361720388512E-3</v>
      </c>
      <c r="H2218" s="517">
        <v>2.0000005732018797E-3</v>
      </c>
      <c r="I2218" s="517">
        <v>1.5750004513964799E-2</v>
      </c>
      <c r="J2218" s="148">
        <v>1.4672581831114901E-3</v>
      </c>
      <c r="K2218" s="518">
        <v>7.3055015157846967E-5</v>
      </c>
      <c r="L2218" s="519">
        <v>7.6358238766456262E-5</v>
      </c>
    </row>
    <row r="2219" spans="1:12" ht="15.5" x14ac:dyDescent="0.35">
      <c r="A2219" s="143" t="s">
        <v>858</v>
      </c>
      <c r="B2219" s="229">
        <v>2029</v>
      </c>
      <c r="C2219" s="514" t="s">
        <v>3043</v>
      </c>
      <c r="D2219" s="515">
        <v>3.2497355103754344E-2</v>
      </c>
      <c r="E2219" s="516">
        <v>1.2768020519724348E-2</v>
      </c>
      <c r="F2219" s="145">
        <v>5.8664054189038681E-2</v>
      </c>
      <c r="G2219" s="145">
        <v>1.2669189749471544E-3</v>
      </c>
      <c r="H2219" s="517">
        <v>2.0000005732018801E-3</v>
      </c>
      <c r="I2219" s="517">
        <v>1.5750004513964799E-2</v>
      </c>
      <c r="J2219" s="148">
        <v>1.3751990392945716E-3</v>
      </c>
      <c r="K2219" s="518">
        <v>6.3502010227381567E-5</v>
      </c>
      <c r="L2219" s="519">
        <v>6.6373289343866761E-5</v>
      </c>
    </row>
    <row r="2220" spans="1:12" ht="15.5" x14ac:dyDescent="0.35">
      <c r="A2220" s="143" t="s">
        <v>858</v>
      </c>
      <c r="B2220" s="229">
        <v>2030</v>
      </c>
      <c r="C2220" s="514" t="s">
        <v>3044</v>
      </c>
      <c r="D2220" s="515">
        <v>3.1754427723000377E-2</v>
      </c>
      <c r="E2220" s="516">
        <v>1.1308152026278391E-2</v>
      </c>
      <c r="F2220" s="145">
        <v>5.2678770726484983E-2</v>
      </c>
      <c r="G2220" s="145">
        <v>1.1820404368989522E-3</v>
      </c>
      <c r="H2220" s="517">
        <v>2.0000005732018797E-3</v>
      </c>
      <c r="I2220" s="517">
        <v>1.5750004513964799E-2</v>
      </c>
      <c r="J2220" s="148">
        <v>1.283405306210511E-3</v>
      </c>
      <c r="K2220" s="518">
        <v>5.1244473445930341E-5</v>
      </c>
      <c r="L2220" s="519">
        <v>5.3561521141172219E-5</v>
      </c>
    </row>
    <row r="2221" spans="1:12" ht="15.5" x14ac:dyDescent="0.35">
      <c r="A2221" s="143" t="s">
        <v>858</v>
      </c>
      <c r="B2221" s="229">
        <v>2031</v>
      </c>
      <c r="C2221" s="514" t="s">
        <v>3045</v>
      </c>
      <c r="D2221" s="515">
        <v>3.1088635392551276E-2</v>
      </c>
      <c r="E2221" s="516">
        <v>1.0000675751446999E-2</v>
      </c>
      <c r="F2221" s="145">
        <v>4.7395371608266866E-2</v>
      </c>
      <c r="G2221" s="145">
        <v>1.1069786530478437E-3</v>
      </c>
      <c r="H2221" s="517">
        <v>2.0000005732018801E-3</v>
      </c>
      <c r="I2221" s="517">
        <v>1.5750004513964803E-2</v>
      </c>
      <c r="J2221" s="148">
        <v>1.2019586085922694E-3</v>
      </c>
      <c r="K2221" s="518">
        <v>4.6764521022648468E-5</v>
      </c>
      <c r="L2221" s="519">
        <v>4.8879005148803968E-5</v>
      </c>
    </row>
    <row r="2222" spans="1:12" ht="15.5" x14ac:dyDescent="0.35">
      <c r="A2222" s="143" t="s">
        <v>858</v>
      </c>
      <c r="B2222" s="229">
        <v>2032</v>
      </c>
      <c r="C2222" s="514" t="s">
        <v>3046</v>
      </c>
      <c r="D2222" s="515">
        <v>3.0497659157920694E-2</v>
      </c>
      <c r="E2222" s="516">
        <v>8.8762797800318628E-3</v>
      </c>
      <c r="F2222" s="145">
        <v>4.2958351467664427E-2</v>
      </c>
      <c r="G2222" s="145">
        <v>1.0366989523867582E-3</v>
      </c>
      <c r="H2222" s="517">
        <v>2.0000005732018805E-3</v>
      </c>
      <c r="I2222" s="517">
        <v>1.5750004513964803E-2</v>
      </c>
      <c r="J2222" s="148">
        <v>1.1257389446190089E-3</v>
      </c>
      <c r="K2222" s="518">
        <v>4.1669077463142709E-5</v>
      </c>
      <c r="L2222" s="519">
        <v>4.355316824223327E-5</v>
      </c>
    </row>
    <row r="2223" spans="1:12" ht="15.5" x14ac:dyDescent="0.35">
      <c r="A2223" s="143" t="s">
        <v>858</v>
      </c>
      <c r="B2223" s="229">
        <v>2033</v>
      </c>
      <c r="C2223" s="514" t="s">
        <v>3047</v>
      </c>
      <c r="D2223" s="515">
        <v>2.9972778327304724E-2</v>
      </c>
      <c r="E2223" s="516">
        <v>7.9138445677881218E-3</v>
      </c>
      <c r="F2223" s="145">
        <v>3.9259406404778818E-2</v>
      </c>
      <c r="G2223" s="145">
        <v>9.7335977344264655E-4</v>
      </c>
      <c r="H2223" s="517">
        <v>2.0000005732018801E-3</v>
      </c>
      <c r="I2223" s="517">
        <v>1.5750004513964796E-2</v>
      </c>
      <c r="J2223" s="148">
        <v>1.0569659666330507E-3</v>
      </c>
      <c r="K2223" s="518">
        <v>3.8975120871073904E-5</v>
      </c>
      <c r="L2223" s="519">
        <v>4.0737402887326399E-5</v>
      </c>
    </row>
    <row r="2224" spans="1:12" ht="15.5" x14ac:dyDescent="0.35">
      <c r="A2224" s="143" t="s">
        <v>858</v>
      </c>
      <c r="B2224" s="229">
        <v>2034</v>
      </c>
      <c r="C2224" s="514" t="s">
        <v>3048</v>
      </c>
      <c r="D2224" s="515">
        <v>2.9509310419159905E-2</v>
      </c>
      <c r="E2224" s="516">
        <v>7.0546847196869249E-3</v>
      </c>
      <c r="F2224" s="145">
        <v>3.607786941100579E-2</v>
      </c>
      <c r="G2224" s="145">
        <v>9.1325113598697766E-4</v>
      </c>
      <c r="H2224" s="517">
        <v>2.0000005732018801E-3</v>
      </c>
      <c r="I2224" s="517">
        <v>1.5750004513964799E-2</v>
      </c>
      <c r="J2224" s="148">
        <v>9.916969274441456E-4</v>
      </c>
      <c r="K2224" s="518">
        <v>3.6506997338027376E-5</v>
      </c>
      <c r="L2224" s="519">
        <v>3.8157681760251573E-5</v>
      </c>
    </row>
    <row r="2225" spans="1:12" ht="15.5" x14ac:dyDescent="0.35">
      <c r="A2225" s="143" t="s">
        <v>858</v>
      </c>
      <c r="B2225" s="229">
        <v>2035</v>
      </c>
      <c r="C2225" s="514" t="s">
        <v>3049</v>
      </c>
      <c r="D2225" s="515">
        <v>2.9101919442699759E-2</v>
      </c>
      <c r="E2225" s="516">
        <v>6.2885541739320337E-3</v>
      </c>
      <c r="F2225" s="145">
        <v>3.3358247925898692E-2</v>
      </c>
      <c r="G2225" s="145">
        <v>8.5610303708387047E-4</v>
      </c>
      <c r="H2225" s="517">
        <v>2.0000005732018805E-3</v>
      </c>
      <c r="I2225" s="517">
        <v>1.5750004513964799E-2</v>
      </c>
      <c r="J2225" s="148">
        <v>9.2965023983356378E-4</v>
      </c>
      <c r="K2225" s="518">
        <v>3.3979977278009536E-5</v>
      </c>
      <c r="L2225" s="519">
        <v>3.5516401066605135E-5</v>
      </c>
    </row>
    <row r="2226" spans="1:12" ht="15.5" x14ac:dyDescent="0.35">
      <c r="A2226" s="143" t="s">
        <v>858</v>
      </c>
      <c r="B2226" s="229">
        <v>2036</v>
      </c>
      <c r="C2226" s="514" t="s">
        <v>3050</v>
      </c>
      <c r="D2226" s="515">
        <v>2.8747304003284718E-2</v>
      </c>
      <c r="E2226" s="516">
        <v>5.6103286378974687E-3</v>
      </c>
      <c r="F2226" s="145">
        <v>3.1016530655386818E-2</v>
      </c>
      <c r="G2226" s="145">
        <v>8.0680185360501241E-4</v>
      </c>
      <c r="H2226" s="517">
        <v>2.0000005732018805E-3</v>
      </c>
      <c r="I2226" s="517">
        <v>1.5750004513964799E-2</v>
      </c>
      <c r="J2226" s="148">
        <v>8.7615692473067821E-4</v>
      </c>
      <c r="K2226" s="518">
        <v>3.1001376850355416E-5</v>
      </c>
      <c r="L2226" s="519">
        <v>3.2403121544956122E-5</v>
      </c>
    </row>
    <row r="2227" spans="1:12" ht="15.5" x14ac:dyDescent="0.35">
      <c r="A2227" s="143" t="s">
        <v>858</v>
      </c>
      <c r="B2227" s="229">
        <v>2037</v>
      </c>
      <c r="C2227" s="514" t="s">
        <v>3051</v>
      </c>
      <c r="D2227" s="515">
        <v>2.8440479301910685E-2</v>
      </c>
      <c r="E2227" s="516">
        <v>5.0225326234866041E-3</v>
      </c>
      <c r="F2227" s="145">
        <v>2.9032459399116903E-2</v>
      </c>
      <c r="G2227" s="145">
        <v>7.6272406102239189E-4</v>
      </c>
      <c r="H2227" s="517">
        <v>2.0000005732018797E-3</v>
      </c>
      <c r="I2227" s="517">
        <v>1.5750004513964799E-2</v>
      </c>
      <c r="J2227" s="148">
        <v>8.2829292864728928E-4</v>
      </c>
      <c r="K2227" s="518">
        <v>2.9240341992860759E-5</v>
      </c>
      <c r="L2227" s="519">
        <v>3.0562460505682046E-5</v>
      </c>
    </row>
    <row r="2228" spans="1:12" ht="15.5" x14ac:dyDescent="0.35">
      <c r="A2228" s="143" t="s">
        <v>858</v>
      </c>
      <c r="B2228" s="229">
        <v>2038</v>
      </c>
      <c r="C2228" s="514" t="s">
        <v>3052</v>
      </c>
      <c r="D2228" s="515">
        <v>2.8177985226714834E-2</v>
      </c>
      <c r="E2228" s="516">
        <v>4.4925925690122593E-3</v>
      </c>
      <c r="F2228" s="145">
        <v>2.7252028095521262E-2</v>
      </c>
      <c r="G2228" s="145">
        <v>7.2213085738238316E-4</v>
      </c>
      <c r="H2228" s="517">
        <v>2.0000005732018801E-3</v>
      </c>
      <c r="I2228" s="517">
        <v>1.5750004513964799E-2</v>
      </c>
      <c r="J2228" s="148">
        <v>7.8421347273325767E-4</v>
      </c>
      <c r="K2228" s="518">
        <v>2.7603629456322457E-5</v>
      </c>
      <c r="L2228" s="519">
        <v>2.8851743091045797E-5</v>
      </c>
    </row>
    <row r="2229" spans="1:12" ht="15.5" x14ac:dyDescent="0.35">
      <c r="A2229" s="143" t="s">
        <v>858</v>
      </c>
      <c r="B2229" s="229">
        <v>2039</v>
      </c>
      <c r="C2229" s="514" t="s">
        <v>3053</v>
      </c>
      <c r="D2229" s="515">
        <v>2.795223560692844E-2</v>
      </c>
      <c r="E2229" s="516">
        <v>3.9911369085122933E-3</v>
      </c>
      <c r="F2229" s="145">
        <v>2.559010124172063E-2</v>
      </c>
      <c r="G2229" s="145">
        <v>6.8459239213776847E-4</v>
      </c>
      <c r="H2229" s="517">
        <v>2.0000005732018801E-3</v>
      </c>
      <c r="I2229" s="517">
        <v>1.5750004513964796E-2</v>
      </c>
      <c r="J2229" s="148">
        <v>7.4344590674214146E-4</v>
      </c>
      <c r="K2229" s="518">
        <v>2.6212737152017157E-5</v>
      </c>
      <c r="L2229" s="519">
        <v>2.7397960808733002E-5</v>
      </c>
    </row>
    <row r="2230" spans="1:12" ht="15.5" x14ac:dyDescent="0.35">
      <c r="A2230" s="143" t="s">
        <v>858</v>
      </c>
      <c r="B2230" s="229">
        <v>2040</v>
      </c>
      <c r="C2230" s="514" t="s">
        <v>3054</v>
      </c>
      <c r="D2230" s="515">
        <v>2.7760005620661228E-2</v>
      </c>
      <c r="E2230" s="516">
        <v>3.5278474752778177E-3</v>
      </c>
      <c r="F2230" s="145">
        <v>2.4138967542960046E-2</v>
      </c>
      <c r="G2230" s="145">
        <v>6.4983238373528924E-4</v>
      </c>
      <c r="H2230" s="517">
        <v>2.0000005732018805E-3</v>
      </c>
      <c r="I2230" s="517">
        <v>1.5750004513964803E-2</v>
      </c>
      <c r="J2230" s="148">
        <v>7.0569475722765816E-4</v>
      </c>
      <c r="K2230" s="518">
        <v>2.4949485235806293E-5</v>
      </c>
      <c r="L2230" s="519">
        <v>2.6077590246468365E-5</v>
      </c>
    </row>
    <row r="2231" spans="1:12" ht="15.5" x14ac:dyDescent="0.35">
      <c r="A2231" s="143" t="s">
        <v>858</v>
      </c>
      <c r="B2231" s="229">
        <v>2041</v>
      </c>
      <c r="C2231" s="514" t="s">
        <v>3055</v>
      </c>
      <c r="D2231" s="515">
        <v>2.7599732778667351E-2</v>
      </c>
      <c r="E2231" s="516">
        <v>3.1639819894409026E-3</v>
      </c>
      <c r="F2231" s="145">
        <v>2.2976436444433618E-2</v>
      </c>
      <c r="G2231" s="145">
        <v>6.2408027504268844E-4</v>
      </c>
      <c r="H2231" s="517">
        <v>2.0000005732018801E-3</v>
      </c>
      <c r="I2231" s="517">
        <v>1.5750004513964799E-2</v>
      </c>
      <c r="J2231" s="148">
        <v>6.7773401410324953E-4</v>
      </c>
      <c r="K2231" s="518">
        <v>2.3839775005217282E-5</v>
      </c>
      <c r="L2231" s="519">
        <v>2.4917703843518389E-5</v>
      </c>
    </row>
    <row r="2232" spans="1:12" ht="15.5" x14ac:dyDescent="0.35">
      <c r="A2232" s="143" t="s">
        <v>858</v>
      </c>
      <c r="B2232" s="229">
        <v>2042</v>
      </c>
      <c r="C2232" s="514" t="s">
        <v>3056</v>
      </c>
      <c r="D2232" s="515">
        <v>2.7462817560581821E-2</v>
      </c>
      <c r="E2232" s="516">
        <v>2.852834911381366E-3</v>
      </c>
      <c r="F2232" s="145">
        <v>2.1945403863406408E-2</v>
      </c>
      <c r="G2232" s="145">
        <v>6.0125167101806004E-4</v>
      </c>
      <c r="H2232" s="517">
        <v>2.0000005732018801E-3</v>
      </c>
      <c r="I2232" s="517">
        <v>1.5750004513964796E-2</v>
      </c>
      <c r="J2232" s="148">
        <v>6.529425451145969E-4</v>
      </c>
      <c r="K2232" s="518">
        <v>2.2973221561785667E-5</v>
      </c>
      <c r="L2232" s="519">
        <v>2.4011968698648725E-5</v>
      </c>
    </row>
    <row r="2233" spans="1:12" ht="15.5" x14ac:dyDescent="0.35">
      <c r="A2233" s="143" t="s">
        <v>858</v>
      </c>
      <c r="B2233" s="229">
        <v>2043</v>
      </c>
      <c r="C2233" s="514" t="s">
        <v>3057</v>
      </c>
      <c r="D2233" s="515">
        <v>2.7348248807696891E-2</v>
      </c>
      <c r="E2233" s="516">
        <v>2.6229028950161509E-3</v>
      </c>
      <c r="F2233" s="145">
        <v>2.1179045449773556E-2</v>
      </c>
      <c r="G2233" s="145">
        <v>5.8108908232777851E-4</v>
      </c>
      <c r="H2233" s="517">
        <v>2.0000005732018801E-3</v>
      </c>
      <c r="I2233" s="517">
        <v>1.5750004513964803E-2</v>
      </c>
      <c r="J2233" s="148">
        <v>6.310493216028347E-4</v>
      </c>
      <c r="K2233" s="518">
        <v>2.2137097101126044E-5</v>
      </c>
      <c r="L2233" s="519">
        <v>2.3138038400125396E-5</v>
      </c>
    </row>
    <row r="2234" spans="1:12" ht="15.5" x14ac:dyDescent="0.35">
      <c r="A2234" s="143" t="s">
        <v>858</v>
      </c>
      <c r="B2234" s="229">
        <v>2044</v>
      </c>
      <c r="C2234" s="514" t="s">
        <v>3058</v>
      </c>
      <c r="D2234" s="515">
        <v>2.7250336784758952E-2</v>
      </c>
      <c r="E2234" s="516">
        <v>2.4614547453913073E-3</v>
      </c>
      <c r="F2234" s="145">
        <v>2.0614499353536053E-2</v>
      </c>
      <c r="G2234" s="145">
        <v>5.6349136864829532E-4</v>
      </c>
      <c r="H2234" s="517">
        <v>2.0000005732018801E-3</v>
      </c>
      <c r="I2234" s="517">
        <v>1.5750004513964799E-2</v>
      </c>
      <c r="J2234" s="148">
        <v>6.1193727231380389E-4</v>
      </c>
      <c r="K2234" s="518">
        <v>2.1498288017788825E-5</v>
      </c>
      <c r="L2234" s="519">
        <v>2.2470345204712997E-5</v>
      </c>
    </row>
    <row r="2235" spans="1:12" ht="15.5" x14ac:dyDescent="0.35">
      <c r="A2235" s="143" t="s">
        <v>858</v>
      </c>
      <c r="B2235" s="229">
        <v>2045</v>
      </c>
      <c r="C2235" s="514" t="s">
        <v>3059</v>
      </c>
      <c r="D2235" s="515">
        <v>2.716528393999499E-2</v>
      </c>
      <c r="E2235" s="516">
        <v>2.3634936717470091E-3</v>
      </c>
      <c r="F2235" s="145">
        <v>2.0263450715067223E-2</v>
      </c>
      <c r="G2235" s="145">
        <v>5.4815550114693627E-4</v>
      </c>
      <c r="H2235" s="517">
        <v>2.0000005732018801E-3</v>
      </c>
      <c r="I2235" s="517">
        <v>1.5750004513964799E-2</v>
      </c>
      <c r="J2235" s="148">
        <v>5.9528182880134637E-4</v>
      </c>
      <c r="K2235" s="518">
        <v>2.0938729936370562E-5</v>
      </c>
      <c r="L2235" s="519">
        <v>2.1885486389855233E-5</v>
      </c>
    </row>
    <row r="2236" spans="1:12" ht="15.5" x14ac:dyDescent="0.35">
      <c r="A2236" s="143" t="s">
        <v>858</v>
      </c>
      <c r="B2236" s="229">
        <v>2046</v>
      </c>
      <c r="C2236" s="514" t="s">
        <v>3060</v>
      </c>
      <c r="D2236" s="515">
        <v>2.7092546182150998E-2</v>
      </c>
      <c r="E2236" s="516">
        <v>2.2800087241163104E-3</v>
      </c>
      <c r="F2236" s="145">
        <v>1.9984760541382894E-2</v>
      </c>
      <c r="G2236" s="145">
        <v>5.3485083767732737E-4</v>
      </c>
      <c r="H2236" s="517">
        <v>2.0000005732018805E-3</v>
      </c>
      <c r="I2236" s="517">
        <v>1.5750004513964799E-2</v>
      </c>
      <c r="J2236" s="148">
        <v>5.8083314455954663E-4</v>
      </c>
      <c r="K2236" s="518">
        <v>2.0434874625974992E-5</v>
      </c>
      <c r="L2236" s="519">
        <v>2.13588489781484E-5</v>
      </c>
    </row>
    <row r="2237" spans="1:12" ht="15.5" x14ac:dyDescent="0.35">
      <c r="A2237" s="143" t="s">
        <v>858</v>
      </c>
      <c r="B2237" s="229">
        <v>2047</v>
      </c>
      <c r="C2237" s="514" t="s">
        <v>3061</v>
      </c>
      <c r="D2237" s="515">
        <v>2.7031961526009406E-2</v>
      </c>
      <c r="E2237" s="516">
        <v>2.2094083037866694E-3</v>
      </c>
      <c r="F2237" s="145">
        <v>1.9746514894919766E-2</v>
      </c>
      <c r="G2237" s="145">
        <v>5.2346974744278988E-4</v>
      </c>
      <c r="H2237" s="517">
        <v>2.0000005732018805E-3</v>
      </c>
      <c r="I2237" s="517">
        <v>1.5750004513964803E-2</v>
      </c>
      <c r="J2237" s="148">
        <v>5.68476292418498E-4</v>
      </c>
      <c r="K2237" s="518">
        <v>1.9936430459528953E-5</v>
      </c>
      <c r="L2237" s="519">
        <v>2.0837867378308918E-5</v>
      </c>
    </row>
    <row r="2238" spans="1:12" ht="15.5" x14ac:dyDescent="0.35">
      <c r="A2238" s="143" t="s">
        <v>858</v>
      </c>
      <c r="B2238" s="229">
        <v>2048</v>
      </c>
      <c r="C2238" s="514" t="s">
        <v>3062</v>
      </c>
      <c r="D2238" s="515">
        <v>2.6980207296573685E-2</v>
      </c>
      <c r="E2238" s="516">
        <v>2.1516478666529599E-3</v>
      </c>
      <c r="F2238" s="145">
        <v>1.954899479661263E-2</v>
      </c>
      <c r="G2238" s="145">
        <v>5.1374444159671406E-4</v>
      </c>
      <c r="H2238" s="517">
        <v>2.0000005732018797E-3</v>
      </c>
      <c r="I2238" s="517">
        <v>1.5750004513964796E-2</v>
      </c>
      <c r="J2238" s="148">
        <v>5.5791819406219136E-4</v>
      </c>
      <c r="K2238" s="518">
        <v>1.9486665464963275E-5</v>
      </c>
      <c r="L2238" s="519">
        <v>2.0367766006491581E-5</v>
      </c>
    </row>
    <row r="2239" spans="1:12" ht="15.5" x14ac:dyDescent="0.35">
      <c r="A2239" s="143" t="s">
        <v>858</v>
      </c>
      <c r="B2239" s="229">
        <v>2049</v>
      </c>
      <c r="C2239" s="514" t="s">
        <v>3063</v>
      </c>
      <c r="D2239" s="515">
        <v>2.6935344512812372E-2</v>
      </c>
      <c r="E2239" s="516">
        <v>2.1293421243360083E-3</v>
      </c>
      <c r="F2239" s="145">
        <v>1.9546139416047988E-2</v>
      </c>
      <c r="G2239" s="145">
        <v>5.0757529861011506E-4</v>
      </c>
      <c r="H2239" s="517">
        <v>2.0000005732018801E-3</v>
      </c>
      <c r="I2239" s="517">
        <v>1.5750004513964803E-2</v>
      </c>
      <c r="J2239" s="148">
        <v>5.512246934766355E-4</v>
      </c>
      <c r="K2239" s="518">
        <v>1.9108965543258039E-5</v>
      </c>
      <c r="L2239" s="519">
        <v>1.9972988170345411E-5</v>
      </c>
    </row>
    <row r="2240" spans="1:12" ht="15.5" x14ac:dyDescent="0.35">
      <c r="A2240" s="143" t="s">
        <v>858</v>
      </c>
      <c r="B2240" s="229">
        <v>2050</v>
      </c>
      <c r="C2240" s="514" t="s">
        <v>3064</v>
      </c>
      <c r="D2240" s="515">
        <v>2.6897878375638444E-2</v>
      </c>
      <c r="E2240" s="516">
        <v>2.1111141936358069E-3</v>
      </c>
      <c r="F2240" s="145">
        <v>1.955000092503336E-2</v>
      </c>
      <c r="G2240" s="145">
        <v>5.0255058234030027E-4</v>
      </c>
      <c r="H2240" s="517">
        <v>2.0000005732018805E-3</v>
      </c>
      <c r="I2240" s="517">
        <v>1.5750004513964803E-2</v>
      </c>
      <c r="J2240" s="148">
        <v>5.4577032257912606E-4</v>
      </c>
      <c r="K2240" s="518">
        <v>1.886197231870564E-5</v>
      </c>
      <c r="L2240" s="519">
        <v>1.9714827008194959E-5</v>
      </c>
    </row>
    <row r="2241" spans="1:12" ht="15.5" x14ac:dyDescent="0.35">
      <c r="A2241" s="143" t="s">
        <v>859</v>
      </c>
      <c r="B2241" s="229">
        <v>2015</v>
      </c>
      <c r="C2241" s="514" t="s">
        <v>3065</v>
      </c>
      <c r="D2241" s="515">
        <v>4.3932865872492503E-2</v>
      </c>
      <c r="E2241" s="516">
        <v>0.11395692681705674</v>
      </c>
      <c r="F2241" s="145">
        <v>0.37847720719701416</v>
      </c>
      <c r="G2241" s="145">
        <v>3.3439990217983885E-3</v>
      </c>
      <c r="H2241" s="517">
        <v>2.0000005732018801E-3</v>
      </c>
      <c r="I2241" s="517">
        <v>1.5750004513964799E-2</v>
      </c>
      <c r="J2241" s="148">
        <v>3.6110330506330898E-3</v>
      </c>
      <c r="K2241" s="518">
        <v>4.2699500664083963E-4</v>
      </c>
      <c r="L2241" s="519">
        <v>4.4630182607885828E-4</v>
      </c>
    </row>
    <row r="2242" spans="1:12" ht="15.5" x14ac:dyDescent="0.35">
      <c r="A2242" s="143" t="s">
        <v>859</v>
      </c>
      <c r="B2242" s="229">
        <v>2016</v>
      </c>
      <c r="C2242" s="514" t="s">
        <v>3066</v>
      </c>
      <c r="D2242" s="515">
        <v>4.3223603338233635E-2</v>
      </c>
      <c r="E2242" s="516">
        <v>9.2189672849319546E-2</v>
      </c>
      <c r="F2242" s="145">
        <v>0.32732091502840338</v>
      </c>
      <c r="G2242" s="145">
        <v>2.8829220347683475E-3</v>
      </c>
      <c r="H2242" s="517">
        <v>2.0000005732018801E-3</v>
      </c>
      <c r="I2242" s="517">
        <v>1.5750004513964799E-2</v>
      </c>
      <c r="J2242" s="148">
        <v>3.1202959576771519E-3</v>
      </c>
      <c r="K2242" s="518">
        <v>2.3722917740764016E-4</v>
      </c>
      <c r="L2242" s="519">
        <v>2.4795562812112982E-4</v>
      </c>
    </row>
    <row r="2243" spans="1:12" ht="15.5" x14ac:dyDescent="0.35">
      <c r="A2243" s="143" t="s">
        <v>859</v>
      </c>
      <c r="B2243" s="229">
        <v>2017</v>
      </c>
      <c r="C2243" s="514" t="s">
        <v>3067</v>
      </c>
      <c r="D2243" s="515">
        <v>4.2215307876071202E-2</v>
      </c>
      <c r="E2243" s="516">
        <v>7.7861582168873178E-2</v>
      </c>
      <c r="F2243" s="145">
        <v>0.28868338493600976</v>
      </c>
      <c r="G2243" s="145">
        <v>2.71747636259122E-3</v>
      </c>
      <c r="H2243" s="517">
        <v>2.0000005732018801E-3</v>
      </c>
      <c r="I2243" s="517">
        <v>1.5750004513964799E-2</v>
      </c>
      <c r="J2243" s="148">
        <v>2.942629488370479E-3</v>
      </c>
      <c r="K2243" s="518">
        <v>2.2096741557913656E-4</v>
      </c>
      <c r="L2243" s="519">
        <v>2.3095858158324038E-4</v>
      </c>
    </row>
    <row r="2244" spans="1:12" ht="15.5" x14ac:dyDescent="0.35">
      <c r="A2244" s="143" t="s">
        <v>859</v>
      </c>
      <c r="B2244" s="229">
        <v>2018</v>
      </c>
      <c r="C2244" s="514" t="s">
        <v>3068</v>
      </c>
      <c r="D2244" s="515">
        <v>4.1135670534754337E-2</v>
      </c>
      <c r="E2244" s="516">
        <v>6.533438867764467E-2</v>
      </c>
      <c r="F2244" s="145">
        <v>0.25296376669225834</v>
      </c>
      <c r="G2244" s="145">
        <v>2.5897108196934002E-3</v>
      </c>
      <c r="H2244" s="517">
        <v>2.0000005732018801E-3</v>
      </c>
      <c r="I2244" s="517">
        <v>1.5750004513964799E-2</v>
      </c>
      <c r="J2244" s="148">
        <v>2.8055752570421495E-3</v>
      </c>
      <c r="K2244" s="518">
        <v>2.0564152342075564E-4</v>
      </c>
      <c r="L2244" s="519">
        <v>2.1493972058909676E-4</v>
      </c>
    </row>
    <row r="2245" spans="1:12" ht="15.5" x14ac:dyDescent="0.35">
      <c r="A2245" s="143" t="s">
        <v>859</v>
      </c>
      <c r="B2245" s="229">
        <v>2019</v>
      </c>
      <c r="C2245" s="514" t="s">
        <v>3069</v>
      </c>
      <c r="D2245" s="515">
        <v>4.001631588338863E-2</v>
      </c>
      <c r="E2245" s="516">
        <v>5.419416505678127E-2</v>
      </c>
      <c r="F2245" s="145">
        <v>0.2208092649266368</v>
      </c>
      <c r="G2245" s="145">
        <v>2.4852336369390253E-3</v>
      </c>
      <c r="H2245" s="517">
        <v>2.0000005732018801E-3</v>
      </c>
      <c r="I2245" s="517">
        <v>1.5750004513964799E-2</v>
      </c>
      <c r="J2245" s="148">
        <v>2.6935726503330821E-3</v>
      </c>
      <c r="K2245" s="518">
        <v>1.9199521134386833E-4</v>
      </c>
      <c r="L2245" s="519">
        <v>2.0067638283470594E-4</v>
      </c>
    </row>
    <row r="2246" spans="1:12" ht="15.5" x14ac:dyDescent="0.35">
      <c r="A2246" s="143" t="s">
        <v>859</v>
      </c>
      <c r="B2246" s="229">
        <v>2020</v>
      </c>
      <c r="C2246" s="514" t="s">
        <v>3070</v>
      </c>
      <c r="D2246" s="515">
        <v>3.8872906472282337E-2</v>
      </c>
      <c r="E2246" s="516">
        <v>4.607459232960931E-2</v>
      </c>
      <c r="F2246" s="145">
        <v>0.19226455540367923</v>
      </c>
      <c r="G2246" s="145">
        <v>2.3573525703449406E-3</v>
      </c>
      <c r="H2246" s="517">
        <v>2.0000005732018797E-3</v>
      </c>
      <c r="I2246" s="517">
        <v>1.5750004513964796E-2</v>
      </c>
      <c r="J2246" s="148">
        <v>2.5558083075215491E-3</v>
      </c>
      <c r="K2246" s="518">
        <v>1.69096843570132E-4</v>
      </c>
      <c r="L2246" s="519">
        <v>1.7674265248024339E-4</v>
      </c>
    </row>
    <row r="2247" spans="1:12" ht="15.5" x14ac:dyDescent="0.35">
      <c r="A2247" s="143" t="s">
        <v>859</v>
      </c>
      <c r="B2247" s="229">
        <v>2021</v>
      </c>
      <c r="C2247" s="514" t="s">
        <v>3071</v>
      </c>
      <c r="D2247" s="515">
        <v>3.7713588279926075E-2</v>
      </c>
      <c r="E2247" s="516">
        <v>3.9009404564435378E-2</v>
      </c>
      <c r="F2247" s="145">
        <v>0.16702210136633697</v>
      </c>
      <c r="G2247" s="145">
        <v>2.2052482497953319E-3</v>
      </c>
      <c r="H2247" s="517">
        <v>2.0000005732018797E-3</v>
      </c>
      <c r="I2247" s="517">
        <v>1.5750004513964799E-2</v>
      </c>
      <c r="J2247" s="148">
        <v>2.3914979392497993E-3</v>
      </c>
      <c r="K2247" s="518">
        <v>1.5006495320228877E-4</v>
      </c>
      <c r="L2247" s="519">
        <v>1.5685022448272878E-4</v>
      </c>
    </row>
    <row r="2248" spans="1:12" ht="15.5" x14ac:dyDescent="0.35">
      <c r="A2248" s="143" t="s">
        <v>859</v>
      </c>
      <c r="B2248" s="229">
        <v>2022</v>
      </c>
      <c r="C2248" s="514" t="s">
        <v>3072</v>
      </c>
      <c r="D2248" s="515">
        <v>3.6568015522878208E-2</v>
      </c>
      <c r="E2248" s="516">
        <v>3.2564665906487905E-2</v>
      </c>
      <c r="F2248" s="145">
        <v>0.14535752787511264</v>
      </c>
      <c r="G2248" s="145">
        <v>2.073345566710984E-3</v>
      </c>
      <c r="H2248" s="517">
        <v>2.0000005732018801E-3</v>
      </c>
      <c r="I2248" s="517">
        <v>1.5750004513964799E-2</v>
      </c>
      <c r="J2248" s="148">
        <v>2.2488631556716568E-3</v>
      </c>
      <c r="K2248" s="518">
        <v>1.3870173460117392E-4</v>
      </c>
      <c r="L2248" s="519">
        <v>1.4497321156000685E-4</v>
      </c>
    </row>
    <row r="2249" spans="1:12" ht="15.5" x14ac:dyDescent="0.35">
      <c r="A2249" s="143" t="s">
        <v>859</v>
      </c>
      <c r="B2249" s="229">
        <v>2023</v>
      </c>
      <c r="C2249" s="514" t="s">
        <v>3073</v>
      </c>
      <c r="D2249" s="515">
        <v>3.542774872341873E-2</v>
      </c>
      <c r="E2249" s="516">
        <v>2.7977954310364019E-2</v>
      </c>
      <c r="F2249" s="145">
        <v>0.12691886760740315</v>
      </c>
      <c r="G2249" s="145">
        <v>1.9525231429557324E-3</v>
      </c>
      <c r="H2249" s="517">
        <v>2.0000005732018801E-3</v>
      </c>
      <c r="I2249" s="517">
        <v>1.5750004513964799E-2</v>
      </c>
      <c r="J2249" s="148">
        <v>2.1179822473517624E-3</v>
      </c>
      <c r="K2249" s="518">
        <v>1.283651901447331E-4</v>
      </c>
      <c r="L2249" s="519">
        <v>1.3416929443098289E-4</v>
      </c>
    </row>
    <row r="2250" spans="1:12" ht="15.5" x14ac:dyDescent="0.35">
      <c r="A2250" s="143" t="s">
        <v>859</v>
      </c>
      <c r="B2250" s="229">
        <v>2024</v>
      </c>
      <c r="C2250" s="514" t="s">
        <v>3074</v>
      </c>
      <c r="D2250" s="515">
        <v>3.4301354282464128E-2</v>
      </c>
      <c r="E2250" s="516">
        <v>2.383293659483391E-2</v>
      </c>
      <c r="F2250" s="145">
        <v>0.11087767532563522</v>
      </c>
      <c r="G2250" s="145">
        <v>1.8389687972846021E-3</v>
      </c>
      <c r="H2250" s="517">
        <v>2.0000005732018801E-3</v>
      </c>
      <c r="I2250" s="517">
        <v>1.5750004513964799E-2</v>
      </c>
      <c r="J2250" s="148">
        <v>1.9949990063229707E-3</v>
      </c>
      <c r="K2250" s="518">
        <v>1.1864726252717738E-4</v>
      </c>
      <c r="L2250" s="519">
        <v>1.2401196524922657E-4</v>
      </c>
    </row>
    <row r="2251" spans="1:12" ht="15.5" x14ac:dyDescent="0.35">
      <c r="A2251" s="143" t="s">
        <v>859</v>
      </c>
      <c r="B2251" s="229">
        <v>2025</v>
      </c>
      <c r="C2251" s="514" t="s">
        <v>3075</v>
      </c>
      <c r="D2251" s="515">
        <v>3.3188714799727202E-2</v>
      </c>
      <c r="E2251" s="516">
        <v>2.0825252747095152E-2</v>
      </c>
      <c r="F2251" s="145">
        <v>9.7752410416140675E-2</v>
      </c>
      <c r="G2251" s="145">
        <v>1.7433059230942381E-3</v>
      </c>
      <c r="H2251" s="517">
        <v>2.0000005732018801E-3</v>
      </c>
      <c r="I2251" s="517">
        <v>1.5750004513964799E-2</v>
      </c>
      <c r="J2251" s="148">
        <v>1.8916835651137213E-3</v>
      </c>
      <c r="K2251" s="518">
        <v>1.018671632051349E-4</v>
      </c>
      <c r="L2251" s="519">
        <v>1.0647314429642912E-4</v>
      </c>
    </row>
    <row r="2252" spans="1:12" ht="15.5" x14ac:dyDescent="0.35">
      <c r="A2252" s="143" t="s">
        <v>859</v>
      </c>
      <c r="B2252" s="229">
        <v>2026</v>
      </c>
      <c r="C2252" s="514" t="s">
        <v>3076</v>
      </c>
      <c r="D2252" s="515">
        <v>3.221697831529332E-2</v>
      </c>
      <c r="E2252" s="516">
        <v>1.8290737320637532E-2</v>
      </c>
      <c r="F2252" s="145">
        <v>8.6769120702372637E-2</v>
      </c>
      <c r="G2252" s="145">
        <v>1.6553954683212659E-3</v>
      </c>
      <c r="H2252" s="517">
        <v>2.0000005732018801E-3</v>
      </c>
      <c r="I2252" s="517">
        <v>1.5750004513964799E-2</v>
      </c>
      <c r="J2252" s="148">
        <v>1.796666651425185E-3</v>
      </c>
      <c r="K2252" s="518">
        <v>8.7921452609554627E-5</v>
      </c>
      <c r="L2252" s="519">
        <v>9.1896870550890953E-5</v>
      </c>
    </row>
    <row r="2253" spans="1:12" ht="15.5" x14ac:dyDescent="0.35">
      <c r="A2253" s="143" t="s">
        <v>859</v>
      </c>
      <c r="B2253" s="229">
        <v>2027</v>
      </c>
      <c r="C2253" s="514" t="s">
        <v>3077</v>
      </c>
      <c r="D2253" s="515">
        <v>3.1289065119913112E-2</v>
      </c>
      <c r="E2253" s="516">
        <v>1.6104861162991351E-2</v>
      </c>
      <c r="F2253" s="145">
        <v>7.7361577584247262E-2</v>
      </c>
      <c r="G2253" s="145">
        <v>1.5686383192102373E-3</v>
      </c>
      <c r="H2253" s="517">
        <v>2.0000005732018805E-3</v>
      </c>
      <c r="I2253" s="517">
        <v>1.5750004513964799E-2</v>
      </c>
      <c r="J2253" s="148">
        <v>1.7025972237621285E-3</v>
      </c>
      <c r="K2253" s="518">
        <v>8.1180348030273375E-5</v>
      </c>
      <c r="L2253" s="519">
        <v>8.4850963135743105E-5</v>
      </c>
    </row>
    <row r="2254" spans="1:12" ht="15.5" x14ac:dyDescent="0.35">
      <c r="A2254" s="143" t="s">
        <v>859</v>
      </c>
      <c r="B2254" s="229">
        <v>2028</v>
      </c>
      <c r="C2254" s="514" t="s">
        <v>3078</v>
      </c>
      <c r="D2254" s="515">
        <v>3.0455779934005042E-2</v>
      </c>
      <c r="E2254" s="516">
        <v>1.4223436792919882E-2</v>
      </c>
      <c r="F2254" s="145">
        <v>6.9256679607524144E-2</v>
      </c>
      <c r="G2254" s="145">
        <v>1.4728808263919876E-3</v>
      </c>
      <c r="H2254" s="517">
        <v>2.0000005732018801E-3</v>
      </c>
      <c r="I2254" s="517">
        <v>1.5750004513964799E-2</v>
      </c>
      <c r="J2254" s="148">
        <v>1.5988375731975167E-3</v>
      </c>
      <c r="K2254" s="518">
        <v>7.2086455304009935E-5</v>
      </c>
      <c r="L2254" s="519">
        <v>7.534588493394942E-5</v>
      </c>
    </row>
    <row r="2255" spans="1:12" ht="15.5" x14ac:dyDescent="0.35">
      <c r="A2255" s="143" t="s">
        <v>859</v>
      </c>
      <c r="B2255" s="229">
        <v>2029</v>
      </c>
      <c r="C2255" s="514" t="s">
        <v>3079</v>
      </c>
      <c r="D2255" s="515">
        <v>2.9710970826404559E-2</v>
      </c>
      <c r="E2255" s="516">
        <v>1.2538796035087211E-2</v>
      </c>
      <c r="F2255" s="145">
        <v>6.2223948884771493E-2</v>
      </c>
      <c r="G2255" s="145">
        <v>1.3795509864056852E-3</v>
      </c>
      <c r="H2255" s="517">
        <v>2.0000005732018805E-3</v>
      </c>
      <c r="I2255" s="517">
        <v>1.5750004513964803E-2</v>
      </c>
      <c r="J2255" s="148">
        <v>1.4976924915153747E-3</v>
      </c>
      <c r="K2255" s="518">
        <v>6.3599634239254932E-5</v>
      </c>
      <c r="L2255" s="519">
        <v>6.6475327480356868E-5</v>
      </c>
    </row>
    <row r="2256" spans="1:12" ht="15.5" x14ac:dyDescent="0.35">
      <c r="A2256" s="143" t="s">
        <v>859</v>
      </c>
      <c r="B2256" s="229">
        <v>2030</v>
      </c>
      <c r="C2256" s="514" t="s">
        <v>3080</v>
      </c>
      <c r="D2256" s="515">
        <v>2.9050316791926267E-2</v>
      </c>
      <c r="E2256" s="516">
        <v>1.1134383972664011E-2</v>
      </c>
      <c r="F2256" s="145">
        <v>5.618484064049608E-2</v>
      </c>
      <c r="G2256" s="145">
        <v>1.2908853244316134E-3</v>
      </c>
      <c r="H2256" s="517">
        <v>2.0000005732018801E-3</v>
      </c>
      <c r="I2256" s="517">
        <v>1.5750004513964803E-2</v>
      </c>
      <c r="J2256" s="148">
        <v>1.4015054327960557E-3</v>
      </c>
      <c r="K2256" s="518">
        <v>5.7819464578098298E-5</v>
      </c>
      <c r="L2256" s="519">
        <v>6.0433804196245752E-5</v>
      </c>
    </row>
    <row r="2257" spans="1:12" ht="15.5" x14ac:dyDescent="0.35">
      <c r="A2257" s="143" t="s">
        <v>859</v>
      </c>
      <c r="B2257" s="229">
        <v>2031</v>
      </c>
      <c r="C2257" s="514" t="s">
        <v>3081</v>
      </c>
      <c r="D2257" s="515">
        <v>2.8466985282394996E-2</v>
      </c>
      <c r="E2257" s="516">
        <v>9.8890941157416968E-3</v>
      </c>
      <c r="F2257" s="145">
        <v>5.089870160371493E-2</v>
      </c>
      <c r="G2257" s="145">
        <v>1.2079171557967093E-3</v>
      </c>
      <c r="H2257" s="517">
        <v>2.0000005732018797E-3</v>
      </c>
      <c r="I2257" s="517">
        <v>1.5750004513964796E-2</v>
      </c>
      <c r="J2257" s="148">
        <v>1.3114437669903074E-3</v>
      </c>
      <c r="K2257" s="518">
        <v>5.3718346200251121E-5</v>
      </c>
      <c r="L2257" s="519">
        <v>5.6147251443795584E-5</v>
      </c>
    </row>
    <row r="2258" spans="1:12" ht="15.5" x14ac:dyDescent="0.35">
      <c r="A2258" s="143" t="s">
        <v>859</v>
      </c>
      <c r="B2258" s="229">
        <v>2032</v>
      </c>
      <c r="C2258" s="514" t="s">
        <v>3082</v>
      </c>
      <c r="D2258" s="515">
        <v>2.7954215078310581E-2</v>
      </c>
      <c r="E2258" s="516">
        <v>8.8002951786398127E-3</v>
      </c>
      <c r="F2258" s="145">
        <v>4.6388247375561076E-2</v>
      </c>
      <c r="G2258" s="145">
        <v>1.1274001765505738E-3</v>
      </c>
      <c r="H2258" s="517">
        <v>2.0000005732018801E-3</v>
      </c>
      <c r="I2258" s="517">
        <v>1.5750004513964799E-2</v>
      </c>
      <c r="J2258" s="148">
        <v>1.2241303792436492E-3</v>
      </c>
      <c r="K2258" s="518">
        <v>4.7673047731005891E-5</v>
      </c>
      <c r="L2258" s="519">
        <v>4.9828611403385742E-5</v>
      </c>
    </row>
    <row r="2259" spans="1:12" ht="15.5" x14ac:dyDescent="0.35">
      <c r="A2259" s="143" t="s">
        <v>859</v>
      </c>
      <c r="B2259" s="229">
        <v>2033</v>
      </c>
      <c r="C2259" s="514" t="s">
        <v>3083</v>
      </c>
      <c r="D2259" s="515">
        <v>2.750620057208171E-2</v>
      </c>
      <c r="E2259" s="516">
        <v>7.8575921726398313E-3</v>
      </c>
      <c r="F2259" s="145">
        <v>4.2584635851285489E-2</v>
      </c>
      <c r="G2259" s="145">
        <v>1.0547602519335743E-3</v>
      </c>
      <c r="H2259" s="517">
        <v>2.0000005732018805E-3</v>
      </c>
      <c r="I2259" s="517">
        <v>1.5750004513964803E-2</v>
      </c>
      <c r="J2259" s="148">
        <v>1.1452659440746014E-3</v>
      </c>
      <c r="K2259" s="518">
        <v>4.4413853122143909E-5</v>
      </c>
      <c r="L2259" s="519">
        <v>4.6422050476772939E-5</v>
      </c>
    </row>
    <row r="2260" spans="1:12" ht="15.5" x14ac:dyDescent="0.35">
      <c r="A2260" s="143" t="s">
        <v>859</v>
      </c>
      <c r="B2260" s="229">
        <v>2034</v>
      </c>
      <c r="C2260" s="514" t="s">
        <v>3084</v>
      </c>
      <c r="D2260" s="515">
        <v>2.7116888379651576E-2</v>
      </c>
      <c r="E2260" s="516">
        <v>7.0268786187086358E-3</v>
      </c>
      <c r="F2260" s="145">
        <v>3.9375863967633568E-2</v>
      </c>
      <c r="G2260" s="145">
        <v>9.8416158752168744E-4</v>
      </c>
      <c r="H2260" s="517">
        <v>2.0000005732018805E-3</v>
      </c>
      <c r="I2260" s="517">
        <v>1.5750004513964799E-2</v>
      </c>
      <c r="J2260" s="148">
        <v>1.0687274037148654E-3</v>
      </c>
      <c r="K2260" s="518">
        <v>3.8657044455188492E-5</v>
      </c>
      <c r="L2260" s="519">
        <v>4.0404944467357825E-5</v>
      </c>
    </row>
    <row r="2261" spans="1:12" ht="15.5" x14ac:dyDescent="0.35">
      <c r="A2261" s="143" t="s">
        <v>859</v>
      </c>
      <c r="B2261" s="229">
        <v>2035</v>
      </c>
      <c r="C2261" s="514" t="s">
        <v>3085</v>
      </c>
      <c r="D2261" s="515">
        <v>2.678063084609195E-2</v>
      </c>
      <c r="E2261" s="516">
        <v>6.2640065298993882E-3</v>
      </c>
      <c r="F2261" s="145">
        <v>3.6476342452556286E-2</v>
      </c>
      <c r="G2261" s="145">
        <v>9.195690264174216E-4</v>
      </c>
      <c r="H2261" s="517">
        <v>2.0000005732018801E-3</v>
      </c>
      <c r="I2261" s="517">
        <v>1.5750004513964799E-2</v>
      </c>
      <c r="J2261" s="148">
        <v>9.9858425029094081E-4</v>
      </c>
      <c r="K2261" s="518">
        <v>3.6128465253817999E-5</v>
      </c>
      <c r="L2261" s="519">
        <v>3.7762034134905401E-5</v>
      </c>
    </row>
    <row r="2262" spans="1:12" ht="15.5" x14ac:dyDescent="0.35">
      <c r="A2262" s="143" t="s">
        <v>859</v>
      </c>
      <c r="B2262" s="229">
        <v>2036</v>
      </c>
      <c r="C2262" s="514" t="s">
        <v>3086</v>
      </c>
      <c r="D2262" s="515">
        <v>2.6492478424167212E-2</v>
      </c>
      <c r="E2262" s="516">
        <v>5.6236517446306379E-3</v>
      </c>
      <c r="F2262" s="145">
        <v>3.4107446512701096E-2</v>
      </c>
      <c r="G2262" s="145">
        <v>8.6565871459765682E-4</v>
      </c>
      <c r="H2262" s="517">
        <v>2.0000005732018797E-3</v>
      </c>
      <c r="I2262" s="517">
        <v>1.5750004513964799E-2</v>
      </c>
      <c r="J2262" s="148">
        <v>9.4008726194748805E-4</v>
      </c>
      <c r="K2262" s="518">
        <v>3.2933363959612616E-5</v>
      </c>
      <c r="L2262" s="519">
        <v>3.4422464538228119E-5</v>
      </c>
    </row>
    <row r="2263" spans="1:12" ht="15.5" x14ac:dyDescent="0.35">
      <c r="A2263" s="143" t="s">
        <v>859</v>
      </c>
      <c r="B2263" s="229">
        <v>2037</v>
      </c>
      <c r="C2263" s="514" t="s">
        <v>3087</v>
      </c>
      <c r="D2263" s="515">
        <v>2.6247950606120504E-2</v>
      </c>
      <c r="E2263" s="516">
        <v>5.0638683085602459E-3</v>
      </c>
      <c r="F2263" s="145">
        <v>3.2073568675411591E-2</v>
      </c>
      <c r="G2263" s="145">
        <v>8.1802600110259947E-4</v>
      </c>
      <c r="H2263" s="517">
        <v>2.0000005732018801E-3</v>
      </c>
      <c r="I2263" s="517">
        <v>1.5750004513964799E-2</v>
      </c>
      <c r="J2263" s="148">
        <v>8.8836225176359789E-4</v>
      </c>
      <c r="K2263" s="518">
        <v>3.10475701346481E-5</v>
      </c>
      <c r="L2263" s="519">
        <v>3.2451403484584893E-5</v>
      </c>
    </row>
    <row r="2264" spans="1:12" ht="15.5" x14ac:dyDescent="0.35">
      <c r="A2264" s="143" t="s">
        <v>859</v>
      </c>
      <c r="B2264" s="229">
        <v>2038</v>
      </c>
      <c r="C2264" s="514" t="s">
        <v>3088</v>
      </c>
      <c r="D2264" s="515">
        <v>2.6042192637806178E-2</v>
      </c>
      <c r="E2264" s="516">
        <v>4.5557820118903537E-3</v>
      </c>
      <c r="F2264" s="145">
        <v>3.0218811280208046E-2</v>
      </c>
      <c r="G2264" s="145">
        <v>7.7510164149072994E-4</v>
      </c>
      <c r="H2264" s="517">
        <v>2.0000005732018801E-3</v>
      </c>
      <c r="I2264" s="517">
        <v>1.5750004513964796E-2</v>
      </c>
      <c r="J2264" s="148">
        <v>8.4174642739331354E-4</v>
      </c>
      <c r="K2264" s="518">
        <v>2.9435013910938782E-5</v>
      </c>
      <c r="L2264" s="519">
        <v>3.076593462405173E-5</v>
      </c>
    </row>
    <row r="2265" spans="1:12" ht="15.5" x14ac:dyDescent="0.35">
      <c r="A2265" s="143" t="s">
        <v>859</v>
      </c>
      <c r="B2265" s="229">
        <v>2039</v>
      </c>
      <c r="C2265" s="514" t="s">
        <v>3089</v>
      </c>
      <c r="D2265" s="515">
        <v>2.5870345787621617E-2</v>
      </c>
      <c r="E2265" s="516">
        <v>4.091802161822893E-3</v>
      </c>
      <c r="F2265" s="145">
        <v>2.8529542727720455E-2</v>
      </c>
      <c r="G2265" s="145">
        <v>7.3669512487409142E-4</v>
      </c>
      <c r="H2265" s="517">
        <v>2.0000005732018805E-3</v>
      </c>
      <c r="I2265" s="517">
        <v>1.5750004513964799E-2</v>
      </c>
      <c r="J2265" s="148">
        <v>8.0003557638358587E-4</v>
      </c>
      <c r="K2265" s="518">
        <v>2.8025241667392593E-5</v>
      </c>
      <c r="L2265" s="519">
        <v>2.9292418735423926E-5</v>
      </c>
    </row>
    <row r="2266" spans="1:12" ht="15.5" x14ac:dyDescent="0.35">
      <c r="A2266" s="143" t="s">
        <v>859</v>
      </c>
      <c r="B2266" s="229">
        <v>2040</v>
      </c>
      <c r="C2266" s="514" t="s">
        <v>3090</v>
      </c>
      <c r="D2266" s="515">
        <v>2.5727479010984076E-2</v>
      </c>
      <c r="E2266" s="516">
        <v>3.6551077771368049E-3</v>
      </c>
      <c r="F2266" s="145">
        <v>2.7033330889760187E-2</v>
      </c>
      <c r="G2266" s="145">
        <v>7.0147981972738241E-4</v>
      </c>
      <c r="H2266" s="517">
        <v>2.0000005732018801E-3</v>
      </c>
      <c r="I2266" s="517">
        <v>1.5750004513964799E-2</v>
      </c>
      <c r="J2266" s="148">
        <v>7.6179571438074955E-4</v>
      </c>
      <c r="K2266" s="518">
        <v>2.6609443221462216E-5</v>
      </c>
      <c r="L2266" s="519">
        <v>2.7812604166281264E-5</v>
      </c>
    </row>
    <row r="2267" spans="1:12" ht="15.5" x14ac:dyDescent="0.35">
      <c r="A2267" s="143" t="s">
        <v>859</v>
      </c>
      <c r="B2267" s="229">
        <v>2041</v>
      </c>
      <c r="C2267" s="514" t="s">
        <v>3091</v>
      </c>
      <c r="D2267" s="515">
        <v>2.5610757439984127E-2</v>
      </c>
      <c r="E2267" s="516">
        <v>3.2773555689781966E-3</v>
      </c>
      <c r="F2267" s="145">
        <v>2.5710869645935795E-2</v>
      </c>
      <c r="G2267" s="145">
        <v>6.7552231079496801E-4</v>
      </c>
      <c r="H2267" s="517">
        <v>2.0000005732018801E-3</v>
      </c>
      <c r="I2267" s="517">
        <v>1.5750004513964799E-2</v>
      </c>
      <c r="J2267" s="148">
        <v>7.3361158835873804E-4</v>
      </c>
      <c r="K2267" s="518">
        <v>2.5499529947717787E-5</v>
      </c>
      <c r="L2267" s="519">
        <v>2.6652505539465248E-5</v>
      </c>
    </row>
    <row r="2268" spans="1:12" ht="15.5" x14ac:dyDescent="0.35">
      <c r="A2268" s="143" t="s">
        <v>859</v>
      </c>
      <c r="B2268" s="229">
        <v>2042</v>
      </c>
      <c r="C2268" s="514" t="s">
        <v>3092</v>
      </c>
      <c r="D2268" s="515">
        <v>2.551502507092273E-2</v>
      </c>
      <c r="E2268" s="516">
        <v>2.9696743517282288E-3</v>
      </c>
      <c r="F2268" s="145">
        <v>2.4579745782841795E-2</v>
      </c>
      <c r="G2268" s="145">
        <v>6.5297027496828382E-4</v>
      </c>
      <c r="H2268" s="517">
        <v>2.0000005732018801E-3</v>
      </c>
      <c r="I2268" s="517">
        <v>1.5750004513964799E-2</v>
      </c>
      <c r="J2268" s="148">
        <v>7.0912403747402572E-4</v>
      </c>
      <c r="K2268" s="518">
        <v>2.4559232449287222E-5</v>
      </c>
      <c r="L2268" s="519">
        <v>2.566969196066416E-5</v>
      </c>
    </row>
    <row r="2269" spans="1:12" ht="15.5" x14ac:dyDescent="0.35">
      <c r="A2269" s="143" t="s">
        <v>859</v>
      </c>
      <c r="B2269" s="229">
        <v>2043</v>
      </c>
      <c r="C2269" s="514" t="s">
        <v>3093</v>
      </c>
      <c r="D2269" s="515">
        <v>2.5437377547120676E-2</v>
      </c>
      <c r="E2269" s="516">
        <v>2.7419045403684564E-3</v>
      </c>
      <c r="F2269" s="145">
        <v>2.373385200256278E-2</v>
      </c>
      <c r="G2269" s="145">
        <v>6.3343909473621558E-4</v>
      </c>
      <c r="H2269" s="517">
        <v>2.0000005732018801E-3</v>
      </c>
      <c r="I2269" s="517">
        <v>1.5750004513964803E-2</v>
      </c>
      <c r="J2269" s="148">
        <v>6.879207860639796E-4</v>
      </c>
      <c r="K2269" s="518">
        <v>2.36462291449621E-5</v>
      </c>
      <c r="L2269" s="519">
        <v>2.4715406698309476E-5</v>
      </c>
    </row>
    <row r="2270" spans="1:12" ht="15.5" x14ac:dyDescent="0.35">
      <c r="A2270" s="143" t="s">
        <v>859</v>
      </c>
      <c r="B2270" s="229">
        <v>2044</v>
      </c>
      <c r="C2270" s="514" t="s">
        <v>3094</v>
      </c>
      <c r="D2270" s="515">
        <v>2.5374040904555594E-2</v>
      </c>
      <c r="E2270" s="516">
        <v>2.582741855391652E-3</v>
      </c>
      <c r="F2270" s="145">
        <v>2.3093691497316635E-2</v>
      </c>
      <c r="G2270" s="145">
        <v>6.1688680008859919E-4</v>
      </c>
      <c r="H2270" s="517">
        <v>2.0000005732018801E-3</v>
      </c>
      <c r="I2270" s="517">
        <v>1.5750004513964799E-2</v>
      </c>
      <c r="J2270" s="148">
        <v>6.6994641176943998E-4</v>
      </c>
      <c r="K2270" s="518">
        <v>2.2991221798473699E-5</v>
      </c>
      <c r="L2270" s="519">
        <v>2.4030782826164913E-5</v>
      </c>
    </row>
    <row r="2271" spans="1:12" ht="15.5" x14ac:dyDescent="0.35">
      <c r="A2271" s="143" t="s">
        <v>859</v>
      </c>
      <c r="B2271" s="229">
        <v>2045</v>
      </c>
      <c r="C2271" s="514" t="s">
        <v>3095</v>
      </c>
      <c r="D2271" s="515">
        <v>2.5321895705285629E-2</v>
      </c>
      <c r="E2271" s="516">
        <v>2.4836617412221547E-3</v>
      </c>
      <c r="F2271" s="145">
        <v>2.2673850538790567E-2</v>
      </c>
      <c r="G2271" s="145">
        <v>6.0284840888878352E-4</v>
      </c>
      <c r="H2271" s="517">
        <v>2.0000005732018797E-3</v>
      </c>
      <c r="I2271" s="517">
        <v>1.5750004513964799E-2</v>
      </c>
      <c r="J2271" s="148">
        <v>6.5469994650128557E-4</v>
      </c>
      <c r="K2271" s="518">
        <v>2.2482296924234029E-5</v>
      </c>
      <c r="L2271" s="519">
        <v>2.3498846627432763E-5</v>
      </c>
    </row>
    <row r="2272" spans="1:12" ht="15.5" x14ac:dyDescent="0.35">
      <c r="A2272" s="143" t="s">
        <v>859</v>
      </c>
      <c r="B2272" s="229">
        <v>2046</v>
      </c>
      <c r="C2272" s="514" t="s">
        <v>3096</v>
      </c>
      <c r="D2272" s="515">
        <v>2.5278874867530849E-2</v>
      </c>
      <c r="E2272" s="516">
        <v>2.4026666027201979E-3</v>
      </c>
      <c r="F2272" s="145">
        <v>2.2354301876097896E-2</v>
      </c>
      <c r="G2272" s="145">
        <v>5.9103259929896008E-4</v>
      </c>
      <c r="H2272" s="517">
        <v>2.0000005732018805E-3</v>
      </c>
      <c r="I2272" s="517">
        <v>1.5750004513964799E-2</v>
      </c>
      <c r="J2272" s="148">
        <v>6.4186832791967186E-4</v>
      </c>
      <c r="K2272" s="518">
        <v>2.2030329359378903E-5</v>
      </c>
      <c r="L2272" s="519">
        <v>2.3026443094871354E-5</v>
      </c>
    </row>
    <row r="2273" spans="1:12" ht="15.5" x14ac:dyDescent="0.35">
      <c r="A2273" s="143" t="s">
        <v>859</v>
      </c>
      <c r="B2273" s="229">
        <v>2047</v>
      </c>
      <c r="C2273" s="514" t="s">
        <v>3097</v>
      </c>
      <c r="D2273" s="515">
        <v>2.52439915862907E-2</v>
      </c>
      <c r="E2273" s="516">
        <v>2.3294658547936605E-3</v>
      </c>
      <c r="F2273" s="145">
        <v>2.2055277190395461E-2</v>
      </c>
      <c r="G2273" s="145">
        <v>5.8101925701588058E-4</v>
      </c>
      <c r="H2273" s="517">
        <v>2.0000005732018805E-3</v>
      </c>
      <c r="I2273" s="517">
        <v>1.5750004513964803E-2</v>
      </c>
      <c r="J2273" s="148">
        <v>6.3099542194725846E-4</v>
      </c>
      <c r="K2273" s="518">
        <v>2.161694632326578E-5</v>
      </c>
      <c r="L2273" s="519">
        <v>2.2594368712225249E-5</v>
      </c>
    </row>
    <row r="2274" spans="1:12" ht="15.5" x14ac:dyDescent="0.35">
      <c r="A2274" s="143" t="s">
        <v>859</v>
      </c>
      <c r="B2274" s="229">
        <v>2048</v>
      </c>
      <c r="C2274" s="514" t="s">
        <v>3098</v>
      </c>
      <c r="D2274" s="515">
        <v>2.5215364510988283E-2</v>
      </c>
      <c r="E2274" s="516">
        <v>2.2722299867926729E-3</v>
      </c>
      <c r="F2274" s="145">
        <v>2.1821733563329278E-2</v>
      </c>
      <c r="G2274" s="145">
        <v>5.7254351115905639E-4</v>
      </c>
      <c r="H2274" s="517">
        <v>2.0000005732018801E-3</v>
      </c>
      <c r="I2274" s="517">
        <v>1.5750004513964803E-2</v>
      </c>
      <c r="J2274" s="148">
        <v>6.2179624936375369E-4</v>
      </c>
      <c r="K2274" s="518">
        <v>2.1169180741142003E-5</v>
      </c>
      <c r="L2274" s="519">
        <v>2.2126357157408128E-5</v>
      </c>
    </row>
    <row r="2275" spans="1:12" ht="15.5" x14ac:dyDescent="0.35">
      <c r="A2275" s="143" t="s">
        <v>859</v>
      </c>
      <c r="B2275" s="229">
        <v>2049</v>
      </c>
      <c r="C2275" s="514" t="s">
        <v>3099</v>
      </c>
      <c r="D2275" s="515">
        <v>2.5191938831112457E-2</v>
      </c>
      <c r="E2275" s="516">
        <v>2.253057205440348E-3</v>
      </c>
      <c r="F2275" s="145">
        <v>2.181786310106042E-2</v>
      </c>
      <c r="G2275" s="145">
        <v>5.6763935468416094E-4</v>
      </c>
      <c r="H2275" s="517">
        <v>2.0000005732018797E-3</v>
      </c>
      <c r="I2275" s="517">
        <v>1.5750004513964799E-2</v>
      </c>
      <c r="J2275" s="148">
        <v>6.1647313919025706E-4</v>
      </c>
      <c r="K2275" s="518">
        <v>2.091886138560081E-5</v>
      </c>
      <c r="L2275" s="519">
        <v>2.1864719471385056E-5</v>
      </c>
    </row>
    <row r="2276" spans="1:12" ht="15.5" x14ac:dyDescent="0.35">
      <c r="A2276" s="143" t="s">
        <v>859</v>
      </c>
      <c r="B2276" s="229">
        <v>2050</v>
      </c>
      <c r="C2276" s="514" t="s">
        <v>3100</v>
      </c>
      <c r="D2276" s="515">
        <v>2.5173293535511829E-2</v>
      </c>
      <c r="E2276" s="516">
        <v>2.2369001891404776E-3</v>
      </c>
      <c r="F2276" s="145">
        <v>2.1814361213587565E-2</v>
      </c>
      <c r="G2276" s="145">
        <v>5.6349073275825797E-4</v>
      </c>
      <c r="H2276" s="517">
        <v>2.0000005732018801E-3</v>
      </c>
      <c r="I2276" s="517">
        <v>1.5750004513964799E-2</v>
      </c>
      <c r="J2276" s="148">
        <v>6.1197521002715708E-4</v>
      </c>
      <c r="K2276" s="518">
        <v>2.0586696668015908E-5</v>
      </c>
      <c r="L2276" s="519">
        <v>2.1517535739230062E-5</v>
      </c>
    </row>
    <row r="2277" spans="1:12" ht="15.5" x14ac:dyDescent="0.35">
      <c r="A2277" s="143" t="s">
        <v>887</v>
      </c>
      <c r="B2277" s="229">
        <v>2015</v>
      </c>
      <c r="C2277" s="514" t="s">
        <v>3101</v>
      </c>
      <c r="D2277" s="515">
        <v>4.4416935032855598E-2</v>
      </c>
      <c r="E2277" s="516">
        <v>5.5849284636230304E-2</v>
      </c>
      <c r="F2277" s="145">
        <v>0.21735259806768537</v>
      </c>
      <c r="G2277" s="145">
        <v>1.8609408762695287E-3</v>
      </c>
      <c r="H2277" s="517">
        <v>2.0000005732018801E-3</v>
      </c>
      <c r="I2277" s="517">
        <v>1.5750004513964799E-2</v>
      </c>
      <c r="J2277" s="148">
        <v>2.0127755002970235E-3</v>
      </c>
      <c r="K2277" s="518">
        <v>1.5099532304251097E-4</v>
      </c>
      <c r="L2277" s="519">
        <v>1.5782266151867069E-4</v>
      </c>
    </row>
    <row r="2278" spans="1:12" ht="15.5" x14ac:dyDescent="0.35">
      <c r="A2278" s="143" t="s">
        <v>887</v>
      </c>
      <c r="B2278" s="229">
        <v>2016</v>
      </c>
      <c r="C2278" s="514" t="s">
        <v>3102</v>
      </c>
      <c r="D2278" s="515">
        <v>4.3523070866780811E-2</v>
      </c>
      <c r="E2278" s="516">
        <v>4.620184606331118E-2</v>
      </c>
      <c r="F2278" s="145">
        <v>0.18630502174234048</v>
      </c>
      <c r="G2278" s="145">
        <v>1.7443948152365788E-3</v>
      </c>
      <c r="H2278" s="517">
        <v>2.0000005732018797E-3</v>
      </c>
      <c r="I2278" s="517">
        <v>1.5750004513964796E-2</v>
      </c>
      <c r="J2278" s="148">
        <v>1.8883888672336059E-3</v>
      </c>
      <c r="K2278" s="518">
        <v>1.2938172138442632E-4</v>
      </c>
      <c r="L2278" s="519">
        <v>1.3523178870254463E-4</v>
      </c>
    </row>
    <row r="2279" spans="1:12" ht="15.5" x14ac:dyDescent="0.35">
      <c r="A2279" s="143" t="s">
        <v>887</v>
      </c>
      <c r="B2279" s="229">
        <v>2017</v>
      </c>
      <c r="C2279" s="514" t="s">
        <v>3103</v>
      </c>
      <c r="D2279" s="515">
        <v>4.2441753909546596E-2</v>
      </c>
      <c r="E2279" s="516">
        <v>3.8277764207524524E-2</v>
      </c>
      <c r="F2279" s="145">
        <v>0.15905351641769891</v>
      </c>
      <c r="G2279" s="145">
        <v>1.678402341728581E-3</v>
      </c>
      <c r="H2279" s="517">
        <v>2.0000005732018797E-3</v>
      </c>
      <c r="I2279" s="517">
        <v>1.5750004513964796E-2</v>
      </c>
      <c r="J2279" s="148">
        <v>1.8181903185935065E-3</v>
      </c>
      <c r="K2279" s="518">
        <v>1.1738565141617266E-4</v>
      </c>
      <c r="L2279" s="519">
        <v>1.2269330968209851E-4</v>
      </c>
    </row>
    <row r="2280" spans="1:12" ht="15.5" x14ac:dyDescent="0.35">
      <c r="A2280" s="143" t="s">
        <v>887</v>
      </c>
      <c r="B2280" s="229">
        <v>2018</v>
      </c>
      <c r="C2280" s="514" t="s">
        <v>3104</v>
      </c>
      <c r="D2280" s="515">
        <v>4.1304178423688789E-2</v>
      </c>
      <c r="E2280" s="516">
        <v>3.1307102115195565E-2</v>
      </c>
      <c r="F2280" s="145">
        <v>0.1353020676463412</v>
      </c>
      <c r="G2280" s="145">
        <v>1.6394435032124378E-3</v>
      </c>
      <c r="H2280" s="517">
        <v>2.0000005732018801E-3</v>
      </c>
      <c r="I2280" s="517">
        <v>1.5750004513964796E-2</v>
      </c>
      <c r="J2280" s="148">
        <v>1.7771615802805211E-3</v>
      </c>
      <c r="K2280" s="518">
        <v>1.0719749452296501E-4</v>
      </c>
      <c r="L2280" s="519">
        <v>1.1204448954345626E-4</v>
      </c>
    </row>
    <row r="2281" spans="1:12" ht="15.5" x14ac:dyDescent="0.35">
      <c r="A2281" s="143" t="s">
        <v>887</v>
      </c>
      <c r="B2281" s="229">
        <v>2019</v>
      </c>
      <c r="C2281" s="514" t="s">
        <v>3105</v>
      </c>
      <c r="D2281" s="515">
        <v>4.0132420206986701E-2</v>
      </c>
      <c r="E2281" s="516">
        <v>2.5715807932581162E-2</v>
      </c>
      <c r="F2281" s="145">
        <v>0.1153543461443042</v>
      </c>
      <c r="G2281" s="145">
        <v>1.612401879164617E-3</v>
      </c>
      <c r="H2281" s="517">
        <v>2.0000005732018801E-3</v>
      </c>
      <c r="I2281" s="517">
        <v>1.5750004513964799E-2</v>
      </c>
      <c r="J2281" s="148">
        <v>1.7487601588041946E-3</v>
      </c>
      <c r="K2281" s="518">
        <v>9.8222905647087972E-5</v>
      </c>
      <c r="L2281" s="519">
        <v>1.0266410958276089E-4</v>
      </c>
    </row>
    <row r="2282" spans="1:12" ht="15.5" x14ac:dyDescent="0.35">
      <c r="A2282" s="143" t="s">
        <v>887</v>
      </c>
      <c r="B2282" s="229">
        <v>2020</v>
      </c>
      <c r="C2282" s="514" t="s">
        <v>3106</v>
      </c>
      <c r="D2282" s="515">
        <v>3.8940629948611721E-2</v>
      </c>
      <c r="E2282" s="516">
        <v>2.1580064761390402E-2</v>
      </c>
      <c r="F2282" s="145">
        <v>9.8949686195769548E-2</v>
      </c>
      <c r="G2282" s="145">
        <v>1.5608931327148192E-3</v>
      </c>
      <c r="H2282" s="517">
        <v>2.0000005732018801E-3</v>
      </c>
      <c r="I2282" s="517">
        <v>1.5750004513964799E-2</v>
      </c>
      <c r="J2282" s="148">
        <v>1.6932924120639686E-3</v>
      </c>
      <c r="K2282" s="518">
        <v>9.1165099456162217E-5</v>
      </c>
      <c r="L2282" s="519">
        <v>9.5287180714432484E-5</v>
      </c>
    </row>
    <row r="2283" spans="1:12" ht="15.5" x14ac:dyDescent="0.35">
      <c r="A2283" s="143" t="s">
        <v>887</v>
      </c>
      <c r="B2283" s="229">
        <v>2021</v>
      </c>
      <c r="C2283" s="514" t="s">
        <v>3107</v>
      </c>
      <c r="D2283" s="515">
        <v>3.774012752307055E-2</v>
      </c>
      <c r="E2283" s="516">
        <v>1.8402681394003733E-2</v>
      </c>
      <c r="F2283" s="145">
        <v>8.5112013956730487E-2</v>
      </c>
      <c r="G2283" s="145">
        <v>1.4826252349372652E-3</v>
      </c>
      <c r="H2283" s="517">
        <v>2.0000005732018801E-3</v>
      </c>
      <c r="I2283" s="517">
        <v>1.5750004513964799E-2</v>
      </c>
      <c r="J2283" s="148">
        <v>1.6086353286501253E-3</v>
      </c>
      <c r="K2283" s="518">
        <v>8.360060790770219E-5</v>
      </c>
      <c r="L2283" s="519">
        <v>8.7380656425085139E-5</v>
      </c>
    </row>
    <row r="2284" spans="1:12" ht="15.5" x14ac:dyDescent="0.35">
      <c r="A2284" s="143" t="s">
        <v>887</v>
      </c>
      <c r="B2284" s="229">
        <v>2022</v>
      </c>
      <c r="C2284" s="514" t="s">
        <v>3108</v>
      </c>
      <c r="D2284" s="515">
        <v>3.6556053059362291E-2</v>
      </c>
      <c r="E2284" s="516">
        <v>1.5246472590478547E-2</v>
      </c>
      <c r="F2284" s="145">
        <v>7.3013510466164014E-2</v>
      </c>
      <c r="G2284" s="145">
        <v>1.3997871320527702E-3</v>
      </c>
      <c r="H2284" s="517">
        <v>2.0000005732018801E-3</v>
      </c>
      <c r="I2284" s="517">
        <v>1.5750004513964799E-2</v>
      </c>
      <c r="J2284" s="148">
        <v>1.5190718474688062E-3</v>
      </c>
      <c r="K2284" s="518">
        <v>7.6529116105456357E-5</v>
      </c>
      <c r="L2284" s="519">
        <v>7.9989423142821884E-5</v>
      </c>
    </row>
    <row r="2285" spans="1:12" ht="15.5" x14ac:dyDescent="0.35">
      <c r="A2285" s="143" t="s">
        <v>887</v>
      </c>
      <c r="B2285" s="229">
        <v>2023</v>
      </c>
      <c r="C2285" s="514" t="s">
        <v>3109</v>
      </c>
      <c r="D2285" s="515">
        <v>3.5389804847566132E-2</v>
      </c>
      <c r="E2285" s="516">
        <v>1.3117724466005795E-2</v>
      </c>
      <c r="F2285" s="145">
        <v>6.3473150055965599E-2</v>
      </c>
      <c r="G2285" s="145">
        <v>1.3261756059641016E-3</v>
      </c>
      <c r="H2285" s="517">
        <v>2.0000005732018801E-3</v>
      </c>
      <c r="I2285" s="517">
        <v>1.5750004513964799E-2</v>
      </c>
      <c r="J2285" s="148">
        <v>1.4393494555538463E-3</v>
      </c>
      <c r="K2285" s="518">
        <v>6.9429580219680843E-5</v>
      </c>
      <c r="L2285" s="519">
        <v>7.2568877748015507E-5</v>
      </c>
    </row>
    <row r="2286" spans="1:12" ht="15.5" x14ac:dyDescent="0.35">
      <c r="A2286" s="143" t="s">
        <v>887</v>
      </c>
      <c r="B2286" s="229">
        <v>2024</v>
      </c>
      <c r="C2286" s="514" t="s">
        <v>3110</v>
      </c>
      <c r="D2286" s="515">
        <v>3.4245017043790717E-2</v>
      </c>
      <c r="E2286" s="516">
        <v>1.1320976811788574E-2</v>
      </c>
      <c r="F2286" s="145">
        <v>5.5488597701789238E-2</v>
      </c>
      <c r="G2286" s="145">
        <v>1.2605455095107227E-3</v>
      </c>
      <c r="H2286" s="517">
        <v>2.0000005732018797E-3</v>
      </c>
      <c r="I2286" s="517">
        <v>1.5750004513964799E-2</v>
      </c>
      <c r="J2286" s="148">
        <v>1.3683357599258783E-3</v>
      </c>
      <c r="K2286" s="518">
        <v>6.1575121298229293E-5</v>
      </c>
      <c r="L2286" s="519">
        <v>6.4359275047781234E-5</v>
      </c>
    </row>
    <row r="2287" spans="1:12" ht="15.5" x14ac:dyDescent="0.35">
      <c r="A2287" s="143" t="s">
        <v>887</v>
      </c>
      <c r="B2287" s="229">
        <v>2025</v>
      </c>
      <c r="C2287" s="514" t="s">
        <v>3111</v>
      </c>
      <c r="D2287" s="515">
        <v>3.3125506719401336E-2</v>
      </c>
      <c r="E2287" s="516">
        <v>9.8787618042942733E-3</v>
      </c>
      <c r="F2287" s="145">
        <v>4.9149319016560798E-2</v>
      </c>
      <c r="G2287" s="145">
        <v>1.2069044024694033E-3</v>
      </c>
      <c r="H2287" s="517">
        <v>2.0000005732018801E-3</v>
      </c>
      <c r="I2287" s="517">
        <v>1.5750004513964799E-2</v>
      </c>
      <c r="J2287" s="148">
        <v>1.3102632364053761E-3</v>
      </c>
      <c r="K2287" s="518">
        <v>5.554125943978111E-5</v>
      </c>
      <c r="L2287" s="519">
        <v>5.8052588730959463E-5</v>
      </c>
    </row>
    <row r="2288" spans="1:12" ht="15.5" x14ac:dyDescent="0.35">
      <c r="A2288" s="143" t="s">
        <v>887</v>
      </c>
      <c r="B2288" s="229">
        <v>2026</v>
      </c>
      <c r="C2288" s="514" t="s">
        <v>3112</v>
      </c>
      <c r="D2288" s="515">
        <v>3.2095371200163605E-2</v>
      </c>
      <c r="E2288" s="516">
        <v>8.7004261110772696E-3</v>
      </c>
      <c r="F2288" s="145">
        <v>4.4052217372966745E-2</v>
      </c>
      <c r="G2288" s="145">
        <v>1.152611764074432E-3</v>
      </c>
      <c r="H2288" s="517">
        <v>2.0000005732018805E-3</v>
      </c>
      <c r="I2288" s="517">
        <v>1.5750004513964803E-2</v>
      </c>
      <c r="J2288" s="148">
        <v>1.2514655981914089E-3</v>
      </c>
      <c r="K2288" s="518">
        <v>4.9657939236607274E-5</v>
      </c>
      <c r="L2288" s="519">
        <v>5.1903250895044792E-5</v>
      </c>
    </row>
    <row r="2289" spans="1:12" ht="15.5" x14ac:dyDescent="0.35">
      <c r="A2289" s="143" t="s">
        <v>887</v>
      </c>
      <c r="B2289" s="229">
        <v>2027</v>
      </c>
      <c r="C2289" s="514" t="s">
        <v>3113</v>
      </c>
      <c r="D2289" s="515">
        <v>3.1161327308038382E-2</v>
      </c>
      <c r="E2289" s="516">
        <v>7.7029329592553722E-3</v>
      </c>
      <c r="F2289" s="145">
        <v>3.9775943301618162E-2</v>
      </c>
      <c r="G2289" s="145">
        <v>1.0896445650961464E-3</v>
      </c>
      <c r="H2289" s="517">
        <v>2.0000005732018805E-3</v>
      </c>
      <c r="I2289" s="517">
        <v>1.5750004513964803E-2</v>
      </c>
      <c r="J2289" s="148">
        <v>1.1833111459156607E-3</v>
      </c>
      <c r="K2289" s="518">
        <v>4.1928266916411563E-5</v>
      </c>
      <c r="L2289" s="519">
        <v>4.3824077092442787E-5</v>
      </c>
    </row>
    <row r="2290" spans="1:12" ht="15.5" x14ac:dyDescent="0.35">
      <c r="A2290" s="143" t="s">
        <v>887</v>
      </c>
      <c r="B2290" s="229">
        <v>2028</v>
      </c>
      <c r="C2290" s="514" t="s">
        <v>3114</v>
      </c>
      <c r="D2290" s="515">
        <v>3.031843408210104E-2</v>
      </c>
      <c r="E2290" s="516">
        <v>6.8783225523398215E-3</v>
      </c>
      <c r="F2290" s="145">
        <v>3.6256174341108977E-2</v>
      </c>
      <c r="G2290" s="145">
        <v>1.0229896972259673E-3</v>
      </c>
      <c r="H2290" s="517">
        <v>2.0000005732018801E-3</v>
      </c>
      <c r="I2290" s="517">
        <v>1.5750004513964799E-2</v>
      </c>
      <c r="J2290" s="148">
        <v>1.1110394367004129E-3</v>
      </c>
      <c r="K2290" s="518">
        <v>3.6700238694996763E-5</v>
      </c>
      <c r="L2290" s="519">
        <v>3.8359660633887211E-5</v>
      </c>
    </row>
    <row r="2291" spans="1:12" ht="15.5" x14ac:dyDescent="0.35">
      <c r="A2291" s="143" t="s">
        <v>887</v>
      </c>
      <c r="B2291" s="229">
        <v>2029</v>
      </c>
      <c r="C2291" s="514" t="s">
        <v>3115</v>
      </c>
      <c r="D2291" s="515">
        <v>2.9560617690343446E-2</v>
      </c>
      <c r="E2291" s="516">
        <v>6.1516128040215359E-3</v>
      </c>
      <c r="F2291" s="145">
        <v>3.3235724946787913E-2</v>
      </c>
      <c r="G2291" s="145">
        <v>9.5902738962440988E-4</v>
      </c>
      <c r="H2291" s="517">
        <v>2.0000005732018797E-3</v>
      </c>
      <c r="I2291" s="517">
        <v>1.5750004513964796E-2</v>
      </c>
      <c r="J2291" s="148">
        <v>1.0416608286450708E-3</v>
      </c>
      <c r="K2291" s="518">
        <v>3.2305325250653358E-5</v>
      </c>
      <c r="L2291" s="519">
        <v>3.3766028705730306E-5</v>
      </c>
    </row>
    <row r="2292" spans="1:12" ht="15.5" x14ac:dyDescent="0.35">
      <c r="A2292" s="143" t="s">
        <v>887</v>
      </c>
      <c r="B2292" s="229">
        <v>2030</v>
      </c>
      <c r="C2292" s="514" t="s">
        <v>3116</v>
      </c>
      <c r="D2292" s="515">
        <v>2.8882709968122366E-2</v>
      </c>
      <c r="E2292" s="516">
        <v>5.5511187674918052E-3</v>
      </c>
      <c r="F2292" s="145">
        <v>3.0747544560187346E-2</v>
      </c>
      <c r="G2292" s="145">
        <v>8.9976867181674536E-4</v>
      </c>
      <c r="H2292" s="517">
        <v>2.0000005732018805E-3</v>
      </c>
      <c r="I2292" s="517">
        <v>1.5750004513964803E-2</v>
      </c>
      <c r="J2292" s="148">
        <v>9.7735143204107935E-4</v>
      </c>
      <c r="K2292" s="518">
        <v>2.9004709549856759E-5</v>
      </c>
      <c r="L2292" s="519">
        <v>3.0316173809208832E-5</v>
      </c>
    </row>
    <row r="2293" spans="1:12" ht="15.5" x14ac:dyDescent="0.35">
      <c r="A2293" s="143" t="s">
        <v>887</v>
      </c>
      <c r="B2293" s="229">
        <v>2031</v>
      </c>
      <c r="C2293" s="514" t="s">
        <v>3117</v>
      </c>
      <c r="D2293" s="515">
        <v>2.8278129087355025E-2</v>
      </c>
      <c r="E2293" s="516">
        <v>5.0573663809880777E-3</v>
      </c>
      <c r="F2293" s="145">
        <v>2.861829093170546E-2</v>
      </c>
      <c r="G2293" s="145">
        <v>8.4975027455194013E-4</v>
      </c>
      <c r="H2293" s="517">
        <v>2.0000005732018801E-3</v>
      </c>
      <c r="I2293" s="517">
        <v>1.5750004513964799E-2</v>
      </c>
      <c r="J2293" s="148">
        <v>9.2303724312150712E-4</v>
      </c>
      <c r="K2293" s="518">
        <v>2.6989831400747664E-5</v>
      </c>
      <c r="L2293" s="519">
        <v>2.8210191811086365E-5</v>
      </c>
    </row>
    <row r="2294" spans="1:12" ht="15.5" x14ac:dyDescent="0.35">
      <c r="A2294" s="143" t="s">
        <v>887</v>
      </c>
      <c r="B2294" s="229">
        <v>2032</v>
      </c>
      <c r="C2294" s="514" t="s">
        <v>3118</v>
      </c>
      <c r="D2294" s="515">
        <v>2.7743707464665722E-2</v>
      </c>
      <c r="E2294" s="516">
        <v>4.6013231854834915E-3</v>
      </c>
      <c r="F2294" s="145">
        <v>2.6838572751800308E-2</v>
      </c>
      <c r="G2294" s="145">
        <v>7.9860907055765687E-4</v>
      </c>
      <c r="H2294" s="517">
        <v>2.0000005732018797E-3</v>
      </c>
      <c r="I2294" s="517">
        <v>1.5750004513964799E-2</v>
      </c>
      <c r="J2294" s="148">
        <v>8.674992707932345E-4</v>
      </c>
      <c r="K2294" s="518">
        <v>2.5036985167776325E-5</v>
      </c>
      <c r="L2294" s="519">
        <v>2.6169046537086958E-5</v>
      </c>
    </row>
    <row r="2295" spans="1:12" ht="15.5" x14ac:dyDescent="0.35">
      <c r="A2295" s="143" t="s">
        <v>887</v>
      </c>
      <c r="B2295" s="229">
        <v>2033</v>
      </c>
      <c r="C2295" s="514" t="s">
        <v>3119</v>
      </c>
      <c r="D2295" s="515">
        <v>2.7272164079013148E-2</v>
      </c>
      <c r="E2295" s="516">
        <v>4.1993723835656114E-3</v>
      </c>
      <c r="F2295" s="145">
        <v>2.5322826924594366E-2</v>
      </c>
      <c r="G2295" s="145">
        <v>7.5153269868944155E-4</v>
      </c>
      <c r="H2295" s="517">
        <v>2.0000005732018797E-3</v>
      </c>
      <c r="I2295" s="517">
        <v>1.5750004513964796E-2</v>
      </c>
      <c r="J2295" s="148">
        <v>8.1635558261407878E-4</v>
      </c>
      <c r="K2295" s="518">
        <v>2.3711660850335962E-5</v>
      </c>
      <c r="L2295" s="519">
        <v>2.4783796935051394E-5</v>
      </c>
    </row>
    <row r="2296" spans="1:12" ht="15.5" x14ac:dyDescent="0.35">
      <c r="A2296" s="143" t="s">
        <v>887</v>
      </c>
      <c r="B2296" s="229">
        <v>2034</v>
      </c>
      <c r="C2296" s="514" t="s">
        <v>3120</v>
      </c>
      <c r="D2296" s="515">
        <v>2.6858373923928792E-2</v>
      </c>
      <c r="E2296" s="516">
        <v>3.8395965207379959E-3</v>
      </c>
      <c r="F2296" s="145">
        <v>2.4028273984494038E-2</v>
      </c>
      <c r="G2296" s="145">
        <v>7.0787506088045916E-4</v>
      </c>
      <c r="H2296" s="517">
        <v>2.0000005732018805E-3</v>
      </c>
      <c r="I2296" s="517">
        <v>1.5750004513964799E-2</v>
      </c>
      <c r="J2296" s="148">
        <v>7.6892587352020945E-4</v>
      </c>
      <c r="K2296" s="518">
        <v>2.248559470616072E-5</v>
      </c>
      <c r="L2296" s="519">
        <v>2.3502293520424562E-5</v>
      </c>
    </row>
    <row r="2297" spans="1:12" ht="15.5" x14ac:dyDescent="0.35">
      <c r="A2297" s="143" t="s">
        <v>887</v>
      </c>
      <c r="B2297" s="229">
        <v>2035</v>
      </c>
      <c r="C2297" s="514" t="s">
        <v>3121</v>
      </c>
      <c r="D2297" s="515">
        <v>2.6497881335304764E-2</v>
      </c>
      <c r="E2297" s="516">
        <v>3.5239183811851785E-3</v>
      </c>
      <c r="F2297" s="145">
        <v>2.2954766744853979E-2</v>
      </c>
      <c r="G2297" s="145">
        <v>6.6786497359704522E-4</v>
      </c>
      <c r="H2297" s="517">
        <v>2.0000005732018805E-3</v>
      </c>
      <c r="I2297" s="517">
        <v>1.5750004513964799E-2</v>
      </c>
      <c r="J2297" s="148">
        <v>7.2545890568016423E-4</v>
      </c>
      <c r="K2297" s="518">
        <v>2.1361066722719934E-5</v>
      </c>
      <c r="L2297" s="519">
        <v>2.2326919371591677E-5</v>
      </c>
    </row>
    <row r="2298" spans="1:12" ht="15.5" x14ac:dyDescent="0.35">
      <c r="A2298" s="143" t="s">
        <v>887</v>
      </c>
      <c r="B2298" s="229">
        <v>2036</v>
      </c>
      <c r="C2298" s="514" t="s">
        <v>3122</v>
      </c>
      <c r="D2298" s="515">
        <v>2.6186449818317949E-2</v>
      </c>
      <c r="E2298" s="516">
        <v>3.2481556517829509E-3</v>
      </c>
      <c r="F2298" s="145">
        <v>2.205083749340005E-2</v>
      </c>
      <c r="G2298" s="145">
        <v>6.3294476695151941E-4</v>
      </c>
      <c r="H2298" s="517">
        <v>2.0000005732018801E-3</v>
      </c>
      <c r="I2298" s="517">
        <v>1.5750004513964799E-2</v>
      </c>
      <c r="J2298" s="148">
        <v>6.8752341749618692E-4</v>
      </c>
      <c r="K2298" s="518">
        <v>2.0336358800518335E-5</v>
      </c>
      <c r="L2298" s="519">
        <v>2.1255878704222075E-5</v>
      </c>
    </row>
    <row r="2299" spans="1:12" ht="15.5" x14ac:dyDescent="0.35">
      <c r="A2299" s="143" t="s">
        <v>887</v>
      </c>
      <c r="B2299" s="229">
        <v>2037</v>
      </c>
      <c r="C2299" s="514" t="s">
        <v>3123</v>
      </c>
      <c r="D2299" s="515">
        <v>2.5920788703003243E-2</v>
      </c>
      <c r="E2299" s="516">
        <v>3.0091323520696467E-3</v>
      </c>
      <c r="F2299" s="145">
        <v>2.1296463982099483E-2</v>
      </c>
      <c r="G2299" s="145">
        <v>6.0160279751146888E-4</v>
      </c>
      <c r="H2299" s="517">
        <v>2.0000005732018797E-3</v>
      </c>
      <c r="I2299" s="517">
        <v>1.5750004513964796E-2</v>
      </c>
      <c r="J2299" s="148">
        <v>6.5347523203440063E-4</v>
      </c>
      <c r="K2299" s="518">
        <v>1.9414462690030164E-5</v>
      </c>
      <c r="L2299" s="519">
        <v>2.029229854247106E-5</v>
      </c>
    </row>
    <row r="2300" spans="1:12" ht="15.5" x14ac:dyDescent="0.35">
      <c r="A2300" s="143" t="s">
        <v>887</v>
      </c>
      <c r="B2300" s="229">
        <v>2038</v>
      </c>
      <c r="C2300" s="514" t="s">
        <v>3124</v>
      </c>
      <c r="D2300" s="515">
        <v>2.5695893634332233E-2</v>
      </c>
      <c r="E2300" s="516">
        <v>2.7916551774006403E-3</v>
      </c>
      <c r="F2300" s="145">
        <v>2.0612133350426137E-2</v>
      </c>
      <c r="G2300" s="145">
        <v>5.7364702384756427E-4</v>
      </c>
      <c r="H2300" s="517">
        <v>2.0000005732018779E-3</v>
      </c>
      <c r="I2300" s="517">
        <v>1.5750004513964796E-2</v>
      </c>
      <c r="J2300" s="148">
        <v>6.2310269968827341E-4</v>
      </c>
      <c r="K2300" s="518">
        <v>1.8661147960495916E-5</v>
      </c>
      <c r="L2300" s="519">
        <v>1.9504922263651907E-5</v>
      </c>
    </row>
    <row r="2301" spans="1:12" ht="15.5" x14ac:dyDescent="0.35">
      <c r="A2301" s="143" t="s">
        <v>887</v>
      </c>
      <c r="B2301" s="229">
        <v>2039</v>
      </c>
      <c r="C2301" s="514" t="s">
        <v>3125</v>
      </c>
      <c r="D2301" s="515">
        <v>2.5506137674850979E-2</v>
      </c>
      <c r="E2301" s="516">
        <v>2.5852476368304214E-3</v>
      </c>
      <c r="F2301" s="145">
        <v>1.9967748850534473E-2</v>
      </c>
      <c r="G2301" s="145">
        <v>5.4872727862266557E-4</v>
      </c>
      <c r="H2301" s="517">
        <v>2.0000005732018801E-3</v>
      </c>
      <c r="I2301" s="517">
        <v>1.5750004513964799E-2</v>
      </c>
      <c r="J2301" s="148">
        <v>5.9602856659001142E-4</v>
      </c>
      <c r="K2301" s="518">
        <v>1.7991812758615534E-5</v>
      </c>
      <c r="L2301" s="519">
        <v>1.8805322694073421E-5</v>
      </c>
    </row>
    <row r="2302" spans="1:12" ht="15.5" x14ac:dyDescent="0.35">
      <c r="A2302" s="143" t="s">
        <v>887</v>
      </c>
      <c r="B2302" s="229">
        <v>2040</v>
      </c>
      <c r="C2302" s="514" t="s">
        <v>3126</v>
      </c>
      <c r="D2302" s="515">
        <v>2.5347057715258553E-2</v>
      </c>
      <c r="E2302" s="516">
        <v>2.4034218227593955E-3</v>
      </c>
      <c r="F2302" s="145">
        <v>1.9436113094847714E-2</v>
      </c>
      <c r="G2302" s="145">
        <v>5.2694230126292354E-4</v>
      </c>
      <c r="H2302" s="517">
        <v>2.0000005732018801E-3</v>
      </c>
      <c r="I2302" s="517">
        <v>1.5750004513964799E-2</v>
      </c>
      <c r="J2302" s="148">
        <v>5.723591286526334E-4</v>
      </c>
      <c r="K2302" s="518">
        <v>1.7432231822016673E-5</v>
      </c>
      <c r="L2302" s="519">
        <v>1.8220439990625218E-5</v>
      </c>
    </row>
    <row r="2303" spans="1:12" ht="15.5" x14ac:dyDescent="0.35">
      <c r="A2303" s="143" t="s">
        <v>887</v>
      </c>
      <c r="B2303" s="229">
        <v>2041</v>
      </c>
      <c r="C2303" s="514" t="s">
        <v>3127</v>
      </c>
      <c r="D2303" s="515">
        <v>2.5216412786635188E-2</v>
      </c>
      <c r="E2303" s="516">
        <v>2.2671433399389313E-3</v>
      </c>
      <c r="F2303" s="145">
        <v>1.9031810061057808E-2</v>
      </c>
      <c r="G2303" s="145">
        <v>5.0991615286819772E-4</v>
      </c>
      <c r="H2303" s="517">
        <v>2.0000005732018797E-3</v>
      </c>
      <c r="I2303" s="517">
        <v>1.5750004513964799E-2</v>
      </c>
      <c r="J2303" s="148">
        <v>5.5386165467509821E-4</v>
      </c>
      <c r="K2303" s="518">
        <v>1.6959888175365064E-5</v>
      </c>
      <c r="L2303" s="519">
        <v>1.7726739060265894E-5</v>
      </c>
    </row>
    <row r="2304" spans="1:12" ht="15.5" x14ac:dyDescent="0.35">
      <c r="A2304" s="143" t="s">
        <v>887</v>
      </c>
      <c r="B2304" s="229">
        <v>2042</v>
      </c>
      <c r="C2304" s="514" t="s">
        <v>3128</v>
      </c>
      <c r="D2304" s="515">
        <v>2.5107956625882843E-2</v>
      </c>
      <c r="E2304" s="516">
        <v>2.1497353506955042E-3</v>
      </c>
      <c r="F2304" s="145">
        <v>1.8654463020161962E-2</v>
      </c>
      <c r="G2304" s="145">
        <v>4.9537834696158315E-4</v>
      </c>
      <c r="H2304" s="517">
        <v>2.0000005732018788E-3</v>
      </c>
      <c r="I2304" s="517">
        <v>1.5750004513964796E-2</v>
      </c>
      <c r="J2304" s="148">
        <v>5.3806692255182445E-4</v>
      </c>
      <c r="K2304" s="518">
        <v>1.6571499293581348E-5</v>
      </c>
      <c r="L2304" s="519">
        <v>1.7320788956698045E-5</v>
      </c>
    </row>
    <row r="2305" spans="1:12" ht="15.5" x14ac:dyDescent="0.35">
      <c r="A2305" s="143" t="s">
        <v>887</v>
      </c>
      <c r="B2305" s="229">
        <v>2043</v>
      </c>
      <c r="C2305" s="514" t="s">
        <v>3129</v>
      </c>
      <c r="D2305" s="515">
        <v>2.5019019531221449E-2</v>
      </c>
      <c r="E2305" s="516">
        <v>2.0603984889356578E-3</v>
      </c>
      <c r="F2305" s="145">
        <v>1.8370830139631641E-2</v>
      </c>
      <c r="G2305" s="145">
        <v>4.8308406859903812E-4</v>
      </c>
      <c r="H2305" s="517">
        <v>2.0000005732018805E-3</v>
      </c>
      <c r="I2305" s="517">
        <v>1.5750004513964799E-2</v>
      </c>
      <c r="J2305" s="148">
        <v>5.2470879101886047E-4</v>
      </c>
      <c r="K2305" s="518">
        <v>1.626429649353906E-5</v>
      </c>
      <c r="L2305" s="519">
        <v>1.6999695809230093E-5</v>
      </c>
    </row>
    <row r="2306" spans="1:12" ht="15.5" x14ac:dyDescent="0.35">
      <c r="A2306" s="143" t="s">
        <v>887</v>
      </c>
      <c r="B2306" s="229">
        <v>2044</v>
      </c>
      <c r="C2306" s="514" t="s">
        <v>3130</v>
      </c>
      <c r="D2306" s="515">
        <v>2.4945762323242384E-2</v>
      </c>
      <c r="E2306" s="516">
        <v>1.9924048478800753E-3</v>
      </c>
      <c r="F2306" s="145">
        <v>1.8138810071738811E-2</v>
      </c>
      <c r="G2306" s="145">
        <v>4.7268079021537144E-4</v>
      </c>
      <c r="H2306" s="517">
        <v>2.0000005732018805E-3</v>
      </c>
      <c r="I2306" s="517">
        <v>1.5750004513964799E-2</v>
      </c>
      <c r="J2306" s="148">
        <v>5.1340469548249892E-4</v>
      </c>
      <c r="K2306" s="518">
        <v>1.6018426444406986E-5</v>
      </c>
      <c r="L2306" s="519">
        <v>1.6742708607508462E-5</v>
      </c>
    </row>
    <row r="2307" spans="1:12" ht="15.5" x14ac:dyDescent="0.35">
      <c r="A2307" s="143" t="s">
        <v>887</v>
      </c>
      <c r="B2307" s="229">
        <v>2045</v>
      </c>
      <c r="C2307" s="514" t="s">
        <v>3131</v>
      </c>
      <c r="D2307" s="515">
        <v>2.4884236555683014E-2</v>
      </c>
      <c r="E2307" s="516">
        <v>1.9462351955238917E-3</v>
      </c>
      <c r="F2307" s="145">
        <v>1.7984776713526787E-2</v>
      </c>
      <c r="G2307" s="145">
        <v>4.6393525272110002E-4</v>
      </c>
      <c r="H2307" s="517">
        <v>2.0000005732018801E-3</v>
      </c>
      <c r="I2307" s="517">
        <v>1.5750004513964796E-2</v>
      </c>
      <c r="J2307" s="148">
        <v>5.0390138463576677E-4</v>
      </c>
      <c r="K2307" s="518">
        <v>1.5823523870139723E-5</v>
      </c>
      <c r="L2307" s="519">
        <v>1.6538993403700205E-5</v>
      </c>
    </row>
    <row r="2308" spans="1:12" ht="15.5" x14ac:dyDescent="0.35">
      <c r="A2308" s="143" t="s">
        <v>887</v>
      </c>
      <c r="B2308" s="229">
        <v>2046</v>
      </c>
      <c r="C2308" s="514" t="s">
        <v>3132</v>
      </c>
      <c r="D2308" s="515">
        <v>2.4832996848768718E-2</v>
      </c>
      <c r="E2308" s="516">
        <v>1.9059778349951114E-3</v>
      </c>
      <c r="F2308" s="145">
        <v>1.7857768575921681E-2</v>
      </c>
      <c r="G2308" s="145">
        <v>4.5663506904162923E-4</v>
      </c>
      <c r="H2308" s="517">
        <v>2.0000005732018801E-3</v>
      </c>
      <c r="I2308" s="517">
        <v>1.5750004513964796E-2</v>
      </c>
      <c r="J2308" s="148">
        <v>4.9596878072112323E-4</v>
      </c>
      <c r="K2308" s="518">
        <v>1.5658053670866709E-5</v>
      </c>
      <c r="L2308" s="519">
        <v>1.6366041376279206E-5</v>
      </c>
    </row>
    <row r="2309" spans="1:12" ht="15.5" x14ac:dyDescent="0.35">
      <c r="A2309" s="143" t="s">
        <v>887</v>
      </c>
      <c r="B2309" s="229">
        <v>2047</v>
      </c>
      <c r="C2309" s="514" t="s">
        <v>3133</v>
      </c>
      <c r="D2309" s="515">
        <v>2.4791293709569014E-2</v>
      </c>
      <c r="E2309" s="516">
        <v>1.8703119548834717E-3</v>
      </c>
      <c r="F2309" s="145">
        <v>1.773978489428478E-2</v>
      </c>
      <c r="G2309" s="145">
        <v>4.5060984127207922E-4</v>
      </c>
      <c r="H2309" s="517">
        <v>2.0000005732018797E-3</v>
      </c>
      <c r="I2309" s="517">
        <v>1.5750004513964796E-2</v>
      </c>
      <c r="J2309" s="148">
        <v>4.8942113828695554E-4</v>
      </c>
      <c r="K2309" s="518">
        <v>1.5531978703099955E-5</v>
      </c>
      <c r="L2309" s="519">
        <v>1.623426585791941E-5</v>
      </c>
    </row>
    <row r="2310" spans="1:12" ht="15.5" x14ac:dyDescent="0.35">
      <c r="A2310" s="143" t="s">
        <v>887</v>
      </c>
      <c r="B2310" s="229">
        <v>2048</v>
      </c>
      <c r="C2310" s="514" t="s">
        <v>3134</v>
      </c>
      <c r="D2310" s="515">
        <v>2.4757239426904394E-2</v>
      </c>
      <c r="E2310" s="516">
        <v>1.8409200002100974E-3</v>
      </c>
      <c r="F2310" s="145">
        <v>1.7639011906412115E-2</v>
      </c>
      <c r="G2310" s="145">
        <v>4.4562481829192623E-4</v>
      </c>
      <c r="H2310" s="517">
        <v>2.0000005732018797E-3</v>
      </c>
      <c r="I2310" s="517">
        <v>1.5750004513964799E-2</v>
      </c>
      <c r="J2310" s="148">
        <v>4.8400438598976718E-4</v>
      </c>
      <c r="K2310" s="518">
        <v>1.5415991613640013E-5</v>
      </c>
      <c r="L2310" s="519">
        <v>1.6113034346959175E-5</v>
      </c>
    </row>
    <row r="2311" spans="1:12" ht="15.5" x14ac:dyDescent="0.35">
      <c r="A2311" s="143" t="s">
        <v>887</v>
      </c>
      <c r="B2311" s="229">
        <v>2049</v>
      </c>
      <c r="C2311" s="514" t="s">
        <v>3135</v>
      </c>
      <c r="D2311" s="515">
        <v>2.472914118283033E-2</v>
      </c>
      <c r="E2311" s="516">
        <v>1.8296759687676811E-3</v>
      </c>
      <c r="F2311" s="145">
        <v>1.7640340651705992E-2</v>
      </c>
      <c r="G2311" s="145">
        <v>4.4240547849942779E-4</v>
      </c>
      <c r="H2311" s="517">
        <v>2.0000005732018801E-3</v>
      </c>
      <c r="I2311" s="517">
        <v>1.5750004513964799E-2</v>
      </c>
      <c r="J2311" s="148">
        <v>4.8050676881532397E-4</v>
      </c>
      <c r="K2311" s="518">
        <v>1.5328474777813238E-5</v>
      </c>
      <c r="L2311" s="519">
        <v>1.6021560388166519E-5</v>
      </c>
    </row>
    <row r="2312" spans="1:12" ht="15.5" x14ac:dyDescent="0.35">
      <c r="A2312" s="143" t="s">
        <v>887</v>
      </c>
      <c r="B2312" s="229">
        <v>2050</v>
      </c>
      <c r="C2312" s="514" t="s">
        <v>3136</v>
      </c>
      <c r="D2312" s="515">
        <v>2.4706518195475445E-2</v>
      </c>
      <c r="E2312" s="516">
        <v>1.8207163414553473E-3</v>
      </c>
      <c r="F2312" s="145">
        <v>1.7644140564515562E-2</v>
      </c>
      <c r="G2312" s="145">
        <v>4.3981991959224945E-4</v>
      </c>
      <c r="H2312" s="517">
        <v>2.0000005732018801E-3</v>
      </c>
      <c r="I2312" s="517">
        <v>1.5750004513964803E-2</v>
      </c>
      <c r="J2312" s="148">
        <v>4.7769791742525514E-4</v>
      </c>
      <c r="K2312" s="518">
        <v>1.5253435739530222E-5</v>
      </c>
      <c r="L2312" s="519">
        <v>1.5943128417553124E-5</v>
      </c>
    </row>
    <row r="2313" spans="1:12" ht="15.5" x14ac:dyDescent="0.35">
      <c r="A2313" s="143" t="s">
        <v>894</v>
      </c>
      <c r="B2313" s="229">
        <v>2015</v>
      </c>
      <c r="C2313" s="514" t="s">
        <v>3137</v>
      </c>
      <c r="D2313" s="515">
        <v>4.2987537758352214E-2</v>
      </c>
      <c r="E2313" s="516">
        <v>7.688877258257143E-2</v>
      </c>
      <c r="F2313" s="145">
        <v>0.29024292368476157</v>
      </c>
      <c r="G2313" s="145">
        <v>2.5139667486432497E-3</v>
      </c>
      <c r="H2313" s="517">
        <v>2.0000005732018805E-3</v>
      </c>
      <c r="I2313" s="517">
        <v>1.5750004513964758E-2</v>
      </c>
      <c r="J2313" s="148">
        <v>2.71626059977358E-3</v>
      </c>
      <c r="K2313" s="518">
        <v>2.7081714871101314E-4</v>
      </c>
      <c r="L2313" s="519">
        <v>2.8306229844242588E-4</v>
      </c>
    </row>
    <row r="2314" spans="1:12" ht="15.5" x14ac:dyDescent="0.35">
      <c r="A2314" s="143" t="s">
        <v>894</v>
      </c>
      <c r="B2314" s="229">
        <v>2016</v>
      </c>
      <c r="C2314" s="514" t="s">
        <v>3138</v>
      </c>
      <c r="D2314" s="515">
        <v>4.2159424548028429E-2</v>
      </c>
      <c r="E2314" s="516">
        <v>6.4968244814680998E-2</v>
      </c>
      <c r="F2314" s="145">
        <v>0.25290573464754224</v>
      </c>
      <c r="G2314" s="145">
        <v>2.3321489443745001E-3</v>
      </c>
      <c r="H2314" s="517">
        <v>2.0000005732018779E-3</v>
      </c>
      <c r="I2314" s="517">
        <v>1.5750004513964775E-2</v>
      </c>
      <c r="J2314" s="148">
        <v>2.5212802107143326E-3</v>
      </c>
      <c r="K2314" s="518">
        <v>2.471883356829276E-4</v>
      </c>
      <c r="L2314" s="519">
        <v>2.5836509534051525E-4</v>
      </c>
    </row>
    <row r="2315" spans="1:12" ht="15.5" x14ac:dyDescent="0.35">
      <c r="A2315" s="143" t="s">
        <v>894</v>
      </c>
      <c r="B2315" s="229">
        <v>2017</v>
      </c>
      <c r="C2315" s="514" t="s">
        <v>3139</v>
      </c>
      <c r="D2315" s="515">
        <v>4.1151073200797091E-2</v>
      </c>
      <c r="E2315" s="516">
        <v>5.5165589985811531E-2</v>
      </c>
      <c r="F2315" s="145">
        <v>0.2212969627811581</v>
      </c>
      <c r="G2315" s="145">
        <v>2.214109657554923E-3</v>
      </c>
      <c r="H2315" s="517">
        <v>2.0000005732018801E-3</v>
      </c>
      <c r="I2315" s="517">
        <v>1.5750004513964799E-2</v>
      </c>
      <c r="J2315" s="148">
        <v>2.3952958480413125E-3</v>
      </c>
      <c r="K2315" s="518">
        <v>2.2391611658496526E-4</v>
      </c>
      <c r="L2315" s="519">
        <v>2.340406097638856E-4</v>
      </c>
    </row>
    <row r="2316" spans="1:12" ht="15.5" x14ac:dyDescent="0.35">
      <c r="A2316" s="143" t="s">
        <v>894</v>
      </c>
      <c r="B2316" s="229">
        <v>2018</v>
      </c>
      <c r="C2316" s="514" t="s">
        <v>3140</v>
      </c>
      <c r="D2316" s="515">
        <v>4.01024894746842E-2</v>
      </c>
      <c r="E2316" s="516">
        <v>4.6221453675512926E-2</v>
      </c>
      <c r="F2316" s="145">
        <v>0.19202764148557205</v>
      </c>
      <c r="G2316" s="145">
        <v>2.12247462372249E-3</v>
      </c>
      <c r="H2316" s="517">
        <v>2.0000005732018801E-3</v>
      </c>
      <c r="I2316" s="517">
        <v>1.5750004513964799E-2</v>
      </c>
      <c r="J2316" s="148">
        <v>2.2976878970779042E-3</v>
      </c>
      <c r="K2316" s="518">
        <v>2.0297099397782517E-4</v>
      </c>
      <c r="L2316" s="519">
        <v>2.1214844165505593E-4</v>
      </c>
    </row>
    <row r="2317" spans="1:12" ht="15.5" x14ac:dyDescent="0.35">
      <c r="A2317" s="143" t="s">
        <v>894</v>
      </c>
      <c r="B2317" s="229">
        <v>2019</v>
      </c>
      <c r="C2317" s="514" t="s">
        <v>3141</v>
      </c>
      <c r="D2317" s="515">
        <v>3.9052178388521396E-2</v>
      </c>
      <c r="E2317" s="516">
        <v>3.8799996759133273E-2</v>
      </c>
      <c r="F2317" s="145">
        <v>0.16664885179035471</v>
      </c>
      <c r="G2317" s="145">
        <v>2.0478317889725687E-3</v>
      </c>
      <c r="H2317" s="517">
        <v>2.0000005732018801E-3</v>
      </c>
      <c r="I2317" s="517">
        <v>1.5750004513964792E-2</v>
      </c>
      <c r="J2317" s="148">
        <v>2.2181430717212983E-3</v>
      </c>
      <c r="K2317" s="518">
        <v>1.837752313040651E-4</v>
      </c>
      <c r="L2317" s="519">
        <v>1.9208473177312357E-4</v>
      </c>
    </row>
    <row r="2318" spans="1:12" ht="15.5" x14ac:dyDescent="0.35">
      <c r="A2318" s="143" t="s">
        <v>894</v>
      </c>
      <c r="B2318" s="229">
        <v>2020</v>
      </c>
      <c r="C2318" s="514" t="s">
        <v>3142</v>
      </c>
      <c r="D2318" s="515">
        <v>3.794405747343195E-2</v>
      </c>
      <c r="E2318" s="516">
        <v>3.2970013228451125E-2</v>
      </c>
      <c r="F2318" s="145">
        <v>0.14485337962906919</v>
      </c>
      <c r="G2318" s="145">
        <v>1.9604471988466923E-3</v>
      </c>
      <c r="H2318" s="517">
        <v>2.0000005732018779E-3</v>
      </c>
      <c r="I2318" s="517">
        <v>1.5750004513964799E-2</v>
      </c>
      <c r="J2318" s="148">
        <v>2.1242328984631452E-3</v>
      </c>
      <c r="K2318" s="518">
        <v>1.6668169715486608E-4</v>
      </c>
      <c r="L2318" s="519">
        <v>1.7421830386113267E-4</v>
      </c>
    </row>
    <row r="2319" spans="1:12" ht="15.5" x14ac:dyDescent="0.35">
      <c r="A2319" s="143" t="s">
        <v>894</v>
      </c>
      <c r="B2319" s="229">
        <v>2021</v>
      </c>
      <c r="C2319" s="514" t="s">
        <v>3143</v>
      </c>
      <c r="D2319" s="515">
        <v>3.6890104467119961E-2</v>
      </c>
      <c r="E2319" s="516">
        <v>2.8173286641190603E-2</v>
      </c>
      <c r="F2319" s="145">
        <v>0.12567208714780001</v>
      </c>
      <c r="G2319" s="145">
        <v>1.8453814112529155E-3</v>
      </c>
      <c r="H2319" s="517">
        <v>2.0000005732018797E-3</v>
      </c>
      <c r="I2319" s="517">
        <v>1.5750004513964796E-2</v>
      </c>
      <c r="J2319" s="148">
        <v>2.0000443872109407E-3</v>
      </c>
      <c r="K2319" s="518">
        <v>1.5049351412805729E-4</v>
      </c>
      <c r="L2319" s="519">
        <v>1.5729816303184911E-4</v>
      </c>
    </row>
    <row r="2320" spans="1:12" ht="15.5" x14ac:dyDescent="0.35">
      <c r="A2320" s="143" t="s">
        <v>894</v>
      </c>
      <c r="B2320" s="229">
        <v>2022</v>
      </c>
      <c r="C2320" s="514" t="s">
        <v>3144</v>
      </c>
      <c r="D2320" s="515">
        <v>3.5778986793631909E-2</v>
      </c>
      <c r="E2320" s="516">
        <v>2.3258830564929955E-2</v>
      </c>
      <c r="F2320" s="145">
        <v>0.10833012383843983</v>
      </c>
      <c r="G2320" s="145">
        <v>1.732800608968165E-3</v>
      </c>
      <c r="H2320" s="517">
        <v>2.0000005732018801E-3</v>
      </c>
      <c r="I2320" s="517">
        <v>1.5750004513964803E-2</v>
      </c>
      <c r="J2320" s="148">
        <v>1.878684149231186E-3</v>
      </c>
      <c r="K2320" s="518">
        <v>1.3518269033062084E-4</v>
      </c>
      <c r="L2320" s="519">
        <v>1.4129505172306815E-4</v>
      </c>
    </row>
    <row r="2321" spans="1:12" ht="15.5" x14ac:dyDescent="0.35">
      <c r="A2321" s="143" t="s">
        <v>894</v>
      </c>
      <c r="B2321" s="229">
        <v>2023</v>
      </c>
      <c r="C2321" s="514" t="s">
        <v>3145</v>
      </c>
      <c r="D2321" s="515">
        <v>3.467517844517487E-2</v>
      </c>
      <c r="E2321" s="516">
        <v>2.0114347821298909E-2</v>
      </c>
      <c r="F2321" s="145">
        <v>9.4512946502657055E-2</v>
      </c>
      <c r="G2321" s="145">
        <v>1.6309130838667689E-3</v>
      </c>
      <c r="H2321" s="517">
        <v>2.0000005732018749E-3</v>
      </c>
      <c r="I2321" s="517">
        <v>1.5750004513964799E-2</v>
      </c>
      <c r="J2321" s="148">
        <v>1.7685543075861645E-3</v>
      </c>
      <c r="K2321" s="518">
        <v>1.2081866723052011E-4</v>
      </c>
      <c r="L2321" s="519">
        <v>1.2628155123778863E-4</v>
      </c>
    </row>
    <row r="2322" spans="1:12" ht="15.5" x14ac:dyDescent="0.35">
      <c r="A2322" s="143" t="s">
        <v>894</v>
      </c>
      <c r="B2322" s="229">
        <v>2024</v>
      </c>
      <c r="C2322" s="514" t="s">
        <v>3146</v>
      </c>
      <c r="D2322" s="515">
        <v>3.3625383212922043E-2</v>
      </c>
      <c r="E2322" s="516">
        <v>1.7380088936572915E-2</v>
      </c>
      <c r="F2322" s="145">
        <v>8.2642190354141221E-2</v>
      </c>
      <c r="G2322" s="145">
        <v>1.5361388125624854E-3</v>
      </c>
      <c r="H2322" s="517">
        <v>2.0000005732018801E-3</v>
      </c>
      <c r="I2322" s="517">
        <v>1.5750004513964799E-2</v>
      </c>
      <c r="J2322" s="148">
        <v>1.6661881024803422E-3</v>
      </c>
      <c r="K2322" s="518">
        <v>1.0571242401242903E-4</v>
      </c>
      <c r="L2322" s="519">
        <v>1.1049227073433702E-4</v>
      </c>
    </row>
    <row r="2323" spans="1:12" ht="15.5" x14ac:dyDescent="0.35">
      <c r="A2323" s="143" t="s">
        <v>894</v>
      </c>
      <c r="B2323" s="229">
        <v>2025</v>
      </c>
      <c r="C2323" s="514" t="s">
        <v>3147</v>
      </c>
      <c r="D2323" s="515">
        <v>3.2546285925463686E-2</v>
      </c>
      <c r="E2323" s="516">
        <v>1.5236735884695903E-2</v>
      </c>
      <c r="F2323" s="145">
        <v>7.3175384180380568E-2</v>
      </c>
      <c r="G2323" s="145">
        <v>1.4616898846346138E-3</v>
      </c>
      <c r="H2323" s="517">
        <v>2.0000005732018788E-3</v>
      </c>
      <c r="I2323" s="517">
        <v>1.5750004513964803E-2</v>
      </c>
      <c r="J2323" s="148">
        <v>1.5856916462588244E-3</v>
      </c>
      <c r="K2323" s="518">
        <v>9.5029533464642972E-5</v>
      </c>
      <c r="L2323" s="519">
        <v>9.9326347280604817E-5</v>
      </c>
    </row>
    <row r="2324" spans="1:12" ht="15.5" x14ac:dyDescent="0.35">
      <c r="A2324" s="143" t="s">
        <v>894</v>
      </c>
      <c r="B2324" s="229">
        <v>2026</v>
      </c>
      <c r="C2324" s="514" t="s">
        <v>3148</v>
      </c>
      <c r="D2324" s="515">
        <v>3.1545870144220091E-2</v>
      </c>
      <c r="E2324" s="516">
        <v>1.3449111819554072E-2</v>
      </c>
      <c r="F2324" s="145">
        <v>6.5358955669288926E-2</v>
      </c>
      <c r="G2324" s="145">
        <v>1.3897617055912215E-3</v>
      </c>
      <c r="H2324" s="517">
        <v>2.0000005732018801E-3</v>
      </c>
      <c r="I2324" s="517">
        <v>1.5750004513964799E-2</v>
      </c>
      <c r="J2324" s="148">
        <v>1.5078981172712196E-3</v>
      </c>
      <c r="K2324" s="518">
        <v>8.4807775635518666E-5</v>
      </c>
      <c r="L2324" s="519">
        <v>8.8642406920826024E-5</v>
      </c>
    </row>
    <row r="2325" spans="1:12" ht="15.5" x14ac:dyDescent="0.35">
      <c r="A2325" s="143" t="s">
        <v>894</v>
      </c>
      <c r="B2325" s="229">
        <v>2027</v>
      </c>
      <c r="C2325" s="514" t="s">
        <v>3149</v>
      </c>
      <c r="D2325" s="515">
        <v>3.0646543220377073E-2</v>
      </c>
      <c r="E2325" s="516">
        <v>1.1903727414525968E-2</v>
      </c>
      <c r="F2325" s="145">
        <v>5.8620200521976869E-2</v>
      </c>
      <c r="G2325" s="145">
        <v>1.3088839144078186E-3</v>
      </c>
      <c r="H2325" s="517">
        <v>2.0000005732018801E-3</v>
      </c>
      <c r="I2325" s="517">
        <v>1.5750004513964799E-2</v>
      </c>
      <c r="J2325" s="148">
        <v>1.4205087556088847E-3</v>
      </c>
      <c r="K2325" s="518">
        <v>7.1312723357860275E-5</v>
      </c>
      <c r="L2325" s="519">
        <v>7.4537168262579415E-5</v>
      </c>
    </row>
    <row r="2326" spans="1:12" ht="15.5" x14ac:dyDescent="0.35">
      <c r="A2326" s="143" t="s">
        <v>894</v>
      </c>
      <c r="B2326" s="229">
        <v>2028</v>
      </c>
      <c r="C2326" s="514" t="s">
        <v>3150</v>
      </c>
      <c r="D2326" s="515">
        <v>2.9835625973920352E-2</v>
      </c>
      <c r="E2326" s="516">
        <v>1.0578295087879106E-2</v>
      </c>
      <c r="F2326" s="145">
        <v>5.2860188978897819E-2</v>
      </c>
      <c r="G2326" s="145">
        <v>1.2244526565406151E-3</v>
      </c>
      <c r="H2326" s="517">
        <v>2.0000005732018801E-3</v>
      </c>
      <c r="I2326" s="517">
        <v>1.5750004513964796E-2</v>
      </c>
      <c r="J2326" s="148">
        <v>1.3291548823400514E-3</v>
      </c>
      <c r="K2326" s="518">
        <v>6.0154831318662841E-5</v>
      </c>
      <c r="L2326" s="519">
        <v>6.2874765857782243E-5</v>
      </c>
    </row>
    <row r="2327" spans="1:12" ht="15.5" x14ac:dyDescent="0.35">
      <c r="A2327" s="143" t="s">
        <v>894</v>
      </c>
      <c r="B2327" s="229">
        <v>2029</v>
      </c>
      <c r="C2327" s="514" t="s">
        <v>3151</v>
      </c>
      <c r="D2327" s="515">
        <v>2.9105364699341281E-2</v>
      </c>
      <c r="E2327" s="516">
        <v>9.3800921985538362E-3</v>
      </c>
      <c r="F2327" s="145">
        <v>4.777896300949365E-2</v>
      </c>
      <c r="G2327" s="145">
        <v>1.1450868414662372E-3</v>
      </c>
      <c r="H2327" s="517">
        <v>2.0000005732018801E-3</v>
      </c>
      <c r="I2327" s="517">
        <v>1.5750004513964803E-2</v>
      </c>
      <c r="J2327" s="148">
        <v>1.2431492344903859E-3</v>
      </c>
      <c r="K2327" s="518">
        <v>5.2794065364152347E-5</v>
      </c>
      <c r="L2327" s="519">
        <v>5.5181178729723871E-5</v>
      </c>
    </row>
    <row r="2328" spans="1:12" ht="15.5" x14ac:dyDescent="0.35">
      <c r="A2328" s="143" t="s">
        <v>894</v>
      </c>
      <c r="B2328" s="229">
        <v>2030</v>
      </c>
      <c r="C2328" s="514" t="s">
        <v>3152</v>
      </c>
      <c r="D2328" s="515">
        <v>2.8452374747910684E-2</v>
      </c>
      <c r="E2328" s="516">
        <v>8.3787978861529621E-3</v>
      </c>
      <c r="F2328" s="145">
        <v>4.3458435647712651E-2</v>
      </c>
      <c r="G2328" s="145">
        <v>1.0700103910005218E-3</v>
      </c>
      <c r="H2328" s="517">
        <v>2.0000005732018805E-3</v>
      </c>
      <c r="I2328" s="517">
        <v>1.5750004513964803E-2</v>
      </c>
      <c r="J2328" s="148">
        <v>1.1617682205037664E-3</v>
      </c>
      <c r="K2328" s="518">
        <v>4.6387656150842598E-5</v>
      </c>
      <c r="L2328" s="519">
        <v>4.8485100119808136E-5</v>
      </c>
    </row>
    <row r="2329" spans="1:12" ht="15.5" x14ac:dyDescent="0.35">
      <c r="A2329" s="143" t="s">
        <v>894</v>
      </c>
      <c r="B2329" s="229">
        <v>2031</v>
      </c>
      <c r="C2329" s="514" t="s">
        <v>3153</v>
      </c>
      <c r="D2329" s="515">
        <v>2.790900350179365E-2</v>
      </c>
      <c r="E2329" s="516">
        <v>7.4801355189127372E-3</v>
      </c>
      <c r="F2329" s="145">
        <v>3.9635278306816707E-2</v>
      </c>
      <c r="G2329" s="145">
        <v>1.0002255155877255E-3</v>
      </c>
      <c r="H2329" s="517">
        <v>2.0000005732018801E-3</v>
      </c>
      <c r="I2329" s="517">
        <v>1.5750004513964799E-2</v>
      </c>
      <c r="J2329" s="148">
        <v>1.0860476167614804E-3</v>
      </c>
      <c r="K2329" s="518">
        <v>4.2215085720360939E-5</v>
      </c>
      <c r="L2329" s="519">
        <v>4.4123864569967157E-5</v>
      </c>
    </row>
    <row r="2330" spans="1:12" ht="15.5" x14ac:dyDescent="0.35">
      <c r="A2330" s="143" t="s">
        <v>894</v>
      </c>
      <c r="B2330" s="229">
        <v>2032</v>
      </c>
      <c r="C2330" s="514" t="s">
        <v>3154</v>
      </c>
      <c r="D2330" s="515">
        <v>2.7393225715644932E-2</v>
      </c>
      <c r="E2330" s="516">
        <v>6.7152871345473441E-3</v>
      </c>
      <c r="F2330" s="145">
        <v>3.6484070551536844E-2</v>
      </c>
      <c r="G2330" s="145">
        <v>9.3611351037806482E-4</v>
      </c>
      <c r="H2330" s="517">
        <v>2.0000005732018801E-3</v>
      </c>
      <c r="I2330" s="517">
        <v>1.5750004513964765E-2</v>
      </c>
      <c r="J2330" s="148">
        <v>1.0164858362378139E-3</v>
      </c>
      <c r="K2330" s="518">
        <v>3.8300699356133486E-5</v>
      </c>
      <c r="L2330" s="519">
        <v>4.0032487024181636E-5</v>
      </c>
    </row>
    <row r="2331" spans="1:12" ht="15.5" x14ac:dyDescent="0.35">
      <c r="A2331" s="143" t="s">
        <v>894</v>
      </c>
      <c r="B2331" s="229">
        <v>2033</v>
      </c>
      <c r="C2331" s="514" t="s">
        <v>3155</v>
      </c>
      <c r="D2331" s="515">
        <v>2.6939116614911929E-2</v>
      </c>
      <c r="E2331" s="516">
        <v>6.0462062510588605E-3</v>
      </c>
      <c r="F2331" s="145">
        <v>3.3800767210935528E-2</v>
      </c>
      <c r="G2331" s="145">
        <v>8.7749336672026399E-4</v>
      </c>
      <c r="H2331" s="517">
        <v>2.0000005732018801E-3</v>
      </c>
      <c r="I2331" s="517">
        <v>1.5750004513964792E-2</v>
      </c>
      <c r="J2331" s="148">
        <v>9.5285051346573574E-4</v>
      </c>
      <c r="K2331" s="518">
        <v>3.5482289980809374E-5</v>
      </c>
      <c r="L2331" s="519">
        <v>3.7086641683411651E-5</v>
      </c>
    </row>
    <row r="2332" spans="1:12" ht="15.5" x14ac:dyDescent="0.35">
      <c r="A2332" s="143" t="s">
        <v>894</v>
      </c>
      <c r="B2332" s="229">
        <v>2034</v>
      </c>
      <c r="C2332" s="514" t="s">
        <v>3156</v>
      </c>
      <c r="D2332" s="515">
        <v>2.6540374244265523E-2</v>
      </c>
      <c r="E2332" s="516">
        <v>5.4326795975412571E-3</v>
      </c>
      <c r="F2332" s="145">
        <v>3.1415327978457856E-2</v>
      </c>
      <c r="G2332" s="145">
        <v>8.2279591787301953E-4</v>
      </c>
      <c r="H2332" s="517">
        <v>2.0000005732018801E-3</v>
      </c>
      <c r="I2332" s="517">
        <v>1.5750004513964799E-2</v>
      </c>
      <c r="J2332" s="148">
        <v>8.9346785943136744E-4</v>
      </c>
      <c r="K2332" s="518">
        <v>3.2985286171784867E-5</v>
      </c>
      <c r="L2332" s="519">
        <v>3.4476734442433411E-5</v>
      </c>
    </row>
    <row r="2333" spans="1:12" ht="15.5" x14ac:dyDescent="0.35">
      <c r="A2333" s="143" t="s">
        <v>894</v>
      </c>
      <c r="B2333" s="229">
        <v>2035</v>
      </c>
      <c r="C2333" s="514" t="s">
        <v>3157</v>
      </c>
      <c r="D2333" s="515">
        <v>2.6193412301810531E-2</v>
      </c>
      <c r="E2333" s="516">
        <v>4.88987464515671E-3</v>
      </c>
      <c r="F2333" s="145">
        <v>2.9381949227296925E-2</v>
      </c>
      <c r="G2333" s="145">
        <v>7.7262255057283238E-4</v>
      </c>
      <c r="H2333" s="517">
        <v>2.0000005732018805E-3</v>
      </c>
      <c r="I2333" s="517">
        <v>1.5750004513964799E-2</v>
      </c>
      <c r="J2333" s="148">
        <v>8.3899390077625405E-4</v>
      </c>
      <c r="K2333" s="518">
        <v>3.076334779643418E-5</v>
      </c>
      <c r="L2333" s="519">
        <v>3.215432987345487E-5</v>
      </c>
    </row>
    <row r="2334" spans="1:12" ht="15.5" x14ac:dyDescent="0.35">
      <c r="A2334" s="143" t="s">
        <v>894</v>
      </c>
      <c r="B2334" s="229">
        <v>2036</v>
      </c>
      <c r="C2334" s="514" t="s">
        <v>3158</v>
      </c>
      <c r="D2334" s="515">
        <v>2.5893220070210912E-2</v>
      </c>
      <c r="E2334" s="516">
        <v>4.4259996847852085E-3</v>
      </c>
      <c r="F2334" s="145">
        <v>2.7678886017732107E-2</v>
      </c>
      <c r="G2334" s="145">
        <v>7.3009241924348466E-4</v>
      </c>
      <c r="H2334" s="517">
        <v>2.0000005732018727E-3</v>
      </c>
      <c r="I2334" s="517">
        <v>1.575000451396474E-2</v>
      </c>
      <c r="J2334" s="148">
        <v>7.9282625175755854E-4</v>
      </c>
      <c r="K2334" s="518">
        <v>2.869260127615351E-5</v>
      </c>
      <c r="L2334" s="519">
        <v>2.9989953384328695E-5</v>
      </c>
    </row>
    <row r="2335" spans="1:12" ht="15.5" x14ac:dyDescent="0.35">
      <c r="A2335" s="143" t="s">
        <v>894</v>
      </c>
      <c r="B2335" s="229">
        <v>2037</v>
      </c>
      <c r="C2335" s="514" t="s">
        <v>3159</v>
      </c>
      <c r="D2335" s="515">
        <v>2.5636541373097357E-2</v>
      </c>
      <c r="E2335" s="516">
        <v>4.0175280571120931E-3</v>
      </c>
      <c r="F2335" s="145">
        <v>2.6210805874345353E-2</v>
      </c>
      <c r="G2335" s="145">
        <v>6.9182582416866861E-4</v>
      </c>
      <c r="H2335" s="517">
        <v>2.0000005732018779E-3</v>
      </c>
      <c r="I2335" s="517">
        <v>1.5750004513964775E-2</v>
      </c>
      <c r="J2335" s="148">
        <v>7.5128942999901104E-4</v>
      </c>
      <c r="K2335" s="518">
        <v>2.6767160404817934E-5</v>
      </c>
      <c r="L2335" s="519">
        <v>2.7977452620808648E-5</v>
      </c>
    </row>
    <row r="2336" spans="1:12" ht="15.5" x14ac:dyDescent="0.35">
      <c r="A2336" s="143" t="s">
        <v>894</v>
      </c>
      <c r="B2336" s="229">
        <v>2038</v>
      </c>
      <c r="C2336" s="514" t="s">
        <v>3160</v>
      </c>
      <c r="D2336" s="515">
        <v>2.5418056912490775E-2</v>
      </c>
      <c r="E2336" s="516">
        <v>3.647333970573749E-3</v>
      </c>
      <c r="F2336" s="145">
        <v>2.487878611941121E-2</v>
      </c>
      <c r="G2336" s="145">
        <v>6.5780982722369642E-4</v>
      </c>
      <c r="H2336" s="517">
        <v>2.0000005732018801E-3</v>
      </c>
      <c r="I2336" s="517">
        <v>1.5750004513964789E-2</v>
      </c>
      <c r="J2336" s="148">
        <v>7.1435142394407896E-4</v>
      </c>
      <c r="K2336" s="518">
        <v>2.541038514189902E-5</v>
      </c>
      <c r="L2336" s="519">
        <v>2.6559330001101679E-5</v>
      </c>
    </row>
    <row r="2337" spans="1:12" ht="15.5" x14ac:dyDescent="0.35">
      <c r="A2337" s="143" t="s">
        <v>894</v>
      </c>
      <c r="B2337" s="229">
        <v>2039</v>
      </c>
      <c r="C2337" s="514" t="s">
        <v>3161</v>
      </c>
      <c r="D2337" s="515">
        <v>2.5232588549145927E-2</v>
      </c>
      <c r="E2337" s="516">
        <v>3.2977052245783344E-3</v>
      </c>
      <c r="F2337" s="145">
        <v>2.362726270243188E-2</v>
      </c>
      <c r="G2337" s="145">
        <v>6.2729313329240642E-4</v>
      </c>
      <c r="H2337" s="517">
        <v>2.000000573201874E-3</v>
      </c>
      <c r="I2337" s="517">
        <v>1.5750004513964799E-2</v>
      </c>
      <c r="J2337" s="148">
        <v>6.8121113180695286E-4</v>
      </c>
      <c r="K2337" s="518">
        <v>2.4244695647228708E-5</v>
      </c>
      <c r="L2337" s="519">
        <v>2.5340933200152791E-5</v>
      </c>
    </row>
    <row r="2338" spans="1:12" ht="15.5" x14ac:dyDescent="0.35">
      <c r="A2338" s="143" t="s">
        <v>894</v>
      </c>
      <c r="B2338" s="229">
        <v>2040</v>
      </c>
      <c r="C2338" s="514" t="s">
        <v>3162</v>
      </c>
      <c r="D2338" s="515">
        <v>2.5076529799046891E-2</v>
      </c>
      <c r="E2338" s="516">
        <v>2.9884186677401185E-3</v>
      </c>
      <c r="F2338" s="145">
        <v>2.2588461487139506E-2</v>
      </c>
      <c r="G2338" s="145">
        <v>6.0019170091786121E-4</v>
      </c>
      <c r="H2338" s="517">
        <v>2.0000005732018792E-3</v>
      </c>
      <c r="I2338" s="517">
        <v>1.5750004513964785E-2</v>
      </c>
      <c r="J2338" s="148">
        <v>6.5177903106869656E-4</v>
      </c>
      <c r="K2338" s="518">
        <v>2.3225721339024637E-5</v>
      </c>
      <c r="L2338" s="519">
        <v>2.4275885395363241E-5</v>
      </c>
    </row>
    <row r="2339" spans="1:12" ht="15.5" x14ac:dyDescent="0.35">
      <c r="A2339" s="143" t="s">
        <v>894</v>
      </c>
      <c r="B2339" s="229">
        <v>2041</v>
      </c>
      <c r="C2339" s="514" t="s">
        <v>3163</v>
      </c>
      <c r="D2339" s="515">
        <v>2.4947134492818834E-2</v>
      </c>
      <c r="E2339" s="516">
        <v>2.7611305419058337E-3</v>
      </c>
      <c r="F2339" s="145">
        <v>2.178506737637639E-2</v>
      </c>
      <c r="G2339" s="145">
        <v>5.7971681191974116E-4</v>
      </c>
      <c r="H2339" s="517">
        <v>2.0000005732018788E-3</v>
      </c>
      <c r="I2339" s="517">
        <v>1.575000451396473E-2</v>
      </c>
      <c r="J2339" s="148">
        <v>6.2954819294986709E-4</v>
      </c>
      <c r="K2339" s="518">
        <v>2.2341444911445615E-5</v>
      </c>
      <c r="L2339" s="519">
        <v>2.335162591164767E-5</v>
      </c>
    </row>
    <row r="2340" spans="1:12" ht="15.5" x14ac:dyDescent="0.35">
      <c r="A2340" s="143" t="s">
        <v>894</v>
      </c>
      <c r="B2340" s="229">
        <v>2042</v>
      </c>
      <c r="C2340" s="514" t="s">
        <v>3164</v>
      </c>
      <c r="D2340" s="515">
        <v>2.4838790739827872E-2</v>
      </c>
      <c r="E2340" s="516">
        <v>2.5627293434685823E-3</v>
      </c>
      <c r="F2340" s="145">
        <v>2.1045273918403346E-2</v>
      </c>
      <c r="G2340" s="145">
        <v>5.6188095395369594E-4</v>
      </c>
      <c r="H2340" s="517">
        <v>2.0000005732018801E-3</v>
      </c>
      <c r="I2340" s="517">
        <v>1.5750004513964799E-2</v>
      </c>
      <c r="J2340" s="148">
        <v>6.1018253047222769E-4</v>
      </c>
      <c r="K2340" s="518">
        <v>2.1575429568855865E-5</v>
      </c>
      <c r="L2340" s="519">
        <v>2.2550974754408733E-5</v>
      </c>
    </row>
    <row r="2341" spans="1:12" ht="15.5" x14ac:dyDescent="0.35">
      <c r="A2341" s="143" t="s">
        <v>894</v>
      </c>
      <c r="B2341" s="229">
        <v>2043</v>
      </c>
      <c r="C2341" s="514" t="s">
        <v>3165</v>
      </c>
      <c r="D2341" s="515">
        <v>2.4749131573940111E-2</v>
      </c>
      <c r="E2341" s="516">
        <v>2.4115943912063481E-3</v>
      </c>
      <c r="F2341" s="145">
        <v>2.0474894583282322E-2</v>
      </c>
      <c r="G2341" s="145">
        <v>5.4652072279306855E-4</v>
      </c>
      <c r="H2341" s="517">
        <v>2.0000005732018723E-3</v>
      </c>
      <c r="I2341" s="517">
        <v>1.575000451396474E-2</v>
      </c>
      <c r="J2341" s="148">
        <v>5.9350425239437278E-4</v>
      </c>
      <c r="K2341" s="518">
        <v>2.09294271598371E-5</v>
      </c>
      <c r="L2341" s="519">
        <v>2.1875762983047402E-5</v>
      </c>
    </row>
    <row r="2342" spans="1:12" ht="15.5" x14ac:dyDescent="0.35">
      <c r="A2342" s="143" t="s">
        <v>894</v>
      </c>
      <c r="B2342" s="229">
        <v>2044</v>
      </c>
      <c r="C2342" s="514" t="s">
        <v>3166</v>
      </c>
      <c r="D2342" s="515">
        <v>2.4674226965503154E-2</v>
      </c>
      <c r="E2342" s="516">
        <v>2.2955928238213939E-3</v>
      </c>
      <c r="F2342" s="145">
        <v>2.000774453340087E-2</v>
      </c>
      <c r="G2342" s="145">
        <v>5.3327914200972906E-4</v>
      </c>
      <c r="H2342" s="517">
        <v>2.0000005732018762E-3</v>
      </c>
      <c r="I2342" s="517">
        <v>1.5750004513964799E-2</v>
      </c>
      <c r="J2342" s="148">
        <v>5.7912414104684974E-4</v>
      </c>
      <c r="K2342" s="518">
        <v>2.0426404467609657E-5</v>
      </c>
      <c r="L2342" s="519">
        <v>2.1349995836807535E-5</v>
      </c>
    </row>
    <row r="2343" spans="1:12" ht="15.5" x14ac:dyDescent="0.35">
      <c r="A2343" s="143" t="s">
        <v>894</v>
      </c>
      <c r="B2343" s="229">
        <v>2045</v>
      </c>
      <c r="C2343" s="514" t="s">
        <v>3167</v>
      </c>
      <c r="D2343" s="515">
        <v>2.4610401519698098E-2</v>
      </c>
      <c r="E2343" s="516">
        <v>2.2176926266381193E-3</v>
      </c>
      <c r="F2343" s="145">
        <v>1.9689252206568846E-2</v>
      </c>
      <c r="G2343" s="145">
        <v>5.2195670150469305E-4</v>
      </c>
      <c r="H2343" s="517">
        <v>2.0000005732018775E-3</v>
      </c>
      <c r="I2343" s="517">
        <v>1.5750004513964737E-2</v>
      </c>
      <c r="J2343" s="148">
        <v>5.6682654556050366E-4</v>
      </c>
      <c r="K2343" s="518">
        <v>2.0034867790647421E-5</v>
      </c>
      <c r="L2343" s="519">
        <v>2.0940755608731396E-5</v>
      </c>
    </row>
    <row r="2344" spans="1:12" ht="15.5" x14ac:dyDescent="0.35">
      <c r="A2344" s="143" t="s">
        <v>894</v>
      </c>
      <c r="B2344" s="229">
        <v>2046</v>
      </c>
      <c r="C2344" s="514" t="s">
        <v>3168</v>
      </c>
      <c r="D2344" s="515">
        <v>2.4556833783115E-2</v>
      </c>
      <c r="E2344" s="516">
        <v>2.1504605001377271E-3</v>
      </c>
      <c r="F2344" s="145">
        <v>1.9430122864474379E-2</v>
      </c>
      <c r="G2344" s="145">
        <v>5.1226410670908733E-4</v>
      </c>
      <c r="H2344" s="517">
        <v>2.0000005732018797E-3</v>
      </c>
      <c r="I2344" s="517">
        <v>1.5750004513964796E-2</v>
      </c>
      <c r="J2344" s="148">
        <v>5.5630122635293806E-4</v>
      </c>
      <c r="K2344" s="518">
        <v>1.9651110075308201E-5</v>
      </c>
      <c r="L2344" s="519">
        <v>2.0539646072404181E-5</v>
      </c>
    </row>
    <row r="2345" spans="1:12" ht="15.5" x14ac:dyDescent="0.35">
      <c r="A2345" s="143" t="s">
        <v>894</v>
      </c>
      <c r="B2345" s="229">
        <v>2047</v>
      </c>
      <c r="C2345" s="514" t="s">
        <v>3169</v>
      </c>
      <c r="D2345" s="515">
        <v>2.4511619615982236E-2</v>
      </c>
      <c r="E2345" s="516">
        <v>2.0908884579138279E-3</v>
      </c>
      <c r="F2345" s="145">
        <v>1.9198002892389567E-2</v>
      </c>
      <c r="G2345" s="145">
        <v>5.041129557788052E-4</v>
      </c>
      <c r="H2345" s="517">
        <v>2.0000005732018788E-3</v>
      </c>
      <c r="I2345" s="517">
        <v>1.5750004513964796E-2</v>
      </c>
      <c r="J2345" s="148">
        <v>5.4744783924244372E-4</v>
      </c>
      <c r="K2345" s="518">
        <v>1.9374223785641999E-5</v>
      </c>
      <c r="L2345" s="519">
        <v>2.0250240213383938E-5</v>
      </c>
    </row>
    <row r="2346" spans="1:12" ht="15.5" x14ac:dyDescent="0.35">
      <c r="A2346" s="143" t="s">
        <v>894</v>
      </c>
      <c r="B2346" s="229">
        <v>2048</v>
      </c>
      <c r="C2346" s="514" t="s">
        <v>3170</v>
      </c>
      <c r="D2346" s="515">
        <v>2.4473144337008219E-2</v>
      </c>
      <c r="E2346" s="516">
        <v>2.0431817055911899E-3</v>
      </c>
      <c r="F2346" s="145">
        <v>1.9008775161022867E-2</v>
      </c>
      <c r="G2346" s="145">
        <v>4.9718047886815916E-4</v>
      </c>
      <c r="H2346" s="517">
        <v>2.0000005732018745E-3</v>
      </c>
      <c r="I2346" s="517">
        <v>1.5750004513964799E-2</v>
      </c>
      <c r="J2346" s="148">
        <v>5.3992096641572863E-4</v>
      </c>
      <c r="K2346" s="518">
        <v>1.9071494970697324E-5</v>
      </c>
      <c r="L2346" s="519">
        <v>1.9933823344766704E-5</v>
      </c>
    </row>
    <row r="2347" spans="1:12" ht="15.5" x14ac:dyDescent="0.35">
      <c r="A2347" s="143" t="s">
        <v>894</v>
      </c>
      <c r="B2347" s="229">
        <v>2049</v>
      </c>
      <c r="C2347" s="514" t="s">
        <v>3171</v>
      </c>
      <c r="D2347" s="515">
        <v>2.4441132912946625E-2</v>
      </c>
      <c r="E2347" s="516">
        <v>2.0255250708726951E-3</v>
      </c>
      <c r="F2347" s="145">
        <v>1.8999513728246313E-2</v>
      </c>
      <c r="G2347" s="145">
        <v>4.9289131089667534E-4</v>
      </c>
      <c r="H2347" s="517">
        <v>2.0000005732018797E-3</v>
      </c>
      <c r="I2347" s="517">
        <v>1.5750004513964799E-2</v>
      </c>
      <c r="J2347" s="148">
        <v>5.3526475144556412E-4</v>
      </c>
      <c r="K2347" s="518">
        <v>1.8867449947444199E-5</v>
      </c>
      <c r="L2347" s="519">
        <v>1.9720552310998471E-5</v>
      </c>
    </row>
    <row r="2348" spans="1:12" ht="15.5" x14ac:dyDescent="0.35">
      <c r="A2348" s="143" t="s">
        <v>894</v>
      </c>
      <c r="B2348" s="229">
        <v>2050</v>
      </c>
      <c r="C2348" s="514" t="s">
        <v>3172</v>
      </c>
      <c r="D2348" s="515">
        <v>2.4415736784412601E-2</v>
      </c>
      <c r="E2348" s="516">
        <v>2.010682413044054E-3</v>
      </c>
      <c r="F2348" s="145">
        <v>1.8992006817135792E-2</v>
      </c>
      <c r="G2348" s="145">
        <v>4.8928139800523841E-4</v>
      </c>
      <c r="H2348" s="517">
        <v>2.0000005732018792E-3</v>
      </c>
      <c r="I2348" s="517">
        <v>1.5750004513964799E-2</v>
      </c>
      <c r="J2348" s="148">
        <v>5.3134881268347527E-4</v>
      </c>
      <c r="K2348" s="518">
        <v>1.8627433046971654E-5</v>
      </c>
      <c r="L2348" s="519">
        <v>1.9469682911345782E-5</v>
      </c>
    </row>
    <row r="2349" spans="1:12" ht="15.5" x14ac:dyDescent="0.35">
      <c r="A2349" s="143" t="s">
        <v>901</v>
      </c>
      <c r="B2349" s="229">
        <v>2015</v>
      </c>
      <c r="C2349" s="514" t="s">
        <v>3173</v>
      </c>
      <c r="D2349" s="515">
        <v>4.3937382208446868E-2</v>
      </c>
      <c r="E2349" s="516">
        <v>7.6780313796834004E-2</v>
      </c>
      <c r="F2349" s="145">
        <v>0.27468382803117986</v>
      </c>
      <c r="G2349" s="145">
        <v>2.7004581174489817E-3</v>
      </c>
      <c r="H2349" s="517">
        <v>2.0000005732018805E-3</v>
      </c>
      <c r="I2349" s="517">
        <v>1.5750004513964799E-2</v>
      </c>
      <c r="J2349" s="148">
        <v>2.9178104966204412E-3</v>
      </c>
      <c r="K2349" s="518">
        <v>3.2821423405999438E-4</v>
      </c>
      <c r="L2349" s="519">
        <v>3.4305462529509378E-4</v>
      </c>
    </row>
    <row r="2350" spans="1:12" ht="15.5" x14ac:dyDescent="0.35">
      <c r="A2350" s="143" t="s">
        <v>901</v>
      </c>
      <c r="B2350" s="229">
        <v>2016</v>
      </c>
      <c r="C2350" s="514" t="s">
        <v>3174</v>
      </c>
      <c r="D2350" s="515">
        <v>4.3010856957960864E-2</v>
      </c>
      <c r="E2350" s="516">
        <v>6.2885536929820574E-2</v>
      </c>
      <c r="F2350" s="145">
        <v>0.23357232723711174</v>
      </c>
      <c r="G2350" s="145">
        <v>2.4442938259219729E-3</v>
      </c>
      <c r="H2350" s="517">
        <v>2.0000005732018797E-3</v>
      </c>
      <c r="I2350" s="517">
        <v>1.5750004513964803E-2</v>
      </c>
      <c r="J2350" s="148">
        <v>2.6439219358068266E-3</v>
      </c>
      <c r="K2350" s="518">
        <v>2.6224229831735496E-4</v>
      </c>
      <c r="L2350" s="519">
        <v>2.7409973136430167E-4</v>
      </c>
    </row>
    <row r="2351" spans="1:12" ht="15.5" x14ac:dyDescent="0.35">
      <c r="A2351" s="143" t="s">
        <v>901</v>
      </c>
      <c r="B2351" s="229">
        <v>2017</v>
      </c>
      <c r="C2351" s="514" t="s">
        <v>3175</v>
      </c>
      <c r="D2351" s="515">
        <v>4.2025585838185324E-2</v>
      </c>
      <c r="E2351" s="516">
        <v>5.2588789068691473E-2</v>
      </c>
      <c r="F2351" s="145">
        <v>0.20042512703619839</v>
      </c>
      <c r="G2351" s="145">
        <v>2.3119975908519061E-3</v>
      </c>
      <c r="H2351" s="517">
        <v>2.0000005732018784E-3</v>
      </c>
      <c r="I2351" s="517">
        <v>1.5750004513964799E-2</v>
      </c>
      <c r="J2351" s="148">
        <v>2.5022486709021579E-3</v>
      </c>
      <c r="K2351" s="518">
        <v>2.3730432226912816E-4</v>
      </c>
      <c r="L2351" s="519">
        <v>2.4803417069980391E-4</v>
      </c>
    </row>
    <row r="2352" spans="1:12" ht="15.5" x14ac:dyDescent="0.35">
      <c r="A2352" s="143" t="s">
        <v>901</v>
      </c>
      <c r="B2352" s="229">
        <v>2018</v>
      </c>
      <c r="C2352" s="514" t="s">
        <v>3176</v>
      </c>
      <c r="D2352" s="515">
        <v>4.0988241780967771E-2</v>
      </c>
      <c r="E2352" s="516">
        <v>4.3651289210871407E-2</v>
      </c>
      <c r="F2352" s="145">
        <v>0.17136721645030495</v>
      </c>
      <c r="G2352" s="145">
        <v>2.2238052471952523E-3</v>
      </c>
      <c r="H2352" s="517">
        <v>2.0000005732018801E-3</v>
      </c>
      <c r="I2352" s="517">
        <v>1.5750004513964803E-2</v>
      </c>
      <c r="J2352" s="148">
        <v>2.4081814823100731E-3</v>
      </c>
      <c r="K2352" s="518">
        <v>2.156677746895669E-4</v>
      </c>
      <c r="L2352" s="519">
        <v>2.2541931444945308E-4</v>
      </c>
    </row>
    <row r="2353" spans="1:12" ht="15.5" x14ac:dyDescent="0.35">
      <c r="A2353" s="143" t="s">
        <v>901</v>
      </c>
      <c r="B2353" s="229">
        <v>2019</v>
      </c>
      <c r="C2353" s="514" t="s">
        <v>3177</v>
      </c>
      <c r="D2353" s="515">
        <v>3.9876034140765793E-2</v>
      </c>
      <c r="E2353" s="516">
        <v>3.6147631876126643E-2</v>
      </c>
      <c r="F2353" s="145">
        <v>0.14647695284190468</v>
      </c>
      <c r="G2353" s="145">
        <v>2.1589424026658916E-3</v>
      </c>
      <c r="H2353" s="517">
        <v>2.0000005732018801E-3</v>
      </c>
      <c r="I2353" s="517">
        <v>1.5750004513964803E-2</v>
      </c>
      <c r="J2353" s="148">
        <v>2.3391104563475181E-3</v>
      </c>
      <c r="K2353" s="518">
        <v>1.9699662654840727E-4</v>
      </c>
      <c r="L2353" s="519">
        <v>2.0590393984134205E-4</v>
      </c>
    </row>
    <row r="2354" spans="1:12" ht="15.5" x14ac:dyDescent="0.35">
      <c r="A2354" s="143" t="s">
        <v>901</v>
      </c>
      <c r="B2354" s="229">
        <v>2020</v>
      </c>
      <c r="C2354" s="514" t="s">
        <v>3178</v>
      </c>
      <c r="D2354" s="515">
        <v>3.8780479711584513E-2</v>
      </c>
      <c r="E2354" s="516">
        <v>3.0601494316673993E-2</v>
      </c>
      <c r="F2354" s="145">
        <v>0.12562365567221465</v>
      </c>
      <c r="G2354" s="145">
        <v>2.079036349002231E-3</v>
      </c>
      <c r="H2354" s="517">
        <v>2.0000005732018784E-3</v>
      </c>
      <c r="I2354" s="517">
        <v>1.5750004513964803E-2</v>
      </c>
      <c r="J2354" s="148">
        <v>2.2530831250788218E-3</v>
      </c>
      <c r="K2354" s="518">
        <v>1.810972025372135E-4</v>
      </c>
      <c r="L2354" s="519">
        <v>1.8928561442901106E-4</v>
      </c>
    </row>
    <row r="2355" spans="1:12" ht="15.5" x14ac:dyDescent="0.35">
      <c r="A2355" s="143" t="s">
        <v>901</v>
      </c>
      <c r="B2355" s="229">
        <v>2021</v>
      </c>
      <c r="C2355" s="514" t="s">
        <v>3179</v>
      </c>
      <c r="D2355" s="515">
        <v>3.7719587045689125E-2</v>
      </c>
      <c r="E2355" s="516">
        <v>2.6345248533956298E-2</v>
      </c>
      <c r="F2355" s="145">
        <v>0.10817046941297635</v>
      </c>
      <c r="G2355" s="145">
        <v>1.9841837572447626E-3</v>
      </c>
      <c r="H2355" s="517">
        <v>2.0000005732018805E-3</v>
      </c>
      <c r="I2355" s="517">
        <v>1.5750004513964803E-2</v>
      </c>
      <c r="J2355" s="148">
        <v>2.1506625713510813E-3</v>
      </c>
      <c r="K2355" s="518">
        <v>1.6621198990508443E-4</v>
      </c>
      <c r="L2355" s="519">
        <v>1.7372735853381048E-4</v>
      </c>
    </row>
    <row r="2356" spans="1:12" ht="15.5" x14ac:dyDescent="0.35">
      <c r="A2356" s="143" t="s">
        <v>901</v>
      </c>
      <c r="B2356" s="229">
        <v>2022</v>
      </c>
      <c r="C2356" s="514" t="s">
        <v>3180</v>
      </c>
      <c r="D2356" s="515">
        <v>3.6622413961176326E-2</v>
      </c>
      <c r="E2356" s="516">
        <v>2.2219392453026877E-2</v>
      </c>
      <c r="F2356" s="145">
        <v>9.3082924276014598E-2</v>
      </c>
      <c r="G2356" s="145">
        <v>1.8780781082118948E-3</v>
      </c>
      <c r="H2356" s="517">
        <v>2.0000005732018801E-3</v>
      </c>
      <c r="I2356" s="517">
        <v>1.5750004513964796E-2</v>
      </c>
      <c r="J2356" s="148">
        <v>2.0360846489120405E-3</v>
      </c>
      <c r="K2356" s="518">
        <v>1.5131364639937113E-4</v>
      </c>
      <c r="L2356" s="519">
        <v>1.5815537804518938E-4</v>
      </c>
    </row>
    <row r="2357" spans="1:12" ht="15.5" x14ac:dyDescent="0.35">
      <c r="A2357" s="143" t="s">
        <v>901</v>
      </c>
      <c r="B2357" s="229">
        <v>2023</v>
      </c>
      <c r="C2357" s="514" t="s">
        <v>3181</v>
      </c>
      <c r="D2357" s="515">
        <v>3.5532006854337141E-2</v>
      </c>
      <c r="E2357" s="516">
        <v>1.9146548142205445E-2</v>
      </c>
      <c r="F2357" s="145">
        <v>8.0746407824190111E-2</v>
      </c>
      <c r="G2357" s="145">
        <v>1.7793937584448785E-3</v>
      </c>
      <c r="H2357" s="517">
        <v>2.0000005732018805E-3</v>
      </c>
      <c r="I2357" s="517">
        <v>1.5750004513964796E-2</v>
      </c>
      <c r="J2357" s="148">
        <v>1.9294837485546339E-3</v>
      </c>
      <c r="K2357" s="518">
        <v>1.350099692073807E-4</v>
      </c>
      <c r="L2357" s="519">
        <v>1.4111452091707252E-4</v>
      </c>
    </row>
    <row r="2358" spans="1:12" ht="15.5" x14ac:dyDescent="0.35">
      <c r="A2358" s="143" t="s">
        <v>901</v>
      </c>
      <c r="B2358" s="229">
        <v>2024</v>
      </c>
      <c r="C2358" s="514" t="s">
        <v>3182</v>
      </c>
      <c r="D2358" s="515">
        <v>3.4585082743171541E-2</v>
      </c>
      <c r="E2358" s="516">
        <v>1.6548018030360444E-2</v>
      </c>
      <c r="F2358" s="145">
        <v>7.0416688314215534E-2</v>
      </c>
      <c r="G2358" s="145">
        <v>1.6877832087056352E-3</v>
      </c>
      <c r="H2358" s="517">
        <v>2.0000005732018797E-3</v>
      </c>
      <c r="I2358" s="517">
        <v>1.5750004513964796E-2</v>
      </c>
      <c r="J2358" s="148">
        <v>1.8306380799774456E-3</v>
      </c>
      <c r="K2358" s="518">
        <v>1.1724927626631057E-4</v>
      </c>
      <c r="L2358" s="519">
        <v>1.2255076825311526E-4</v>
      </c>
    </row>
    <row r="2359" spans="1:12" ht="15.5" x14ac:dyDescent="0.35">
      <c r="A2359" s="143" t="s">
        <v>901</v>
      </c>
      <c r="B2359" s="229">
        <v>2025</v>
      </c>
      <c r="C2359" s="514" t="s">
        <v>3183</v>
      </c>
      <c r="D2359" s="515">
        <v>3.3511325080949651E-2</v>
      </c>
      <c r="E2359" s="516">
        <v>1.4457614878053287E-2</v>
      </c>
      <c r="F2359" s="145">
        <v>6.2095681672829854E-2</v>
      </c>
      <c r="G2359" s="145">
        <v>1.6136274083417934E-3</v>
      </c>
      <c r="H2359" s="517">
        <v>2.0000005732018784E-3</v>
      </c>
      <c r="I2359" s="517">
        <v>1.5750004513964799E-2</v>
      </c>
      <c r="J2359" s="148">
        <v>1.7505216478874968E-3</v>
      </c>
      <c r="K2359" s="518">
        <v>1.0487226824990056E-4</v>
      </c>
      <c r="L2359" s="519">
        <v>1.0961412685636307E-4</v>
      </c>
    </row>
    <row r="2360" spans="1:12" ht="15.5" x14ac:dyDescent="0.35">
      <c r="A2360" s="143" t="s">
        <v>901</v>
      </c>
      <c r="B2360" s="229">
        <v>2026</v>
      </c>
      <c r="C2360" s="514" t="s">
        <v>3184</v>
      </c>
      <c r="D2360" s="515">
        <v>3.2556246027196235E-2</v>
      </c>
      <c r="E2360" s="516">
        <v>1.2639852865778329E-2</v>
      </c>
      <c r="F2360" s="145">
        <v>5.5217087302656731E-2</v>
      </c>
      <c r="G2360" s="145">
        <v>1.5279462197182712E-3</v>
      </c>
      <c r="H2360" s="517">
        <v>2.0000005732018784E-3</v>
      </c>
      <c r="I2360" s="517">
        <v>1.5750004513964803E-2</v>
      </c>
      <c r="J2360" s="148">
        <v>1.6579569336891359E-3</v>
      </c>
      <c r="K2360" s="518">
        <v>9.0227216856098171E-5</v>
      </c>
      <c r="L2360" s="519">
        <v>9.4306891224985807E-5</v>
      </c>
    </row>
    <row r="2361" spans="1:12" ht="15.5" x14ac:dyDescent="0.35">
      <c r="A2361" s="143" t="s">
        <v>901</v>
      </c>
      <c r="B2361" s="229">
        <v>2027</v>
      </c>
      <c r="C2361" s="514" t="s">
        <v>3185</v>
      </c>
      <c r="D2361" s="515">
        <v>3.1700417905763015E-2</v>
      </c>
      <c r="E2361" s="516">
        <v>1.1184755444063691E-2</v>
      </c>
      <c r="F2361" s="145">
        <v>4.9531647049920677E-2</v>
      </c>
      <c r="G2361" s="145">
        <v>1.4447738352894699E-3</v>
      </c>
      <c r="H2361" s="517">
        <v>2.0000005732018797E-3</v>
      </c>
      <c r="I2361" s="517">
        <v>1.5750004513964792E-2</v>
      </c>
      <c r="J2361" s="148">
        <v>1.5682185473062382E-3</v>
      </c>
      <c r="K2361" s="518">
        <v>7.3268939285538079E-5</v>
      </c>
      <c r="L2361" s="519">
        <v>7.6581835593927361E-5</v>
      </c>
    </row>
    <row r="2362" spans="1:12" ht="15.5" x14ac:dyDescent="0.35">
      <c r="A2362" s="143" t="s">
        <v>901</v>
      </c>
      <c r="B2362" s="229">
        <v>2028</v>
      </c>
      <c r="C2362" s="514" t="s">
        <v>3186</v>
      </c>
      <c r="D2362" s="515">
        <v>3.0939202441190854E-2</v>
      </c>
      <c r="E2362" s="516">
        <v>9.9763536951652972E-3</v>
      </c>
      <c r="F2362" s="145">
        <v>4.4839215996649771E-2</v>
      </c>
      <c r="G2362" s="145">
        <v>1.3588324974676874E-3</v>
      </c>
      <c r="H2362" s="517">
        <v>2.0000005732018745E-3</v>
      </c>
      <c r="I2362" s="517">
        <v>1.5750004513964799E-2</v>
      </c>
      <c r="J2362" s="148">
        <v>1.4753061720761385E-3</v>
      </c>
      <c r="K2362" s="518">
        <v>6.013237047460706E-5</v>
      </c>
      <c r="L2362" s="519">
        <v>6.2851289434026752E-5</v>
      </c>
    </row>
    <row r="2363" spans="1:12" ht="15.5" x14ac:dyDescent="0.35">
      <c r="A2363" s="143" t="s">
        <v>901</v>
      </c>
      <c r="B2363" s="229">
        <v>2029</v>
      </c>
      <c r="C2363" s="514" t="s">
        <v>3187</v>
      </c>
      <c r="D2363" s="515">
        <v>3.0259956091592845E-2</v>
      </c>
      <c r="E2363" s="516">
        <v>8.9140354820538888E-3</v>
      </c>
      <c r="F2363" s="145">
        <v>4.0817400067948928E-2</v>
      </c>
      <c r="G2363" s="145">
        <v>1.2777776423087213E-3</v>
      </c>
      <c r="H2363" s="517">
        <v>2.0000005732018801E-3</v>
      </c>
      <c r="I2363" s="517">
        <v>1.5750004513964799E-2</v>
      </c>
      <c r="J2363" s="148">
        <v>1.3875186701026623E-3</v>
      </c>
      <c r="K2363" s="518">
        <v>5.1470596963921004E-5</v>
      </c>
      <c r="L2363" s="519">
        <v>5.3797868961238136E-5</v>
      </c>
    </row>
    <row r="2364" spans="1:12" ht="15.5" x14ac:dyDescent="0.35">
      <c r="A2364" s="143" t="s">
        <v>901</v>
      </c>
      <c r="B2364" s="229">
        <v>2030</v>
      </c>
      <c r="C2364" s="514" t="s">
        <v>3188</v>
      </c>
      <c r="D2364" s="515">
        <v>2.9656018345988862E-2</v>
      </c>
      <c r="E2364" s="516">
        <v>8.0273854387635877E-3</v>
      </c>
      <c r="F2364" s="145">
        <v>3.749465754714415E-2</v>
      </c>
      <c r="G2364" s="145">
        <v>1.2009001867960684E-3</v>
      </c>
      <c r="H2364" s="517">
        <v>2.0000005732018801E-3</v>
      </c>
      <c r="I2364" s="517">
        <v>1.5750004513964796E-2</v>
      </c>
      <c r="J2364" s="148">
        <v>1.3042085149486118E-3</v>
      </c>
      <c r="K2364" s="518">
        <v>4.4365292828540373E-5</v>
      </c>
      <c r="L2364" s="519">
        <v>4.6371294502175759E-5</v>
      </c>
    </row>
    <row r="2365" spans="1:12" ht="15.5" x14ac:dyDescent="0.35">
      <c r="A2365" s="143" t="s">
        <v>901</v>
      </c>
      <c r="B2365" s="229">
        <v>2031</v>
      </c>
      <c r="C2365" s="514" t="s">
        <v>3189</v>
      </c>
      <c r="D2365" s="515">
        <v>2.9134485614488892E-2</v>
      </c>
      <c r="E2365" s="516">
        <v>7.2450837452150479E-3</v>
      </c>
      <c r="F2365" s="145">
        <v>3.4614710412360673E-2</v>
      </c>
      <c r="G2365" s="145">
        <v>1.1299359158410006E-3</v>
      </c>
      <c r="H2365" s="517">
        <v>2.0000005732018801E-3</v>
      </c>
      <c r="I2365" s="517">
        <v>1.5750004513964796E-2</v>
      </c>
      <c r="J2365" s="148">
        <v>1.2271791638582099E-3</v>
      </c>
      <c r="K2365" s="518">
        <v>4.080739307368639E-5</v>
      </c>
      <c r="L2365" s="519">
        <v>4.2652522308353676E-5</v>
      </c>
    </row>
    <row r="2366" spans="1:12" ht="15.5" x14ac:dyDescent="0.35">
      <c r="A2366" s="143" t="s">
        <v>901</v>
      </c>
      <c r="B2366" s="229">
        <v>2032</v>
      </c>
      <c r="C2366" s="514" t="s">
        <v>3190</v>
      </c>
      <c r="D2366" s="515">
        <v>2.8661051772337496E-2</v>
      </c>
      <c r="E2366" s="516">
        <v>6.5749279432076998E-3</v>
      </c>
      <c r="F2366" s="145">
        <v>3.2238823077119373E-2</v>
      </c>
      <c r="G2366" s="145">
        <v>1.0626533164420607E-3</v>
      </c>
      <c r="H2366" s="517">
        <v>2.0000005732018801E-3</v>
      </c>
      <c r="I2366" s="517">
        <v>1.5750004513964796E-2</v>
      </c>
      <c r="J2366" s="148">
        <v>1.1541770502208589E-3</v>
      </c>
      <c r="K2366" s="518">
        <v>3.6704753558845111E-5</v>
      </c>
      <c r="L2366" s="519">
        <v>3.8364379639844403E-5</v>
      </c>
    </row>
    <row r="2367" spans="1:12" ht="15.5" x14ac:dyDescent="0.35">
      <c r="A2367" s="143" t="s">
        <v>901</v>
      </c>
      <c r="B2367" s="229">
        <v>2033</v>
      </c>
      <c r="C2367" s="514" t="s">
        <v>3191</v>
      </c>
      <c r="D2367" s="515">
        <v>2.8244353436521628E-2</v>
      </c>
      <c r="E2367" s="516">
        <v>5.9945375602115866E-3</v>
      </c>
      <c r="F2367" s="145">
        <v>3.026483739488663E-2</v>
      </c>
      <c r="G2367" s="145">
        <v>1.000830828096955E-3</v>
      </c>
      <c r="H2367" s="517">
        <v>2.0000005732018801E-3</v>
      </c>
      <c r="I2367" s="517">
        <v>1.5750004513964803E-2</v>
      </c>
      <c r="J2367" s="148">
        <v>1.0870468212330049E-3</v>
      </c>
      <c r="K2367" s="518">
        <v>3.4171040124109861E-5</v>
      </c>
      <c r="L2367" s="519">
        <v>3.5716102926777264E-5</v>
      </c>
    </row>
    <row r="2368" spans="1:12" ht="15.5" x14ac:dyDescent="0.35">
      <c r="A2368" s="143" t="s">
        <v>901</v>
      </c>
      <c r="B2368" s="229">
        <v>2034</v>
      </c>
      <c r="C2368" s="514" t="s">
        <v>3192</v>
      </c>
      <c r="D2368" s="515">
        <v>2.7878637255220606E-2</v>
      </c>
      <c r="E2368" s="516">
        <v>5.4677635982847599E-3</v>
      </c>
      <c r="F2368" s="145">
        <v>2.8540166443818047E-2</v>
      </c>
      <c r="G2368" s="145">
        <v>9.4256340395595343E-4</v>
      </c>
      <c r="H2368" s="517">
        <v>2.0000005732018784E-3</v>
      </c>
      <c r="I2368" s="517">
        <v>1.5750004513964803E-2</v>
      </c>
      <c r="J2368" s="148">
        <v>1.0237661030357095E-3</v>
      </c>
      <c r="K2368" s="518">
        <v>3.2037223499541518E-5</v>
      </c>
      <c r="L2368" s="519">
        <v>3.3485804583116998E-5</v>
      </c>
    </row>
    <row r="2369" spans="1:12" ht="15.5" x14ac:dyDescent="0.35">
      <c r="A2369" s="143" t="s">
        <v>901</v>
      </c>
      <c r="B2369" s="229">
        <v>2035</v>
      </c>
      <c r="C2369" s="514" t="s">
        <v>3193</v>
      </c>
      <c r="D2369" s="515">
        <v>2.7560937647553359E-2</v>
      </c>
      <c r="E2369" s="516">
        <v>4.9948783872316663E-3</v>
      </c>
      <c r="F2369" s="145">
        <v>2.7072405791300339E-2</v>
      </c>
      <c r="G2369" s="145">
        <v>8.8791227630744722E-4</v>
      </c>
      <c r="H2369" s="517">
        <v>2.0000005732018788E-3</v>
      </c>
      <c r="I2369" s="517">
        <v>1.5750004513964789E-2</v>
      </c>
      <c r="J2369" s="148">
        <v>9.6441220279114184E-4</v>
      </c>
      <c r="K2369" s="518">
        <v>3.0050529874931345E-5</v>
      </c>
      <c r="L2369" s="519">
        <v>3.1409281488624338E-5</v>
      </c>
    </row>
    <row r="2370" spans="1:12" ht="15.5" x14ac:dyDescent="0.35">
      <c r="A2370" s="143" t="s">
        <v>901</v>
      </c>
      <c r="B2370" s="229">
        <v>2036</v>
      </c>
      <c r="C2370" s="514" t="s">
        <v>3194</v>
      </c>
      <c r="D2370" s="515">
        <v>2.7285894954059434E-2</v>
      </c>
      <c r="E2370" s="516">
        <v>4.5713298041518491E-3</v>
      </c>
      <c r="F2370" s="145">
        <v>2.5800127988121369E-2</v>
      </c>
      <c r="G2370" s="145">
        <v>8.3998361696427945E-4</v>
      </c>
      <c r="H2370" s="517">
        <v>2.0000005732018801E-3</v>
      </c>
      <c r="I2370" s="517">
        <v>1.5750004513964796E-2</v>
      </c>
      <c r="J2370" s="148">
        <v>9.1236723287999998E-4</v>
      </c>
      <c r="K2370" s="518">
        <v>2.8119701138370991E-5</v>
      </c>
      <c r="L2370" s="519">
        <v>2.9391149244522418E-5</v>
      </c>
    </row>
    <row r="2371" spans="1:12" ht="15.5" x14ac:dyDescent="0.35">
      <c r="A2371" s="143" t="s">
        <v>901</v>
      </c>
      <c r="B2371" s="229">
        <v>2037</v>
      </c>
      <c r="C2371" s="514" t="s">
        <v>3195</v>
      </c>
      <c r="D2371" s="515">
        <v>2.705066766508608E-2</v>
      </c>
      <c r="E2371" s="516">
        <v>4.2091883073667163E-3</v>
      </c>
      <c r="F2371" s="145">
        <v>2.4757853925975314E-2</v>
      </c>
      <c r="G2371" s="145">
        <v>7.9665855439393744E-4</v>
      </c>
      <c r="H2371" s="517">
        <v>2.0000005732018805E-3</v>
      </c>
      <c r="I2371" s="517">
        <v>1.5750004513964799E-2</v>
      </c>
      <c r="J2371" s="148">
        <v>8.6531700448487547E-4</v>
      </c>
      <c r="K2371" s="518">
        <v>2.6474177820235327E-5</v>
      </c>
      <c r="L2371" s="519">
        <v>2.7671222663842188E-5</v>
      </c>
    </row>
    <row r="2372" spans="1:12" ht="15.5" x14ac:dyDescent="0.35">
      <c r="A2372" s="143" t="s">
        <v>901</v>
      </c>
      <c r="B2372" s="229">
        <v>2038</v>
      </c>
      <c r="C2372" s="514" t="s">
        <v>3196</v>
      </c>
      <c r="D2372" s="515">
        <v>2.6850744192169852E-2</v>
      </c>
      <c r="E2372" s="516">
        <v>3.8709336851528585E-3</v>
      </c>
      <c r="F2372" s="145">
        <v>2.3784371496511764E-2</v>
      </c>
      <c r="G2372" s="145">
        <v>7.5732856150496268E-4</v>
      </c>
      <c r="H2372" s="517">
        <v>2.0000005732018797E-3</v>
      </c>
      <c r="I2372" s="517">
        <v>1.5750004513964796E-2</v>
      </c>
      <c r="J2372" s="148">
        <v>8.2259662905181084E-4</v>
      </c>
      <c r="K2372" s="518">
        <v>2.5186166893392907E-5</v>
      </c>
      <c r="L2372" s="519">
        <v>2.6324973598351872E-5</v>
      </c>
    </row>
    <row r="2373" spans="1:12" ht="15.5" x14ac:dyDescent="0.35">
      <c r="A2373" s="143" t="s">
        <v>901</v>
      </c>
      <c r="B2373" s="229">
        <v>2039</v>
      </c>
      <c r="C2373" s="514" t="s">
        <v>3197</v>
      </c>
      <c r="D2373" s="515">
        <v>2.6681443969094783E-2</v>
      </c>
      <c r="E2373" s="516">
        <v>3.5492797862006834E-3</v>
      </c>
      <c r="F2373" s="145">
        <v>2.2864135042246599E-2</v>
      </c>
      <c r="G2373" s="145">
        <v>7.2176857447002116E-4</v>
      </c>
      <c r="H2373" s="517">
        <v>2.0000005732018801E-3</v>
      </c>
      <c r="I2373" s="517">
        <v>1.5750004513964803E-2</v>
      </c>
      <c r="J2373" s="148">
        <v>7.839685868661154E-4</v>
      </c>
      <c r="K2373" s="518">
        <v>2.4084397174783668E-5</v>
      </c>
      <c r="L2373" s="519">
        <v>2.5173386742097719E-5</v>
      </c>
    </row>
    <row r="2374" spans="1:12" ht="15.5" x14ac:dyDescent="0.35">
      <c r="A2374" s="143" t="s">
        <v>901</v>
      </c>
      <c r="B2374" s="229">
        <v>2040</v>
      </c>
      <c r="C2374" s="514" t="s">
        <v>3198</v>
      </c>
      <c r="D2374" s="515">
        <v>2.6538914457465531E-2</v>
      </c>
      <c r="E2374" s="516">
        <v>3.2605264976982261E-3</v>
      </c>
      <c r="F2374" s="145">
        <v>2.2103194677117008E-2</v>
      </c>
      <c r="G2374" s="145">
        <v>6.8998757133143321E-4</v>
      </c>
      <c r="H2374" s="517">
        <v>2.0000005732018801E-3</v>
      </c>
      <c r="I2374" s="517">
        <v>1.5750004513964799E-2</v>
      </c>
      <c r="J2374" s="148">
        <v>7.4944354668157666E-4</v>
      </c>
      <c r="K2374" s="518">
        <v>2.3147528272083345E-5</v>
      </c>
      <c r="L2374" s="519">
        <v>2.4194156784911465E-5</v>
      </c>
    </row>
    <row r="2375" spans="1:12" ht="15.5" x14ac:dyDescent="0.35">
      <c r="A2375" s="143" t="s">
        <v>901</v>
      </c>
      <c r="B2375" s="229">
        <v>2041</v>
      </c>
      <c r="C2375" s="514" t="s">
        <v>3199</v>
      </c>
      <c r="D2375" s="515">
        <v>2.6421246064041552E-2</v>
      </c>
      <c r="E2375" s="516">
        <v>3.0285368234148216E-3</v>
      </c>
      <c r="F2375" s="145">
        <v>2.1469808205019626E-2</v>
      </c>
      <c r="G2375" s="145">
        <v>6.651709963303563E-4</v>
      </c>
      <c r="H2375" s="517">
        <v>2.0000005732018801E-3</v>
      </c>
      <c r="I2375" s="517">
        <v>1.5750004513964799E-2</v>
      </c>
      <c r="J2375" s="148">
        <v>7.2248720565799872E-4</v>
      </c>
      <c r="K2375" s="518">
        <v>2.2346394756658649E-5</v>
      </c>
      <c r="L2375" s="519">
        <v>2.3356799566896638E-5</v>
      </c>
    </row>
    <row r="2376" spans="1:12" ht="15.5" x14ac:dyDescent="0.35">
      <c r="A2376" s="143" t="s">
        <v>901</v>
      </c>
      <c r="B2376" s="229">
        <v>2042</v>
      </c>
      <c r="C2376" s="514" t="s">
        <v>3200</v>
      </c>
      <c r="D2376" s="515">
        <v>2.6322417177258941E-2</v>
      </c>
      <c r="E2376" s="516">
        <v>2.8276541720852863E-3</v>
      </c>
      <c r="F2376" s="145">
        <v>2.0884620462003074E-2</v>
      </c>
      <c r="G2376" s="145">
        <v>6.4350160281567736E-4</v>
      </c>
      <c r="H2376" s="517">
        <v>2.0000005732018792E-3</v>
      </c>
      <c r="I2376" s="517">
        <v>1.5750004513964799E-2</v>
      </c>
      <c r="J2376" s="148">
        <v>6.989483807865707E-4</v>
      </c>
      <c r="K2376" s="518">
        <v>2.1671061372723455E-5</v>
      </c>
      <c r="L2376" s="519">
        <v>2.26509306040874E-5</v>
      </c>
    </row>
    <row r="2377" spans="1:12" ht="15.5" x14ac:dyDescent="0.35">
      <c r="A2377" s="143" t="s">
        <v>901</v>
      </c>
      <c r="B2377" s="229">
        <v>2043</v>
      </c>
      <c r="C2377" s="514" t="s">
        <v>3201</v>
      </c>
      <c r="D2377" s="515">
        <v>2.624086124001529E-2</v>
      </c>
      <c r="E2377" s="516">
        <v>2.6763101496233089E-3</v>
      </c>
      <c r="F2377" s="145">
        <v>2.0446214165820684E-2</v>
      </c>
      <c r="G2377" s="145">
        <v>6.2483082514232799E-4</v>
      </c>
      <c r="H2377" s="517">
        <v>2.0000005732018732E-3</v>
      </c>
      <c r="I2377" s="517">
        <v>1.5750004513964803E-2</v>
      </c>
      <c r="J2377" s="148">
        <v>6.7866554438732619E-4</v>
      </c>
      <c r="K2377" s="518">
        <v>2.1120324262129955E-5</v>
      </c>
      <c r="L2377" s="519">
        <v>2.20752916052126E-5</v>
      </c>
    </row>
    <row r="2378" spans="1:12" ht="15.5" x14ac:dyDescent="0.35">
      <c r="A2378" s="143" t="s">
        <v>901</v>
      </c>
      <c r="B2378" s="229">
        <v>2044</v>
      </c>
      <c r="C2378" s="514" t="s">
        <v>3202</v>
      </c>
      <c r="D2378" s="515">
        <v>2.6172481561096635E-2</v>
      </c>
      <c r="E2378" s="516">
        <v>2.5624134087892264E-3</v>
      </c>
      <c r="F2378" s="145">
        <v>2.0095254554491598E-2</v>
      </c>
      <c r="G2378" s="145">
        <v>6.087407621753327E-4</v>
      </c>
      <c r="H2378" s="517">
        <v>2.0000005732018801E-3</v>
      </c>
      <c r="I2378" s="517">
        <v>1.5750004513964799E-2</v>
      </c>
      <c r="J2378" s="148">
        <v>6.6118514289508553E-4</v>
      </c>
      <c r="K2378" s="518">
        <v>2.0671716556877089E-5</v>
      </c>
      <c r="L2378" s="519">
        <v>2.160639985019538E-5</v>
      </c>
    </row>
    <row r="2379" spans="1:12" ht="15.5" x14ac:dyDescent="0.35">
      <c r="A2379" s="143" t="s">
        <v>901</v>
      </c>
      <c r="B2379" s="229">
        <v>2045</v>
      </c>
      <c r="C2379" s="514" t="s">
        <v>3203</v>
      </c>
      <c r="D2379" s="515">
        <v>2.6113757220046351E-2</v>
      </c>
      <c r="E2379" s="516">
        <v>2.4856233079150599E-3</v>
      </c>
      <c r="F2379" s="145">
        <v>1.9856020612003623E-2</v>
      </c>
      <c r="G2379" s="145">
        <v>5.9497370825273266E-4</v>
      </c>
      <c r="H2379" s="517">
        <v>2.0000005732018805E-3</v>
      </c>
      <c r="I2379" s="517">
        <v>1.5750004513964803E-2</v>
      </c>
      <c r="J2379" s="148">
        <v>6.4622666954811266E-4</v>
      </c>
      <c r="K2379" s="518">
        <v>2.0330626750404045E-5</v>
      </c>
      <c r="L2379" s="519">
        <v>2.1249887476237226E-5</v>
      </c>
    </row>
    <row r="2380" spans="1:12" ht="15.5" x14ac:dyDescent="0.35">
      <c r="A2380" s="143" t="s">
        <v>901</v>
      </c>
      <c r="B2380" s="229">
        <v>2046</v>
      </c>
      <c r="C2380" s="514" t="s">
        <v>3204</v>
      </c>
      <c r="D2380" s="515">
        <v>2.6064536260444089E-2</v>
      </c>
      <c r="E2380" s="516">
        <v>2.4168057317676987E-3</v>
      </c>
      <c r="F2380" s="145">
        <v>1.964998498231563E-2</v>
      </c>
      <c r="G2380" s="145">
        <v>5.8328844139714545E-4</v>
      </c>
      <c r="H2380" s="517">
        <v>2.0000005732018797E-3</v>
      </c>
      <c r="I2380" s="517">
        <v>1.5750004513964803E-2</v>
      </c>
      <c r="J2380" s="148">
        <v>6.3352955896014778E-4</v>
      </c>
      <c r="K2380" s="518">
        <v>2.0054919270664186E-5</v>
      </c>
      <c r="L2380" s="519">
        <v>2.0961713727697367E-5</v>
      </c>
    </row>
    <row r="2381" spans="1:12" ht="15.5" x14ac:dyDescent="0.35">
      <c r="A2381" s="143" t="s">
        <v>901</v>
      </c>
      <c r="B2381" s="229">
        <v>2047</v>
      </c>
      <c r="C2381" s="514" t="s">
        <v>3205</v>
      </c>
      <c r="D2381" s="515">
        <v>2.6022577222954771E-2</v>
      </c>
      <c r="E2381" s="516">
        <v>2.3587596348498148E-3</v>
      </c>
      <c r="F2381" s="145">
        <v>1.9476795963199435E-2</v>
      </c>
      <c r="G2381" s="145">
        <v>5.7356608149490009E-4</v>
      </c>
      <c r="H2381" s="517">
        <v>2.0000005732018801E-3</v>
      </c>
      <c r="I2381" s="517">
        <v>1.5750004513964799E-2</v>
      </c>
      <c r="J2381" s="148">
        <v>6.2296657011548279E-4</v>
      </c>
      <c r="K2381" s="518">
        <v>1.9796171184546476E-5</v>
      </c>
      <c r="L2381" s="519">
        <v>2.0691266201303014E-5</v>
      </c>
    </row>
    <row r="2382" spans="1:12" ht="15.5" x14ac:dyDescent="0.35">
      <c r="A2382" s="143" t="s">
        <v>901</v>
      </c>
      <c r="B2382" s="229">
        <v>2048</v>
      </c>
      <c r="C2382" s="514" t="s">
        <v>3206</v>
      </c>
      <c r="D2382" s="515">
        <v>2.5986705495737655E-2</v>
      </c>
      <c r="E2382" s="516">
        <v>2.3117478692775049E-3</v>
      </c>
      <c r="F2382" s="145">
        <v>1.9333096950259809E-2</v>
      </c>
      <c r="G2382" s="145">
        <v>5.6543675314090424E-4</v>
      </c>
      <c r="H2382" s="517">
        <v>2.0000005732018801E-3</v>
      </c>
      <c r="I2382" s="517">
        <v>1.5750004513964796E-2</v>
      </c>
      <c r="J2382" s="148">
        <v>6.1413603250754488E-4</v>
      </c>
      <c r="K2382" s="518">
        <v>1.9540158667366398E-5</v>
      </c>
      <c r="L2382" s="519">
        <v>2.0423677934134805E-5</v>
      </c>
    </row>
    <row r="2383" spans="1:12" ht="15.5" x14ac:dyDescent="0.35">
      <c r="A2383" s="143" t="s">
        <v>901</v>
      </c>
      <c r="B2383" s="229">
        <v>2049</v>
      </c>
      <c r="C2383" s="514" t="s">
        <v>3207</v>
      </c>
      <c r="D2383" s="515">
        <v>2.5956008539720077E-2</v>
      </c>
      <c r="E2383" s="516">
        <v>2.2944234739753501E-3</v>
      </c>
      <c r="F2383" s="145">
        <v>1.9338196137299871E-2</v>
      </c>
      <c r="G2383" s="145">
        <v>5.6030344794069501E-4</v>
      </c>
      <c r="H2383" s="517">
        <v>2.0000005732018801E-3</v>
      </c>
      <c r="I2383" s="517">
        <v>1.5750004513964796E-2</v>
      </c>
      <c r="J2383" s="148">
        <v>6.0855982698452182E-4</v>
      </c>
      <c r="K2383" s="518">
        <v>1.9381288066671268E-5</v>
      </c>
      <c r="L2383" s="519">
        <v>2.0257623909854091E-5</v>
      </c>
    </row>
    <row r="2384" spans="1:12" ht="15.5" x14ac:dyDescent="0.35">
      <c r="A2384" s="143" t="s">
        <v>901</v>
      </c>
      <c r="B2384" s="229">
        <v>2050</v>
      </c>
      <c r="C2384" s="514" t="s">
        <v>3208</v>
      </c>
      <c r="D2384" s="515">
        <v>2.5931572392455304E-2</v>
      </c>
      <c r="E2384" s="516">
        <v>2.2807913549191738E-3</v>
      </c>
      <c r="F2384" s="145">
        <v>1.9346615626789167E-2</v>
      </c>
      <c r="G2384" s="145">
        <v>5.5614576569819948E-4</v>
      </c>
      <c r="H2384" s="517">
        <v>2.0000005732018801E-3</v>
      </c>
      <c r="I2384" s="517">
        <v>1.5750004513964799E-2</v>
      </c>
      <c r="J2384" s="148">
        <v>6.0404470811733797E-4</v>
      </c>
      <c r="K2384" s="518">
        <v>1.9222236403830404E-5</v>
      </c>
      <c r="L2384" s="519">
        <v>2.0091380636600846E-5</v>
      </c>
    </row>
    <row r="2385" spans="1:12" ht="15.5" x14ac:dyDescent="0.35">
      <c r="A2385" s="143" t="s">
        <v>902</v>
      </c>
      <c r="B2385" s="229">
        <v>2015</v>
      </c>
      <c r="C2385" s="514" t="s">
        <v>3209</v>
      </c>
      <c r="D2385" s="515">
        <v>4.5242741488286477E-2</v>
      </c>
      <c r="E2385" s="516">
        <v>8.7181056628329368E-2</v>
      </c>
      <c r="F2385" s="145">
        <v>0.32038221536393491</v>
      </c>
      <c r="G2385" s="145">
        <v>3.0784114055130989E-3</v>
      </c>
      <c r="H2385" s="517">
        <v>2.0000005732018801E-3</v>
      </c>
      <c r="I2385" s="517">
        <v>1.5750004513964796E-2</v>
      </c>
      <c r="J2385" s="148">
        <v>3.3205224161937039E-3</v>
      </c>
      <c r="K2385" s="518">
        <v>4.882647415497917E-4</v>
      </c>
      <c r="L2385" s="519">
        <v>5.103419065199717E-4</v>
      </c>
    </row>
    <row r="2386" spans="1:12" ht="15.5" x14ac:dyDescent="0.35">
      <c r="A2386" s="143" t="s">
        <v>902</v>
      </c>
      <c r="B2386" s="229">
        <v>2016</v>
      </c>
      <c r="C2386" s="514" t="s">
        <v>3210</v>
      </c>
      <c r="D2386" s="515">
        <v>4.4316711580090526E-2</v>
      </c>
      <c r="E2386" s="516">
        <v>7.2826425364687669E-2</v>
      </c>
      <c r="F2386" s="145">
        <v>0.27748080180333567</v>
      </c>
      <c r="G2386" s="145">
        <v>2.7853381427192592E-3</v>
      </c>
      <c r="H2386" s="517">
        <v>2.0000005732018801E-3</v>
      </c>
      <c r="I2386" s="517">
        <v>1.5750004513964799E-2</v>
      </c>
      <c r="J2386" s="148">
        <v>3.0068067578087722E-3</v>
      </c>
      <c r="K2386" s="518">
        <v>4.1869630855659751E-4</v>
      </c>
      <c r="L2386" s="519">
        <v>4.376278976921744E-4</v>
      </c>
    </row>
    <row r="2387" spans="1:12" ht="15.5" x14ac:dyDescent="0.35">
      <c r="A2387" s="143" t="s">
        <v>902</v>
      </c>
      <c r="B2387" s="229">
        <v>2017</v>
      </c>
      <c r="C2387" s="514" t="s">
        <v>3211</v>
      </c>
      <c r="D2387" s="515">
        <v>4.3230830772428494E-2</v>
      </c>
      <c r="E2387" s="516">
        <v>6.1196059255623117E-2</v>
      </c>
      <c r="F2387" s="145">
        <v>0.24062070035999511</v>
      </c>
      <c r="G2387" s="145">
        <v>2.6004553676930902E-3</v>
      </c>
      <c r="H2387" s="517">
        <v>2.0000005732018805E-3</v>
      </c>
      <c r="I2387" s="517">
        <v>1.5750004513964799E-2</v>
      </c>
      <c r="J2387" s="148">
        <v>2.8089779011477396E-3</v>
      </c>
      <c r="K2387" s="518">
        <v>3.783732720073202E-4</v>
      </c>
      <c r="L2387" s="519">
        <v>3.9548163236096295E-4</v>
      </c>
    </row>
    <row r="2388" spans="1:12" ht="15.5" x14ac:dyDescent="0.35">
      <c r="A2388" s="143" t="s">
        <v>902</v>
      </c>
      <c r="B2388" s="229">
        <v>2018</v>
      </c>
      <c r="C2388" s="514" t="s">
        <v>3212</v>
      </c>
      <c r="D2388" s="515">
        <v>4.2395236422239788E-2</v>
      </c>
      <c r="E2388" s="516">
        <v>5.0936779263881932E-2</v>
      </c>
      <c r="F2388" s="145">
        <v>0.20762494859214478</v>
      </c>
      <c r="G2388" s="145">
        <v>2.4590416747215281E-3</v>
      </c>
      <c r="H2388" s="517">
        <v>2.0000005732018753E-3</v>
      </c>
      <c r="I2388" s="517">
        <v>1.5750004513964751E-2</v>
      </c>
      <c r="J2388" s="148">
        <v>2.6579829780133549E-3</v>
      </c>
      <c r="K2388" s="518">
        <v>3.420764291172751E-4</v>
      </c>
      <c r="L2388" s="519">
        <v>3.5754360730028595E-4</v>
      </c>
    </row>
    <row r="2389" spans="1:12" ht="15.5" x14ac:dyDescent="0.35">
      <c r="A2389" s="143" t="s">
        <v>902</v>
      </c>
      <c r="B2389" s="229">
        <v>2019</v>
      </c>
      <c r="C2389" s="514" t="s">
        <v>3213</v>
      </c>
      <c r="D2389" s="515">
        <v>4.1164632525880804E-2</v>
      </c>
      <c r="E2389" s="516">
        <v>4.2353432013145648E-2</v>
      </c>
      <c r="F2389" s="145">
        <v>0.17903749836061739</v>
      </c>
      <c r="G2389" s="145">
        <v>2.3454811216845378E-3</v>
      </c>
      <c r="H2389" s="517">
        <v>2.0000005732018805E-3</v>
      </c>
      <c r="I2389" s="517">
        <v>1.5750004513964803E-2</v>
      </c>
      <c r="J2389" s="148">
        <v>2.5367985384971751E-3</v>
      </c>
      <c r="K2389" s="518">
        <v>3.0886915184070388E-4</v>
      </c>
      <c r="L2389" s="519">
        <v>3.2283484430037818E-4</v>
      </c>
    </row>
    <row r="2390" spans="1:12" ht="15.5" x14ac:dyDescent="0.35">
      <c r="A2390" s="143" t="s">
        <v>902</v>
      </c>
      <c r="B2390" s="229">
        <v>2020</v>
      </c>
      <c r="C2390" s="514" t="s">
        <v>3214</v>
      </c>
      <c r="D2390" s="515">
        <v>3.9912195176397817E-2</v>
      </c>
      <c r="E2390" s="516">
        <v>3.6017050906265155E-2</v>
      </c>
      <c r="F2390" s="145">
        <v>0.15481490207460627</v>
      </c>
      <c r="G2390" s="145">
        <v>2.2247506481361734E-3</v>
      </c>
      <c r="H2390" s="517">
        <v>2.0000005732018801E-3</v>
      </c>
      <c r="I2390" s="517">
        <v>1.5750004513964803E-2</v>
      </c>
      <c r="J2390" s="148">
        <v>2.4071027481784068E-3</v>
      </c>
      <c r="K2390" s="518">
        <v>2.7807731597407883E-4</v>
      </c>
      <c r="L2390" s="519">
        <v>2.9065073825261214E-4</v>
      </c>
    </row>
    <row r="2391" spans="1:12" ht="15.5" x14ac:dyDescent="0.35">
      <c r="A2391" s="143" t="s">
        <v>902</v>
      </c>
      <c r="B2391" s="229">
        <v>2021</v>
      </c>
      <c r="C2391" s="514" t="s">
        <v>3215</v>
      </c>
      <c r="D2391" s="515">
        <v>3.8717729877981798E-2</v>
      </c>
      <c r="E2391" s="516">
        <v>3.0754145616987888E-2</v>
      </c>
      <c r="F2391" s="145">
        <v>0.13361294180031902</v>
      </c>
      <c r="G2391" s="145">
        <v>2.0782768007052426E-3</v>
      </c>
      <c r="H2391" s="517">
        <v>2.0000005732018792E-3</v>
      </c>
      <c r="I2391" s="517">
        <v>1.5750004513964799E-2</v>
      </c>
      <c r="J2391" s="148">
        <v>2.2492337533479992E-3</v>
      </c>
      <c r="K2391" s="518">
        <v>2.4937051452769823E-4</v>
      </c>
      <c r="L2391" s="519">
        <v>2.6064594262937066E-4</v>
      </c>
    </row>
    <row r="2392" spans="1:12" ht="15.5" x14ac:dyDescent="0.35">
      <c r="A2392" s="143" t="s">
        <v>902</v>
      </c>
      <c r="B2392" s="229">
        <v>2022</v>
      </c>
      <c r="C2392" s="514" t="s">
        <v>3216</v>
      </c>
      <c r="D2392" s="515">
        <v>3.7477369886628094E-2</v>
      </c>
      <c r="E2392" s="516">
        <v>2.5688289599867232E-2</v>
      </c>
      <c r="F2392" s="145">
        <v>0.11502174745698227</v>
      </c>
      <c r="G2392" s="145">
        <v>1.9416698493686323E-3</v>
      </c>
      <c r="H2392" s="517">
        <v>2.0000005732018805E-3</v>
      </c>
      <c r="I2392" s="517">
        <v>1.5750004513964799E-2</v>
      </c>
      <c r="J2392" s="148">
        <v>2.1021381194985434E-3</v>
      </c>
      <c r="K2392" s="518">
        <v>2.2265461488047789E-4</v>
      </c>
      <c r="L2392" s="519">
        <v>2.3272206855015284E-4</v>
      </c>
    </row>
    <row r="2393" spans="1:12" ht="15.5" x14ac:dyDescent="0.35">
      <c r="A2393" s="143" t="s">
        <v>902</v>
      </c>
      <c r="B2393" s="229">
        <v>2023</v>
      </c>
      <c r="C2393" s="514" t="s">
        <v>3217</v>
      </c>
      <c r="D2393" s="515">
        <v>3.625441895289095E-2</v>
      </c>
      <c r="E2393" s="516">
        <v>2.209339721554535E-2</v>
      </c>
      <c r="F2393" s="145">
        <v>9.9809873924600556E-2</v>
      </c>
      <c r="G2393" s="145">
        <v>1.8175675076415412E-3</v>
      </c>
      <c r="H2393" s="517">
        <v>2.0000005732018775E-3</v>
      </c>
      <c r="I2393" s="517">
        <v>1.5750004513964803E-2</v>
      </c>
      <c r="J2393" s="148">
        <v>1.9683723687063449E-3</v>
      </c>
      <c r="K2393" s="518">
        <v>1.9595807401468662E-4</v>
      </c>
      <c r="L2393" s="519">
        <v>2.0481842857055511E-4</v>
      </c>
    </row>
    <row r="2394" spans="1:12" ht="15.5" x14ac:dyDescent="0.35">
      <c r="A2394" s="143" t="s">
        <v>902</v>
      </c>
      <c r="B2394" s="229">
        <v>2024</v>
      </c>
      <c r="C2394" s="514" t="s">
        <v>3218</v>
      </c>
      <c r="D2394" s="515">
        <v>3.5044361392993266E-2</v>
      </c>
      <c r="E2394" s="516">
        <v>1.9028476074365142E-2</v>
      </c>
      <c r="F2394" s="145">
        <v>8.6906742352655372E-2</v>
      </c>
      <c r="G2394" s="145">
        <v>1.7044022022347416E-3</v>
      </c>
      <c r="H2394" s="517">
        <v>2.0000005732018745E-3</v>
      </c>
      <c r="I2394" s="517">
        <v>1.5750004513964799E-2</v>
      </c>
      <c r="J2394" s="148">
        <v>1.8465203725925975E-3</v>
      </c>
      <c r="K2394" s="518">
        <v>1.6869475431620021E-4</v>
      </c>
      <c r="L2394" s="519">
        <v>1.7632238253449334E-4</v>
      </c>
    </row>
    <row r="2395" spans="1:12" ht="15.5" x14ac:dyDescent="0.35">
      <c r="A2395" s="143" t="s">
        <v>902</v>
      </c>
      <c r="B2395" s="229">
        <v>2025</v>
      </c>
      <c r="C2395" s="514" t="s">
        <v>3219</v>
      </c>
      <c r="D2395" s="515">
        <v>3.3871968656036998E-2</v>
      </c>
      <c r="E2395" s="516">
        <v>1.6606456864859662E-2</v>
      </c>
      <c r="F2395" s="145">
        <v>7.6580406288605241E-2</v>
      </c>
      <c r="G2395" s="145">
        <v>1.6170580663960664E-3</v>
      </c>
      <c r="H2395" s="517">
        <v>2.0000005732018801E-3</v>
      </c>
      <c r="I2395" s="517">
        <v>1.5750004513964799E-2</v>
      </c>
      <c r="J2395" s="148">
        <v>1.7523510503258835E-3</v>
      </c>
      <c r="K2395" s="518">
        <v>1.4971913305302027E-4</v>
      </c>
      <c r="L2395" s="519">
        <v>1.5648876788086483E-4</v>
      </c>
    </row>
    <row r="2396" spans="1:12" ht="15.5" x14ac:dyDescent="0.35">
      <c r="A2396" s="143" t="s">
        <v>902</v>
      </c>
      <c r="B2396" s="229">
        <v>2026</v>
      </c>
      <c r="C2396" s="514" t="s">
        <v>3220</v>
      </c>
      <c r="D2396" s="515">
        <v>3.2819280744328529E-2</v>
      </c>
      <c r="E2396" s="516">
        <v>1.4576935763662625E-2</v>
      </c>
      <c r="F2396" s="145">
        <v>6.8060262305071867E-2</v>
      </c>
      <c r="G2396" s="145">
        <v>1.529359085771175E-3</v>
      </c>
      <c r="H2396" s="517">
        <v>2.0000005732018805E-3</v>
      </c>
      <c r="I2396" s="517">
        <v>1.5750004513964803E-2</v>
      </c>
      <c r="J2396" s="148">
        <v>1.6579353748036457E-3</v>
      </c>
      <c r="K2396" s="518">
        <v>1.2698930127034508E-4</v>
      </c>
      <c r="L2396" s="519">
        <v>1.3273119396711142E-4</v>
      </c>
    </row>
    <row r="2397" spans="1:12" ht="15.5" x14ac:dyDescent="0.35">
      <c r="A2397" s="143" t="s">
        <v>902</v>
      </c>
      <c r="B2397" s="229">
        <v>2027</v>
      </c>
      <c r="C2397" s="514" t="s">
        <v>3221</v>
      </c>
      <c r="D2397" s="515">
        <v>3.1834931641773694E-2</v>
      </c>
      <c r="E2397" s="516">
        <v>1.2859041621451212E-2</v>
      </c>
      <c r="F2397" s="145">
        <v>6.0803149302274581E-2</v>
      </c>
      <c r="G2397" s="145">
        <v>1.4337805625272849E-3</v>
      </c>
      <c r="H2397" s="517">
        <v>2.0000005732018805E-3</v>
      </c>
      <c r="I2397" s="517">
        <v>1.5750004513964799E-2</v>
      </c>
      <c r="J2397" s="148">
        <v>1.5551427386207284E-3</v>
      </c>
      <c r="K2397" s="518">
        <v>9.9690263154250224E-5</v>
      </c>
      <c r="L2397" s="519">
        <v>1.0419781448509436E-4</v>
      </c>
    </row>
    <row r="2398" spans="1:12" ht="15.5" x14ac:dyDescent="0.35">
      <c r="A2398" s="143" t="s">
        <v>902</v>
      </c>
      <c r="B2398" s="229">
        <v>2028</v>
      </c>
      <c r="C2398" s="514" t="s">
        <v>3222</v>
      </c>
      <c r="D2398" s="515">
        <v>3.0949177921876805E-2</v>
      </c>
      <c r="E2398" s="516">
        <v>1.1418692436975412E-2</v>
      </c>
      <c r="F2398" s="145">
        <v>5.4678630594318559E-2</v>
      </c>
      <c r="G2398" s="145">
        <v>1.3424153032298206E-3</v>
      </c>
      <c r="H2398" s="517">
        <v>2.0000005732018801E-3</v>
      </c>
      <c r="I2398" s="517">
        <v>1.5750004513964799E-2</v>
      </c>
      <c r="J2398" s="148">
        <v>1.4565066933829183E-3</v>
      </c>
      <c r="K2398" s="518">
        <v>8.241595572935334E-5</v>
      </c>
      <c r="L2398" s="519">
        <v>8.6142439532047548E-5</v>
      </c>
    </row>
    <row r="2399" spans="1:12" ht="15.5" x14ac:dyDescent="0.35">
      <c r="A2399" s="143" t="s">
        <v>902</v>
      </c>
      <c r="B2399" s="229">
        <v>2029</v>
      </c>
      <c r="C2399" s="514" t="s">
        <v>3223</v>
      </c>
      <c r="D2399" s="515">
        <v>3.0155159108918146E-2</v>
      </c>
      <c r="E2399" s="516">
        <v>1.0141296558745849E-2</v>
      </c>
      <c r="F2399" s="145">
        <v>4.9347056039746824E-2</v>
      </c>
      <c r="G2399" s="145">
        <v>1.2562935198923337E-3</v>
      </c>
      <c r="H2399" s="517">
        <v>2.0000005732018775E-3</v>
      </c>
      <c r="I2399" s="517">
        <v>1.5750004513964796E-2</v>
      </c>
      <c r="J2399" s="148">
        <v>1.3634044008150909E-3</v>
      </c>
      <c r="K2399" s="518">
        <v>6.9129923243678809E-5</v>
      </c>
      <c r="L2399" s="519">
        <v>7.225567161326685E-5</v>
      </c>
    </row>
    <row r="2400" spans="1:12" ht="15.5" x14ac:dyDescent="0.35">
      <c r="A2400" s="143" t="s">
        <v>902</v>
      </c>
      <c r="B2400" s="229">
        <v>2030</v>
      </c>
      <c r="C2400" s="514" t="s">
        <v>3224</v>
      </c>
      <c r="D2400" s="515">
        <v>2.9448120016894418E-2</v>
      </c>
      <c r="E2400" s="516">
        <v>9.0574900359676955E-3</v>
      </c>
      <c r="F2400" s="145">
        <v>4.479400941258236E-2</v>
      </c>
      <c r="G2400" s="145">
        <v>1.1745956922484427E-3</v>
      </c>
      <c r="H2400" s="517">
        <v>2.0000005732018805E-3</v>
      </c>
      <c r="I2400" s="517">
        <v>1.5750004513964803E-2</v>
      </c>
      <c r="J2400" s="148">
        <v>1.2750319270979026E-3</v>
      </c>
      <c r="K2400" s="518">
        <v>5.7770387630470417E-5</v>
      </c>
      <c r="L2400" s="519">
        <v>6.0382508206821948E-5</v>
      </c>
    </row>
    <row r="2401" spans="1:12" ht="15.5" x14ac:dyDescent="0.35">
      <c r="A2401" s="143" t="s">
        <v>902</v>
      </c>
      <c r="B2401" s="229">
        <v>2031</v>
      </c>
      <c r="C2401" s="514" t="s">
        <v>3225</v>
      </c>
      <c r="D2401" s="515">
        <v>2.8821031883086046E-2</v>
      </c>
      <c r="E2401" s="516">
        <v>8.0838717798422249E-3</v>
      </c>
      <c r="F2401" s="145">
        <v>4.0726695821710082E-2</v>
      </c>
      <c r="G2401" s="145">
        <v>1.0998428053623516E-3</v>
      </c>
      <c r="H2401" s="517">
        <v>2.0000005732018801E-3</v>
      </c>
      <c r="I2401" s="517">
        <v>1.5750004513964796E-2</v>
      </c>
      <c r="J2401" s="148">
        <v>1.1940100048189151E-3</v>
      </c>
      <c r="K2401" s="518">
        <v>5.1194381307297265E-5</v>
      </c>
      <c r="L2401" s="519">
        <v>5.3509164058310752E-5</v>
      </c>
    </row>
    <row r="2402" spans="1:12" ht="15.5" x14ac:dyDescent="0.35">
      <c r="A2402" s="143" t="s">
        <v>902</v>
      </c>
      <c r="B2402" s="229">
        <v>2032</v>
      </c>
      <c r="C2402" s="514" t="s">
        <v>3226</v>
      </c>
      <c r="D2402" s="515">
        <v>2.8267658338374115E-2</v>
      </c>
      <c r="E2402" s="516">
        <v>7.2498315237448747E-3</v>
      </c>
      <c r="F2402" s="145">
        <v>3.735581203290305E-2</v>
      </c>
      <c r="G2402" s="145">
        <v>1.0306192932191445E-3</v>
      </c>
      <c r="H2402" s="517">
        <v>2.0000005732018797E-3</v>
      </c>
      <c r="I2402" s="517">
        <v>1.5750004513964799E-2</v>
      </c>
      <c r="J2402" s="148">
        <v>1.11896248197631E-3</v>
      </c>
      <c r="K2402" s="518">
        <v>4.5545796162175092E-5</v>
      </c>
      <c r="L2402" s="519">
        <v>4.7605174958151518E-5</v>
      </c>
    </row>
    <row r="2403" spans="1:12" ht="15.5" x14ac:dyDescent="0.35">
      <c r="A2403" s="143" t="s">
        <v>902</v>
      </c>
      <c r="B2403" s="229">
        <v>2033</v>
      </c>
      <c r="C2403" s="514" t="s">
        <v>3227</v>
      </c>
      <c r="D2403" s="515">
        <v>2.7781405685499593E-2</v>
      </c>
      <c r="E2403" s="516">
        <v>6.5251170780409361E-3</v>
      </c>
      <c r="F2403" s="145">
        <v>3.4522278005607206E-2</v>
      </c>
      <c r="G2403" s="145">
        <v>9.6701747856075041E-4</v>
      </c>
      <c r="H2403" s="517">
        <v>2.0000005732018797E-3</v>
      </c>
      <c r="I2403" s="517">
        <v>1.5750004513964803E-2</v>
      </c>
      <c r="J2403" s="148">
        <v>1.0499539108738023E-3</v>
      </c>
      <c r="K2403" s="518">
        <v>4.1670803942102708E-5</v>
      </c>
      <c r="L2403" s="519">
        <v>4.3554972784910754E-5</v>
      </c>
    </row>
    <row r="2404" spans="1:12" ht="15.5" x14ac:dyDescent="0.35">
      <c r="A2404" s="143" t="s">
        <v>902</v>
      </c>
      <c r="B2404" s="229">
        <v>2034</v>
      </c>
      <c r="C2404" s="514" t="s">
        <v>3228</v>
      </c>
      <c r="D2404" s="515">
        <v>2.7356589018015905E-2</v>
      </c>
      <c r="E2404" s="516">
        <v>5.8707012291139985E-3</v>
      </c>
      <c r="F2404" s="145">
        <v>3.206573834343808E-2</v>
      </c>
      <c r="G2404" s="145">
        <v>9.0709962321710105E-4</v>
      </c>
      <c r="H2404" s="517">
        <v>2.0000005732018801E-3</v>
      </c>
      <c r="I2404" s="517">
        <v>1.5750004513964799E-2</v>
      </c>
      <c r="J2404" s="148">
        <v>9.8492985095399222E-4</v>
      </c>
      <c r="K2404" s="518">
        <v>3.8318061763655654E-5</v>
      </c>
      <c r="L2404" s="519">
        <v>4.0050634482727341E-5</v>
      </c>
    </row>
    <row r="2405" spans="1:12" ht="15.5" x14ac:dyDescent="0.35">
      <c r="A2405" s="143" t="s">
        <v>902</v>
      </c>
      <c r="B2405" s="229">
        <v>2035</v>
      </c>
      <c r="C2405" s="514" t="s">
        <v>3229</v>
      </c>
      <c r="D2405" s="515">
        <v>2.6987971268066159E-2</v>
      </c>
      <c r="E2405" s="516">
        <v>5.2979899996780377E-3</v>
      </c>
      <c r="F2405" s="145">
        <v>3.0027344145915583E-2</v>
      </c>
      <c r="G2405" s="145">
        <v>8.5168867769728443E-4</v>
      </c>
      <c r="H2405" s="517">
        <v>2.0000005732018801E-3</v>
      </c>
      <c r="I2405" s="517">
        <v>1.5750004513964799E-2</v>
      </c>
      <c r="J2405" s="148">
        <v>9.247885190104046E-4</v>
      </c>
      <c r="K2405" s="518">
        <v>3.5412455120241135E-5</v>
      </c>
      <c r="L2405" s="519">
        <v>3.7013649200336209E-5</v>
      </c>
    </row>
    <row r="2406" spans="1:12" ht="15.5" x14ac:dyDescent="0.35">
      <c r="A2406" s="143" t="s">
        <v>902</v>
      </c>
      <c r="B2406" s="229">
        <v>2036</v>
      </c>
      <c r="C2406" s="514" t="s">
        <v>3230</v>
      </c>
      <c r="D2406" s="515">
        <v>2.666987319959755E-2</v>
      </c>
      <c r="E2406" s="516">
        <v>4.779322772062806E-3</v>
      </c>
      <c r="F2406" s="145">
        <v>2.8226838705422582E-2</v>
      </c>
      <c r="G2406" s="145">
        <v>8.0351172314965021E-4</v>
      </c>
      <c r="H2406" s="517">
        <v>2.0000005732018801E-3</v>
      </c>
      <c r="I2406" s="517">
        <v>1.5750004513964799E-2</v>
      </c>
      <c r="J2406" s="148">
        <v>8.725123164100429E-4</v>
      </c>
      <c r="K2406" s="518">
        <v>3.2565747231837113E-5</v>
      </c>
      <c r="L2406" s="519">
        <v>3.4038225813297709E-5</v>
      </c>
    </row>
    <row r="2407" spans="1:12" ht="15.5" x14ac:dyDescent="0.35">
      <c r="A2407" s="143" t="s">
        <v>902</v>
      </c>
      <c r="B2407" s="229">
        <v>2037</v>
      </c>
      <c r="C2407" s="514" t="s">
        <v>3231</v>
      </c>
      <c r="D2407" s="515">
        <v>2.63983549337415E-2</v>
      </c>
      <c r="E2407" s="516">
        <v>4.3494248695630537E-3</v>
      </c>
      <c r="F2407" s="145">
        <v>2.6790330609403841E-2</v>
      </c>
      <c r="G2407" s="145">
        <v>7.6057212345756323E-4</v>
      </c>
      <c r="H2407" s="517">
        <v>2.0000005732018801E-3</v>
      </c>
      <c r="I2407" s="517">
        <v>1.5750004513964799E-2</v>
      </c>
      <c r="J2407" s="148">
        <v>8.259105786668665E-4</v>
      </c>
      <c r="K2407" s="518">
        <v>3.0229624894620043E-5</v>
      </c>
      <c r="L2407" s="519">
        <v>3.1596474390381009E-5</v>
      </c>
    </row>
    <row r="2408" spans="1:12" ht="15.5" x14ac:dyDescent="0.35">
      <c r="A2408" s="143" t="s">
        <v>902</v>
      </c>
      <c r="B2408" s="229">
        <v>2038</v>
      </c>
      <c r="C2408" s="514" t="s">
        <v>3232</v>
      </c>
      <c r="D2408" s="515">
        <v>2.6168745866359044E-2</v>
      </c>
      <c r="E2408" s="516">
        <v>3.9430750858853829E-3</v>
      </c>
      <c r="F2408" s="145">
        <v>2.5408632339039422E-2</v>
      </c>
      <c r="G2408" s="145">
        <v>7.2131786674252667E-4</v>
      </c>
      <c r="H2408" s="517">
        <v>2.0000005732018801E-3</v>
      </c>
      <c r="I2408" s="517">
        <v>1.5750004513964796E-2</v>
      </c>
      <c r="J2408" s="148">
        <v>7.8329822843814262E-4</v>
      </c>
      <c r="K2408" s="518">
        <v>2.8336191093823068E-5</v>
      </c>
      <c r="L2408" s="519">
        <v>2.9617427915099969E-5</v>
      </c>
    </row>
    <row r="2409" spans="1:12" ht="15.5" x14ac:dyDescent="0.35">
      <c r="A2409" s="143" t="s">
        <v>902</v>
      </c>
      <c r="B2409" s="229">
        <v>2039</v>
      </c>
      <c r="C2409" s="514" t="s">
        <v>3233</v>
      </c>
      <c r="D2409" s="515">
        <v>2.5975458484740976E-2</v>
      </c>
      <c r="E2409" s="516">
        <v>3.5628300379294373E-3</v>
      </c>
      <c r="F2409" s="145">
        <v>2.4132865394160988E-2</v>
      </c>
      <c r="G2409" s="145">
        <v>6.8575322740547834E-4</v>
      </c>
      <c r="H2409" s="517">
        <v>2.0000005732018801E-3</v>
      </c>
      <c r="I2409" s="517">
        <v>1.5750004513964799E-2</v>
      </c>
      <c r="J2409" s="148">
        <v>7.4468809424172301E-4</v>
      </c>
      <c r="K2409" s="518">
        <v>2.6692417253674562E-5</v>
      </c>
      <c r="L2409" s="519">
        <v>2.7899329916038416E-5</v>
      </c>
    </row>
    <row r="2410" spans="1:12" ht="15.5" x14ac:dyDescent="0.35">
      <c r="A2410" s="143" t="s">
        <v>902</v>
      </c>
      <c r="B2410" s="229">
        <v>2040</v>
      </c>
      <c r="C2410" s="514" t="s">
        <v>3234</v>
      </c>
      <c r="D2410" s="515">
        <v>2.5814533243772704E-2</v>
      </c>
      <c r="E2410" s="516">
        <v>3.2185745351088683E-3</v>
      </c>
      <c r="F2410" s="145">
        <v>2.3065647394537609E-2</v>
      </c>
      <c r="G2410" s="145">
        <v>6.5387731862038851E-4</v>
      </c>
      <c r="H2410" s="517">
        <v>2.0000005732018797E-3</v>
      </c>
      <c r="I2410" s="517">
        <v>1.5750004513964799E-2</v>
      </c>
      <c r="J2410" s="148">
        <v>7.1007897142340087E-4</v>
      </c>
      <c r="K2410" s="518">
        <v>2.5303970539718753E-5</v>
      </c>
      <c r="L2410" s="519">
        <v>2.6448103802818522E-5</v>
      </c>
    </row>
    <row r="2411" spans="1:12" ht="15.5" x14ac:dyDescent="0.35">
      <c r="A2411" s="143" t="s">
        <v>902</v>
      </c>
      <c r="B2411" s="229">
        <v>2041</v>
      </c>
      <c r="C2411" s="514" t="s">
        <v>3235</v>
      </c>
      <c r="D2411" s="515">
        <v>2.5682651244236725E-2</v>
      </c>
      <c r="E2411" s="516">
        <v>2.9459362312896581E-3</v>
      </c>
      <c r="F2411" s="145">
        <v>2.2195393456363476E-2</v>
      </c>
      <c r="G2411" s="145">
        <v>6.2971441689756494E-4</v>
      </c>
      <c r="H2411" s="517">
        <v>2.0000005732018784E-3</v>
      </c>
      <c r="I2411" s="517">
        <v>1.5750004513964799E-2</v>
      </c>
      <c r="J2411" s="148">
        <v>6.838511260798914E-4</v>
      </c>
      <c r="K2411" s="518">
        <v>2.4088298568592071E-5</v>
      </c>
      <c r="L2411" s="519">
        <v>2.5177464539621982E-5</v>
      </c>
    </row>
    <row r="2412" spans="1:12" ht="15.5" x14ac:dyDescent="0.35">
      <c r="A2412" s="143" t="s">
        <v>902</v>
      </c>
      <c r="B2412" s="229">
        <v>2042</v>
      </c>
      <c r="C2412" s="514" t="s">
        <v>3236</v>
      </c>
      <c r="D2412" s="515">
        <v>2.5573950811727607E-2</v>
      </c>
      <c r="E2412" s="516">
        <v>2.7129366333451654E-3</v>
      </c>
      <c r="F2412" s="145">
        <v>2.1417147368054217E-2</v>
      </c>
      <c r="G2412" s="145">
        <v>6.0867410347721521E-4</v>
      </c>
      <c r="H2412" s="517">
        <v>2.0000005732018797E-3</v>
      </c>
      <c r="I2412" s="517">
        <v>1.5750004513964799E-2</v>
      </c>
      <c r="J2412" s="148">
        <v>6.6100892852288676E-4</v>
      </c>
      <c r="K2412" s="518">
        <v>2.311927515965029E-5</v>
      </c>
      <c r="L2412" s="519">
        <v>2.4164626192105575E-5</v>
      </c>
    </row>
    <row r="2413" spans="1:12" ht="15.5" x14ac:dyDescent="0.35">
      <c r="A2413" s="143" t="s">
        <v>902</v>
      </c>
      <c r="B2413" s="229">
        <v>2043</v>
      </c>
      <c r="C2413" s="514" t="s">
        <v>3237</v>
      </c>
      <c r="D2413" s="515">
        <v>2.5486075009563323E-2</v>
      </c>
      <c r="E2413" s="516">
        <v>2.5389145861763325E-3</v>
      </c>
      <c r="F2413" s="145">
        <v>2.0835065311293133E-2</v>
      </c>
      <c r="G2413" s="145">
        <v>5.9047259271212513E-4</v>
      </c>
      <c r="H2413" s="517">
        <v>2.0000005732018805E-3</v>
      </c>
      <c r="I2413" s="517">
        <v>1.5750004513964799E-2</v>
      </c>
      <c r="J2413" s="148">
        <v>6.4124960059772898E-4</v>
      </c>
      <c r="K2413" s="518">
        <v>2.2258504191120084E-5</v>
      </c>
      <c r="L2413" s="519">
        <v>2.3264934979993021E-5</v>
      </c>
    </row>
    <row r="2414" spans="1:12" ht="15.5" x14ac:dyDescent="0.35">
      <c r="A2414" s="143" t="s">
        <v>902</v>
      </c>
      <c r="B2414" s="229">
        <v>2044</v>
      </c>
      <c r="C2414" s="514" t="s">
        <v>3238</v>
      </c>
      <c r="D2414" s="515">
        <v>2.5414109828432903E-2</v>
      </c>
      <c r="E2414" s="516">
        <v>2.4189301273461186E-3</v>
      </c>
      <c r="F2414" s="145">
        <v>2.0416563855384148E-2</v>
      </c>
      <c r="G2414" s="145">
        <v>5.748913358845436E-4</v>
      </c>
      <c r="H2414" s="517">
        <v>2.0000005732018801E-3</v>
      </c>
      <c r="I2414" s="517">
        <v>1.5750004513964803E-2</v>
      </c>
      <c r="J2414" s="148">
        <v>6.2433403462748918E-4</v>
      </c>
      <c r="K2414" s="518">
        <v>2.15394011940375E-5</v>
      </c>
      <c r="L2414" s="519">
        <v>2.2513317336354642E-5</v>
      </c>
    </row>
    <row r="2415" spans="1:12" ht="15.5" x14ac:dyDescent="0.35">
      <c r="A2415" s="143" t="s">
        <v>902</v>
      </c>
      <c r="B2415" s="229">
        <v>2045</v>
      </c>
      <c r="C2415" s="514" t="s">
        <v>3239</v>
      </c>
      <c r="D2415" s="515">
        <v>2.5354712098360533E-2</v>
      </c>
      <c r="E2415" s="516">
        <v>2.3433371446857669E-3</v>
      </c>
      <c r="F2415" s="145">
        <v>2.014576395746525E-2</v>
      </c>
      <c r="G2415" s="145">
        <v>5.615490436036057E-4</v>
      </c>
      <c r="H2415" s="517">
        <v>2.0000005732018801E-3</v>
      </c>
      <c r="I2415" s="517">
        <v>1.5750004513964799E-2</v>
      </c>
      <c r="J2415" s="148">
        <v>6.0984723974173607E-4</v>
      </c>
      <c r="K2415" s="518">
        <v>2.0969136996150151E-5</v>
      </c>
      <c r="L2415" s="519">
        <v>2.1917268321948773E-5</v>
      </c>
    </row>
    <row r="2416" spans="1:12" ht="15.5" x14ac:dyDescent="0.35">
      <c r="A2416" s="143" t="s">
        <v>902</v>
      </c>
      <c r="B2416" s="229">
        <v>2046</v>
      </c>
      <c r="C2416" s="514" t="s">
        <v>3240</v>
      </c>
      <c r="D2416" s="515">
        <v>2.5306237274433645E-2</v>
      </c>
      <c r="E2416" s="516">
        <v>2.2780474615077236E-3</v>
      </c>
      <c r="F2416" s="145">
        <v>1.9921731039899075E-2</v>
      </c>
      <c r="G2416" s="145">
        <v>5.5025841245239383E-4</v>
      </c>
      <c r="H2416" s="517">
        <v>2.0000005732018792E-3</v>
      </c>
      <c r="I2416" s="517">
        <v>1.5750004513964799E-2</v>
      </c>
      <c r="J2416" s="148">
        <v>5.975892936855038E-4</v>
      </c>
      <c r="K2416" s="518">
        <v>2.0458337201345523E-5</v>
      </c>
      <c r="L2416" s="519">
        <v>2.1383372427063573E-5</v>
      </c>
    </row>
    <row r="2417" spans="1:12" ht="15.5" x14ac:dyDescent="0.35">
      <c r="A2417" s="143" t="s">
        <v>902</v>
      </c>
      <c r="B2417" s="229">
        <v>2047</v>
      </c>
      <c r="C2417" s="514" t="s">
        <v>3241</v>
      </c>
      <c r="D2417" s="515">
        <v>2.526705901047871E-2</v>
      </c>
      <c r="E2417" s="516">
        <v>2.2213979933712541E-3</v>
      </c>
      <c r="F2417" s="145">
        <v>1.9720234615647297E-2</v>
      </c>
      <c r="G2417" s="145">
        <v>5.4073162935309755E-4</v>
      </c>
      <c r="H2417" s="517">
        <v>2.0000005732018801E-3</v>
      </c>
      <c r="I2417" s="517">
        <v>1.5750004513964799E-2</v>
      </c>
      <c r="J2417" s="148">
        <v>5.872482343399067E-4</v>
      </c>
      <c r="K2417" s="518">
        <v>1.9981967082251296E-5</v>
      </c>
      <c r="L2417" s="519">
        <v>2.0885462965044957E-5</v>
      </c>
    </row>
    <row r="2418" spans="1:12" ht="15.5" x14ac:dyDescent="0.35">
      <c r="A2418" s="143" t="s">
        <v>902</v>
      </c>
      <c r="B2418" s="229">
        <v>2048</v>
      </c>
      <c r="C2418" s="514" t="s">
        <v>3242</v>
      </c>
      <c r="D2418" s="515">
        <v>2.5235182300345532E-2</v>
      </c>
      <c r="E2418" s="516">
        <v>2.1747131076648167E-3</v>
      </c>
      <c r="F2418" s="145">
        <v>1.9547426843242642E-2</v>
      </c>
      <c r="G2418" s="145">
        <v>5.3272747094272176E-4</v>
      </c>
      <c r="H2418" s="517">
        <v>2.0000005732018801E-3</v>
      </c>
      <c r="I2418" s="517">
        <v>1.5750004513964799E-2</v>
      </c>
      <c r="J2418" s="148">
        <v>5.7856096200656381E-4</v>
      </c>
      <c r="K2418" s="518">
        <v>1.9557661322868818E-5</v>
      </c>
      <c r="L2418" s="519">
        <v>2.0441971982052136E-5</v>
      </c>
    </row>
    <row r="2419" spans="1:12" ht="15.5" x14ac:dyDescent="0.35">
      <c r="A2419" s="143" t="s">
        <v>902</v>
      </c>
      <c r="B2419" s="229">
        <v>2049</v>
      </c>
      <c r="C2419" s="514" t="s">
        <v>3243</v>
      </c>
      <c r="D2419" s="515">
        <v>2.5209678858186622E-2</v>
      </c>
      <c r="E2419" s="516">
        <v>2.1573632049791138E-3</v>
      </c>
      <c r="F2419" s="145">
        <v>1.9548293124257744E-2</v>
      </c>
      <c r="G2419" s="145">
        <v>5.2770021705042384E-4</v>
      </c>
      <c r="H2419" s="517">
        <v>2.0000005732018805E-3</v>
      </c>
      <c r="I2419" s="517">
        <v>1.5750004513964799E-2</v>
      </c>
      <c r="J2419" s="148">
        <v>5.7310667306253505E-4</v>
      </c>
      <c r="K2419" s="518">
        <v>1.9243604877643533E-5</v>
      </c>
      <c r="L2419" s="519">
        <v>2.011371529797862E-5</v>
      </c>
    </row>
    <row r="2420" spans="1:12" ht="15.5" x14ac:dyDescent="0.35">
      <c r="A2420" s="143" t="s">
        <v>902</v>
      </c>
      <c r="B2420" s="229">
        <v>2050</v>
      </c>
      <c r="C2420" s="514" t="s">
        <v>3244</v>
      </c>
      <c r="D2420" s="515">
        <v>2.518929830921578E-2</v>
      </c>
      <c r="E2420" s="516">
        <v>2.1431030272932518E-3</v>
      </c>
      <c r="F2420" s="145">
        <v>1.9547253521365705E-2</v>
      </c>
      <c r="G2420" s="145">
        <v>5.2348372625853968E-4</v>
      </c>
      <c r="H2420" s="517">
        <v>2.0000005732018792E-3</v>
      </c>
      <c r="I2420" s="517">
        <v>1.5750004513964799E-2</v>
      </c>
      <c r="J2420" s="148">
        <v>5.6853840192498878E-4</v>
      </c>
      <c r="K2420" s="518">
        <v>1.8829515578297309E-5</v>
      </c>
      <c r="L2420" s="519">
        <v>1.9680902718010018E-5</v>
      </c>
    </row>
    <row r="2421" spans="1:12" ht="15.5" x14ac:dyDescent="0.35">
      <c r="A2421" s="143" t="s">
        <v>903</v>
      </c>
      <c r="B2421" s="229">
        <v>2015</v>
      </c>
      <c r="C2421" s="514" t="s">
        <v>3245</v>
      </c>
      <c r="D2421" s="515">
        <v>4.3932772662256453E-2</v>
      </c>
      <c r="E2421" s="516">
        <v>9.5444159561586459E-2</v>
      </c>
      <c r="F2421" s="145">
        <v>0.31066042501225832</v>
      </c>
      <c r="G2421" s="145">
        <v>3.0527774757303761E-3</v>
      </c>
      <c r="H2421" s="517">
        <v>2.0000005732018779E-3</v>
      </c>
      <c r="I2421" s="517">
        <v>1.5750004513964796E-2</v>
      </c>
      <c r="J2421" s="148">
        <v>3.2998040251630513E-3</v>
      </c>
      <c r="K2421" s="518">
        <v>2.8785571112277574E-4</v>
      </c>
      <c r="L2421" s="519">
        <v>3.0087126903894756E-4</v>
      </c>
    </row>
    <row r="2422" spans="1:12" ht="15.5" x14ac:dyDescent="0.35">
      <c r="A2422" s="143" t="s">
        <v>903</v>
      </c>
      <c r="B2422" s="229">
        <v>2016</v>
      </c>
      <c r="C2422" s="514" t="s">
        <v>3246</v>
      </c>
      <c r="D2422" s="515">
        <v>4.3028034049532191E-2</v>
      </c>
      <c r="E2422" s="516">
        <v>8.0250904082465269E-2</v>
      </c>
      <c r="F2422" s="145">
        <v>0.26981924342991859</v>
      </c>
      <c r="G2422" s="145">
        <v>2.8414903753146478E-3</v>
      </c>
      <c r="H2422" s="517">
        <v>2.0000005732018805E-3</v>
      </c>
      <c r="I2422" s="517">
        <v>1.5750004513964799E-2</v>
      </c>
      <c r="J2422" s="148">
        <v>3.0732787500629458E-3</v>
      </c>
      <c r="K2422" s="518">
        <v>2.6123976815592648E-4</v>
      </c>
      <c r="L2422" s="519">
        <v>2.7305187123763516E-4</v>
      </c>
    </row>
    <row r="2423" spans="1:12" ht="15.5" x14ac:dyDescent="0.35">
      <c r="A2423" s="143" t="s">
        <v>903</v>
      </c>
      <c r="B2423" s="229">
        <v>2017</v>
      </c>
      <c r="C2423" s="514" t="s">
        <v>3247</v>
      </c>
      <c r="D2423" s="515">
        <v>4.193901597947236E-2</v>
      </c>
      <c r="E2423" s="516">
        <v>6.7249978789737166E-2</v>
      </c>
      <c r="F2423" s="145">
        <v>0.23296283067905252</v>
      </c>
      <c r="G2423" s="145">
        <v>2.6916432848589104E-3</v>
      </c>
      <c r="H2423" s="517">
        <v>2.0000005732018797E-3</v>
      </c>
      <c r="I2423" s="517">
        <v>1.5750004513964799E-2</v>
      </c>
      <c r="J2423" s="148">
        <v>2.9130140843023765E-3</v>
      </c>
      <c r="K2423" s="518">
        <v>2.3738964009945691E-4</v>
      </c>
      <c r="L2423" s="519">
        <v>2.4812334622382819E-4</v>
      </c>
    </row>
    <row r="2424" spans="1:12" ht="15.5" x14ac:dyDescent="0.35">
      <c r="A2424" s="143" t="s">
        <v>903</v>
      </c>
      <c r="B2424" s="229">
        <v>2018</v>
      </c>
      <c r="C2424" s="514" t="s">
        <v>3248</v>
      </c>
      <c r="D2424" s="515">
        <v>4.0781858536765261E-2</v>
      </c>
      <c r="E2424" s="516">
        <v>5.5682238527517358E-2</v>
      </c>
      <c r="F2424" s="145">
        <v>0.20011517355310654</v>
      </c>
      <c r="G2424" s="145">
        <v>2.5858330627147948E-3</v>
      </c>
      <c r="H2424" s="517">
        <v>2.0000005732018801E-3</v>
      </c>
      <c r="I2424" s="517">
        <v>1.5750004513964796E-2</v>
      </c>
      <c r="J2424" s="148">
        <v>2.8002749702725005E-3</v>
      </c>
      <c r="K2424" s="518">
        <v>2.166124684804156E-4</v>
      </c>
      <c r="L2424" s="519">
        <v>2.2640672310150723E-4</v>
      </c>
    </row>
    <row r="2425" spans="1:12" ht="15.5" x14ac:dyDescent="0.35">
      <c r="A2425" s="143" t="s">
        <v>903</v>
      </c>
      <c r="B2425" s="229">
        <v>2019</v>
      </c>
      <c r="C2425" s="514" t="s">
        <v>3249</v>
      </c>
      <c r="D2425" s="515">
        <v>3.9560628644249946E-2</v>
      </c>
      <c r="E2425" s="516">
        <v>4.5900699907317107E-2</v>
      </c>
      <c r="F2425" s="145">
        <v>0.17178959455903198</v>
      </c>
      <c r="G2425" s="145">
        <v>2.5006742603559747E-3</v>
      </c>
      <c r="H2425" s="517">
        <v>2.0000005732018805E-3</v>
      </c>
      <c r="I2425" s="517">
        <v>1.5750004513964803E-2</v>
      </c>
      <c r="J2425" s="148">
        <v>2.7096631189231666E-3</v>
      </c>
      <c r="K2425" s="518">
        <v>1.9614810343286497E-4</v>
      </c>
      <c r="L2425" s="519">
        <v>2.0501705027578071E-4</v>
      </c>
    </row>
    <row r="2426" spans="1:12" ht="15.5" x14ac:dyDescent="0.35">
      <c r="A2426" s="143" t="s">
        <v>903</v>
      </c>
      <c r="B2426" s="229">
        <v>2020</v>
      </c>
      <c r="C2426" s="514" t="s">
        <v>3250</v>
      </c>
      <c r="D2426" s="515">
        <v>3.8354890704261874E-2</v>
      </c>
      <c r="E2426" s="516">
        <v>3.8698496738041842E-2</v>
      </c>
      <c r="F2426" s="145">
        <v>0.14814981321279624</v>
      </c>
      <c r="G2426" s="145">
        <v>2.3932050245343119E-3</v>
      </c>
      <c r="H2426" s="517">
        <v>2.0000005732018797E-3</v>
      </c>
      <c r="I2426" s="517">
        <v>1.5750004513964803E-2</v>
      </c>
      <c r="J2426" s="148">
        <v>2.5940573170488814E-3</v>
      </c>
      <c r="K2426" s="518">
        <v>1.7740627132791864E-4</v>
      </c>
      <c r="L2426" s="519">
        <v>1.8542779568869755E-4</v>
      </c>
    </row>
    <row r="2427" spans="1:12" ht="15.5" x14ac:dyDescent="0.35">
      <c r="A2427" s="143" t="s">
        <v>903</v>
      </c>
      <c r="B2427" s="229">
        <v>2021</v>
      </c>
      <c r="C2427" s="514" t="s">
        <v>3251</v>
      </c>
      <c r="D2427" s="515">
        <v>3.7146203846674684E-2</v>
      </c>
      <c r="E2427" s="516">
        <v>3.2801831186589865E-2</v>
      </c>
      <c r="F2427" s="145">
        <v>0.1276022099543716</v>
      </c>
      <c r="G2427" s="145">
        <v>2.2473871695867145E-3</v>
      </c>
      <c r="H2427" s="517">
        <v>2.0000005732018801E-3</v>
      </c>
      <c r="I2427" s="517">
        <v>1.5750004513964799E-2</v>
      </c>
      <c r="J2427" s="148">
        <v>2.4365585484814518E-3</v>
      </c>
      <c r="K2427" s="518">
        <v>1.5985437869028762E-4</v>
      </c>
      <c r="L2427" s="519">
        <v>1.6708228435136256E-4</v>
      </c>
    </row>
    <row r="2428" spans="1:12" ht="15.5" x14ac:dyDescent="0.35">
      <c r="A2428" s="143" t="s">
        <v>903</v>
      </c>
      <c r="B2428" s="229">
        <v>2022</v>
      </c>
      <c r="C2428" s="514" t="s">
        <v>3252</v>
      </c>
      <c r="D2428" s="515">
        <v>3.5962318352892597E-2</v>
      </c>
      <c r="E2428" s="516">
        <v>2.6169409577297138E-2</v>
      </c>
      <c r="F2428" s="145">
        <v>0.10855338296509737</v>
      </c>
      <c r="G2428" s="145">
        <v>2.106233009312878E-3</v>
      </c>
      <c r="H2428" s="517">
        <v>2.0000005732018801E-3</v>
      </c>
      <c r="I2428" s="517">
        <v>1.5750004513964803E-2</v>
      </c>
      <c r="J2428" s="148">
        <v>2.2843512955205711E-3</v>
      </c>
      <c r="K2428" s="518">
        <v>1.4516643323161821E-4</v>
      </c>
      <c r="L2428" s="519">
        <v>1.5173021517584471E-4</v>
      </c>
    </row>
    <row r="2429" spans="1:12" ht="15.5" x14ac:dyDescent="0.35">
      <c r="A2429" s="143" t="s">
        <v>903</v>
      </c>
      <c r="B2429" s="229">
        <v>2023</v>
      </c>
      <c r="C2429" s="514" t="s">
        <v>3253</v>
      </c>
      <c r="D2429" s="515">
        <v>3.4799224071112217E-2</v>
      </c>
      <c r="E2429" s="516">
        <v>2.2428429183628459E-2</v>
      </c>
      <c r="F2429" s="145">
        <v>9.4081126994536884E-2</v>
      </c>
      <c r="G2429" s="145">
        <v>1.9829073147901864E-3</v>
      </c>
      <c r="H2429" s="517">
        <v>2.0000005732018805E-3</v>
      </c>
      <c r="I2429" s="517">
        <v>1.5750004513964799E-2</v>
      </c>
      <c r="J2429" s="148">
        <v>2.1509245520979071E-3</v>
      </c>
      <c r="K2429" s="518">
        <v>1.3100022807267499E-4</v>
      </c>
      <c r="L2429" s="519">
        <v>1.3692347708121853E-4</v>
      </c>
    </row>
    <row r="2430" spans="1:12" ht="15.5" x14ac:dyDescent="0.35">
      <c r="A2430" s="143" t="s">
        <v>903</v>
      </c>
      <c r="B2430" s="229">
        <v>2024</v>
      </c>
      <c r="C2430" s="514" t="s">
        <v>3254</v>
      </c>
      <c r="D2430" s="515">
        <v>3.3656542848117782E-2</v>
      </c>
      <c r="E2430" s="516">
        <v>1.927884143251829E-2</v>
      </c>
      <c r="F2430" s="145">
        <v>8.1959957378714712E-2</v>
      </c>
      <c r="G2430" s="145">
        <v>1.8735239054844435E-3</v>
      </c>
      <c r="H2430" s="517">
        <v>2.0000005732018792E-3</v>
      </c>
      <c r="I2430" s="517">
        <v>1.5750004513964796E-2</v>
      </c>
      <c r="J2430" s="148">
        <v>2.0326624982869705E-3</v>
      </c>
      <c r="K2430" s="518">
        <v>1.1644041848593486E-4</v>
      </c>
      <c r="L2430" s="519">
        <v>1.2170533751316431E-4</v>
      </c>
    </row>
    <row r="2431" spans="1:12" ht="15.5" x14ac:dyDescent="0.35">
      <c r="A2431" s="143" t="s">
        <v>903</v>
      </c>
      <c r="B2431" s="229">
        <v>2025</v>
      </c>
      <c r="C2431" s="514" t="s">
        <v>3255</v>
      </c>
      <c r="D2431" s="515">
        <v>3.2539219517548103E-2</v>
      </c>
      <c r="E2431" s="516">
        <v>1.685976137243041E-2</v>
      </c>
      <c r="F2431" s="145">
        <v>7.248711945745212E-2</v>
      </c>
      <c r="G2431" s="145">
        <v>1.7869429640299988E-3</v>
      </c>
      <c r="H2431" s="517">
        <v>2.0000005732018801E-3</v>
      </c>
      <c r="I2431" s="517">
        <v>1.5750004513964799E-2</v>
      </c>
      <c r="J2431" s="148">
        <v>1.9390283083489414E-3</v>
      </c>
      <c r="K2431" s="518">
        <v>1.0453912244410285E-4</v>
      </c>
      <c r="L2431" s="519">
        <v>1.0926591767553958E-4</v>
      </c>
    </row>
    <row r="2432" spans="1:12" ht="15.5" x14ac:dyDescent="0.35">
      <c r="A2432" s="143" t="s">
        <v>903</v>
      </c>
      <c r="B2432" s="229">
        <v>2026</v>
      </c>
      <c r="C2432" s="514" t="s">
        <v>3256</v>
      </c>
      <c r="D2432" s="515">
        <v>3.152091187727514E-2</v>
      </c>
      <c r="E2432" s="516">
        <v>1.4873788305559171E-2</v>
      </c>
      <c r="F2432" s="145">
        <v>6.4804227372083092E-2</v>
      </c>
      <c r="G2432" s="145">
        <v>1.7007992015196391E-3</v>
      </c>
      <c r="H2432" s="517">
        <v>2.0000005732018801E-3</v>
      </c>
      <c r="I2432" s="517">
        <v>1.5750004513964799E-2</v>
      </c>
      <c r="J2432" s="148">
        <v>1.8459019870341532E-3</v>
      </c>
      <c r="K2432" s="518">
        <v>9.1335765152474914E-5</v>
      </c>
      <c r="L2432" s="519">
        <v>9.5465563156214473E-5</v>
      </c>
    </row>
    <row r="2433" spans="1:12" ht="15.5" x14ac:dyDescent="0.35">
      <c r="A2433" s="143" t="s">
        <v>903</v>
      </c>
      <c r="B2433" s="229">
        <v>2027</v>
      </c>
      <c r="C2433" s="514" t="s">
        <v>3257</v>
      </c>
      <c r="D2433" s="515">
        <v>3.0589996371626911E-2</v>
      </c>
      <c r="E2433" s="516">
        <v>1.3163334685177381E-2</v>
      </c>
      <c r="F2433" s="145">
        <v>5.8240691680195078E-2</v>
      </c>
      <c r="G2433" s="145">
        <v>1.6026570760793383E-3</v>
      </c>
      <c r="H2433" s="517">
        <v>2.0000005732018797E-3</v>
      </c>
      <c r="I2433" s="517">
        <v>1.5750004513964796E-2</v>
      </c>
      <c r="J2433" s="148">
        <v>1.739887039254045E-3</v>
      </c>
      <c r="K2433" s="518">
        <v>7.4305803309994276E-5</v>
      </c>
      <c r="L2433" s="519">
        <v>7.7665582008553476E-5</v>
      </c>
    </row>
    <row r="2434" spans="1:12" ht="15.5" x14ac:dyDescent="0.35">
      <c r="A2434" s="143" t="s">
        <v>903</v>
      </c>
      <c r="B2434" s="229">
        <v>2028</v>
      </c>
      <c r="C2434" s="514" t="s">
        <v>3258</v>
      </c>
      <c r="D2434" s="515">
        <v>2.975192406413275E-2</v>
      </c>
      <c r="E2434" s="516">
        <v>1.1729394885470657E-2</v>
      </c>
      <c r="F2434" s="145">
        <v>5.2746963286882699E-2</v>
      </c>
      <c r="G2434" s="145">
        <v>1.5017685242168192E-3</v>
      </c>
      <c r="H2434" s="517">
        <v>2.0000005732018805E-3</v>
      </c>
      <c r="I2434" s="517">
        <v>1.5750004513964803E-2</v>
      </c>
      <c r="J2434" s="148">
        <v>1.6306704544970839E-3</v>
      </c>
      <c r="K2434" s="518">
        <v>6.2296070990251466E-5</v>
      </c>
      <c r="L2434" s="519">
        <v>6.511282288570975E-5</v>
      </c>
    </row>
    <row r="2435" spans="1:12" ht="15.5" x14ac:dyDescent="0.35">
      <c r="A2435" s="143" t="s">
        <v>903</v>
      </c>
      <c r="B2435" s="229">
        <v>2029</v>
      </c>
      <c r="C2435" s="514" t="s">
        <v>3259</v>
      </c>
      <c r="D2435" s="515">
        <v>2.9001452813916983E-2</v>
      </c>
      <c r="E2435" s="516">
        <v>1.0431619933310363E-2</v>
      </c>
      <c r="F2435" s="145">
        <v>4.7897855058512809E-2</v>
      </c>
      <c r="G2435" s="145">
        <v>1.4060653338678908E-3</v>
      </c>
      <c r="H2435" s="517">
        <v>2.0000005732018801E-3</v>
      </c>
      <c r="I2435" s="517">
        <v>1.5750004513964799E-2</v>
      </c>
      <c r="J2435" s="148">
        <v>1.5269530956675253E-3</v>
      </c>
      <c r="K2435" s="518">
        <v>5.3597857002599273E-5</v>
      </c>
      <c r="L2435" s="519">
        <v>5.6021314259288816E-5</v>
      </c>
    </row>
    <row r="2436" spans="1:12" ht="15.5" x14ac:dyDescent="0.35">
      <c r="A2436" s="143" t="s">
        <v>903</v>
      </c>
      <c r="B2436" s="229">
        <v>2030</v>
      </c>
      <c r="C2436" s="514" t="s">
        <v>3260</v>
      </c>
      <c r="D2436" s="515">
        <v>2.83336962202098E-2</v>
      </c>
      <c r="E2436" s="516">
        <v>9.3771571709448109E-3</v>
      </c>
      <c r="F2436" s="145">
        <v>4.3851195037645611E-2</v>
      </c>
      <c r="G2436" s="145">
        <v>1.3161311425812835E-3</v>
      </c>
      <c r="H2436" s="517">
        <v>2.000000573201881E-3</v>
      </c>
      <c r="I2436" s="517">
        <v>1.5750004513964803E-2</v>
      </c>
      <c r="J2436" s="148">
        <v>1.4294639028660284E-3</v>
      </c>
      <c r="K2436" s="518">
        <v>4.5988636102064191E-5</v>
      </c>
      <c r="L2436" s="519">
        <v>4.806803815504919E-5</v>
      </c>
    </row>
    <row r="2437" spans="1:12" ht="15.5" x14ac:dyDescent="0.35">
      <c r="A2437" s="143" t="s">
        <v>903</v>
      </c>
      <c r="B2437" s="229">
        <v>2031</v>
      </c>
      <c r="C2437" s="514" t="s">
        <v>3261</v>
      </c>
      <c r="D2437" s="515">
        <v>2.7739991668815526E-2</v>
      </c>
      <c r="E2437" s="516">
        <v>8.4340305918176352E-3</v>
      </c>
      <c r="F2437" s="145">
        <v>4.0267655064687671E-2</v>
      </c>
      <c r="G2437" s="145">
        <v>1.233266511469446E-3</v>
      </c>
      <c r="H2437" s="517">
        <v>2.0000005732018801E-3</v>
      </c>
      <c r="I2437" s="517">
        <v>1.5750004513964796E-2</v>
      </c>
      <c r="J2437" s="148">
        <v>1.3395276754943511E-3</v>
      </c>
      <c r="K2437" s="518">
        <v>4.1584704143502797E-5</v>
      </c>
      <c r="L2437" s="519">
        <v>4.3464979935480304E-5</v>
      </c>
    </row>
    <row r="2438" spans="1:12" ht="15.5" x14ac:dyDescent="0.35">
      <c r="A2438" s="143" t="s">
        <v>903</v>
      </c>
      <c r="B2438" s="229">
        <v>2032</v>
      </c>
      <c r="C2438" s="514" t="s">
        <v>3262</v>
      </c>
      <c r="D2438" s="515">
        <v>2.7216271751881283E-2</v>
      </c>
      <c r="E2438" s="516">
        <v>7.6209172188264201E-3</v>
      </c>
      <c r="F2438" s="145">
        <v>3.7285377966673139E-2</v>
      </c>
      <c r="G2438" s="145">
        <v>1.1573276595949196E-3</v>
      </c>
      <c r="H2438" s="517">
        <v>2.0000005732018801E-3</v>
      </c>
      <c r="I2438" s="517">
        <v>1.5750004513964803E-2</v>
      </c>
      <c r="J2438" s="148">
        <v>1.2570709321407727E-3</v>
      </c>
      <c r="K2438" s="518">
        <v>3.8429904205047398E-5</v>
      </c>
      <c r="L2438" s="519">
        <v>4.0167533943025383E-5</v>
      </c>
    </row>
    <row r="2439" spans="1:12" ht="15.5" x14ac:dyDescent="0.35">
      <c r="A2439" s="143" t="s">
        <v>903</v>
      </c>
      <c r="B2439" s="229">
        <v>2033</v>
      </c>
      <c r="C2439" s="514" t="s">
        <v>3263</v>
      </c>
      <c r="D2439" s="515">
        <v>2.6755576798206615E-2</v>
      </c>
      <c r="E2439" s="516">
        <v>6.8939994067136788E-3</v>
      </c>
      <c r="F2439" s="145">
        <v>3.4697875956436683E-2</v>
      </c>
      <c r="G2439" s="145">
        <v>1.0862286397201339E-3</v>
      </c>
      <c r="H2439" s="517">
        <v>2.0000005732018801E-3</v>
      </c>
      <c r="I2439" s="517">
        <v>1.5750004513964803E-2</v>
      </c>
      <c r="J2439" s="148">
        <v>1.1798582143797702E-3</v>
      </c>
      <c r="K2439" s="518">
        <v>3.5740779352735078E-5</v>
      </c>
      <c r="L2439" s="519">
        <v>3.7356818797706231E-5</v>
      </c>
    </row>
    <row r="2440" spans="1:12" ht="15.5" x14ac:dyDescent="0.35">
      <c r="A2440" s="143" t="s">
        <v>903</v>
      </c>
      <c r="B2440" s="229">
        <v>2034</v>
      </c>
      <c r="C2440" s="514" t="s">
        <v>3264</v>
      </c>
      <c r="D2440" s="515">
        <v>2.6350798742792329E-2</v>
      </c>
      <c r="E2440" s="516">
        <v>6.2361745610291387E-3</v>
      </c>
      <c r="F2440" s="145">
        <v>3.2450057197623144E-2</v>
      </c>
      <c r="G2440" s="145">
        <v>1.0200617216755473E-3</v>
      </c>
      <c r="H2440" s="517">
        <v>2.0000005732018801E-3</v>
      </c>
      <c r="I2440" s="517">
        <v>1.5750004513964803E-2</v>
      </c>
      <c r="J2440" s="148">
        <v>1.1079948042052418E-3</v>
      </c>
      <c r="K2440" s="518">
        <v>3.3400986092181819E-5</v>
      </c>
      <c r="L2440" s="519">
        <v>3.4911230468589645E-5</v>
      </c>
    </row>
    <row r="2441" spans="1:12" ht="15.5" x14ac:dyDescent="0.35">
      <c r="A2441" s="143" t="s">
        <v>903</v>
      </c>
      <c r="B2441" s="229">
        <v>2035</v>
      </c>
      <c r="C2441" s="514" t="s">
        <v>3265</v>
      </c>
      <c r="D2441" s="515">
        <v>2.5998228935783001E-2</v>
      </c>
      <c r="E2441" s="516">
        <v>5.6487025591987327E-3</v>
      </c>
      <c r="F2441" s="145">
        <v>3.0535106323631687E-2</v>
      </c>
      <c r="G2441" s="145">
        <v>9.5910881940098063E-4</v>
      </c>
      <c r="H2441" s="517">
        <v>2.0000005732018805E-3</v>
      </c>
      <c r="I2441" s="517">
        <v>1.5750004513964799E-2</v>
      </c>
      <c r="J2441" s="148">
        <v>1.0417868978560552E-3</v>
      </c>
      <c r="K2441" s="518">
        <v>3.1420220852704723E-5</v>
      </c>
      <c r="L2441" s="519">
        <v>3.2840903814498894E-5</v>
      </c>
    </row>
    <row r="2442" spans="1:12" ht="15.5" x14ac:dyDescent="0.35">
      <c r="A2442" s="143" t="s">
        <v>903</v>
      </c>
      <c r="B2442" s="229">
        <v>2036</v>
      </c>
      <c r="C2442" s="514" t="s">
        <v>3266</v>
      </c>
      <c r="D2442" s="515">
        <v>2.5692911968686668E-2</v>
      </c>
      <c r="E2442" s="516">
        <v>5.1398588088559811E-3</v>
      </c>
      <c r="F2442" s="145">
        <v>2.8919896534873465E-2</v>
      </c>
      <c r="G2442" s="145">
        <v>9.0684007372784177E-4</v>
      </c>
      <c r="H2442" s="517">
        <v>2.0000005732018797E-3</v>
      </c>
      <c r="I2442" s="517">
        <v>1.5750004513964799E-2</v>
      </c>
      <c r="J2442" s="148">
        <v>9.8502800568083795E-4</v>
      </c>
      <c r="K2442" s="518">
        <v>2.9340306289080602E-5</v>
      </c>
      <c r="L2442" s="519">
        <v>3.0666944743791906E-5</v>
      </c>
    </row>
    <row r="2443" spans="1:12" ht="15.5" x14ac:dyDescent="0.35">
      <c r="A2443" s="143" t="s">
        <v>903</v>
      </c>
      <c r="B2443" s="229">
        <v>2037</v>
      </c>
      <c r="C2443" s="514" t="s">
        <v>3267</v>
      </c>
      <c r="D2443" s="515">
        <v>2.5431874430450491E-2</v>
      </c>
      <c r="E2443" s="516">
        <v>4.6896739802162468E-3</v>
      </c>
      <c r="F2443" s="145">
        <v>2.7528533644019103E-2</v>
      </c>
      <c r="G2443" s="145">
        <v>8.6014643492607812E-4</v>
      </c>
      <c r="H2443" s="517">
        <v>2.0000005732018797E-3</v>
      </c>
      <c r="I2443" s="517">
        <v>1.5750004513964799E-2</v>
      </c>
      <c r="J2443" s="148">
        <v>9.3430748352644772E-4</v>
      </c>
      <c r="K2443" s="518">
        <v>2.7851942832813566E-5</v>
      </c>
      <c r="L2443" s="519">
        <v>2.9111284096547553E-5</v>
      </c>
    </row>
    <row r="2444" spans="1:12" ht="15.5" x14ac:dyDescent="0.35">
      <c r="A2444" s="143" t="s">
        <v>903</v>
      </c>
      <c r="B2444" s="229">
        <v>2038</v>
      </c>
      <c r="C2444" s="514" t="s">
        <v>3268</v>
      </c>
      <c r="D2444" s="515">
        <v>2.5209687928003519E-2</v>
      </c>
      <c r="E2444" s="516">
        <v>4.2797150719785801E-3</v>
      </c>
      <c r="F2444" s="145">
        <v>2.6260927570135827E-2</v>
      </c>
      <c r="G2444" s="145">
        <v>8.1805888043716369E-4</v>
      </c>
      <c r="H2444" s="517">
        <v>2.0000005732018805E-3</v>
      </c>
      <c r="I2444" s="517">
        <v>1.5750004513964803E-2</v>
      </c>
      <c r="J2444" s="148">
        <v>8.8859253103329026E-4</v>
      </c>
      <c r="K2444" s="518">
        <v>2.6457201291696599E-5</v>
      </c>
      <c r="L2444" s="519">
        <v>2.7653478532015216E-5</v>
      </c>
    </row>
    <row r="2445" spans="1:12" ht="15.5" x14ac:dyDescent="0.35">
      <c r="A2445" s="143" t="s">
        <v>903</v>
      </c>
      <c r="B2445" s="229">
        <v>2039</v>
      </c>
      <c r="C2445" s="514" t="s">
        <v>3269</v>
      </c>
      <c r="D2445" s="515">
        <v>2.5020962246241337E-2</v>
      </c>
      <c r="E2445" s="516">
        <v>3.889102691717136E-3</v>
      </c>
      <c r="F2445" s="145">
        <v>2.5055269448530544E-2</v>
      </c>
      <c r="G2445" s="145">
        <v>7.8031354897718926E-4</v>
      </c>
      <c r="H2445" s="517">
        <v>2.0000005732018805E-3</v>
      </c>
      <c r="I2445" s="517">
        <v>1.5750004513964799E-2</v>
      </c>
      <c r="J2445" s="148">
        <v>8.4758745948019501E-4</v>
      </c>
      <c r="K2445" s="518">
        <v>2.536175388926065E-5</v>
      </c>
      <c r="L2445" s="519">
        <v>2.6508499859016891E-5</v>
      </c>
    </row>
    <row r="2446" spans="1:12" ht="15.5" x14ac:dyDescent="0.35">
      <c r="A2446" s="143" t="s">
        <v>903</v>
      </c>
      <c r="B2446" s="229">
        <v>2040</v>
      </c>
      <c r="C2446" s="514" t="s">
        <v>3270</v>
      </c>
      <c r="D2446" s="515">
        <v>2.4862276235753284E-2</v>
      </c>
      <c r="E2446" s="516">
        <v>3.5517766388259153E-3</v>
      </c>
      <c r="F2446" s="145">
        <v>2.4074949696111018E-2</v>
      </c>
      <c r="G2446" s="145">
        <v>7.469428221465389E-4</v>
      </c>
      <c r="H2446" s="517">
        <v>2.0000005732018801E-3</v>
      </c>
      <c r="I2446" s="517">
        <v>1.5750004513964799E-2</v>
      </c>
      <c r="J2446" s="148">
        <v>8.1133723568883583E-4</v>
      </c>
      <c r="K2446" s="518">
        <v>2.4335542320421287E-5</v>
      </c>
      <c r="L2446" s="519">
        <v>2.543588755678103E-5</v>
      </c>
    </row>
    <row r="2447" spans="1:12" ht="15.5" x14ac:dyDescent="0.35">
      <c r="A2447" s="143" t="s">
        <v>903</v>
      </c>
      <c r="B2447" s="229">
        <v>2041</v>
      </c>
      <c r="C2447" s="514" t="s">
        <v>3271</v>
      </c>
      <c r="D2447" s="515">
        <v>2.4730979361678222E-2</v>
      </c>
      <c r="E2447" s="516">
        <v>3.3097787638194723E-3</v>
      </c>
      <c r="F2447" s="145">
        <v>2.3343025863461934E-2</v>
      </c>
      <c r="G2447" s="145">
        <v>7.216376312848882E-4</v>
      </c>
      <c r="H2447" s="517">
        <v>2.0000005732018805E-3</v>
      </c>
      <c r="I2447" s="517">
        <v>1.5750004513964803E-2</v>
      </c>
      <c r="J2447" s="148">
        <v>7.8384875083943031E-4</v>
      </c>
      <c r="K2447" s="518">
        <v>2.3551623767540273E-5</v>
      </c>
      <c r="L2447" s="519">
        <v>2.4616523685525787E-5</v>
      </c>
    </row>
    <row r="2448" spans="1:12" ht="15.5" x14ac:dyDescent="0.35">
      <c r="A2448" s="143" t="s">
        <v>903</v>
      </c>
      <c r="B2448" s="229">
        <v>2042</v>
      </c>
      <c r="C2448" s="514" t="s">
        <v>3272</v>
      </c>
      <c r="D2448" s="515">
        <v>2.4620707833197201E-2</v>
      </c>
      <c r="E2448" s="516">
        <v>3.1001964250230744E-3</v>
      </c>
      <c r="F2448" s="145">
        <v>2.2665106619457927E-2</v>
      </c>
      <c r="G2448" s="145">
        <v>6.9975491098607685E-4</v>
      </c>
      <c r="H2448" s="517">
        <v>2.0000005732018805E-3</v>
      </c>
      <c r="I2448" s="517">
        <v>1.5750004513964806E-2</v>
      </c>
      <c r="J2448" s="148">
        <v>7.6008013095242013E-4</v>
      </c>
      <c r="K2448" s="518">
        <v>2.2823964937179932E-5</v>
      </c>
      <c r="L2448" s="519">
        <v>2.385596335179475E-5</v>
      </c>
    </row>
    <row r="2449" spans="1:12" ht="15.5" x14ac:dyDescent="0.35">
      <c r="A2449" s="143" t="s">
        <v>903</v>
      </c>
      <c r="B2449" s="229">
        <v>2043</v>
      </c>
      <c r="C2449" s="514" t="s">
        <v>3273</v>
      </c>
      <c r="D2449" s="515">
        <v>2.4530933921390056E-2</v>
      </c>
      <c r="E2449" s="516">
        <v>2.9393306199383541E-3</v>
      </c>
      <c r="F2449" s="145">
        <v>2.2143119952955186E-2</v>
      </c>
      <c r="G2449" s="145">
        <v>6.8109505973821963E-4</v>
      </c>
      <c r="H2449" s="517">
        <v>2.0000005732018797E-3</v>
      </c>
      <c r="I2449" s="517">
        <v>1.5750004513964799E-2</v>
      </c>
      <c r="J2449" s="148">
        <v>7.3980993484506119E-4</v>
      </c>
      <c r="K2449" s="518">
        <v>2.225536835493558E-5</v>
      </c>
      <c r="L2449" s="519">
        <v>2.3261657355211371E-5</v>
      </c>
    </row>
    <row r="2450" spans="1:12" ht="15.5" x14ac:dyDescent="0.35">
      <c r="A2450" s="143" t="s">
        <v>903</v>
      </c>
      <c r="B2450" s="229">
        <v>2044</v>
      </c>
      <c r="C2450" s="514" t="s">
        <v>3274</v>
      </c>
      <c r="D2450" s="515">
        <v>2.4456222506324711E-2</v>
      </c>
      <c r="E2450" s="516">
        <v>2.819212687653077E-3</v>
      </c>
      <c r="F2450" s="145">
        <v>2.1731655183607212E-2</v>
      </c>
      <c r="G2450" s="145">
        <v>6.6514140371943587E-4</v>
      </c>
      <c r="H2450" s="517">
        <v>2.0000005732018797E-3</v>
      </c>
      <c r="I2450" s="517">
        <v>1.5750004513964799E-2</v>
      </c>
      <c r="J2450" s="148">
        <v>7.2248298844597783E-4</v>
      </c>
      <c r="K2450" s="518">
        <v>2.1686406444345491E-5</v>
      </c>
      <c r="L2450" s="519">
        <v>2.2666969511755457E-5</v>
      </c>
    </row>
    <row r="2451" spans="1:12" ht="15.5" x14ac:dyDescent="0.35">
      <c r="A2451" s="143" t="s">
        <v>903</v>
      </c>
      <c r="B2451" s="229">
        <v>2045</v>
      </c>
      <c r="C2451" s="514" t="s">
        <v>3275</v>
      </c>
      <c r="D2451" s="515">
        <v>2.4394136248956616E-2</v>
      </c>
      <c r="E2451" s="516">
        <v>2.7375266079263773E-3</v>
      </c>
      <c r="F2451" s="145">
        <v>2.1453492555470955E-2</v>
      </c>
      <c r="G2451" s="145">
        <v>6.5167175316116347E-4</v>
      </c>
      <c r="H2451" s="517">
        <v>2.0000005732018801E-3</v>
      </c>
      <c r="I2451" s="517">
        <v>1.5750004513964803E-2</v>
      </c>
      <c r="J2451" s="148">
        <v>7.0784926342387167E-4</v>
      </c>
      <c r="K2451" s="518">
        <v>2.1314755927857747E-5</v>
      </c>
      <c r="L2451" s="519">
        <v>2.2278514608086869E-5</v>
      </c>
    </row>
    <row r="2452" spans="1:12" ht="15.5" x14ac:dyDescent="0.35">
      <c r="A2452" s="143" t="s">
        <v>903</v>
      </c>
      <c r="B2452" s="229">
        <v>2046</v>
      </c>
      <c r="C2452" s="514" t="s">
        <v>3276</v>
      </c>
      <c r="D2452" s="515">
        <v>2.4342601872998235E-2</v>
      </c>
      <c r="E2452" s="516">
        <v>2.6665318185312764E-3</v>
      </c>
      <c r="F2452" s="145">
        <v>2.1225843967451738E-2</v>
      </c>
      <c r="G2452" s="145">
        <v>6.4024469504981901E-4</v>
      </c>
      <c r="H2452" s="517">
        <v>2.0000005732018797E-3</v>
      </c>
      <c r="I2452" s="517">
        <v>1.5750004513964803E-2</v>
      </c>
      <c r="J2452" s="148">
        <v>6.9543765636910179E-4</v>
      </c>
      <c r="K2452" s="518">
        <v>2.0928655769459039E-5</v>
      </c>
      <c r="L2452" s="519">
        <v>2.1874956713819438E-5</v>
      </c>
    </row>
    <row r="2453" spans="1:12" ht="15.5" x14ac:dyDescent="0.35">
      <c r="A2453" s="143" t="s">
        <v>903</v>
      </c>
      <c r="B2453" s="229">
        <v>2047</v>
      </c>
      <c r="C2453" s="514" t="s">
        <v>3277</v>
      </c>
      <c r="D2453" s="515">
        <v>2.4300474757645477E-2</v>
      </c>
      <c r="E2453" s="516">
        <v>2.6056472817622715E-3</v>
      </c>
      <c r="F2453" s="145">
        <v>2.1026686174813857E-2</v>
      </c>
      <c r="G2453" s="145">
        <v>6.3079190850220664E-4</v>
      </c>
      <c r="H2453" s="517">
        <v>2.0000005732018801E-3</v>
      </c>
      <c r="I2453" s="517">
        <v>1.5750004513964799E-2</v>
      </c>
      <c r="J2453" s="148">
        <v>6.8516882999081642E-4</v>
      </c>
      <c r="K2453" s="518">
        <v>2.0646855613251655E-5</v>
      </c>
      <c r="L2453" s="519">
        <v>2.1580414805018062E-5</v>
      </c>
    </row>
    <row r="2454" spans="1:12" ht="15.5" x14ac:dyDescent="0.35">
      <c r="A2454" s="143" t="s">
        <v>903</v>
      </c>
      <c r="B2454" s="229">
        <v>2048</v>
      </c>
      <c r="C2454" s="514" t="s">
        <v>3278</v>
      </c>
      <c r="D2454" s="515">
        <v>2.4265283635396661E-2</v>
      </c>
      <c r="E2454" s="516">
        <v>2.5565418344822123E-3</v>
      </c>
      <c r="F2454" s="145">
        <v>2.0861277818905233E-2</v>
      </c>
      <c r="G2454" s="145">
        <v>6.2284607689156541E-4</v>
      </c>
      <c r="H2454" s="517">
        <v>2.0000005732018792E-3</v>
      </c>
      <c r="I2454" s="517">
        <v>1.5750004513964799E-2</v>
      </c>
      <c r="J2454" s="148">
        <v>6.7654076984514217E-4</v>
      </c>
      <c r="K2454" s="518">
        <v>2.0322218555321582E-5</v>
      </c>
      <c r="L2454" s="519">
        <v>2.1241099099883971E-5</v>
      </c>
    </row>
    <row r="2455" spans="1:12" ht="15.5" x14ac:dyDescent="0.35">
      <c r="A2455" s="143" t="s">
        <v>903</v>
      </c>
      <c r="B2455" s="229">
        <v>2049</v>
      </c>
      <c r="C2455" s="514" t="s">
        <v>3279</v>
      </c>
      <c r="D2455" s="515">
        <v>2.4236218241125183E-2</v>
      </c>
      <c r="E2455" s="516">
        <v>2.5381159002252911E-3</v>
      </c>
      <c r="F2455" s="145">
        <v>2.0855188585037758E-2</v>
      </c>
      <c r="G2455" s="145">
        <v>6.1787260762582194E-4</v>
      </c>
      <c r="H2455" s="517">
        <v>2.0000005732018801E-3</v>
      </c>
      <c r="I2455" s="517">
        <v>1.5750004513964796E-2</v>
      </c>
      <c r="J2455" s="148">
        <v>6.7114115088229341E-4</v>
      </c>
      <c r="K2455" s="518">
        <v>2.0098442849104301E-5</v>
      </c>
      <c r="L2455" s="519">
        <v>2.100720524922155E-5</v>
      </c>
    </row>
    <row r="2456" spans="1:12" ht="15.5" x14ac:dyDescent="0.35">
      <c r="A2456" s="143" t="s">
        <v>903</v>
      </c>
      <c r="B2456" s="229">
        <v>2050</v>
      </c>
      <c r="C2456" s="514" t="s">
        <v>3280</v>
      </c>
      <c r="D2456" s="515">
        <v>2.4212571236015792E-2</v>
      </c>
      <c r="E2456" s="516">
        <v>2.5229176774206733E-3</v>
      </c>
      <c r="F2456" s="145">
        <v>2.0849703467606732E-2</v>
      </c>
      <c r="G2456" s="145">
        <v>6.1374247988975382E-4</v>
      </c>
      <c r="H2456" s="517">
        <v>2.0000005732018784E-3</v>
      </c>
      <c r="I2456" s="517">
        <v>1.5750004513964799E-2</v>
      </c>
      <c r="J2456" s="148">
        <v>6.6666200258775417E-4</v>
      </c>
      <c r="K2456" s="518">
        <v>1.9797740762091834E-5</v>
      </c>
      <c r="L2456" s="519">
        <v>2.0692906748180102E-5</v>
      </c>
    </row>
    <row r="2457" spans="1:12" ht="15.5" x14ac:dyDescent="0.35">
      <c r="A2457" s="143" t="s">
        <v>916</v>
      </c>
      <c r="B2457" s="229">
        <v>2015</v>
      </c>
      <c r="C2457" s="514" t="s">
        <v>3281</v>
      </c>
      <c r="D2457" s="515">
        <v>4.5706850646889383E-2</v>
      </c>
      <c r="E2457" s="516">
        <v>5.3698855850475596E-2</v>
      </c>
      <c r="F2457" s="145">
        <v>0.2065143284894547</v>
      </c>
      <c r="G2457" s="145">
        <v>1.9156384526093902E-3</v>
      </c>
      <c r="H2457" s="517">
        <v>2.0000005732018784E-3</v>
      </c>
      <c r="I2457" s="517">
        <v>1.5750004513964778E-2</v>
      </c>
      <c r="J2457" s="148">
        <v>2.0724444981663139E-3</v>
      </c>
      <c r="K2457" s="518">
        <v>1.7294603652995532E-4</v>
      </c>
      <c r="L2457" s="519">
        <v>1.8076588886516913E-4</v>
      </c>
    </row>
    <row r="2458" spans="1:12" ht="15.5" x14ac:dyDescent="0.35">
      <c r="A2458" s="143" t="s">
        <v>916</v>
      </c>
      <c r="B2458" s="229">
        <v>2016</v>
      </c>
      <c r="C2458" s="514" t="s">
        <v>3282</v>
      </c>
      <c r="D2458" s="515">
        <v>4.4838281704560279E-2</v>
      </c>
      <c r="E2458" s="516">
        <v>4.4546636355077364E-2</v>
      </c>
      <c r="F2458" s="145">
        <v>0.17511567166109465</v>
      </c>
      <c r="G2458" s="145">
        <v>1.7933017634335475E-3</v>
      </c>
      <c r="H2458" s="517">
        <v>2.0000005732018784E-3</v>
      </c>
      <c r="I2458" s="517">
        <v>1.5750004513964796E-2</v>
      </c>
      <c r="J2458" s="148">
        <v>1.9415010541372385E-3</v>
      </c>
      <c r="K2458" s="518">
        <v>1.4924658596418482E-4</v>
      </c>
      <c r="L2458" s="519">
        <v>1.5599485430956806E-4</v>
      </c>
    </row>
    <row r="2459" spans="1:12" ht="15.5" x14ac:dyDescent="0.35">
      <c r="A2459" s="143" t="s">
        <v>916</v>
      </c>
      <c r="B2459" s="229">
        <v>2017</v>
      </c>
      <c r="C2459" s="514" t="s">
        <v>3283</v>
      </c>
      <c r="D2459" s="515">
        <v>4.3667625301954484E-2</v>
      </c>
      <c r="E2459" s="516">
        <v>3.7001964238755104E-2</v>
      </c>
      <c r="F2459" s="145">
        <v>0.14941417876828422</v>
      </c>
      <c r="G2459" s="145">
        <v>1.7303053393491067E-3</v>
      </c>
      <c r="H2459" s="517">
        <v>2.0000005732018801E-3</v>
      </c>
      <c r="I2459" s="517">
        <v>1.5750004513964796E-2</v>
      </c>
      <c r="J2459" s="148">
        <v>1.8744674201400492E-3</v>
      </c>
      <c r="K2459" s="518">
        <v>1.3486310428272488E-4</v>
      </c>
      <c r="L2459" s="519">
        <v>1.4096101541222791E-4</v>
      </c>
    </row>
    <row r="2460" spans="1:12" ht="15.5" x14ac:dyDescent="0.35">
      <c r="A2460" s="143" t="s">
        <v>916</v>
      </c>
      <c r="B2460" s="229">
        <v>2018</v>
      </c>
      <c r="C2460" s="514" t="s">
        <v>3284</v>
      </c>
      <c r="D2460" s="515">
        <v>4.2451188261791888E-2</v>
      </c>
      <c r="E2460" s="516">
        <v>3.0489412501550628E-2</v>
      </c>
      <c r="F2460" s="145">
        <v>0.12681990797315373</v>
      </c>
      <c r="G2460" s="145">
        <v>1.6990662804160942E-3</v>
      </c>
      <c r="H2460" s="517">
        <v>2.0000005732018801E-3</v>
      </c>
      <c r="I2460" s="517">
        <v>1.5750004513964799E-2</v>
      </c>
      <c r="J2460" s="148">
        <v>1.8416962268311126E-3</v>
      </c>
      <c r="K2460" s="518">
        <v>1.2252686318075796E-4</v>
      </c>
      <c r="L2460" s="519">
        <v>1.2806698422888953E-4</v>
      </c>
    </row>
    <row r="2461" spans="1:12" ht="15.5" x14ac:dyDescent="0.35">
      <c r="A2461" s="143" t="s">
        <v>916</v>
      </c>
      <c r="B2461" s="229">
        <v>2019</v>
      </c>
      <c r="C2461" s="514" t="s">
        <v>3285</v>
      </c>
      <c r="D2461" s="515">
        <v>4.1199187369040595E-2</v>
      </c>
      <c r="E2461" s="516">
        <v>2.501616308860798E-2</v>
      </c>
      <c r="F2461" s="145">
        <v>0.10761206454525429</v>
      </c>
      <c r="G2461" s="145">
        <v>1.6733032666737635E-3</v>
      </c>
      <c r="H2461" s="517">
        <v>2.0000005732018745E-3</v>
      </c>
      <c r="I2461" s="517">
        <v>1.5750004513964796E-2</v>
      </c>
      <c r="J2461" s="148">
        <v>1.8146526493820478E-3</v>
      </c>
      <c r="K2461" s="518">
        <v>1.1094261818657823E-4</v>
      </c>
      <c r="L2461" s="519">
        <v>1.1595895108039867E-4</v>
      </c>
    </row>
    <row r="2462" spans="1:12" ht="15.5" x14ac:dyDescent="0.35">
      <c r="A2462" s="143" t="s">
        <v>916</v>
      </c>
      <c r="B2462" s="229">
        <v>2020</v>
      </c>
      <c r="C2462" s="514" t="s">
        <v>3286</v>
      </c>
      <c r="D2462" s="515">
        <v>3.993380241668866E-2</v>
      </c>
      <c r="E2462" s="516">
        <v>2.0938943359776314E-2</v>
      </c>
      <c r="F2462" s="145">
        <v>9.1806427687894807E-2</v>
      </c>
      <c r="G2462" s="145">
        <v>1.6318474566760005E-3</v>
      </c>
      <c r="H2462" s="517">
        <v>2.0000005732018797E-3</v>
      </c>
      <c r="I2462" s="517">
        <v>1.5750004513964799E-2</v>
      </c>
      <c r="J2462" s="148">
        <v>1.7701371388746862E-3</v>
      </c>
      <c r="K2462" s="518">
        <v>1.0211193980796237E-4</v>
      </c>
      <c r="L2462" s="519">
        <v>1.0672898861105634E-4</v>
      </c>
    </row>
    <row r="2463" spans="1:12" ht="15.5" x14ac:dyDescent="0.35">
      <c r="A2463" s="143" t="s">
        <v>916</v>
      </c>
      <c r="B2463" s="229">
        <v>2021</v>
      </c>
      <c r="C2463" s="514" t="s">
        <v>3287</v>
      </c>
      <c r="D2463" s="515">
        <v>3.8665242999333833E-2</v>
      </c>
      <c r="E2463" s="516">
        <v>1.7771608141924765E-2</v>
      </c>
      <c r="F2463" s="145">
        <v>7.8648197032593958E-2</v>
      </c>
      <c r="G2463" s="145">
        <v>1.5570826031500444E-3</v>
      </c>
      <c r="H2463" s="517">
        <v>2.0000005732018805E-3</v>
      </c>
      <c r="I2463" s="517">
        <v>1.5750004513964803E-2</v>
      </c>
      <c r="J2463" s="148">
        <v>1.6893264358754923E-3</v>
      </c>
      <c r="K2463" s="518">
        <v>9.2608901115196599E-5</v>
      </c>
      <c r="L2463" s="519">
        <v>9.6796264677713313E-5</v>
      </c>
    </row>
    <row r="2464" spans="1:12" ht="15.5" x14ac:dyDescent="0.35">
      <c r="A2464" s="143" t="s">
        <v>916</v>
      </c>
      <c r="B2464" s="229">
        <v>2022</v>
      </c>
      <c r="C2464" s="514" t="s">
        <v>3288</v>
      </c>
      <c r="D2464" s="515">
        <v>3.7421162762321263E-2</v>
      </c>
      <c r="E2464" s="516">
        <v>1.4816805249304489E-2</v>
      </c>
      <c r="F2464" s="145">
        <v>6.7362064881617278E-2</v>
      </c>
      <c r="G2464" s="145">
        <v>1.4808794554559601E-3</v>
      </c>
      <c r="H2464" s="517">
        <v>2.0000005732018805E-3</v>
      </c>
      <c r="I2464" s="517">
        <v>1.5750004513964803E-2</v>
      </c>
      <c r="J2464" s="148">
        <v>1.6069738429365969E-3</v>
      </c>
      <c r="K2464" s="518">
        <v>8.4098247534644143E-5</v>
      </c>
      <c r="L2464" s="519">
        <v>8.7900797107714316E-5</v>
      </c>
    </row>
    <row r="2465" spans="1:12" ht="15.5" x14ac:dyDescent="0.35">
      <c r="A2465" s="143" t="s">
        <v>916</v>
      </c>
      <c r="B2465" s="229">
        <v>2023</v>
      </c>
      <c r="C2465" s="514" t="s">
        <v>3289</v>
      </c>
      <c r="D2465" s="515">
        <v>3.6201215008850013E-2</v>
      </c>
      <c r="E2465" s="516">
        <v>1.2737147595506124E-2</v>
      </c>
      <c r="F2465" s="145">
        <v>5.841515724641879E-2</v>
      </c>
      <c r="G2465" s="145">
        <v>1.4118305947875972E-3</v>
      </c>
      <c r="H2465" s="517">
        <v>2.0000005732018745E-3</v>
      </c>
      <c r="I2465" s="517">
        <v>1.5750004513964799E-2</v>
      </c>
      <c r="J2465" s="148">
        <v>1.5322487110506807E-3</v>
      </c>
      <c r="K2465" s="518">
        <v>7.5890431165711756E-5</v>
      </c>
      <c r="L2465" s="519">
        <v>7.9321859704224444E-5</v>
      </c>
    </row>
    <row r="2466" spans="1:12" ht="15.5" x14ac:dyDescent="0.35">
      <c r="A2466" s="143" t="s">
        <v>916</v>
      </c>
      <c r="B2466" s="229">
        <v>2024</v>
      </c>
      <c r="C2466" s="514" t="s">
        <v>3290</v>
      </c>
      <c r="D2466" s="515">
        <v>3.5007871875340275E-2</v>
      </c>
      <c r="E2466" s="516">
        <v>1.10043467628796E-2</v>
      </c>
      <c r="F2466" s="145">
        <v>5.1051528668811165E-2</v>
      </c>
      <c r="G2466" s="145">
        <v>1.3494649327740239E-3</v>
      </c>
      <c r="H2466" s="517">
        <v>2.0000005732018727E-3</v>
      </c>
      <c r="I2466" s="517">
        <v>1.575000451396474E-2</v>
      </c>
      <c r="J2466" s="148">
        <v>1.4647685058652795E-3</v>
      </c>
      <c r="K2466" s="518">
        <v>6.8142850284893749E-5</v>
      </c>
      <c r="L2466" s="519">
        <v>7.1223967595356803E-5</v>
      </c>
    </row>
    <row r="2467" spans="1:12" ht="15.5" x14ac:dyDescent="0.35">
      <c r="A2467" s="143" t="s">
        <v>916</v>
      </c>
      <c r="B2467" s="229">
        <v>2025</v>
      </c>
      <c r="C2467" s="514" t="s">
        <v>3291</v>
      </c>
      <c r="D2467" s="515">
        <v>3.3841386823952435E-2</v>
      </c>
      <c r="E2467" s="516">
        <v>9.5791888444620409E-3</v>
      </c>
      <c r="F2467" s="145">
        <v>4.5095525861282786E-2</v>
      </c>
      <c r="G2467" s="145">
        <v>1.2952441957983041E-3</v>
      </c>
      <c r="H2467" s="517">
        <v>2.0000005732018797E-3</v>
      </c>
      <c r="I2467" s="517">
        <v>1.5750004513964792E-2</v>
      </c>
      <c r="J2467" s="148">
        <v>1.4060807232282957E-3</v>
      </c>
      <c r="K2467" s="518">
        <v>6.1697907160703966E-5</v>
      </c>
      <c r="L2467" s="519">
        <v>6.4487612742102819E-5</v>
      </c>
    </row>
    <row r="2468" spans="1:12" ht="15.5" x14ac:dyDescent="0.35">
      <c r="A2468" s="143" t="s">
        <v>916</v>
      </c>
      <c r="B2468" s="229">
        <v>2026</v>
      </c>
      <c r="C2468" s="514" t="s">
        <v>3292</v>
      </c>
      <c r="D2468" s="515">
        <v>3.2781208328607134E-2</v>
      </c>
      <c r="E2468" s="516">
        <v>8.4297693412337827E-3</v>
      </c>
      <c r="F2468" s="145">
        <v>4.0359315690535101E-2</v>
      </c>
      <c r="G2468" s="145">
        <v>1.23973948849344E-3</v>
      </c>
      <c r="H2468" s="517">
        <v>2.0000005732018792E-3</v>
      </c>
      <c r="I2468" s="517">
        <v>1.5750004513964799E-2</v>
      </c>
      <c r="J2468" s="148">
        <v>1.3459828720876505E-3</v>
      </c>
      <c r="K2468" s="518">
        <v>5.5376588965728225E-5</v>
      </c>
      <c r="L2468" s="519">
        <v>5.7880472588784317E-5</v>
      </c>
    </row>
    <row r="2469" spans="1:12" ht="15.5" x14ac:dyDescent="0.35">
      <c r="A2469" s="143" t="s">
        <v>916</v>
      </c>
      <c r="B2469" s="229">
        <v>2027</v>
      </c>
      <c r="C2469" s="514" t="s">
        <v>3293</v>
      </c>
      <c r="D2469" s="515">
        <v>3.1815502421461216E-2</v>
      </c>
      <c r="E2469" s="516">
        <v>7.4583818125351434E-3</v>
      </c>
      <c r="F2469" s="145">
        <v>3.642975025787757E-2</v>
      </c>
      <c r="G2469" s="145">
        <v>1.1742272000109914E-3</v>
      </c>
      <c r="H2469" s="517">
        <v>2.0000005732018732E-3</v>
      </c>
      <c r="I2469" s="517">
        <v>1.5750004513964792E-2</v>
      </c>
      <c r="J2469" s="148">
        <v>1.275063916623625E-3</v>
      </c>
      <c r="K2469" s="518">
        <v>4.7557962183463105E-5</v>
      </c>
      <c r="L2469" s="519">
        <v>4.9708322198067704E-5</v>
      </c>
    </row>
    <row r="2470" spans="1:12" ht="15.5" x14ac:dyDescent="0.35">
      <c r="A2470" s="143" t="s">
        <v>916</v>
      </c>
      <c r="B2470" s="229">
        <v>2028</v>
      </c>
      <c r="C2470" s="514" t="s">
        <v>3294</v>
      </c>
      <c r="D2470" s="515">
        <v>3.0949264390615877E-2</v>
      </c>
      <c r="E2470" s="516">
        <v>6.6552785238909286E-3</v>
      </c>
      <c r="F2470" s="145">
        <v>3.3235480445800561E-2</v>
      </c>
      <c r="G2470" s="145">
        <v>1.1032847558900755E-3</v>
      </c>
      <c r="H2470" s="517">
        <v>2.000000573201881E-3</v>
      </c>
      <c r="I2470" s="517">
        <v>1.5750004513964789E-2</v>
      </c>
      <c r="J2470" s="148">
        <v>1.1981610555265618E-3</v>
      </c>
      <c r="K2470" s="518">
        <v>4.1575291338366247E-5</v>
      </c>
      <c r="L2470" s="519">
        <v>4.3455141525064186E-5</v>
      </c>
    </row>
    <row r="2471" spans="1:12" ht="15.5" x14ac:dyDescent="0.35">
      <c r="A2471" s="143" t="s">
        <v>916</v>
      </c>
      <c r="B2471" s="229">
        <v>2029</v>
      </c>
      <c r="C2471" s="514" t="s">
        <v>3295</v>
      </c>
      <c r="D2471" s="515">
        <v>3.0174314523094242E-2</v>
      </c>
      <c r="E2471" s="516">
        <v>5.9637930026692834E-3</v>
      </c>
      <c r="F2471" s="145">
        <v>3.0569419203473565E-2</v>
      </c>
      <c r="G2471" s="145">
        <v>1.0346758175484218E-3</v>
      </c>
      <c r="H2471" s="517">
        <v>2.0000005732018801E-3</v>
      </c>
      <c r="I2471" s="517">
        <v>1.5750004513964778E-2</v>
      </c>
      <c r="J2471" s="148">
        <v>1.123736962749646E-3</v>
      </c>
      <c r="K2471" s="518">
        <v>3.6988046555094637E-5</v>
      </c>
      <c r="L2471" s="519">
        <v>3.8660481888290318E-5</v>
      </c>
    </row>
    <row r="2472" spans="1:12" ht="15.5" x14ac:dyDescent="0.35">
      <c r="A2472" s="143" t="s">
        <v>916</v>
      </c>
      <c r="B2472" s="229">
        <v>2030</v>
      </c>
      <c r="C2472" s="514" t="s">
        <v>3296</v>
      </c>
      <c r="D2472" s="515">
        <v>2.9484338732796319E-2</v>
      </c>
      <c r="E2472" s="516">
        <v>5.3861416793814475E-3</v>
      </c>
      <c r="F2472" s="145">
        <v>2.838987273903389E-2</v>
      </c>
      <c r="G2472" s="145">
        <v>9.6992897206998191E-4</v>
      </c>
      <c r="H2472" s="517">
        <v>2.0000005732018779E-3</v>
      </c>
      <c r="I2472" s="517">
        <v>1.5750004513964785E-2</v>
      </c>
      <c r="J2472" s="148">
        <v>1.0534746014443867E-3</v>
      </c>
      <c r="K2472" s="518">
        <v>3.331280836066595E-5</v>
      </c>
      <c r="L2472" s="519">
        <v>3.4819065731337507E-5</v>
      </c>
    </row>
    <row r="2473" spans="1:12" ht="15.5" x14ac:dyDescent="0.35">
      <c r="A2473" s="143" t="s">
        <v>916</v>
      </c>
      <c r="B2473" s="229">
        <v>2031</v>
      </c>
      <c r="C2473" s="514" t="s">
        <v>3297</v>
      </c>
      <c r="D2473" s="515">
        <v>2.8872553730044718E-2</v>
      </c>
      <c r="E2473" s="516">
        <v>4.8815395688874682E-3</v>
      </c>
      <c r="F2473" s="145">
        <v>2.6541063918955991E-2</v>
      </c>
      <c r="G2473" s="145">
        <v>9.095367366386617E-4</v>
      </c>
      <c r="H2473" s="517">
        <v>2.0000005732018805E-3</v>
      </c>
      <c r="I2473" s="517">
        <v>1.5750004513964799E-2</v>
      </c>
      <c r="J2473" s="148">
        <v>9.8790012862214928E-4</v>
      </c>
      <c r="K2473" s="518">
        <v>3.0773770542960545E-5</v>
      </c>
      <c r="L2473" s="519">
        <v>3.2165223890328905E-5</v>
      </c>
    </row>
    <row r="2474" spans="1:12" ht="15.5" x14ac:dyDescent="0.35">
      <c r="A2474" s="143" t="s">
        <v>916</v>
      </c>
      <c r="B2474" s="229">
        <v>2032</v>
      </c>
      <c r="C2474" s="514" t="s">
        <v>3298</v>
      </c>
      <c r="D2474" s="515">
        <v>2.833351372817686E-2</v>
      </c>
      <c r="E2474" s="516">
        <v>4.4484226679662228E-3</v>
      </c>
      <c r="F2474" s="145">
        <v>2.5033264755917564E-2</v>
      </c>
      <c r="G2474" s="145">
        <v>8.5328139233959517E-4</v>
      </c>
      <c r="H2474" s="517">
        <v>2.0000005732018801E-3</v>
      </c>
      <c r="I2474" s="517">
        <v>1.5750004513964778E-2</v>
      </c>
      <c r="J2474" s="148">
        <v>9.2681884827739596E-4</v>
      </c>
      <c r="K2474" s="518">
        <v>2.8377599639778003E-5</v>
      </c>
      <c r="L2474" s="519">
        <v>2.9660708771755324E-5</v>
      </c>
    </row>
    <row r="2475" spans="1:12" ht="15.5" x14ac:dyDescent="0.35">
      <c r="A2475" s="143" t="s">
        <v>916</v>
      </c>
      <c r="B2475" s="229">
        <v>2033</v>
      </c>
      <c r="C2475" s="514" t="s">
        <v>3299</v>
      </c>
      <c r="D2475" s="515">
        <v>2.7859763925419757E-2</v>
      </c>
      <c r="E2475" s="516">
        <v>4.0740281643400792E-3</v>
      </c>
      <c r="F2475" s="145">
        <v>2.3789876937661679E-2</v>
      </c>
      <c r="G2475" s="145">
        <v>8.0176098036805377E-4</v>
      </c>
      <c r="H2475" s="517">
        <v>2.0000005732018805E-3</v>
      </c>
      <c r="I2475" s="517">
        <v>1.5750004513964785E-2</v>
      </c>
      <c r="J2475" s="148">
        <v>8.7085979442826501E-4</v>
      </c>
      <c r="K2475" s="518">
        <v>2.6629074533133282E-5</v>
      </c>
      <c r="L2475" s="519">
        <v>2.7833123118753415E-5</v>
      </c>
    </row>
    <row r="2476" spans="1:12" ht="15.5" x14ac:dyDescent="0.35">
      <c r="A2476" s="143" t="s">
        <v>916</v>
      </c>
      <c r="B2476" s="229">
        <v>2034</v>
      </c>
      <c r="C2476" s="514" t="s">
        <v>3300</v>
      </c>
      <c r="D2476" s="515">
        <v>2.7445494846376157E-2</v>
      </c>
      <c r="E2476" s="516">
        <v>3.7390182981478035E-3</v>
      </c>
      <c r="F2476" s="145">
        <v>2.2727536531344444E-2</v>
      </c>
      <c r="G2476" s="145">
        <v>7.5426209821250216E-4</v>
      </c>
      <c r="H2476" s="517">
        <v>2.0000005732018801E-3</v>
      </c>
      <c r="I2476" s="517">
        <v>1.5750004513964799E-2</v>
      </c>
      <c r="J2476" s="148">
        <v>8.1926601112365443E-4</v>
      </c>
      <c r="K2476" s="518">
        <v>2.5081373545690523E-5</v>
      </c>
      <c r="L2476" s="519">
        <v>2.6215441960479863E-5</v>
      </c>
    </row>
    <row r="2477" spans="1:12" ht="15.5" x14ac:dyDescent="0.35">
      <c r="A2477" s="143" t="s">
        <v>916</v>
      </c>
      <c r="B2477" s="229">
        <v>2035</v>
      </c>
      <c r="C2477" s="514" t="s">
        <v>3301</v>
      </c>
      <c r="D2477" s="515">
        <v>2.7085948987810905E-2</v>
      </c>
      <c r="E2477" s="516">
        <v>3.4473594256801687E-3</v>
      </c>
      <c r="F2477" s="145">
        <v>2.1854667939728661E-2</v>
      </c>
      <c r="G2477" s="145">
        <v>7.1107177355989981E-4</v>
      </c>
      <c r="H2477" s="517">
        <v>2.0000005732018797E-3</v>
      </c>
      <c r="I2477" s="517">
        <v>1.5750004513964799E-2</v>
      </c>
      <c r="J2477" s="148">
        <v>7.7235213157945959E-4</v>
      </c>
      <c r="K2477" s="518">
        <v>2.3676340259232504E-5</v>
      </c>
      <c r="L2477" s="519">
        <v>2.474687930355109E-5</v>
      </c>
    </row>
    <row r="2478" spans="1:12" ht="15.5" x14ac:dyDescent="0.35">
      <c r="A2478" s="143" t="s">
        <v>916</v>
      </c>
      <c r="B2478" s="229">
        <v>2036</v>
      </c>
      <c r="C2478" s="514" t="s">
        <v>3302</v>
      </c>
      <c r="D2478" s="515">
        <v>2.6775708325163208E-2</v>
      </c>
      <c r="E2478" s="516">
        <v>3.2017582730978311E-3</v>
      </c>
      <c r="F2478" s="145">
        <v>2.1136031062798499E-2</v>
      </c>
      <c r="G2478" s="145">
        <v>6.7500947675380599E-4</v>
      </c>
      <c r="H2478" s="517">
        <v>2.0000005732018801E-3</v>
      </c>
      <c r="I2478" s="517">
        <v>1.5750004513964792E-2</v>
      </c>
      <c r="J2478" s="148">
        <v>7.3318111298877086E-4</v>
      </c>
      <c r="K2478" s="518">
        <v>2.2495956995042152E-5</v>
      </c>
      <c r="L2478" s="519">
        <v>2.3513124346027229E-5</v>
      </c>
    </row>
    <row r="2479" spans="1:12" ht="15.5" x14ac:dyDescent="0.35">
      <c r="A2479" s="143" t="s">
        <v>916</v>
      </c>
      <c r="B2479" s="229">
        <v>2037</v>
      </c>
      <c r="C2479" s="514" t="s">
        <v>3303</v>
      </c>
      <c r="D2479" s="515">
        <v>2.6510583617580626E-2</v>
      </c>
      <c r="E2479" s="516">
        <v>2.9825869390398586E-3</v>
      </c>
      <c r="F2479" s="145">
        <v>2.0537527633097685E-2</v>
      </c>
      <c r="G2479" s="145">
        <v>6.4130625678287785E-4</v>
      </c>
      <c r="H2479" s="517">
        <v>2.0000005732018784E-3</v>
      </c>
      <c r="I2479" s="517">
        <v>1.5750004513964785E-2</v>
      </c>
      <c r="J2479" s="148">
        <v>6.9657191708317513E-4</v>
      </c>
      <c r="K2479" s="518">
        <v>2.1407339043899225E-5</v>
      </c>
      <c r="L2479" s="519">
        <v>2.2375283921804221E-5</v>
      </c>
    </row>
    <row r="2480" spans="1:12" ht="15.5" x14ac:dyDescent="0.35">
      <c r="A2480" s="143" t="s">
        <v>916</v>
      </c>
      <c r="B2480" s="229">
        <v>2038</v>
      </c>
      <c r="C2480" s="514" t="s">
        <v>3304</v>
      </c>
      <c r="D2480" s="515">
        <v>2.6285700049802102E-2</v>
      </c>
      <c r="E2480" s="516">
        <v>2.7896318595317243E-3</v>
      </c>
      <c r="F2480" s="145">
        <v>2.0019937069790585E-2</v>
      </c>
      <c r="G2480" s="145">
        <v>6.1169154845922469E-4</v>
      </c>
      <c r="H2480" s="517">
        <v>2.0000005732018788E-3</v>
      </c>
      <c r="I2480" s="517">
        <v>1.5750004513964785E-2</v>
      </c>
      <c r="J2480" s="148">
        <v>6.643994857211446E-4</v>
      </c>
      <c r="K2480" s="518">
        <v>2.0551517654920912E-5</v>
      </c>
      <c r="L2480" s="519">
        <v>2.1480766087267504E-5</v>
      </c>
    </row>
    <row r="2481" spans="1:12" ht="15.5" x14ac:dyDescent="0.35">
      <c r="A2481" s="143" t="s">
        <v>916</v>
      </c>
      <c r="B2481" s="229">
        <v>2039</v>
      </c>
      <c r="C2481" s="514" t="s">
        <v>3305</v>
      </c>
      <c r="D2481" s="515">
        <v>2.6095239070258923E-2</v>
      </c>
      <c r="E2481" s="516">
        <v>2.608876575056969E-3</v>
      </c>
      <c r="F2481" s="145">
        <v>1.9534949704330219E-2</v>
      </c>
      <c r="G2481" s="145">
        <v>5.856567821520643E-4</v>
      </c>
      <c r="H2481" s="517">
        <v>2.0000005732018779E-3</v>
      </c>
      <c r="I2481" s="517">
        <v>1.5750004513964778E-2</v>
      </c>
      <c r="J2481" s="148">
        <v>6.3611453909650758E-4</v>
      </c>
      <c r="K2481" s="518">
        <v>1.9837967559984437E-5</v>
      </c>
      <c r="L2481" s="519">
        <v>2.0734952423369679E-5</v>
      </c>
    </row>
    <row r="2482" spans="1:12" ht="15.5" x14ac:dyDescent="0.35">
      <c r="A2482" s="143" t="s">
        <v>916</v>
      </c>
      <c r="B2482" s="229">
        <v>2040</v>
      </c>
      <c r="C2482" s="514" t="s">
        <v>3306</v>
      </c>
      <c r="D2482" s="515">
        <v>2.5935652619957533E-2</v>
      </c>
      <c r="E2482" s="516">
        <v>2.4552342891019457E-3</v>
      </c>
      <c r="F2482" s="145">
        <v>1.9152558956322722E-2</v>
      </c>
      <c r="G2482" s="145">
        <v>5.632012179318356E-4</v>
      </c>
      <c r="H2482" s="517">
        <v>2.0000005732018792E-3</v>
      </c>
      <c r="I2482" s="517">
        <v>1.5750004513964799E-2</v>
      </c>
      <c r="J2482" s="148">
        <v>6.1171796390174825E-4</v>
      </c>
      <c r="K2482" s="518">
        <v>1.9226773565681887E-5</v>
      </c>
      <c r="L2482" s="519">
        <v>2.0096122948777914E-5</v>
      </c>
    </row>
    <row r="2483" spans="1:12" ht="15.5" x14ac:dyDescent="0.35">
      <c r="A2483" s="143" t="s">
        <v>916</v>
      </c>
      <c r="B2483" s="229">
        <v>2041</v>
      </c>
      <c r="C2483" s="514" t="s">
        <v>3307</v>
      </c>
      <c r="D2483" s="515">
        <v>2.5804135049277262E-2</v>
      </c>
      <c r="E2483" s="516">
        <v>2.3367631030864673E-3</v>
      </c>
      <c r="F2483" s="145">
        <v>1.8854900615524098E-2</v>
      </c>
      <c r="G2483" s="145">
        <v>5.4523455478969489E-4</v>
      </c>
      <c r="H2483" s="517">
        <v>2.0000005732018784E-3</v>
      </c>
      <c r="I2483" s="517">
        <v>1.5750004513964782E-2</v>
      </c>
      <c r="J2483" s="148">
        <v>5.9219897910615482E-4</v>
      </c>
      <c r="K2483" s="518">
        <v>1.8721751193884812E-5</v>
      </c>
      <c r="L2483" s="519">
        <v>1.9568265706331774E-5</v>
      </c>
    </row>
    <row r="2484" spans="1:12" ht="15.5" x14ac:dyDescent="0.35">
      <c r="A2484" s="143" t="s">
        <v>916</v>
      </c>
      <c r="B2484" s="229">
        <v>2042</v>
      </c>
      <c r="C2484" s="514" t="s">
        <v>3308</v>
      </c>
      <c r="D2484" s="515">
        <v>2.5693509394846853E-2</v>
      </c>
      <c r="E2484" s="516">
        <v>2.2362749110076841E-3</v>
      </c>
      <c r="F2484" s="145">
        <v>1.858590323069725E-2</v>
      </c>
      <c r="G2484" s="145">
        <v>5.3003071004572514E-4</v>
      </c>
      <c r="H2484" s="517">
        <v>2.0000005732018788E-3</v>
      </c>
      <c r="I2484" s="517">
        <v>1.5750004513964782E-2</v>
      </c>
      <c r="J2484" s="148">
        <v>5.7568074238954021E-4</v>
      </c>
      <c r="K2484" s="518">
        <v>1.8312751143481884E-5</v>
      </c>
      <c r="L2484" s="519">
        <v>1.9140772488560471E-5</v>
      </c>
    </row>
    <row r="2485" spans="1:12" ht="15.5" x14ac:dyDescent="0.35">
      <c r="A2485" s="143" t="s">
        <v>916</v>
      </c>
      <c r="B2485" s="229">
        <v>2043</v>
      </c>
      <c r="C2485" s="514" t="s">
        <v>3309</v>
      </c>
      <c r="D2485" s="515">
        <v>2.5602660728977732E-2</v>
      </c>
      <c r="E2485" s="516">
        <v>2.1603920778355788E-3</v>
      </c>
      <c r="F2485" s="145">
        <v>1.8387800065942539E-2</v>
      </c>
      <c r="G2485" s="145">
        <v>5.1732145837612303E-4</v>
      </c>
      <c r="H2485" s="517">
        <v>2.0000005732018801E-3</v>
      </c>
      <c r="I2485" s="517">
        <v>1.5750004513964803E-2</v>
      </c>
      <c r="J2485" s="148">
        <v>5.6187195719384104E-4</v>
      </c>
      <c r="K2485" s="518">
        <v>1.798979234273859E-5</v>
      </c>
      <c r="L2485" s="519">
        <v>1.8803210923956008E-5</v>
      </c>
    </row>
    <row r="2486" spans="1:12" ht="15.5" x14ac:dyDescent="0.35">
      <c r="A2486" s="143" t="s">
        <v>916</v>
      </c>
      <c r="B2486" s="229">
        <v>2044</v>
      </c>
      <c r="C2486" s="514" t="s">
        <v>3310</v>
      </c>
      <c r="D2486" s="515">
        <v>2.5527404007943951E-2</v>
      </c>
      <c r="E2486" s="516">
        <v>2.1024971409908358E-3</v>
      </c>
      <c r="F2486" s="145">
        <v>1.8226826179865329E-2</v>
      </c>
      <c r="G2486" s="145">
        <v>5.0672094816554868E-4</v>
      </c>
      <c r="H2486" s="517">
        <v>2.0000005732018801E-3</v>
      </c>
      <c r="I2486" s="517">
        <v>1.5750004513964796E-2</v>
      </c>
      <c r="J2486" s="148">
        <v>5.5035382793229548E-4</v>
      </c>
      <c r="K2486" s="518">
        <v>1.7732739412254859E-5</v>
      </c>
      <c r="L2486" s="519">
        <v>1.8534535200611279E-5</v>
      </c>
    </row>
    <row r="2487" spans="1:12" ht="15.5" x14ac:dyDescent="0.35">
      <c r="A2487" s="143" t="s">
        <v>916</v>
      </c>
      <c r="B2487" s="229">
        <v>2045</v>
      </c>
      <c r="C2487" s="514" t="s">
        <v>3311</v>
      </c>
      <c r="D2487" s="515">
        <v>2.5463487319464736E-2</v>
      </c>
      <c r="E2487" s="516">
        <v>2.0625258915504207E-3</v>
      </c>
      <c r="F2487" s="145">
        <v>1.8119626352312589E-2</v>
      </c>
      <c r="G2487" s="145">
        <v>4.9794586036706672E-4</v>
      </c>
      <c r="H2487" s="517">
        <v>2.0000005732018797E-3</v>
      </c>
      <c r="I2487" s="517">
        <v>1.5750004513964796E-2</v>
      </c>
      <c r="J2487" s="148">
        <v>5.4081849650286062E-4</v>
      </c>
      <c r="K2487" s="518">
        <v>1.7535050585907307E-5</v>
      </c>
      <c r="L2487" s="519">
        <v>1.8327907762767477E-5</v>
      </c>
    </row>
    <row r="2488" spans="1:12" ht="15.5" x14ac:dyDescent="0.35">
      <c r="A2488" s="143" t="s">
        <v>916</v>
      </c>
      <c r="B2488" s="229">
        <v>2046</v>
      </c>
      <c r="C2488" s="514" t="s">
        <v>3312</v>
      </c>
      <c r="D2488" s="515">
        <v>2.5410321059451162E-2</v>
      </c>
      <c r="E2488" s="516">
        <v>2.0281272097700262E-3</v>
      </c>
      <c r="F2488" s="145">
        <v>1.8030754783788881E-2</v>
      </c>
      <c r="G2488" s="145">
        <v>4.907461999815384E-4</v>
      </c>
      <c r="H2488" s="517">
        <v>2.0000005732018779E-3</v>
      </c>
      <c r="I2488" s="517">
        <v>1.5750004513964775E-2</v>
      </c>
      <c r="J2488" s="148">
        <v>5.3299495749665918E-4</v>
      </c>
      <c r="K2488" s="518">
        <v>1.7375794931489777E-5</v>
      </c>
      <c r="L2488" s="519">
        <v>1.8161451274343677E-5</v>
      </c>
    </row>
    <row r="2489" spans="1:12" ht="15.5" x14ac:dyDescent="0.35">
      <c r="A2489" s="143" t="s">
        <v>916</v>
      </c>
      <c r="B2489" s="229">
        <v>2047</v>
      </c>
      <c r="C2489" s="514" t="s">
        <v>3313</v>
      </c>
      <c r="D2489" s="515">
        <v>2.5366249994508042E-2</v>
      </c>
      <c r="E2489" s="516">
        <v>1.9977868716085237E-3</v>
      </c>
      <c r="F2489" s="145">
        <v>1.7946747823519606E-2</v>
      </c>
      <c r="G2489" s="145">
        <v>4.8488037167019764E-4</v>
      </c>
      <c r="H2489" s="517">
        <v>2.0000005732018797E-3</v>
      </c>
      <c r="I2489" s="517">
        <v>1.5750004513964792E-2</v>
      </c>
      <c r="J2489" s="148">
        <v>5.2662082679833628E-4</v>
      </c>
      <c r="K2489" s="518">
        <v>1.7246173559220375E-5</v>
      </c>
      <c r="L2489" s="519">
        <v>1.8025968998806563E-5</v>
      </c>
    </row>
    <row r="2490" spans="1:12" ht="15.5" x14ac:dyDescent="0.35">
      <c r="A2490" s="143" t="s">
        <v>916</v>
      </c>
      <c r="B2490" s="229">
        <v>2048</v>
      </c>
      <c r="C2490" s="514" t="s">
        <v>3314</v>
      </c>
      <c r="D2490" s="515">
        <v>2.5329537603543634E-2</v>
      </c>
      <c r="E2490" s="516">
        <v>1.9738529872660089E-3</v>
      </c>
      <c r="F2490" s="145">
        <v>1.7880145175805769E-2</v>
      </c>
      <c r="G2490" s="145">
        <v>4.8013672882516725E-4</v>
      </c>
      <c r="H2490" s="517">
        <v>2.0000005732018801E-3</v>
      </c>
      <c r="I2490" s="517">
        <v>1.5750004513964782E-2</v>
      </c>
      <c r="J2490" s="148">
        <v>5.2146633406486881E-4</v>
      </c>
      <c r="K2490" s="518">
        <v>1.7136401283793365E-5</v>
      </c>
      <c r="L2490" s="519">
        <v>1.7911233308192009E-5</v>
      </c>
    </row>
    <row r="2491" spans="1:12" ht="15.5" x14ac:dyDescent="0.35">
      <c r="A2491" s="143" t="s">
        <v>916</v>
      </c>
      <c r="B2491" s="229">
        <v>2049</v>
      </c>
      <c r="C2491" s="514" t="s">
        <v>3315</v>
      </c>
      <c r="D2491" s="515">
        <v>2.5298769675486353E-2</v>
      </c>
      <c r="E2491" s="516">
        <v>1.9641021587401253E-3</v>
      </c>
      <c r="F2491" s="145">
        <v>1.7887364223104777E-2</v>
      </c>
      <c r="G2491" s="145">
        <v>4.7697648469342889E-4</v>
      </c>
      <c r="H2491" s="517">
        <v>2.0000005732018801E-3</v>
      </c>
      <c r="I2491" s="517">
        <v>1.5750004513964799E-2</v>
      </c>
      <c r="J2491" s="148">
        <v>5.1803262966142378E-4</v>
      </c>
      <c r="K2491" s="518">
        <v>1.7057359876140582E-5</v>
      </c>
      <c r="L2491" s="519">
        <v>1.7828617998826239E-5</v>
      </c>
    </row>
    <row r="2492" spans="1:12" ht="15.5" x14ac:dyDescent="0.35">
      <c r="A2492" s="143" t="s">
        <v>916</v>
      </c>
      <c r="B2492" s="229">
        <v>2050</v>
      </c>
      <c r="C2492" s="514" t="s">
        <v>3316</v>
      </c>
      <c r="D2492" s="515">
        <v>2.5273805055644666E-2</v>
      </c>
      <c r="E2492" s="516">
        <v>1.9563548428761482E-3</v>
      </c>
      <c r="F2492" s="145">
        <v>1.7894938794289522E-2</v>
      </c>
      <c r="G2492" s="145">
        <v>4.7447258625178175E-4</v>
      </c>
      <c r="H2492" s="517">
        <v>2.0000005732018801E-3</v>
      </c>
      <c r="I2492" s="517">
        <v>1.5750004513964772E-2</v>
      </c>
      <c r="J2492" s="148">
        <v>5.1531251439749593E-4</v>
      </c>
      <c r="K2492" s="518">
        <v>1.6984139826964472E-5</v>
      </c>
      <c r="L2492" s="519">
        <v>1.7752087263935534E-5</v>
      </c>
    </row>
    <row r="2493" spans="1:12" ht="15.5" x14ac:dyDescent="0.35">
      <c r="A2493" s="143" t="s">
        <v>920</v>
      </c>
      <c r="B2493" s="229">
        <v>2015</v>
      </c>
      <c r="C2493" s="514" t="s">
        <v>3317</v>
      </c>
      <c r="D2493" s="515">
        <v>5.1248472584898064E-2</v>
      </c>
      <c r="E2493" s="516">
        <v>5.3881313933917187E-2</v>
      </c>
      <c r="F2493" s="145">
        <v>0.20678150476419827</v>
      </c>
      <c r="G2493" s="145">
        <v>1.7675802786875645E-3</v>
      </c>
      <c r="H2493" s="517">
        <v>2.0000005732018801E-3</v>
      </c>
      <c r="I2493" s="517">
        <v>1.5750004513964799E-2</v>
      </c>
      <c r="J2493" s="148">
        <v>1.9118842484141059E-3</v>
      </c>
      <c r="K2493" s="518">
        <v>1.3783139045640827E-4</v>
      </c>
      <c r="L2493" s="519">
        <v>1.4406351431511035E-4</v>
      </c>
    </row>
    <row r="2494" spans="1:12" ht="15.5" x14ac:dyDescent="0.35">
      <c r="A2494" s="143" t="s">
        <v>920</v>
      </c>
      <c r="B2494" s="229">
        <v>2016</v>
      </c>
      <c r="C2494" s="514" t="s">
        <v>3318</v>
      </c>
      <c r="D2494" s="515">
        <v>5.0297713917305732E-2</v>
      </c>
      <c r="E2494" s="516">
        <v>4.5490197021388352E-2</v>
      </c>
      <c r="F2494" s="145">
        <v>0.17972734641232777</v>
      </c>
      <c r="G2494" s="145">
        <v>1.6821251664541582E-3</v>
      </c>
      <c r="H2494" s="517">
        <v>2.0000005732018797E-3</v>
      </c>
      <c r="I2494" s="517">
        <v>1.5750004513964796E-2</v>
      </c>
      <c r="J2494" s="148">
        <v>1.8210924252984268E-3</v>
      </c>
      <c r="K2494" s="518">
        <v>1.1777397726148498E-4</v>
      </c>
      <c r="L2494" s="519">
        <v>1.2309919389896508E-4</v>
      </c>
    </row>
    <row r="2495" spans="1:12" ht="15.5" x14ac:dyDescent="0.35">
      <c r="A2495" s="143" t="s">
        <v>920</v>
      </c>
      <c r="B2495" s="229">
        <v>2017</v>
      </c>
      <c r="C2495" s="514" t="s">
        <v>3319</v>
      </c>
      <c r="D2495" s="515">
        <v>4.9058318607155926E-2</v>
      </c>
      <c r="E2495" s="516">
        <v>3.7990884970787675E-2</v>
      </c>
      <c r="F2495" s="145">
        <v>0.15442711804064349</v>
      </c>
      <c r="G2495" s="145">
        <v>1.630052189932663E-3</v>
      </c>
      <c r="H2495" s="517">
        <v>2.0000005732018797E-3</v>
      </c>
      <c r="I2495" s="517">
        <v>1.5750004513964796E-2</v>
      </c>
      <c r="J2495" s="148">
        <v>1.7659590006924306E-3</v>
      </c>
      <c r="K2495" s="518">
        <v>1.0739860837720837E-4</v>
      </c>
      <c r="L2495" s="519">
        <v>1.1225469687375923E-4</v>
      </c>
    </row>
    <row r="2496" spans="1:12" ht="15.5" x14ac:dyDescent="0.35">
      <c r="A2496" s="143" t="s">
        <v>920</v>
      </c>
      <c r="B2496" s="229">
        <v>2018</v>
      </c>
      <c r="C2496" s="514" t="s">
        <v>3320</v>
      </c>
      <c r="D2496" s="515">
        <v>4.7796891762634304E-2</v>
      </c>
      <c r="E2496" s="516">
        <v>3.1347268978795167E-2</v>
      </c>
      <c r="F2496" s="145">
        <v>0.13219438959484445</v>
      </c>
      <c r="G2496" s="145">
        <v>1.6011135953705221E-3</v>
      </c>
      <c r="H2496" s="517">
        <v>2.0000005732018797E-3</v>
      </c>
      <c r="I2496" s="517">
        <v>1.5750004513964799E-2</v>
      </c>
      <c r="J2496" s="148">
        <v>1.7357733625680014E-3</v>
      </c>
      <c r="K2496" s="518">
        <v>9.910166221776516E-5</v>
      </c>
      <c r="L2496" s="519">
        <v>1.0358259962613923E-4</v>
      </c>
    </row>
    <row r="2497" spans="1:12" ht="15.5" x14ac:dyDescent="0.35">
      <c r="A2497" s="143" t="s">
        <v>920</v>
      </c>
      <c r="B2497" s="229">
        <v>2019</v>
      </c>
      <c r="C2497" s="514" t="s">
        <v>3321</v>
      </c>
      <c r="D2497" s="515">
        <v>4.6487678822210457E-2</v>
      </c>
      <c r="E2497" s="516">
        <v>2.6219896323458645E-2</v>
      </c>
      <c r="F2497" s="145">
        <v>0.11361159073812943</v>
      </c>
      <c r="G2497" s="145">
        <v>1.5876769256859878E-3</v>
      </c>
      <c r="H2497" s="517">
        <v>2.0000005732018805E-3</v>
      </c>
      <c r="I2497" s="517">
        <v>1.5750004513964796E-2</v>
      </c>
      <c r="J2497" s="148">
        <v>1.7221464975676495E-3</v>
      </c>
      <c r="K2497" s="518">
        <v>9.0279074682509791E-5</v>
      </c>
      <c r="L2497" s="519">
        <v>9.4361093832192518E-5</v>
      </c>
    </row>
    <row r="2498" spans="1:12" ht="15.5" x14ac:dyDescent="0.35">
      <c r="A2498" s="143" t="s">
        <v>920</v>
      </c>
      <c r="B2498" s="229">
        <v>2020</v>
      </c>
      <c r="C2498" s="514" t="s">
        <v>3322</v>
      </c>
      <c r="D2498" s="515">
        <v>4.5157964147550009E-2</v>
      </c>
      <c r="E2498" s="516">
        <v>2.2315211686299893E-2</v>
      </c>
      <c r="F2498" s="145">
        <v>9.8320241568117889E-2</v>
      </c>
      <c r="G2498" s="145">
        <v>1.5378288957885672E-3</v>
      </c>
      <c r="H2498" s="517">
        <v>2.0000005732018801E-3</v>
      </c>
      <c r="I2498" s="517">
        <v>1.5750004513964799E-2</v>
      </c>
      <c r="J2498" s="148">
        <v>1.6683975496389503E-3</v>
      </c>
      <c r="K2498" s="518">
        <v>8.4469359841652088E-5</v>
      </c>
      <c r="L2498" s="519">
        <v>8.8288689466458825E-5</v>
      </c>
    </row>
    <row r="2499" spans="1:12" ht="15.5" x14ac:dyDescent="0.35">
      <c r="A2499" s="143" t="s">
        <v>920</v>
      </c>
      <c r="B2499" s="229">
        <v>2021</v>
      </c>
      <c r="C2499" s="514" t="s">
        <v>3323</v>
      </c>
      <c r="D2499" s="515">
        <v>4.3806243054121403E-2</v>
      </c>
      <c r="E2499" s="516">
        <v>1.9175471821291534E-2</v>
      </c>
      <c r="F2499" s="145">
        <v>8.4926725418249555E-2</v>
      </c>
      <c r="G2499" s="145">
        <v>1.4602056106366493E-3</v>
      </c>
      <c r="H2499" s="517">
        <v>2.0000005732018801E-3</v>
      </c>
      <c r="I2499" s="517">
        <v>1.5750004513964799E-2</v>
      </c>
      <c r="J2499" s="148">
        <v>1.5844142055863744E-3</v>
      </c>
      <c r="K2499" s="518">
        <v>7.8391640959714763E-5</v>
      </c>
      <c r="L2499" s="519">
        <v>8.1936163106158228E-5</v>
      </c>
    </row>
    <row r="2500" spans="1:12" ht="15.5" x14ac:dyDescent="0.35">
      <c r="A2500" s="143" t="s">
        <v>920</v>
      </c>
      <c r="B2500" s="229">
        <v>2022</v>
      </c>
      <c r="C2500" s="514" t="s">
        <v>3324</v>
      </c>
      <c r="D2500" s="515">
        <v>4.247738602025581E-2</v>
      </c>
      <c r="E2500" s="516">
        <v>1.599478280734189E-2</v>
      </c>
      <c r="F2500" s="145">
        <v>7.3166658717574301E-2</v>
      </c>
      <c r="G2500" s="145">
        <v>1.372405423629303E-3</v>
      </c>
      <c r="H2500" s="517">
        <v>2.0000005732018801E-3</v>
      </c>
      <c r="I2500" s="517">
        <v>1.5750004513964796E-2</v>
      </c>
      <c r="J2500" s="148">
        <v>1.4894418582438657E-3</v>
      </c>
      <c r="K2500" s="518">
        <v>7.2326878355137483E-5</v>
      </c>
      <c r="L2500" s="519">
        <v>7.559717884858739E-5</v>
      </c>
    </row>
    <row r="2501" spans="1:12" ht="15.5" x14ac:dyDescent="0.35">
      <c r="A2501" s="143" t="s">
        <v>920</v>
      </c>
      <c r="B2501" s="229">
        <v>2023</v>
      </c>
      <c r="C2501" s="514" t="s">
        <v>3325</v>
      </c>
      <c r="D2501" s="515">
        <v>4.1156403116239984E-2</v>
      </c>
      <c r="E2501" s="516">
        <v>1.3827596179868673E-2</v>
      </c>
      <c r="F2501" s="145">
        <v>6.3904152361555985E-2</v>
      </c>
      <c r="G2501" s="145">
        <v>1.2955995646986324E-3</v>
      </c>
      <c r="H2501" s="517">
        <v>2.0000005732018801E-3</v>
      </c>
      <c r="I2501" s="517">
        <v>1.5750004513964796E-2</v>
      </c>
      <c r="J2501" s="148">
        <v>1.4062385616013791E-3</v>
      </c>
      <c r="K2501" s="518">
        <v>6.5687185287928145E-5</v>
      </c>
      <c r="L2501" s="519">
        <v>6.8657268324080555E-5</v>
      </c>
    </row>
    <row r="2502" spans="1:12" ht="15.5" x14ac:dyDescent="0.35">
      <c r="A2502" s="143" t="s">
        <v>920</v>
      </c>
      <c r="B2502" s="229">
        <v>2024</v>
      </c>
      <c r="C2502" s="514" t="s">
        <v>3326</v>
      </c>
      <c r="D2502" s="515">
        <v>3.9854206109366401E-2</v>
      </c>
      <c r="E2502" s="516">
        <v>1.2311243836032923E-2</v>
      </c>
      <c r="F2502" s="145">
        <v>5.6432353761164157E-2</v>
      </c>
      <c r="G2502" s="145">
        <v>1.2615854658704067E-3</v>
      </c>
      <c r="H2502" s="517">
        <v>2.0000005732018801E-3</v>
      </c>
      <c r="I2502" s="517">
        <v>1.5750004513964796E-2</v>
      </c>
      <c r="J2502" s="148">
        <v>1.3695886369549074E-3</v>
      </c>
      <c r="K2502" s="518">
        <v>5.8593194839978047E-5</v>
      </c>
      <c r="L2502" s="519">
        <v>6.1242519107190604E-5</v>
      </c>
    </row>
    <row r="2503" spans="1:12" ht="15.5" x14ac:dyDescent="0.35">
      <c r="A2503" s="143" t="s">
        <v>920</v>
      </c>
      <c r="B2503" s="229">
        <v>2025</v>
      </c>
      <c r="C2503" s="514" t="s">
        <v>3327</v>
      </c>
      <c r="D2503" s="515">
        <v>3.8571332154307816E-2</v>
      </c>
      <c r="E2503" s="516">
        <v>1.0795530254143728E-2</v>
      </c>
      <c r="F2503" s="145">
        <v>5.0201712768916572E-2</v>
      </c>
      <c r="G2503" s="145">
        <v>1.2063200115821147E-3</v>
      </c>
      <c r="H2503" s="517">
        <v>2.0000005732018801E-3</v>
      </c>
      <c r="I2503" s="517">
        <v>1.5750004513964796E-2</v>
      </c>
      <c r="J2503" s="148">
        <v>1.3097250807092753E-3</v>
      </c>
      <c r="K2503" s="518">
        <v>5.3255122917477762E-5</v>
      </c>
      <c r="L2503" s="519">
        <v>5.5663083259698119E-5</v>
      </c>
    </row>
    <row r="2504" spans="1:12" ht="15.5" x14ac:dyDescent="0.35">
      <c r="A2504" s="143" t="s">
        <v>920</v>
      </c>
      <c r="B2504" s="229">
        <v>2026</v>
      </c>
      <c r="C2504" s="514" t="s">
        <v>3328</v>
      </c>
      <c r="D2504" s="515">
        <v>3.7406454383479101E-2</v>
      </c>
      <c r="E2504" s="516">
        <v>9.5569985643415341E-3</v>
      </c>
      <c r="F2504" s="145">
        <v>4.5179956875145227E-2</v>
      </c>
      <c r="G2504" s="145">
        <v>1.1505476916534683E-3</v>
      </c>
      <c r="H2504" s="517">
        <v>2.0000005732018801E-3</v>
      </c>
      <c r="I2504" s="517">
        <v>1.5750004513964799E-2</v>
      </c>
      <c r="J2504" s="148">
        <v>1.2493042566984526E-3</v>
      </c>
      <c r="K2504" s="518">
        <v>4.7689555407065795E-5</v>
      </c>
      <c r="L2504" s="519">
        <v>4.9845865483305366E-5</v>
      </c>
    </row>
    <row r="2505" spans="1:12" ht="15.5" x14ac:dyDescent="0.35">
      <c r="A2505" s="143" t="s">
        <v>920</v>
      </c>
      <c r="B2505" s="229">
        <v>2027</v>
      </c>
      <c r="C2505" s="514" t="s">
        <v>3329</v>
      </c>
      <c r="D2505" s="515">
        <v>3.6342696731751126E-2</v>
      </c>
      <c r="E2505" s="516">
        <v>8.505728510473206E-3</v>
      </c>
      <c r="F2505" s="145">
        <v>4.0943643429477296E-2</v>
      </c>
      <c r="G2505" s="145">
        <v>1.0859678837167683E-3</v>
      </c>
      <c r="H2505" s="517">
        <v>2.0000005732018801E-3</v>
      </c>
      <c r="I2505" s="517">
        <v>1.5750004513964803E-2</v>
      </c>
      <c r="J2505" s="148">
        <v>1.1793557961943754E-3</v>
      </c>
      <c r="K2505" s="518">
        <v>4.0904643362700761E-5</v>
      </c>
      <c r="L2505" s="519">
        <v>4.2754169823895416E-5</v>
      </c>
    </row>
    <row r="2506" spans="1:12" ht="15.5" x14ac:dyDescent="0.35">
      <c r="A2506" s="143" t="s">
        <v>920</v>
      </c>
      <c r="B2506" s="229">
        <v>2028</v>
      </c>
      <c r="C2506" s="514" t="s">
        <v>3330</v>
      </c>
      <c r="D2506" s="515">
        <v>3.5379279280810264E-2</v>
      </c>
      <c r="E2506" s="516">
        <v>7.6285905383304195E-3</v>
      </c>
      <c r="F2506" s="145">
        <v>3.7410480040545584E-2</v>
      </c>
      <c r="G2506" s="145">
        <v>1.0159540780791257E-3</v>
      </c>
      <c r="H2506" s="517">
        <v>2.0000005732018797E-3</v>
      </c>
      <c r="I2506" s="517">
        <v>1.5750004513964796E-2</v>
      </c>
      <c r="J2506" s="148">
        <v>1.1034542083562973E-3</v>
      </c>
      <c r="K2506" s="518">
        <v>3.5127416340604446E-5</v>
      </c>
      <c r="L2506" s="519">
        <v>3.6715722231925148E-5</v>
      </c>
    </row>
    <row r="2507" spans="1:12" ht="15.5" x14ac:dyDescent="0.35">
      <c r="A2507" s="143" t="s">
        <v>920</v>
      </c>
      <c r="B2507" s="229">
        <v>2029</v>
      </c>
      <c r="C2507" s="514" t="s">
        <v>3331</v>
      </c>
      <c r="D2507" s="515">
        <v>3.4511839122368458E-2</v>
      </c>
      <c r="E2507" s="516">
        <v>6.835879513140403E-3</v>
      </c>
      <c r="F2507" s="145">
        <v>3.4281060329612659E-2</v>
      </c>
      <c r="G2507" s="145">
        <v>9.5026379735797871E-4</v>
      </c>
      <c r="H2507" s="517">
        <v>2.0000005732018801E-3</v>
      </c>
      <c r="I2507" s="517">
        <v>1.5750004513964799E-2</v>
      </c>
      <c r="J2507" s="148">
        <v>1.0321707786795844E-3</v>
      </c>
      <c r="K2507" s="518">
        <v>3.1334102517831147E-5</v>
      </c>
      <c r="L2507" s="519">
        <v>3.2750891590666846E-5</v>
      </c>
    </row>
    <row r="2508" spans="1:12" ht="15.5" x14ac:dyDescent="0.35">
      <c r="A2508" s="143" t="s">
        <v>920</v>
      </c>
      <c r="B2508" s="229">
        <v>2030</v>
      </c>
      <c r="C2508" s="514" t="s">
        <v>3332</v>
      </c>
      <c r="D2508" s="515">
        <v>3.3732814580006813E-2</v>
      </c>
      <c r="E2508" s="516">
        <v>6.182977083693599E-3</v>
      </c>
      <c r="F2508" s="145">
        <v>3.1695590920739584E-2</v>
      </c>
      <c r="G2508" s="145">
        <v>8.901573457440002E-4</v>
      </c>
      <c r="H2508" s="517">
        <v>2.0000005732018805E-3</v>
      </c>
      <c r="I2508" s="517">
        <v>1.5750004513964799E-2</v>
      </c>
      <c r="J2508" s="148">
        <v>9.6692696341641588E-4</v>
      </c>
      <c r="K2508" s="518">
        <v>2.8326834259100695E-5</v>
      </c>
      <c r="L2508" s="519">
        <v>2.9607648005831844E-5</v>
      </c>
    </row>
    <row r="2509" spans="1:12" ht="15.5" x14ac:dyDescent="0.35">
      <c r="A2509" s="143" t="s">
        <v>920</v>
      </c>
      <c r="B2509" s="229">
        <v>2031</v>
      </c>
      <c r="C2509" s="514" t="s">
        <v>3333</v>
      </c>
      <c r="D2509" s="515">
        <v>3.3033329875429777E-2</v>
      </c>
      <c r="E2509" s="516">
        <v>5.7986067634455112E-3</v>
      </c>
      <c r="F2509" s="145">
        <v>2.9637773797506397E-2</v>
      </c>
      <c r="G2509" s="145">
        <v>8.6396486127536662E-4</v>
      </c>
      <c r="H2509" s="517">
        <v>2.0000005732018797E-3</v>
      </c>
      <c r="I2509" s="517">
        <v>1.5750004513964803E-2</v>
      </c>
      <c r="J2509" s="148">
        <v>9.3848741595187809E-4</v>
      </c>
      <c r="K2509" s="518">
        <v>2.7213714134370811E-5</v>
      </c>
      <c r="L2509" s="519">
        <v>2.8444197528459085E-5</v>
      </c>
    </row>
    <row r="2510" spans="1:12" ht="15.5" x14ac:dyDescent="0.35">
      <c r="A2510" s="143" t="s">
        <v>920</v>
      </c>
      <c r="B2510" s="229">
        <v>2032</v>
      </c>
      <c r="C2510" s="514" t="s">
        <v>3334</v>
      </c>
      <c r="D2510" s="515">
        <v>3.2412130606227614E-2</v>
      </c>
      <c r="E2510" s="516">
        <v>5.2826244531973213E-3</v>
      </c>
      <c r="F2510" s="145">
        <v>2.7737690970801709E-2</v>
      </c>
      <c r="G2510" s="145">
        <v>8.1181997327764812E-4</v>
      </c>
      <c r="H2510" s="517">
        <v>2.0000005732018801E-3</v>
      </c>
      <c r="I2510" s="517">
        <v>1.5750004513964799E-2</v>
      </c>
      <c r="J2510" s="148">
        <v>8.8185784459452615E-4</v>
      </c>
      <c r="K2510" s="518">
        <v>2.5260893820407844E-5</v>
      </c>
      <c r="L2510" s="519">
        <v>2.6403079345410492E-5</v>
      </c>
    </row>
    <row r="2511" spans="1:12" ht="15.5" x14ac:dyDescent="0.35">
      <c r="A2511" s="143" t="s">
        <v>920</v>
      </c>
      <c r="B2511" s="229">
        <v>2033</v>
      </c>
      <c r="C2511" s="514" t="s">
        <v>3335</v>
      </c>
      <c r="D2511" s="515">
        <v>3.18600397403907E-2</v>
      </c>
      <c r="E2511" s="516">
        <v>4.8314558630699429E-3</v>
      </c>
      <c r="F2511" s="145">
        <v>2.6139424469860697E-2</v>
      </c>
      <c r="G2511" s="145">
        <v>7.6461581652091963E-4</v>
      </c>
      <c r="H2511" s="517">
        <v>2.0000005732018797E-3</v>
      </c>
      <c r="I2511" s="517">
        <v>1.5750004513964803E-2</v>
      </c>
      <c r="J2511" s="148">
        <v>8.3056077641770914E-4</v>
      </c>
      <c r="K2511" s="518">
        <v>2.427544069257732E-5</v>
      </c>
      <c r="L2511" s="519">
        <v>2.5373068400022929E-5</v>
      </c>
    </row>
    <row r="2512" spans="1:12" ht="15.5" x14ac:dyDescent="0.35">
      <c r="A2512" s="143" t="s">
        <v>920</v>
      </c>
      <c r="B2512" s="229">
        <v>2034</v>
      </c>
      <c r="C2512" s="514" t="s">
        <v>3336</v>
      </c>
      <c r="D2512" s="515">
        <v>3.1372748254865655E-2</v>
      </c>
      <c r="E2512" s="516">
        <v>4.4177780488886742E-3</v>
      </c>
      <c r="F2512" s="145">
        <v>2.4734349360869066E-2</v>
      </c>
      <c r="G2512" s="145">
        <v>7.2065552568197023E-4</v>
      </c>
      <c r="H2512" s="517">
        <v>2.000000573201881E-3</v>
      </c>
      <c r="I2512" s="517">
        <v>1.5750004513964803E-2</v>
      </c>
      <c r="J2512" s="148">
        <v>7.8279249684413542E-4</v>
      </c>
      <c r="K2512" s="518">
        <v>2.3271381502931796E-5</v>
      </c>
      <c r="L2512" s="519">
        <v>2.4323610109268357E-5</v>
      </c>
    </row>
    <row r="2513" spans="1:12" ht="15.5" x14ac:dyDescent="0.35">
      <c r="A2513" s="143" t="s">
        <v>920</v>
      </c>
      <c r="B2513" s="229">
        <v>2035</v>
      </c>
      <c r="C2513" s="514" t="s">
        <v>3337</v>
      </c>
      <c r="D2513" s="515">
        <v>3.0946988806730753E-2</v>
      </c>
      <c r="E2513" s="516">
        <v>4.0585618021196862E-3</v>
      </c>
      <c r="F2513" s="145">
        <v>2.3589306472061242E-2</v>
      </c>
      <c r="G2513" s="145">
        <v>6.8076008063561286E-4</v>
      </c>
      <c r="H2513" s="517">
        <v>2.0000005732018797E-3</v>
      </c>
      <c r="I2513" s="517">
        <v>1.5750004513964792E-2</v>
      </c>
      <c r="J2513" s="148">
        <v>7.3944075174426011E-4</v>
      </c>
      <c r="K2513" s="518">
        <v>2.2370121985390828E-5</v>
      </c>
      <c r="L2513" s="519">
        <v>2.3381599635624021E-5</v>
      </c>
    </row>
    <row r="2514" spans="1:12" ht="15.5" x14ac:dyDescent="0.35">
      <c r="A2514" s="143" t="s">
        <v>920</v>
      </c>
      <c r="B2514" s="229">
        <v>2036</v>
      </c>
      <c r="C2514" s="514" t="s">
        <v>3338</v>
      </c>
      <c r="D2514" s="515">
        <v>3.0573256840824618E-2</v>
      </c>
      <c r="E2514" s="516">
        <v>3.7424519799288849E-3</v>
      </c>
      <c r="F2514" s="145">
        <v>2.2610029805212994E-2</v>
      </c>
      <c r="G2514" s="145">
        <v>6.4632734125594433E-4</v>
      </c>
      <c r="H2514" s="517">
        <v>2.0000005732018797E-3</v>
      </c>
      <c r="I2514" s="517">
        <v>1.5750004513964799E-2</v>
      </c>
      <c r="J2514" s="148">
        <v>7.0202830071739342E-4</v>
      </c>
      <c r="K2514" s="518">
        <v>2.1513623086217969E-5</v>
      </c>
      <c r="L2514" s="519">
        <v>2.2486373656888164E-5</v>
      </c>
    </row>
    <row r="2515" spans="1:12" ht="15.5" x14ac:dyDescent="0.35">
      <c r="A2515" s="143" t="s">
        <v>920</v>
      </c>
      <c r="B2515" s="229">
        <v>2037</v>
      </c>
      <c r="C2515" s="514" t="s">
        <v>3339</v>
      </c>
      <c r="D2515" s="515">
        <v>3.0251432428953087E-2</v>
      </c>
      <c r="E2515" s="516">
        <v>3.4720930295148627E-3</v>
      </c>
      <c r="F2515" s="145">
        <v>2.1804535379511176E-2</v>
      </c>
      <c r="G2515" s="145">
        <v>6.1557336040909201E-4</v>
      </c>
      <c r="H2515" s="517">
        <v>2.0000005732018801E-3</v>
      </c>
      <c r="I2515" s="517">
        <v>1.5750004513964799E-2</v>
      </c>
      <c r="J2515" s="148">
        <v>6.6861638944422201E-4</v>
      </c>
      <c r="K2515" s="518">
        <v>2.0667644464518972E-5</v>
      </c>
      <c r="L2515" s="519">
        <v>2.1602143635890461E-5</v>
      </c>
    </row>
    <row r="2516" spans="1:12" ht="15.5" x14ac:dyDescent="0.35">
      <c r="A2516" s="143" t="s">
        <v>920</v>
      </c>
      <c r="B2516" s="229">
        <v>2038</v>
      </c>
      <c r="C2516" s="514" t="s">
        <v>3340</v>
      </c>
      <c r="D2516" s="515">
        <v>2.9975660950518401E-2</v>
      </c>
      <c r="E2516" s="516">
        <v>3.2222792089468232E-3</v>
      </c>
      <c r="F2516" s="145">
        <v>2.105813225706904E-2</v>
      </c>
      <c r="G2516" s="145">
        <v>5.8818074349106775E-4</v>
      </c>
      <c r="H2516" s="517">
        <v>2.0000005732018805E-3</v>
      </c>
      <c r="I2516" s="517">
        <v>1.5750004513964799E-2</v>
      </c>
      <c r="J2516" s="148">
        <v>6.3885129833237103E-4</v>
      </c>
      <c r="K2516" s="518">
        <v>2.0033339270271635E-5</v>
      </c>
      <c r="L2516" s="519">
        <v>2.0939157975446923E-5</v>
      </c>
    </row>
    <row r="2517" spans="1:12" ht="15.5" x14ac:dyDescent="0.35">
      <c r="A2517" s="143" t="s">
        <v>920</v>
      </c>
      <c r="B2517" s="229">
        <v>2039</v>
      </c>
      <c r="C2517" s="514" t="s">
        <v>3341</v>
      </c>
      <c r="D2517" s="515">
        <v>2.973794832244837E-2</v>
      </c>
      <c r="E2517" s="516">
        <v>2.9787780940117373E-3</v>
      </c>
      <c r="F2517" s="145">
        <v>2.0324481215225853E-2</v>
      </c>
      <c r="G2517" s="145">
        <v>5.6368080114498835E-4</v>
      </c>
      <c r="H2517" s="517">
        <v>2.0000005732018801E-3</v>
      </c>
      <c r="I2517" s="517">
        <v>1.5750004513964799E-2</v>
      </c>
      <c r="J2517" s="148">
        <v>6.1222816609733362E-4</v>
      </c>
      <c r="K2517" s="518">
        <v>1.9495519855175656E-5</v>
      </c>
      <c r="L2517" s="519">
        <v>2.0377020752938564E-5</v>
      </c>
    </row>
    <row r="2518" spans="1:12" ht="15.5" x14ac:dyDescent="0.35">
      <c r="A2518" s="143" t="s">
        <v>920</v>
      </c>
      <c r="B2518" s="229">
        <v>2040</v>
      </c>
      <c r="C2518" s="514" t="s">
        <v>3342</v>
      </c>
      <c r="D2518" s="515">
        <v>2.9533573594847509E-2</v>
      </c>
      <c r="E2518" s="516">
        <v>2.7625583529238512E-3</v>
      </c>
      <c r="F2518" s="145">
        <v>1.9721814253901942E-2</v>
      </c>
      <c r="G2518" s="145">
        <v>5.4222352890462993E-4</v>
      </c>
      <c r="H2518" s="517">
        <v>2.0000005732018801E-3</v>
      </c>
      <c r="I2518" s="517">
        <v>1.5750004513964799E-2</v>
      </c>
      <c r="J2518" s="148">
        <v>5.8891067567798036E-4</v>
      </c>
      <c r="K2518" s="518">
        <v>1.9041228074643318E-5</v>
      </c>
      <c r="L2518" s="519">
        <v>1.9902187913980451E-5</v>
      </c>
    </row>
    <row r="2519" spans="1:12" ht="15.5" x14ac:dyDescent="0.35">
      <c r="A2519" s="143" t="s">
        <v>920</v>
      </c>
      <c r="B2519" s="229">
        <v>2041</v>
      </c>
      <c r="C2519" s="514" t="s">
        <v>3343</v>
      </c>
      <c r="D2519" s="515">
        <v>2.9364850682678759E-2</v>
      </c>
      <c r="E2519" s="516">
        <v>2.5932553444311464E-3</v>
      </c>
      <c r="F2519" s="145">
        <v>1.923880176840187E-2</v>
      </c>
      <c r="G2519" s="145">
        <v>5.2572261530550561E-4</v>
      </c>
      <c r="H2519" s="517">
        <v>2.0000005732018801E-3</v>
      </c>
      <c r="I2519" s="517">
        <v>1.5750004513964803E-2</v>
      </c>
      <c r="J2519" s="148">
        <v>5.7098073824326514E-4</v>
      </c>
      <c r="K2519" s="518">
        <v>1.8656298256570285E-5</v>
      </c>
      <c r="L2519" s="519">
        <v>1.9499853277634948E-5</v>
      </c>
    </row>
    <row r="2520" spans="1:12" ht="15.5" x14ac:dyDescent="0.35">
      <c r="A2520" s="143" t="s">
        <v>920</v>
      </c>
      <c r="B2520" s="229">
        <v>2042</v>
      </c>
      <c r="C2520" s="514" t="s">
        <v>3344</v>
      </c>
      <c r="D2520" s="515">
        <v>2.9219360327586159E-2</v>
      </c>
      <c r="E2520" s="516">
        <v>2.4441598016766162E-3</v>
      </c>
      <c r="F2520" s="145">
        <v>1.8785600643452666E-2</v>
      </c>
      <c r="G2520" s="145">
        <v>5.1154209874190737E-4</v>
      </c>
      <c r="H2520" s="517">
        <v>2.0000005732018801E-3</v>
      </c>
      <c r="I2520" s="517">
        <v>1.5750004513964803E-2</v>
      </c>
      <c r="J2520" s="148">
        <v>5.5557124591591701E-4</v>
      </c>
      <c r="K2520" s="518">
        <v>1.8346845314692295E-5</v>
      </c>
      <c r="L2520" s="519">
        <v>1.9176408246902342E-5</v>
      </c>
    </row>
    <row r="2521" spans="1:12" ht="15.5" x14ac:dyDescent="0.35">
      <c r="A2521" s="143" t="s">
        <v>920</v>
      </c>
      <c r="B2521" s="229">
        <v>2043</v>
      </c>
      <c r="C2521" s="514" t="s">
        <v>3345</v>
      </c>
      <c r="D2521" s="515">
        <v>2.9097765115736696E-2</v>
      </c>
      <c r="E2521" s="516">
        <v>2.3298026140289724E-3</v>
      </c>
      <c r="F2521" s="145">
        <v>1.843906251604286E-2</v>
      </c>
      <c r="G2521" s="145">
        <v>4.9945403600549631E-4</v>
      </c>
      <c r="H2521" s="517">
        <v>2.0000005732018801E-3</v>
      </c>
      <c r="I2521" s="517">
        <v>1.5750004513964799E-2</v>
      </c>
      <c r="J2521" s="148">
        <v>5.4243518633739557E-4</v>
      </c>
      <c r="K2521" s="518">
        <v>1.8091709038685224E-5</v>
      </c>
      <c r="L2521" s="519">
        <v>1.8909735840644701E-5</v>
      </c>
    </row>
    <row r="2522" spans="1:12" ht="15.5" x14ac:dyDescent="0.35">
      <c r="A2522" s="143" t="s">
        <v>920</v>
      </c>
      <c r="B2522" s="229">
        <v>2044</v>
      </c>
      <c r="C2522" s="514" t="s">
        <v>3346</v>
      </c>
      <c r="D2522" s="515">
        <v>2.8994849711657389E-2</v>
      </c>
      <c r="E2522" s="516">
        <v>2.2464465274221147E-3</v>
      </c>
      <c r="F2522" s="145">
        <v>1.8169490270440576E-2</v>
      </c>
      <c r="G2522" s="145">
        <v>4.8914539825127014E-4</v>
      </c>
      <c r="H2522" s="517">
        <v>2.0000005732018797E-3</v>
      </c>
      <c r="I2522" s="517">
        <v>1.5750004513964796E-2</v>
      </c>
      <c r="J2522" s="148">
        <v>5.3123265823884925E-4</v>
      </c>
      <c r="K2522" s="518">
        <v>1.787800087697622E-5</v>
      </c>
      <c r="L2522" s="519">
        <v>1.8686364744179142E-5</v>
      </c>
    </row>
    <row r="2523" spans="1:12" ht="15.5" x14ac:dyDescent="0.35">
      <c r="A2523" s="143" t="s">
        <v>920</v>
      </c>
      <c r="B2523" s="229">
        <v>2045</v>
      </c>
      <c r="C2523" s="514" t="s">
        <v>3347</v>
      </c>
      <c r="D2523" s="515">
        <v>2.8905012122111731E-2</v>
      </c>
      <c r="E2523" s="516">
        <v>2.1910737847780481E-3</v>
      </c>
      <c r="F2523" s="145">
        <v>1.79841907154033E-2</v>
      </c>
      <c r="G2523" s="145">
        <v>4.8034303466610526E-4</v>
      </c>
      <c r="H2523" s="517">
        <v>2.0000005732018801E-3</v>
      </c>
      <c r="I2523" s="517">
        <v>1.5750004513964799E-2</v>
      </c>
      <c r="J2523" s="148">
        <v>5.21666075928741E-4</v>
      </c>
      <c r="K2523" s="518">
        <v>1.7717738566309314E-5</v>
      </c>
      <c r="L2523" s="519">
        <v>1.8518856082977353E-5</v>
      </c>
    </row>
    <row r="2524" spans="1:12" ht="15.5" x14ac:dyDescent="0.35">
      <c r="A2524" s="143" t="s">
        <v>920</v>
      </c>
      <c r="B2524" s="229">
        <v>2046</v>
      </c>
      <c r="C2524" s="514" t="s">
        <v>3348</v>
      </c>
      <c r="D2524" s="515">
        <v>2.8828485778988371E-2</v>
      </c>
      <c r="E2524" s="516">
        <v>2.1422781855996277E-3</v>
      </c>
      <c r="F2524" s="145">
        <v>1.7827713609809098E-2</v>
      </c>
      <c r="G2524" s="145">
        <v>4.7293472343338427E-4</v>
      </c>
      <c r="H2524" s="517">
        <v>2.0000005732018801E-3</v>
      </c>
      <c r="I2524" s="517">
        <v>1.5750004513964799E-2</v>
      </c>
      <c r="J2524" s="148">
        <v>5.1361409975747444E-4</v>
      </c>
      <c r="K2524" s="518">
        <v>1.7594124376924417E-5</v>
      </c>
      <c r="L2524" s="519">
        <v>1.8389652608478325E-5</v>
      </c>
    </row>
    <row r="2525" spans="1:12" ht="15.5" x14ac:dyDescent="0.35">
      <c r="A2525" s="143" t="s">
        <v>920</v>
      </c>
      <c r="B2525" s="229">
        <v>2047</v>
      </c>
      <c r="C2525" s="514" t="s">
        <v>3349</v>
      </c>
      <c r="D2525" s="515">
        <v>2.8763188236286118E-2</v>
      </c>
      <c r="E2525" s="516">
        <v>2.0990177283196744E-3</v>
      </c>
      <c r="F2525" s="145">
        <v>1.7683998155713431E-2</v>
      </c>
      <c r="G2525" s="145">
        <v>4.6676993246358347E-4</v>
      </c>
      <c r="H2525" s="517">
        <v>2.0000005732018801E-3</v>
      </c>
      <c r="I2525" s="517">
        <v>1.5750004513964799E-2</v>
      </c>
      <c r="J2525" s="148">
        <v>5.0691374974033438E-4</v>
      </c>
      <c r="K2525" s="518">
        <v>1.7489756880706369E-5</v>
      </c>
      <c r="L2525" s="519">
        <v>1.8280566077205182E-5</v>
      </c>
    </row>
    <row r="2526" spans="1:12" ht="15.5" x14ac:dyDescent="0.35">
      <c r="A2526" s="143" t="s">
        <v>920</v>
      </c>
      <c r="B2526" s="229">
        <v>2048</v>
      </c>
      <c r="C2526" s="514" t="s">
        <v>3350</v>
      </c>
      <c r="D2526" s="515">
        <v>2.8707951637830451E-2</v>
      </c>
      <c r="E2526" s="516">
        <v>2.0630192039258759E-3</v>
      </c>
      <c r="F2526" s="145">
        <v>1.756098522142378E-2</v>
      </c>
      <c r="G2526" s="145">
        <v>4.6160859406005344E-4</v>
      </c>
      <c r="H2526" s="517">
        <v>2.0000005732018801E-3</v>
      </c>
      <c r="I2526" s="517">
        <v>1.5750004513964799E-2</v>
      </c>
      <c r="J2526" s="148">
        <v>5.0130386626562795E-4</v>
      </c>
      <c r="K2526" s="518">
        <v>1.740614844514317E-5</v>
      </c>
      <c r="L2526" s="519">
        <v>1.8193177239192751E-5</v>
      </c>
    </row>
    <row r="2527" spans="1:12" ht="15.5" x14ac:dyDescent="0.35">
      <c r="A2527" s="143" t="s">
        <v>920</v>
      </c>
      <c r="B2527" s="229">
        <v>2049</v>
      </c>
      <c r="C2527" s="514" t="s">
        <v>3351</v>
      </c>
      <c r="D2527" s="515">
        <v>2.8660958544777973E-2</v>
      </c>
      <c r="E2527" s="516">
        <v>2.0502438775821101E-3</v>
      </c>
      <c r="F2527" s="145">
        <v>1.7566379825153577E-2</v>
      </c>
      <c r="G2527" s="145">
        <v>4.5843593428001233E-4</v>
      </c>
      <c r="H2527" s="517">
        <v>2.0000005732018801E-3</v>
      </c>
      <c r="I2527" s="517">
        <v>1.5750004513964799E-2</v>
      </c>
      <c r="J2527" s="148">
        <v>4.9785569723581429E-4</v>
      </c>
      <c r="K2527" s="518">
        <v>1.7349796374020808E-5</v>
      </c>
      <c r="L2527" s="519">
        <v>1.8134277177472861E-5</v>
      </c>
    </row>
    <row r="2528" spans="1:12" ht="15.5" x14ac:dyDescent="0.35">
      <c r="A2528" s="143" t="s">
        <v>920</v>
      </c>
      <c r="B2528" s="229">
        <v>2050</v>
      </c>
      <c r="C2528" s="514" t="s">
        <v>3352</v>
      </c>
      <c r="D2528" s="515">
        <v>2.8621603056538915E-2</v>
      </c>
      <c r="E2528" s="516">
        <v>2.0399719201714375E-3</v>
      </c>
      <c r="F2528" s="145">
        <v>1.7574176877560081E-2</v>
      </c>
      <c r="G2528" s="145">
        <v>4.5582131788665133E-4</v>
      </c>
      <c r="H2528" s="517">
        <v>2.0000005732018801E-3</v>
      </c>
      <c r="I2528" s="517">
        <v>1.5750004513964796E-2</v>
      </c>
      <c r="J2528" s="148">
        <v>4.9501510849493083E-4</v>
      </c>
      <c r="K2528" s="518">
        <v>1.7277935653234193E-5</v>
      </c>
      <c r="L2528" s="519">
        <v>1.8059167233769494E-5</v>
      </c>
    </row>
    <row r="2529" spans="1:12" ht="15.5" x14ac:dyDescent="0.35">
      <c r="A2529" s="143" t="s">
        <v>927</v>
      </c>
      <c r="B2529" s="229">
        <v>2015</v>
      </c>
      <c r="C2529" s="514" t="s">
        <v>3353</v>
      </c>
      <c r="D2529" s="515">
        <v>4.5416426122043246E-2</v>
      </c>
      <c r="E2529" s="516">
        <v>4.3577524115417231E-2</v>
      </c>
      <c r="F2529" s="145">
        <v>0.16384107328262881</v>
      </c>
      <c r="G2529" s="145">
        <v>1.7919356529755911E-3</v>
      </c>
      <c r="H2529" s="517">
        <v>2.0000005732018801E-3</v>
      </c>
      <c r="I2529" s="517">
        <v>1.5750004513964799E-2</v>
      </c>
      <c r="J2529" s="148">
        <v>1.9393379544056742E-3</v>
      </c>
      <c r="K2529" s="518">
        <v>1.5854834799648905E-4</v>
      </c>
      <c r="L2529" s="519">
        <v>1.6571720074501584E-4</v>
      </c>
    </row>
    <row r="2530" spans="1:12" ht="15.5" x14ac:dyDescent="0.35">
      <c r="A2530" s="143" t="s">
        <v>927</v>
      </c>
      <c r="B2530" s="229">
        <v>2016</v>
      </c>
      <c r="C2530" s="514" t="s">
        <v>3354</v>
      </c>
      <c r="D2530" s="515">
        <v>4.4509626678405634E-2</v>
      </c>
      <c r="E2530" s="516">
        <v>3.6246819928427924E-2</v>
      </c>
      <c r="F2530" s="145">
        <v>0.13976161791627881</v>
      </c>
      <c r="G2530" s="145">
        <v>1.7240287498178498E-3</v>
      </c>
      <c r="H2530" s="517">
        <v>2.0000005732018801E-3</v>
      </c>
      <c r="I2530" s="517">
        <v>1.5750004513964799E-2</v>
      </c>
      <c r="J2530" s="148">
        <v>1.8672948604562681E-3</v>
      </c>
      <c r="K2530" s="518">
        <v>1.3695155583708237E-4</v>
      </c>
      <c r="L2530" s="519">
        <v>1.4314389747850675E-4</v>
      </c>
    </row>
    <row r="2531" spans="1:12" ht="15.5" x14ac:dyDescent="0.35">
      <c r="A2531" s="143" t="s">
        <v>927</v>
      </c>
      <c r="B2531" s="229">
        <v>2017</v>
      </c>
      <c r="C2531" s="514" t="s">
        <v>3355</v>
      </c>
      <c r="D2531" s="515">
        <v>4.3421296658220032E-2</v>
      </c>
      <c r="E2531" s="516">
        <v>3.0239006909047298E-2</v>
      </c>
      <c r="F2531" s="145">
        <v>0.11924646365897175</v>
      </c>
      <c r="G2531" s="145">
        <v>1.700257982867734E-3</v>
      </c>
      <c r="H2531" s="517">
        <v>2.0000005732018805E-3</v>
      </c>
      <c r="I2531" s="517">
        <v>1.5750004513964803E-2</v>
      </c>
      <c r="J2531" s="148">
        <v>1.8426583461547603E-3</v>
      </c>
      <c r="K2531" s="518">
        <v>1.2371874230476817E-4</v>
      </c>
      <c r="L2531" s="519">
        <v>1.2931275483800167E-4</v>
      </c>
    </row>
    <row r="2532" spans="1:12" ht="15.5" x14ac:dyDescent="0.35">
      <c r="A2532" s="143" t="s">
        <v>927</v>
      </c>
      <c r="B2532" s="229">
        <v>2018</v>
      </c>
      <c r="C2532" s="514" t="s">
        <v>3356</v>
      </c>
      <c r="D2532" s="515">
        <v>4.2171314033988973E-2</v>
      </c>
      <c r="E2532" s="516">
        <v>2.5113338826064032E-2</v>
      </c>
      <c r="F2532" s="145">
        <v>0.10165287606601543</v>
      </c>
      <c r="G2532" s="145">
        <v>1.7035545578847533E-3</v>
      </c>
      <c r="H2532" s="517">
        <v>2.0000005732018801E-3</v>
      </c>
      <c r="I2532" s="517">
        <v>1.5750004513964799E-2</v>
      </c>
      <c r="J2532" s="148">
        <v>1.8472349439450299E-3</v>
      </c>
      <c r="K2532" s="518">
        <v>1.1278933850748922E-4</v>
      </c>
      <c r="L2532" s="519">
        <v>1.178891718995211E-4</v>
      </c>
    </row>
    <row r="2533" spans="1:12" ht="15.5" x14ac:dyDescent="0.35">
      <c r="A2533" s="143" t="s">
        <v>927</v>
      </c>
      <c r="B2533" s="229">
        <v>2019</v>
      </c>
      <c r="C2533" s="514" t="s">
        <v>3357</v>
      </c>
      <c r="D2533" s="515">
        <v>4.0965789424847319E-2</v>
      </c>
      <c r="E2533" s="516">
        <v>2.0877219899487817E-2</v>
      </c>
      <c r="F2533" s="145">
        <v>8.6906610167406584E-2</v>
      </c>
      <c r="G2533" s="145">
        <v>1.7094457599262664E-3</v>
      </c>
      <c r="H2533" s="517">
        <v>2.0000005732018801E-3</v>
      </c>
      <c r="I2533" s="517">
        <v>1.5750004513964799E-2</v>
      </c>
      <c r="J2533" s="148">
        <v>1.8544418502803761E-3</v>
      </c>
      <c r="K2533" s="518">
        <v>1.0307738917134382E-4</v>
      </c>
      <c r="L2533" s="519">
        <v>1.0773809131053128E-4</v>
      </c>
    </row>
    <row r="2534" spans="1:12" ht="15.5" x14ac:dyDescent="0.35">
      <c r="A2534" s="143" t="s">
        <v>927</v>
      </c>
      <c r="B2534" s="229">
        <v>2020</v>
      </c>
      <c r="C2534" s="514" t="s">
        <v>3358</v>
      </c>
      <c r="D2534" s="515">
        <v>3.9739631702568355E-2</v>
      </c>
      <c r="E2534" s="516">
        <v>1.7724325153032006E-2</v>
      </c>
      <c r="F2534" s="145">
        <v>7.4820577195738647E-2</v>
      </c>
      <c r="G2534" s="145">
        <v>1.6743987410943911E-3</v>
      </c>
      <c r="H2534" s="517">
        <v>2.0000005732018801E-3</v>
      </c>
      <c r="I2534" s="517">
        <v>1.5750004513964799E-2</v>
      </c>
      <c r="J2534" s="148">
        <v>1.8167987445739304E-3</v>
      </c>
      <c r="K2534" s="518">
        <v>9.5221088380068985E-5</v>
      </c>
      <c r="L2534" s="519">
        <v>9.9526563459293989E-5</v>
      </c>
    </row>
    <row r="2535" spans="1:12" ht="15.5" x14ac:dyDescent="0.35">
      <c r="A2535" s="143" t="s">
        <v>927</v>
      </c>
      <c r="B2535" s="229">
        <v>2021</v>
      </c>
      <c r="C2535" s="514" t="s">
        <v>3359</v>
      </c>
      <c r="D2535" s="515">
        <v>3.8527819272985472E-2</v>
      </c>
      <c r="E2535" s="516">
        <v>1.5404300623257695E-2</v>
      </c>
      <c r="F2535" s="145">
        <v>6.4848495831625511E-2</v>
      </c>
      <c r="G2535" s="145">
        <v>1.6097920798875585E-3</v>
      </c>
      <c r="H2535" s="517">
        <v>2.0000005732018805E-3</v>
      </c>
      <c r="I2535" s="517">
        <v>1.5750004513964803E-2</v>
      </c>
      <c r="J2535" s="148">
        <v>1.7469660368201298E-3</v>
      </c>
      <c r="K2535" s="518">
        <v>8.6703384013310259E-5</v>
      </c>
      <c r="L2535" s="519">
        <v>9.0623726297823834E-5</v>
      </c>
    </row>
    <row r="2536" spans="1:12" ht="15.5" x14ac:dyDescent="0.35">
      <c r="A2536" s="143" t="s">
        <v>927</v>
      </c>
      <c r="B2536" s="229">
        <v>2022</v>
      </c>
      <c r="C2536" s="514" t="s">
        <v>3360</v>
      </c>
      <c r="D2536" s="515">
        <v>3.7305589652313453E-2</v>
      </c>
      <c r="E2536" s="516">
        <v>1.3112944188900251E-2</v>
      </c>
      <c r="F2536" s="145">
        <v>5.6325773403783287E-2</v>
      </c>
      <c r="G2536" s="145">
        <v>1.5320140871449143E-3</v>
      </c>
      <c r="H2536" s="517">
        <v>2.0000005732018801E-3</v>
      </c>
      <c r="I2536" s="517">
        <v>1.5750004513964796E-2</v>
      </c>
      <c r="J2536" s="148">
        <v>1.6628269219074406E-3</v>
      </c>
      <c r="K2536" s="518">
        <v>7.8726049510535677E-5</v>
      </c>
      <c r="L2536" s="519">
        <v>8.2285692127731324E-5</v>
      </c>
    </row>
    <row r="2537" spans="1:12" ht="15.5" x14ac:dyDescent="0.35">
      <c r="A2537" s="143" t="s">
        <v>927</v>
      </c>
      <c r="B2537" s="229">
        <v>2023</v>
      </c>
      <c r="C2537" s="514" t="s">
        <v>3361</v>
      </c>
      <c r="D2537" s="515">
        <v>3.609749531763394E-2</v>
      </c>
      <c r="E2537" s="516">
        <v>1.1426778807443572E-2</v>
      </c>
      <c r="F2537" s="145">
        <v>4.9476065378739865E-2</v>
      </c>
      <c r="G2537" s="145">
        <v>1.4634828275424643E-3</v>
      </c>
      <c r="H2537" s="517">
        <v>2.0000005732018797E-3</v>
      </c>
      <c r="I2537" s="517">
        <v>1.5750004513964796E-2</v>
      </c>
      <c r="J2537" s="148">
        <v>1.5886573149250594E-3</v>
      </c>
      <c r="K2537" s="518">
        <v>7.0599646921247684E-5</v>
      </c>
      <c r="L2537" s="519">
        <v>7.3791849673733145E-5</v>
      </c>
    </row>
    <row r="2538" spans="1:12" ht="15.5" x14ac:dyDescent="0.35">
      <c r="A2538" s="143" t="s">
        <v>927</v>
      </c>
      <c r="B2538" s="229">
        <v>2024</v>
      </c>
      <c r="C2538" s="514" t="s">
        <v>3362</v>
      </c>
      <c r="D2538" s="515">
        <v>3.4870041315514549E-2</v>
      </c>
      <c r="E2538" s="516">
        <v>1.000992875818075E-2</v>
      </c>
      <c r="F2538" s="145">
        <v>4.3843332849852507E-2</v>
      </c>
      <c r="G2538" s="145">
        <v>1.4026705295656361E-3</v>
      </c>
      <c r="H2538" s="517">
        <v>2.0000005732018805E-3</v>
      </c>
      <c r="I2538" s="517">
        <v>1.5750004513964799E-2</v>
      </c>
      <c r="J2538" s="148">
        <v>1.5228638291131099E-3</v>
      </c>
      <c r="K2538" s="518">
        <v>6.2827356358608949E-5</v>
      </c>
      <c r="L2538" s="519">
        <v>6.5668130620880494E-5</v>
      </c>
    </row>
    <row r="2539" spans="1:12" ht="15.5" x14ac:dyDescent="0.35">
      <c r="A2539" s="143" t="s">
        <v>927</v>
      </c>
      <c r="B2539" s="229">
        <v>2025</v>
      </c>
      <c r="C2539" s="514" t="s">
        <v>3363</v>
      </c>
      <c r="D2539" s="515">
        <v>3.3706187642824063E-2</v>
      </c>
      <c r="E2539" s="516">
        <v>8.8333204968351307E-3</v>
      </c>
      <c r="F2539" s="145">
        <v>3.9290843615228006E-2</v>
      </c>
      <c r="G2539" s="145">
        <v>1.349816491026628E-3</v>
      </c>
      <c r="H2539" s="517">
        <v>2.0000005732018801E-3</v>
      </c>
      <c r="I2539" s="517">
        <v>1.5750004513964799E-2</v>
      </c>
      <c r="J2539" s="148">
        <v>1.4656533101908725E-3</v>
      </c>
      <c r="K2539" s="518">
        <v>5.6508043800137659E-5</v>
      </c>
      <c r="L2539" s="519">
        <v>5.9063086790049221E-5</v>
      </c>
    </row>
    <row r="2540" spans="1:12" ht="15.5" x14ac:dyDescent="0.35">
      <c r="A2540" s="143" t="s">
        <v>927</v>
      </c>
      <c r="B2540" s="229">
        <v>2026</v>
      </c>
      <c r="C2540" s="514" t="s">
        <v>3364</v>
      </c>
      <c r="D2540" s="515">
        <v>3.2579704161875014E-2</v>
      </c>
      <c r="E2540" s="516">
        <v>7.8560140743277208E-3</v>
      </c>
      <c r="F2540" s="145">
        <v>3.5612190954125503E-2</v>
      </c>
      <c r="G2540" s="145">
        <v>1.2906063274179729E-3</v>
      </c>
      <c r="H2540" s="517">
        <v>2.0000005732018801E-3</v>
      </c>
      <c r="I2540" s="517">
        <v>1.5750004513964799E-2</v>
      </c>
      <c r="J2540" s="148">
        <v>1.4015249672871403E-3</v>
      </c>
      <c r="K2540" s="518">
        <v>5.0191253349237735E-5</v>
      </c>
      <c r="L2540" s="519">
        <v>5.2460679105302072E-5</v>
      </c>
    </row>
    <row r="2541" spans="1:12" ht="15.5" x14ac:dyDescent="0.35">
      <c r="A2541" s="143" t="s">
        <v>927</v>
      </c>
      <c r="B2541" s="229">
        <v>2027</v>
      </c>
      <c r="C2541" s="514" t="s">
        <v>3365</v>
      </c>
      <c r="D2541" s="515">
        <v>3.1597322604109766E-2</v>
      </c>
      <c r="E2541" s="516">
        <v>7.0185391175583423E-3</v>
      </c>
      <c r="F2541" s="145">
        <v>3.2527441891670485E-2</v>
      </c>
      <c r="G2541" s="145">
        <v>1.2200599545345251E-3</v>
      </c>
      <c r="H2541" s="517">
        <v>2.0000005732018797E-3</v>
      </c>
      <c r="I2541" s="517">
        <v>1.5750004513964799E-2</v>
      </c>
      <c r="J2541" s="148">
        <v>1.3250878373951053E-3</v>
      </c>
      <c r="K2541" s="518">
        <v>4.3390042907415566E-5</v>
      </c>
      <c r="L2541" s="519">
        <v>4.5351948107225121E-5</v>
      </c>
    </row>
    <row r="2542" spans="1:12" ht="15.5" x14ac:dyDescent="0.35">
      <c r="A2542" s="143" t="s">
        <v>927</v>
      </c>
      <c r="B2542" s="229">
        <v>2028</v>
      </c>
      <c r="C2542" s="514" t="s">
        <v>3366</v>
      </c>
      <c r="D2542" s="515">
        <v>3.0708426903239883E-2</v>
      </c>
      <c r="E2542" s="516">
        <v>6.3154224980301365E-3</v>
      </c>
      <c r="F2542" s="145">
        <v>2.9979655772003965E-2</v>
      </c>
      <c r="G2542" s="145">
        <v>1.1419124960562561E-3</v>
      </c>
      <c r="H2542" s="517">
        <v>2.0000005732018797E-3</v>
      </c>
      <c r="I2542" s="517">
        <v>1.5750004513964796E-2</v>
      </c>
      <c r="J2542" s="148">
        <v>1.2403276184314136E-3</v>
      </c>
      <c r="K2542" s="518">
        <v>3.7908776689285956E-5</v>
      </c>
      <c r="L2542" s="519">
        <v>3.9622843353470271E-5</v>
      </c>
    </row>
    <row r="2543" spans="1:12" ht="15.5" x14ac:dyDescent="0.35">
      <c r="A2543" s="143" t="s">
        <v>927</v>
      </c>
      <c r="B2543" s="229">
        <v>2029</v>
      </c>
      <c r="C2543" s="514" t="s">
        <v>3367</v>
      </c>
      <c r="D2543" s="515">
        <v>2.9905494968332121E-2</v>
      </c>
      <c r="E2543" s="516">
        <v>5.7009479383359381E-3</v>
      </c>
      <c r="F2543" s="145">
        <v>2.7819121185803902E-2</v>
      </c>
      <c r="G2543" s="145">
        <v>1.0679866963608071E-3</v>
      </c>
      <c r="H2543" s="517">
        <v>2.0000005732018797E-3</v>
      </c>
      <c r="I2543" s="517">
        <v>1.5750004513964796E-2</v>
      </c>
      <c r="J2543" s="148">
        <v>1.1601006913470452E-3</v>
      </c>
      <c r="K2543" s="518">
        <v>3.3799694638317962E-5</v>
      </c>
      <c r="L2543" s="519">
        <v>3.532796684593908E-5</v>
      </c>
    </row>
    <row r="2544" spans="1:12" ht="15.5" x14ac:dyDescent="0.35">
      <c r="A2544" s="143" t="s">
        <v>927</v>
      </c>
      <c r="B2544" s="229">
        <v>2030</v>
      </c>
      <c r="C2544" s="514" t="s">
        <v>3368</v>
      </c>
      <c r="D2544" s="515">
        <v>2.9184594554925405E-2</v>
      </c>
      <c r="E2544" s="516">
        <v>5.17661798434727E-3</v>
      </c>
      <c r="F2544" s="145">
        <v>2.6006331602744938E-2</v>
      </c>
      <c r="G2544" s="145">
        <v>9.9919580535583197E-4</v>
      </c>
      <c r="H2544" s="517">
        <v>2.0000005732018801E-3</v>
      </c>
      <c r="I2544" s="517">
        <v>1.5750004513964796E-2</v>
      </c>
      <c r="J2544" s="148">
        <v>1.0854286856342749E-3</v>
      </c>
      <c r="K2544" s="518">
        <v>3.0392910321034414E-5</v>
      </c>
      <c r="L2544" s="519">
        <v>3.1767142859209464E-5</v>
      </c>
    </row>
    <row r="2545" spans="1:12" ht="15.5" x14ac:dyDescent="0.35">
      <c r="A2545" s="143" t="s">
        <v>927</v>
      </c>
      <c r="B2545" s="229">
        <v>2031</v>
      </c>
      <c r="C2545" s="514" t="s">
        <v>3369</v>
      </c>
      <c r="D2545" s="515">
        <v>2.8541110066632538E-2</v>
      </c>
      <c r="E2545" s="516">
        <v>4.7156614413565792E-3</v>
      </c>
      <c r="F2545" s="145">
        <v>2.4450326613227828E-2</v>
      </c>
      <c r="G2545" s="145">
        <v>9.3578758370168843E-4</v>
      </c>
      <c r="H2545" s="517">
        <v>2.0000005732018801E-3</v>
      </c>
      <c r="I2545" s="517">
        <v>1.5750004513964796E-2</v>
      </c>
      <c r="J2545" s="148">
        <v>1.0165688083775897E-3</v>
      </c>
      <c r="K2545" s="518">
        <v>2.79776283018149E-5</v>
      </c>
      <c r="L2545" s="519">
        <v>2.9242652504736128E-5</v>
      </c>
    </row>
    <row r="2546" spans="1:12" ht="15.5" x14ac:dyDescent="0.35">
      <c r="A2546" s="143" t="s">
        <v>927</v>
      </c>
      <c r="B2546" s="229">
        <v>2032</v>
      </c>
      <c r="C2546" s="514" t="s">
        <v>3370</v>
      </c>
      <c r="D2546" s="515">
        <v>2.7968692621860844E-2</v>
      </c>
      <c r="E2546" s="516">
        <v>4.3146900908939967E-3</v>
      </c>
      <c r="F2546" s="145">
        <v>2.3152871774992416E-2</v>
      </c>
      <c r="G2546" s="145">
        <v>8.7728443628204064E-4</v>
      </c>
      <c r="H2546" s="517">
        <v>2.0000005732018801E-3</v>
      </c>
      <c r="I2546" s="517">
        <v>1.5750004513964796E-2</v>
      </c>
      <c r="J2546" s="148">
        <v>9.5303303750353559E-4</v>
      </c>
      <c r="K2546" s="518">
        <v>2.5812711375780242E-5</v>
      </c>
      <c r="L2546" s="519">
        <v>2.69798476419827E-5</v>
      </c>
    </row>
    <row r="2547" spans="1:12" ht="15.5" x14ac:dyDescent="0.35">
      <c r="A2547" s="143" t="s">
        <v>927</v>
      </c>
      <c r="B2547" s="229">
        <v>2033</v>
      </c>
      <c r="C2547" s="514" t="s">
        <v>3371</v>
      </c>
      <c r="D2547" s="515">
        <v>2.7461607023585119E-2</v>
      </c>
      <c r="E2547" s="516">
        <v>3.9668310837626163E-3</v>
      </c>
      <c r="F2547" s="145">
        <v>2.2078198253189216E-2</v>
      </c>
      <c r="G2547" s="145">
        <v>8.2408331325199995E-4</v>
      </c>
      <c r="H2547" s="517">
        <v>2.0000005732018797E-3</v>
      </c>
      <c r="I2547" s="517">
        <v>1.5750004513964796E-2</v>
      </c>
      <c r="J2547" s="148">
        <v>8.9523917858169071E-4</v>
      </c>
      <c r="K2547" s="518">
        <v>2.4226506904996746E-5</v>
      </c>
      <c r="L2547" s="519">
        <v>2.5321922043708495E-5</v>
      </c>
    </row>
    <row r="2548" spans="1:12" ht="15.5" x14ac:dyDescent="0.35">
      <c r="A2548" s="143" t="s">
        <v>927</v>
      </c>
      <c r="B2548" s="229">
        <v>2034</v>
      </c>
      <c r="C2548" s="514" t="s">
        <v>3372</v>
      </c>
      <c r="D2548" s="515">
        <v>2.7015588394068039E-2</v>
      </c>
      <c r="E2548" s="516">
        <v>3.6579416744720234E-3</v>
      </c>
      <c r="F2548" s="145">
        <v>2.1175687074894232E-2</v>
      </c>
      <c r="G2548" s="145">
        <v>7.75493024472935E-4</v>
      </c>
      <c r="H2548" s="517">
        <v>2.0000005732018801E-3</v>
      </c>
      <c r="I2548" s="517">
        <v>1.5750004513964799E-2</v>
      </c>
      <c r="J2548" s="148">
        <v>8.4245212445454361E-4</v>
      </c>
      <c r="K2548" s="518">
        <v>2.2826686466452351E-5</v>
      </c>
      <c r="L2548" s="519">
        <v>2.3858807936544338E-5</v>
      </c>
    </row>
    <row r="2549" spans="1:12" ht="15.5" x14ac:dyDescent="0.35">
      <c r="A2549" s="143" t="s">
        <v>927</v>
      </c>
      <c r="B2549" s="229">
        <v>2035</v>
      </c>
      <c r="C2549" s="514" t="s">
        <v>3373</v>
      </c>
      <c r="D2549" s="515">
        <v>2.6626746254279524E-2</v>
      </c>
      <c r="E2549" s="516">
        <v>3.3910516562125443E-3</v>
      </c>
      <c r="F2549" s="145">
        <v>2.0447915418517145E-2</v>
      </c>
      <c r="G2549" s="145">
        <v>7.3179609409834625E-4</v>
      </c>
      <c r="H2549" s="517">
        <v>2.0000005732018801E-3</v>
      </c>
      <c r="I2549" s="517">
        <v>1.5750004513964799E-2</v>
      </c>
      <c r="J2549" s="148">
        <v>7.9497985275344101E-4</v>
      </c>
      <c r="K2549" s="518">
        <v>2.159656981596853E-5</v>
      </c>
      <c r="L2549" s="519">
        <v>2.2573070869687355E-5</v>
      </c>
    </row>
    <row r="2550" spans="1:12" ht="15.5" x14ac:dyDescent="0.35">
      <c r="A2550" s="143" t="s">
        <v>927</v>
      </c>
      <c r="B2550" s="229">
        <v>2036</v>
      </c>
      <c r="C2550" s="514" t="s">
        <v>3374</v>
      </c>
      <c r="D2550" s="515">
        <v>2.6288762533568745E-2</v>
      </c>
      <c r="E2550" s="516">
        <v>3.1570458929862963E-3</v>
      </c>
      <c r="F2550" s="145">
        <v>1.9831827588434641E-2</v>
      </c>
      <c r="G2550" s="145">
        <v>6.937748588468699E-4</v>
      </c>
      <c r="H2550" s="517">
        <v>2.0000005732018805E-3</v>
      </c>
      <c r="I2550" s="517">
        <v>1.5750004513964803E-2</v>
      </c>
      <c r="J2550" s="148">
        <v>7.5367486640579788E-4</v>
      </c>
      <c r="K2550" s="518">
        <v>2.0497446899199261E-5</v>
      </c>
      <c r="L2550" s="519">
        <v>2.1424250491907514E-5</v>
      </c>
    </row>
    <row r="2551" spans="1:12" ht="15.5" x14ac:dyDescent="0.35">
      <c r="A2551" s="143" t="s">
        <v>927</v>
      </c>
      <c r="B2551" s="229">
        <v>2037</v>
      </c>
      <c r="C2551" s="514" t="s">
        <v>3375</v>
      </c>
      <c r="D2551" s="515">
        <v>2.5998135223198774E-2</v>
      </c>
      <c r="E2551" s="516">
        <v>2.9589655677918999E-3</v>
      </c>
      <c r="F2551" s="145">
        <v>1.933504685092078E-2</v>
      </c>
      <c r="G2551" s="145">
        <v>6.6047292151084273E-4</v>
      </c>
      <c r="H2551" s="517">
        <v>2.0000005732018801E-3</v>
      </c>
      <c r="I2551" s="517">
        <v>1.5750004513964799E-2</v>
      </c>
      <c r="J2551" s="148">
        <v>7.1749594927218903E-4</v>
      </c>
      <c r="K2551" s="518">
        <v>1.9554023245640357E-5</v>
      </c>
      <c r="L2551" s="519">
        <v>2.0438169407115174E-5</v>
      </c>
    </row>
    <row r="2552" spans="1:12" ht="15.5" x14ac:dyDescent="0.35">
      <c r="A2552" s="143" t="s">
        <v>927</v>
      </c>
      <c r="B2552" s="229">
        <v>2038</v>
      </c>
      <c r="C2552" s="514" t="s">
        <v>3376</v>
      </c>
      <c r="D2552" s="515">
        <v>2.5751155390452675E-2</v>
      </c>
      <c r="E2552" s="516">
        <v>2.7797138302840308E-3</v>
      </c>
      <c r="F2552" s="145">
        <v>1.8881852507723916E-2</v>
      </c>
      <c r="G2552" s="145">
        <v>6.3147800622627979E-4</v>
      </c>
      <c r="H2552" s="517">
        <v>2.0000005732018797E-3</v>
      </c>
      <c r="I2552" s="517">
        <v>1.5750004513964799E-2</v>
      </c>
      <c r="J2552" s="148">
        <v>6.8599276317438357E-4</v>
      </c>
      <c r="K2552" s="518">
        <v>1.8812329026762191E-5</v>
      </c>
      <c r="L2552" s="519">
        <v>1.9662939066878653E-5</v>
      </c>
    </row>
    <row r="2553" spans="1:12" ht="15.5" x14ac:dyDescent="0.35">
      <c r="A2553" s="143" t="s">
        <v>927</v>
      </c>
      <c r="B2553" s="229">
        <v>2039</v>
      </c>
      <c r="C2553" s="514" t="s">
        <v>3377</v>
      </c>
      <c r="D2553" s="515">
        <v>2.5541734859488466E-2</v>
      </c>
      <c r="E2553" s="516">
        <v>2.6173459375381379E-3</v>
      </c>
      <c r="F2553" s="145">
        <v>1.847602494482176E-2</v>
      </c>
      <c r="G2553" s="145">
        <v>6.0646754257825302E-4</v>
      </c>
      <c r="H2553" s="517">
        <v>2.0000005732018801E-3</v>
      </c>
      <c r="I2553" s="517">
        <v>1.5750004513964799E-2</v>
      </c>
      <c r="J2553" s="148">
        <v>6.588177616133759E-4</v>
      </c>
      <c r="K2553" s="518">
        <v>1.8195002440492389E-5</v>
      </c>
      <c r="L2553" s="519">
        <v>1.9017699711723903E-5</v>
      </c>
    </row>
    <row r="2554" spans="1:12" ht="15.5" x14ac:dyDescent="0.35">
      <c r="A2554" s="143" t="s">
        <v>927</v>
      </c>
      <c r="B2554" s="229">
        <v>2040</v>
      </c>
      <c r="C2554" s="514" t="s">
        <v>3378</v>
      </c>
      <c r="D2554" s="515">
        <v>2.53660927973858E-2</v>
      </c>
      <c r="E2554" s="516">
        <v>2.4743286345094827E-3</v>
      </c>
      <c r="F2554" s="145">
        <v>1.8138105434712198E-2</v>
      </c>
      <c r="G2554" s="145">
        <v>5.8512539340782068E-4</v>
      </c>
      <c r="H2554" s="517">
        <v>2.0000005732018801E-3</v>
      </c>
      <c r="I2554" s="517">
        <v>1.5750004513964799E-2</v>
      </c>
      <c r="J2554" s="148">
        <v>6.3562806730852665E-4</v>
      </c>
      <c r="K2554" s="518">
        <v>1.7679607873354952E-5</v>
      </c>
      <c r="L2554" s="519">
        <v>1.8479001289290002E-5</v>
      </c>
    </row>
    <row r="2555" spans="1:12" ht="15.5" x14ac:dyDescent="0.35">
      <c r="A2555" s="143" t="s">
        <v>927</v>
      </c>
      <c r="B2555" s="229">
        <v>2041</v>
      </c>
      <c r="C2555" s="514" t="s">
        <v>3379</v>
      </c>
      <c r="D2555" s="515">
        <v>2.5221534755842986E-2</v>
      </c>
      <c r="E2555" s="516">
        <v>2.3609617765437967E-3</v>
      </c>
      <c r="F2555" s="145">
        <v>1.7869127055887196E-2</v>
      </c>
      <c r="G2555" s="145">
        <v>5.6839153590449722E-4</v>
      </c>
      <c r="H2555" s="517">
        <v>2.0000005732018801E-3</v>
      </c>
      <c r="I2555" s="517">
        <v>1.5750004513964803E-2</v>
      </c>
      <c r="J2555" s="148">
        <v>6.1744618206002917E-4</v>
      </c>
      <c r="K2555" s="518">
        <v>1.7261641745395417E-5</v>
      </c>
      <c r="L2555" s="519">
        <v>1.8042136587721403E-5</v>
      </c>
    </row>
    <row r="2556" spans="1:12" ht="15.5" x14ac:dyDescent="0.35">
      <c r="A2556" s="143" t="s">
        <v>927</v>
      </c>
      <c r="B2556" s="229">
        <v>2042</v>
      </c>
      <c r="C2556" s="514" t="s">
        <v>3380</v>
      </c>
      <c r="D2556" s="515">
        <v>2.5101069525999147E-2</v>
      </c>
      <c r="E2556" s="516">
        <v>2.264784921785046E-3</v>
      </c>
      <c r="F2556" s="145">
        <v>1.7624043967236928E-2</v>
      </c>
      <c r="G2556" s="145">
        <v>5.5439269592299318E-4</v>
      </c>
      <c r="H2556" s="517">
        <v>2.0000005732018801E-3</v>
      </c>
      <c r="I2556" s="517">
        <v>1.5750004513964796E-2</v>
      </c>
      <c r="J2556" s="148">
        <v>6.0223561347620572E-4</v>
      </c>
      <c r="K2556" s="518">
        <v>1.6920711214968711E-5</v>
      </c>
      <c r="L2556" s="519">
        <v>1.7685790691565602E-5</v>
      </c>
    </row>
    <row r="2557" spans="1:12" ht="15.5" x14ac:dyDescent="0.35">
      <c r="A2557" s="143" t="s">
        <v>927</v>
      </c>
      <c r="B2557" s="229">
        <v>2043</v>
      </c>
      <c r="C2557" s="514" t="s">
        <v>3381</v>
      </c>
      <c r="D2557" s="515">
        <v>2.5002498400633229E-2</v>
      </c>
      <c r="E2557" s="516">
        <v>2.1903373879049153E-3</v>
      </c>
      <c r="F2557" s="145">
        <v>1.7432906802325308E-2</v>
      </c>
      <c r="G2557" s="145">
        <v>5.4277864378428657E-4</v>
      </c>
      <c r="H2557" s="517">
        <v>2.0000005732018801E-3</v>
      </c>
      <c r="I2557" s="517">
        <v>1.5750004513964799E-2</v>
      </c>
      <c r="J2557" s="148">
        <v>5.8961552168831845E-4</v>
      </c>
      <c r="K2557" s="518">
        <v>1.6655238432098866E-5</v>
      </c>
      <c r="L2557" s="519">
        <v>1.7408314407472425E-5</v>
      </c>
    </row>
    <row r="2558" spans="1:12" ht="15.5" x14ac:dyDescent="0.35">
      <c r="A2558" s="143" t="s">
        <v>927</v>
      </c>
      <c r="B2558" s="229">
        <v>2044</v>
      </c>
      <c r="C2558" s="514" t="s">
        <v>3382</v>
      </c>
      <c r="D2558" s="515">
        <v>2.4920703993857478E-2</v>
      </c>
      <c r="E2558" s="516">
        <v>2.1370831898307146E-3</v>
      </c>
      <c r="F2558" s="145">
        <v>1.7291044053502201E-2</v>
      </c>
      <c r="G2558" s="145">
        <v>5.3320685613474539E-4</v>
      </c>
      <c r="H2558" s="517">
        <v>2.0000005732018801E-3</v>
      </c>
      <c r="I2558" s="517">
        <v>1.5750004513964799E-2</v>
      </c>
      <c r="J2558" s="148">
        <v>5.7921419747647656E-4</v>
      </c>
      <c r="K2558" s="518">
        <v>1.644596283637004E-5</v>
      </c>
      <c r="L2558" s="519">
        <v>1.7189576297951442E-5</v>
      </c>
    </row>
    <row r="2559" spans="1:12" ht="15.5" x14ac:dyDescent="0.35">
      <c r="A2559" s="143" t="s">
        <v>927</v>
      </c>
      <c r="B2559" s="229">
        <v>2045</v>
      </c>
      <c r="C2559" s="514" t="s">
        <v>3383</v>
      </c>
      <c r="D2559" s="515">
        <v>2.4851559864506514E-2</v>
      </c>
      <c r="E2559" s="516">
        <v>2.1014834921379267E-3</v>
      </c>
      <c r="F2559" s="145">
        <v>1.7194456580344668E-2</v>
      </c>
      <c r="G2559" s="145">
        <v>5.2530166535595039E-4</v>
      </c>
      <c r="H2559" s="517">
        <v>2.0000005732018797E-3</v>
      </c>
      <c r="I2559" s="517">
        <v>1.5750004513964796E-2</v>
      </c>
      <c r="J2559" s="148">
        <v>5.7062340296386001E-4</v>
      </c>
      <c r="K2559" s="518">
        <v>1.628498049634542E-5</v>
      </c>
      <c r="L2559" s="519">
        <v>1.702131505085946E-5</v>
      </c>
    </row>
    <row r="2560" spans="1:12" ht="15.5" x14ac:dyDescent="0.35">
      <c r="A2560" s="143" t="s">
        <v>927</v>
      </c>
      <c r="B2560" s="229">
        <v>2046</v>
      </c>
      <c r="C2560" s="514" t="s">
        <v>3384</v>
      </c>
      <c r="D2560" s="515">
        <v>2.4793287532413215E-2</v>
      </c>
      <c r="E2560" s="516">
        <v>2.0718875883421026E-3</v>
      </c>
      <c r="F2560" s="145">
        <v>1.7118333197311115E-2</v>
      </c>
      <c r="G2560" s="145">
        <v>5.1888596937740242E-4</v>
      </c>
      <c r="H2560" s="517">
        <v>2.0000005732018801E-3</v>
      </c>
      <c r="I2560" s="517">
        <v>1.5750004513964803E-2</v>
      </c>
      <c r="J2560" s="148">
        <v>5.6365116405548044E-4</v>
      </c>
      <c r="K2560" s="518">
        <v>1.6157175061082975E-5</v>
      </c>
      <c r="L2560" s="519">
        <v>1.6887730820942665E-5</v>
      </c>
    </row>
    <row r="2561" spans="1:12" ht="15.5" x14ac:dyDescent="0.35">
      <c r="A2561" s="143" t="s">
        <v>927</v>
      </c>
      <c r="B2561" s="229">
        <v>2047</v>
      </c>
      <c r="C2561" s="514" t="s">
        <v>3385</v>
      </c>
      <c r="D2561" s="515">
        <v>2.4745443376561156E-2</v>
      </c>
      <c r="E2561" s="516">
        <v>2.0453395463577266E-3</v>
      </c>
      <c r="F2561" s="145">
        <v>1.7044327609131282E-2</v>
      </c>
      <c r="G2561" s="145">
        <v>5.1366492758045845E-4</v>
      </c>
      <c r="H2561" s="517">
        <v>2.0000005732018805E-3</v>
      </c>
      <c r="I2561" s="517">
        <v>1.5750004513964799E-2</v>
      </c>
      <c r="J2561" s="148">
        <v>5.5797712729083735E-4</v>
      </c>
      <c r="K2561" s="518">
        <v>1.6055169332013246E-5</v>
      </c>
      <c r="L2561" s="519">
        <v>1.6781112845448132E-5</v>
      </c>
    </row>
    <row r="2562" spans="1:12" ht="15.5" x14ac:dyDescent="0.35">
      <c r="A2562" s="143" t="s">
        <v>927</v>
      </c>
      <c r="B2562" s="229">
        <v>2048</v>
      </c>
      <c r="C2562" s="514" t="s">
        <v>3386</v>
      </c>
      <c r="D2562" s="515">
        <v>2.4705845457562242E-2</v>
      </c>
      <c r="E2562" s="516">
        <v>2.0236563696030265E-3</v>
      </c>
      <c r="F2562" s="145">
        <v>1.6981130894585965E-2</v>
      </c>
      <c r="G2562" s="145">
        <v>5.0942241482514531E-4</v>
      </c>
      <c r="H2562" s="517">
        <v>2.0000005732018797E-3</v>
      </c>
      <c r="I2562" s="517">
        <v>1.5750004513964799E-2</v>
      </c>
      <c r="J2562" s="148">
        <v>5.5336662559252365E-4</v>
      </c>
      <c r="K2562" s="518">
        <v>1.5969789845167314E-5</v>
      </c>
      <c r="L2562" s="519">
        <v>1.6691872877072874E-5</v>
      </c>
    </row>
    <row r="2563" spans="1:12" ht="15.5" x14ac:dyDescent="0.35">
      <c r="A2563" s="143" t="s">
        <v>927</v>
      </c>
      <c r="B2563" s="229">
        <v>2049</v>
      </c>
      <c r="C2563" s="514" t="s">
        <v>3387</v>
      </c>
      <c r="D2563" s="515">
        <v>2.4672830492556461E-2</v>
      </c>
      <c r="E2563" s="516">
        <v>2.0150839029074515E-3</v>
      </c>
      <c r="F2563" s="145">
        <v>1.6986451945783885E-2</v>
      </c>
      <c r="G2563" s="145">
        <v>5.0665149010569333E-4</v>
      </c>
      <c r="H2563" s="517">
        <v>2.0000005732018801E-3</v>
      </c>
      <c r="I2563" s="517">
        <v>1.5750004513964803E-2</v>
      </c>
      <c r="J2563" s="148">
        <v>5.5035583304886544E-4</v>
      </c>
      <c r="K2563" s="518">
        <v>1.5902748786289373E-5</v>
      </c>
      <c r="L2563" s="519">
        <v>1.662180051900278E-5</v>
      </c>
    </row>
    <row r="2564" spans="1:12" ht="15.5" x14ac:dyDescent="0.35">
      <c r="A2564" s="143" t="s">
        <v>927</v>
      </c>
      <c r="B2564" s="229">
        <v>2050</v>
      </c>
      <c r="C2564" s="514" t="s">
        <v>3388</v>
      </c>
      <c r="D2564" s="515">
        <v>2.4646332085616809E-2</v>
      </c>
      <c r="E2564" s="516">
        <v>2.0083389659430631E-3</v>
      </c>
      <c r="F2564" s="145">
        <v>1.6992886129588571E-2</v>
      </c>
      <c r="G2564" s="145">
        <v>5.0443976638238895E-4</v>
      </c>
      <c r="H2564" s="517">
        <v>2.0000005732018801E-3</v>
      </c>
      <c r="I2564" s="517">
        <v>1.5750004513964796E-2</v>
      </c>
      <c r="J2564" s="148">
        <v>5.4795303034522156E-4</v>
      </c>
      <c r="K2564" s="518">
        <v>1.5840244888660939E-5</v>
      </c>
      <c r="L2564" s="519">
        <v>1.6556470472480529E-5</v>
      </c>
    </row>
    <row r="2565" spans="1:12" ht="15.5" x14ac:dyDescent="0.35">
      <c r="A2565" s="143" t="s">
        <v>931</v>
      </c>
      <c r="B2565" s="229">
        <v>2015</v>
      </c>
      <c r="C2565" s="514" t="s">
        <v>3389</v>
      </c>
      <c r="D2565" s="515">
        <v>4.8124719947234273E-2</v>
      </c>
      <c r="E2565" s="516">
        <v>4.5087624070144092E-2</v>
      </c>
      <c r="F2565" s="145">
        <v>0.17668198060728973</v>
      </c>
      <c r="G2565" s="145">
        <v>1.7940065843690743E-3</v>
      </c>
      <c r="H2565" s="517">
        <v>2.0000005732018801E-3</v>
      </c>
      <c r="I2565" s="517">
        <v>1.5750004513964799E-2</v>
      </c>
      <c r="J2565" s="148">
        <v>1.9413276999068433E-3</v>
      </c>
      <c r="K2565" s="518">
        <v>1.6485576919718145E-4</v>
      </c>
      <c r="L2565" s="519">
        <v>1.7230981554363677E-4</v>
      </c>
    </row>
    <row r="2566" spans="1:12" ht="15.5" x14ac:dyDescent="0.35">
      <c r="A2566" s="143" t="s">
        <v>931</v>
      </c>
      <c r="B2566" s="229">
        <v>2016</v>
      </c>
      <c r="C2566" s="514" t="s">
        <v>3390</v>
      </c>
      <c r="D2566" s="515">
        <v>4.7459229615092788E-2</v>
      </c>
      <c r="E2566" s="516">
        <v>3.697077928400215E-2</v>
      </c>
      <c r="F2566" s="145">
        <v>0.149237161540938</v>
      </c>
      <c r="G2566" s="145">
        <v>1.6993953988203383E-3</v>
      </c>
      <c r="H2566" s="517">
        <v>2.0000005732018797E-3</v>
      </c>
      <c r="I2566" s="517">
        <v>1.5750004513964737E-2</v>
      </c>
      <c r="J2566" s="148">
        <v>1.8404378557517424E-3</v>
      </c>
      <c r="K2566" s="518">
        <v>1.4027649316390091E-4</v>
      </c>
      <c r="L2566" s="519">
        <v>1.4661917371705348E-4</v>
      </c>
    </row>
    <row r="2567" spans="1:12" ht="15.5" x14ac:dyDescent="0.35">
      <c r="A2567" s="143" t="s">
        <v>931</v>
      </c>
      <c r="B2567" s="229">
        <v>2017</v>
      </c>
      <c r="C2567" s="514" t="s">
        <v>3391</v>
      </c>
      <c r="D2567" s="515">
        <v>4.6438134308565492E-2</v>
      </c>
      <c r="E2567" s="516">
        <v>3.0423062665618141E-2</v>
      </c>
      <c r="F2567" s="145">
        <v>0.12615701755403577</v>
      </c>
      <c r="G2567" s="145">
        <v>1.6573205809249237E-3</v>
      </c>
      <c r="H2567" s="517">
        <v>2.0000005732018801E-3</v>
      </c>
      <c r="I2567" s="517">
        <v>1.5750004513964796E-2</v>
      </c>
      <c r="J2567" s="148">
        <v>1.7959443444850924E-3</v>
      </c>
      <c r="K2567" s="518">
        <v>1.2649639173809168E-4</v>
      </c>
      <c r="L2567" s="519">
        <v>1.3221599725306285E-4</v>
      </c>
    </row>
    <row r="2568" spans="1:12" ht="15.5" x14ac:dyDescent="0.35">
      <c r="A2568" s="143" t="s">
        <v>931</v>
      </c>
      <c r="B2568" s="229">
        <v>2018</v>
      </c>
      <c r="C2568" s="514" t="s">
        <v>3392</v>
      </c>
      <c r="D2568" s="515">
        <v>4.5366166530473269E-2</v>
      </c>
      <c r="E2568" s="516">
        <v>2.4971246701580407E-2</v>
      </c>
      <c r="F2568" s="145">
        <v>0.10657414452741842</v>
      </c>
      <c r="G2568" s="145">
        <v>1.6458285619072213E-3</v>
      </c>
      <c r="H2568" s="517">
        <v>2.0000005732018801E-3</v>
      </c>
      <c r="I2568" s="517">
        <v>1.5750004513964803E-2</v>
      </c>
      <c r="J2568" s="148">
        <v>1.7844472718066186E-3</v>
      </c>
      <c r="K2568" s="518">
        <v>1.1494620053322443E-4</v>
      </c>
      <c r="L2568" s="519">
        <v>1.2014355765512641E-4</v>
      </c>
    </row>
    <row r="2569" spans="1:12" ht="15.5" x14ac:dyDescent="0.35">
      <c r="A2569" s="143" t="s">
        <v>931</v>
      </c>
      <c r="B2569" s="229">
        <v>2019</v>
      </c>
      <c r="C2569" s="514" t="s">
        <v>3393</v>
      </c>
      <c r="D2569" s="515">
        <v>4.4211789355297244E-2</v>
      </c>
      <c r="E2569" s="516">
        <v>2.0533482675371025E-2</v>
      </c>
      <c r="F2569" s="145">
        <v>9.0330696284659839E-2</v>
      </c>
      <c r="G2569" s="145">
        <v>1.6407426520614961E-3</v>
      </c>
      <c r="H2569" s="517">
        <v>2.0000005732018797E-3</v>
      </c>
      <c r="I2569" s="517">
        <v>1.5750004513964803E-2</v>
      </c>
      <c r="J2569" s="148">
        <v>1.7797019592027089E-3</v>
      </c>
      <c r="K2569" s="518">
        <v>1.0488862157030644E-4</v>
      </c>
      <c r="L2569" s="519">
        <v>1.0963121960135084E-4</v>
      </c>
    </row>
    <row r="2570" spans="1:12" ht="15.5" x14ac:dyDescent="0.35">
      <c r="A2570" s="143" t="s">
        <v>931</v>
      </c>
      <c r="B2570" s="229">
        <v>2020</v>
      </c>
      <c r="C2570" s="514" t="s">
        <v>3394</v>
      </c>
      <c r="D2570" s="515">
        <v>4.2996709436923172E-2</v>
      </c>
      <c r="E2570" s="516">
        <v>1.7256536329361308E-2</v>
      </c>
      <c r="F2570" s="145">
        <v>7.710363412576085E-2</v>
      </c>
      <c r="G2570" s="145">
        <v>1.6000848874823594E-3</v>
      </c>
      <c r="H2570" s="517">
        <v>2.0000005732018801E-3</v>
      </c>
      <c r="I2570" s="517">
        <v>1.5750004513964799E-2</v>
      </c>
      <c r="J2570" s="148">
        <v>1.7359484782198988E-3</v>
      </c>
      <c r="K2570" s="518">
        <v>9.6659447463123761E-5</v>
      </c>
      <c r="L2570" s="519">
        <v>1.0102995875746067E-4</v>
      </c>
    </row>
    <row r="2571" spans="1:12" ht="15.5" x14ac:dyDescent="0.35">
      <c r="A2571" s="143" t="s">
        <v>931</v>
      </c>
      <c r="B2571" s="229">
        <v>2021</v>
      </c>
      <c r="C2571" s="514" t="s">
        <v>3395</v>
      </c>
      <c r="D2571" s="515">
        <v>4.1727037991074911E-2</v>
      </c>
      <c r="E2571" s="516">
        <v>1.4694582084924591E-2</v>
      </c>
      <c r="F2571" s="145">
        <v>6.6263827618727372E-2</v>
      </c>
      <c r="G2571" s="145">
        <v>1.518626344383982E-3</v>
      </c>
      <c r="H2571" s="517">
        <v>2.0000005732018771E-3</v>
      </c>
      <c r="I2571" s="517">
        <v>1.5750004513964744E-2</v>
      </c>
      <c r="J2571" s="148">
        <v>1.6477944649277848E-3</v>
      </c>
      <c r="K2571" s="518">
        <v>8.7686337276294418E-5</v>
      </c>
      <c r="L2571" s="519">
        <v>9.1651124345569628E-5</v>
      </c>
    </row>
    <row r="2572" spans="1:12" ht="15.5" x14ac:dyDescent="0.35">
      <c r="A2572" s="143" t="s">
        <v>931</v>
      </c>
      <c r="B2572" s="229">
        <v>2022</v>
      </c>
      <c r="C2572" s="514" t="s">
        <v>3396</v>
      </c>
      <c r="D2572" s="515">
        <v>4.0436664739143487E-2</v>
      </c>
      <c r="E2572" s="516">
        <v>1.2413670396602789E-2</v>
      </c>
      <c r="F2572" s="145">
        <v>5.7197027780562924E-2</v>
      </c>
      <c r="G2572" s="145">
        <v>1.4434928293806627E-3</v>
      </c>
      <c r="H2572" s="517">
        <v>2.0000005732018801E-3</v>
      </c>
      <c r="I2572" s="517">
        <v>1.5750004513964803E-2</v>
      </c>
      <c r="J2572" s="148">
        <v>1.5665192046870754E-3</v>
      </c>
      <c r="K2572" s="518">
        <v>7.9594655829392879E-5</v>
      </c>
      <c r="L2572" s="519">
        <v>8.3193572969943736E-5</v>
      </c>
    </row>
    <row r="2573" spans="1:12" ht="15.5" x14ac:dyDescent="0.35">
      <c r="A2573" s="143" t="s">
        <v>931</v>
      </c>
      <c r="B2573" s="229">
        <v>2023</v>
      </c>
      <c r="C2573" s="514" t="s">
        <v>3397</v>
      </c>
      <c r="D2573" s="515">
        <v>3.914503941323972E-2</v>
      </c>
      <c r="E2573" s="516">
        <v>1.0731021510260038E-2</v>
      </c>
      <c r="F2573" s="145">
        <v>4.9955119382632321E-2</v>
      </c>
      <c r="G2573" s="145">
        <v>1.3775413542703124E-3</v>
      </c>
      <c r="H2573" s="517">
        <v>2.0000005732018801E-3</v>
      </c>
      <c r="I2573" s="517">
        <v>1.5750004513964799E-2</v>
      </c>
      <c r="J2573" s="148">
        <v>1.4951469636718742E-3</v>
      </c>
      <c r="K2573" s="518">
        <v>7.1587171915068042E-5</v>
      </c>
      <c r="L2573" s="519">
        <v>7.4824026165696739E-5</v>
      </c>
    </row>
    <row r="2574" spans="1:12" ht="15.5" x14ac:dyDescent="0.35">
      <c r="A2574" s="143" t="s">
        <v>931</v>
      </c>
      <c r="B2574" s="229">
        <v>2024</v>
      </c>
      <c r="C2574" s="514" t="s">
        <v>3398</v>
      </c>
      <c r="D2574" s="515">
        <v>3.7853353524311351E-2</v>
      </c>
      <c r="E2574" s="516">
        <v>9.3210728325888725E-3</v>
      </c>
      <c r="F2574" s="145">
        <v>4.4002121410430119E-2</v>
      </c>
      <c r="G2574" s="145">
        <v>1.3176087587793736E-3</v>
      </c>
      <c r="H2574" s="517">
        <v>2.0000005732018779E-3</v>
      </c>
      <c r="I2574" s="517">
        <v>1.5750004513964799E-2</v>
      </c>
      <c r="J2574" s="148">
        <v>1.4303287909378914E-3</v>
      </c>
      <c r="K2574" s="518">
        <v>6.3379779043976062E-5</v>
      </c>
      <c r="L2574" s="519">
        <v>6.6245531408740539E-5</v>
      </c>
    </row>
    <row r="2575" spans="1:12" ht="15.5" x14ac:dyDescent="0.35">
      <c r="A2575" s="143" t="s">
        <v>931</v>
      </c>
      <c r="B2575" s="229">
        <v>2025</v>
      </c>
      <c r="C2575" s="514" t="s">
        <v>3399</v>
      </c>
      <c r="D2575" s="515">
        <v>3.6594498745471486E-2</v>
      </c>
      <c r="E2575" s="516">
        <v>8.1766523188791258E-3</v>
      </c>
      <c r="F2575" s="145">
        <v>3.9261932369438313E-2</v>
      </c>
      <c r="G2575" s="145">
        <v>1.2664869917082958E-3</v>
      </c>
      <c r="H2575" s="517">
        <v>2.0000005732018779E-3</v>
      </c>
      <c r="I2575" s="517">
        <v>1.5750004513964799E-2</v>
      </c>
      <c r="J2575" s="148">
        <v>1.3750029713426814E-3</v>
      </c>
      <c r="K2575" s="518">
        <v>5.702772147438003E-5</v>
      </c>
      <c r="L2575" s="519">
        <v>5.9606261982685381E-5</v>
      </c>
    </row>
    <row r="2576" spans="1:12" ht="15.5" x14ac:dyDescent="0.35">
      <c r="A2576" s="143" t="s">
        <v>931</v>
      </c>
      <c r="B2576" s="229">
        <v>2026</v>
      </c>
      <c r="C2576" s="514" t="s">
        <v>3400</v>
      </c>
      <c r="D2576" s="515">
        <v>3.5419269046771812E-2</v>
      </c>
      <c r="E2576" s="516">
        <v>7.2417779779317569E-3</v>
      </c>
      <c r="F2576" s="145">
        <v>3.5480760898201902E-2</v>
      </c>
      <c r="G2576" s="145">
        <v>1.2109215191408408E-3</v>
      </c>
      <c r="H2576" s="517">
        <v>2.0000005732018784E-3</v>
      </c>
      <c r="I2576" s="517">
        <v>1.5750004513964778E-2</v>
      </c>
      <c r="J2576" s="148">
        <v>1.3148289866222785E-3</v>
      </c>
      <c r="K2576" s="518">
        <v>5.0935382499483529E-5</v>
      </c>
      <c r="L2576" s="519">
        <v>5.3238454473697832E-5</v>
      </c>
    </row>
    <row r="2577" spans="1:12" ht="15.5" x14ac:dyDescent="0.35">
      <c r="A2577" s="143" t="s">
        <v>931</v>
      </c>
      <c r="B2577" s="229">
        <v>2027</v>
      </c>
      <c r="C2577" s="514" t="s">
        <v>3401</v>
      </c>
      <c r="D2577" s="515">
        <v>3.431651284930478E-2</v>
      </c>
      <c r="E2577" s="516">
        <v>6.4514461431980303E-3</v>
      </c>
      <c r="F2577" s="145">
        <v>3.2348532796833203E-2</v>
      </c>
      <c r="G2577" s="145">
        <v>1.1454049777838505E-3</v>
      </c>
      <c r="H2577" s="517">
        <v>2.0000005732018732E-3</v>
      </c>
      <c r="I2577" s="517">
        <v>1.5750004513964792E-2</v>
      </c>
      <c r="J2577" s="148">
        <v>1.2438760713677627E-3</v>
      </c>
      <c r="K2577" s="518">
        <v>4.3806961909521166E-5</v>
      </c>
      <c r="L2577" s="519">
        <v>4.5787718336555244E-5</v>
      </c>
    </row>
    <row r="2578" spans="1:12" ht="15.5" x14ac:dyDescent="0.35">
      <c r="A2578" s="143" t="s">
        <v>931</v>
      </c>
      <c r="B2578" s="229">
        <v>2028</v>
      </c>
      <c r="C2578" s="514" t="s">
        <v>3402</v>
      </c>
      <c r="D2578" s="515">
        <v>3.329644868457423E-2</v>
      </c>
      <c r="E2578" s="516">
        <v>5.7904773975928523E-3</v>
      </c>
      <c r="F2578" s="145">
        <v>2.9786000850299768E-2</v>
      </c>
      <c r="G2578" s="145">
        <v>1.0740992994586738E-3</v>
      </c>
      <c r="H2578" s="517">
        <v>2.0000005732018792E-3</v>
      </c>
      <c r="I2578" s="517">
        <v>1.5750004513964796E-2</v>
      </c>
      <c r="J2578" s="148">
        <v>1.1665547114611116E-3</v>
      </c>
      <c r="K2578" s="518">
        <v>3.8377638446164848E-5</v>
      </c>
      <c r="L2578" s="519">
        <v>4.0112904958451984E-5</v>
      </c>
    </row>
    <row r="2579" spans="1:12" ht="15.5" x14ac:dyDescent="0.35">
      <c r="A2579" s="143" t="s">
        <v>931</v>
      </c>
      <c r="B2579" s="229">
        <v>2029</v>
      </c>
      <c r="C2579" s="514" t="s">
        <v>3403</v>
      </c>
      <c r="D2579" s="515">
        <v>3.2355733079097108E-2</v>
      </c>
      <c r="E2579" s="516">
        <v>5.2205804506894301E-3</v>
      </c>
      <c r="F2579" s="145">
        <v>2.7644314519242943E-2</v>
      </c>
      <c r="G2579" s="145">
        <v>1.006950554722795E-3</v>
      </c>
      <c r="H2579" s="517">
        <v>2.0000005732018792E-3</v>
      </c>
      <c r="I2579" s="517">
        <v>1.5750004513964796E-2</v>
      </c>
      <c r="J2579" s="148">
        <v>1.0936927400995019E-3</v>
      </c>
      <c r="K2579" s="518">
        <v>3.4403300909525239E-5</v>
      </c>
      <c r="L2579" s="519">
        <v>3.5958865514267146E-5</v>
      </c>
    </row>
    <row r="2580" spans="1:12" ht="15.5" x14ac:dyDescent="0.35">
      <c r="A2580" s="143" t="s">
        <v>931</v>
      </c>
      <c r="B2580" s="229">
        <v>2030</v>
      </c>
      <c r="C2580" s="514" t="s">
        <v>3404</v>
      </c>
      <c r="D2580" s="515">
        <v>3.1502154250604472E-2</v>
      </c>
      <c r="E2580" s="516">
        <v>4.744168020345072E-3</v>
      </c>
      <c r="F2580" s="145">
        <v>2.590277750490786E-2</v>
      </c>
      <c r="G2580" s="145">
        <v>9.4416490170432887E-4</v>
      </c>
      <c r="H2580" s="517">
        <v>2.0000005732018805E-3</v>
      </c>
      <c r="I2580" s="517">
        <v>1.5750004513964803E-2</v>
      </c>
      <c r="J2580" s="148">
        <v>1.0255514047405692E-3</v>
      </c>
      <c r="K2580" s="518">
        <v>3.1010059258608365E-5</v>
      </c>
      <c r="L2580" s="519">
        <v>3.2412196533182714E-5</v>
      </c>
    </row>
    <row r="2581" spans="1:12" ht="15.5" x14ac:dyDescent="0.35">
      <c r="A2581" s="143" t="s">
        <v>931</v>
      </c>
      <c r="B2581" s="229">
        <v>2031</v>
      </c>
      <c r="C2581" s="514" t="s">
        <v>3405</v>
      </c>
      <c r="D2581" s="515">
        <v>3.0727558955769941E-2</v>
      </c>
      <c r="E2581" s="516">
        <v>4.3270454742439105E-3</v>
      </c>
      <c r="F2581" s="145">
        <v>2.4420701111567279E-2</v>
      </c>
      <c r="G2581" s="145">
        <v>8.8597092505799692E-4</v>
      </c>
      <c r="H2581" s="517">
        <v>2.0000005732018779E-3</v>
      </c>
      <c r="I2581" s="517">
        <v>1.5750004513964799E-2</v>
      </c>
      <c r="J2581" s="148">
        <v>9.6235245902680266E-4</v>
      </c>
      <c r="K2581" s="518">
        <v>2.8831603073362332E-5</v>
      </c>
      <c r="L2581" s="519">
        <v>3.0135240225995958E-5</v>
      </c>
    </row>
    <row r="2582" spans="1:12" ht="15.5" x14ac:dyDescent="0.35">
      <c r="A2582" s="143" t="s">
        <v>931</v>
      </c>
      <c r="B2582" s="229">
        <v>2032</v>
      </c>
      <c r="C2582" s="514" t="s">
        <v>3406</v>
      </c>
      <c r="D2582" s="515">
        <v>3.0033894390361051E-2</v>
      </c>
      <c r="E2582" s="516">
        <v>3.9682025474807574E-3</v>
      </c>
      <c r="F2582" s="145">
        <v>2.3208542586893366E-2</v>
      </c>
      <c r="G2582" s="145">
        <v>8.3179125939613447E-4</v>
      </c>
      <c r="H2582" s="517">
        <v>2.0000005732018792E-3</v>
      </c>
      <c r="I2582" s="517">
        <v>1.5750004513964789E-2</v>
      </c>
      <c r="J2582" s="148">
        <v>9.0352011057196705E-4</v>
      </c>
      <c r="K2582" s="518">
        <v>2.6637387988225338E-5</v>
      </c>
      <c r="L2582" s="519">
        <v>2.7841812471394236E-5</v>
      </c>
    </row>
    <row r="2583" spans="1:12" ht="15.5" x14ac:dyDescent="0.35">
      <c r="A2583" s="143" t="s">
        <v>931</v>
      </c>
      <c r="B2583" s="229">
        <v>2033</v>
      </c>
      <c r="C2583" s="514" t="s">
        <v>3407</v>
      </c>
      <c r="D2583" s="515">
        <v>2.9415828869828752E-2</v>
      </c>
      <c r="E2583" s="516">
        <v>3.6577519970014223E-3</v>
      </c>
      <c r="F2583" s="145">
        <v>2.2210671035820181E-2</v>
      </c>
      <c r="G2583" s="145">
        <v>7.8232286766693397E-4</v>
      </c>
      <c r="H2583" s="517">
        <v>2.0000005732018801E-3</v>
      </c>
      <c r="I2583" s="517">
        <v>1.5750004513964803E-2</v>
      </c>
      <c r="J2583" s="148">
        <v>8.4978364122469141E-4</v>
      </c>
      <c r="K2583" s="518">
        <v>2.5105372449838343E-5</v>
      </c>
      <c r="L2583" s="519">
        <v>2.6240525988579663E-5</v>
      </c>
    </row>
    <row r="2584" spans="1:12" ht="15.5" x14ac:dyDescent="0.35">
      <c r="A2584" s="143" t="s">
        <v>931</v>
      </c>
      <c r="B2584" s="229">
        <v>2034</v>
      </c>
      <c r="C2584" s="514" t="s">
        <v>3408</v>
      </c>
      <c r="D2584" s="515">
        <v>2.8861705580832776E-2</v>
      </c>
      <c r="E2584" s="516">
        <v>3.3828305650796739E-3</v>
      </c>
      <c r="F2584" s="145">
        <v>2.1372498903269921E-2</v>
      </c>
      <c r="G2584" s="145">
        <v>7.3685698070548203E-4</v>
      </c>
      <c r="H2584" s="517">
        <v>2.0000005732018788E-3</v>
      </c>
      <c r="I2584" s="517">
        <v>1.5750004513964789E-2</v>
      </c>
      <c r="J2584" s="148">
        <v>8.0039429055997848E-4</v>
      </c>
      <c r="K2584" s="518">
        <v>2.3714250099301648E-5</v>
      </c>
      <c r="L2584" s="519">
        <v>2.478650325836581E-5</v>
      </c>
    </row>
    <row r="2585" spans="1:12" ht="15.5" x14ac:dyDescent="0.35">
      <c r="A2585" s="143" t="s">
        <v>931</v>
      </c>
      <c r="B2585" s="229">
        <v>2035</v>
      </c>
      <c r="C2585" s="514" t="s">
        <v>3409</v>
      </c>
      <c r="D2585" s="515">
        <v>2.8372799542467336E-2</v>
      </c>
      <c r="E2585" s="516">
        <v>3.1409681777916222E-3</v>
      </c>
      <c r="F2585" s="145">
        <v>2.0678382364923198E-2</v>
      </c>
      <c r="G2585" s="145">
        <v>6.9550079235075287E-4</v>
      </c>
      <c r="H2585" s="517">
        <v>2.0000005732018766E-3</v>
      </c>
      <c r="I2585" s="517">
        <v>1.5750004513964796E-2</v>
      </c>
      <c r="J2585" s="148">
        <v>7.5546766283876045E-4</v>
      </c>
      <c r="K2585" s="518">
        <v>2.2487119550043977E-5</v>
      </c>
      <c r="L2585" s="519">
        <v>2.3503887310981785E-5</v>
      </c>
    </row>
    <row r="2586" spans="1:12" ht="15.5" x14ac:dyDescent="0.35">
      <c r="A2586" s="143" t="s">
        <v>931</v>
      </c>
      <c r="B2586" s="229">
        <v>2036</v>
      </c>
      <c r="C2586" s="514" t="s">
        <v>3410</v>
      </c>
      <c r="D2586" s="515">
        <v>2.7945713979443822E-2</v>
      </c>
      <c r="E2586" s="516">
        <v>2.93025418547317E-3</v>
      </c>
      <c r="F2586" s="145">
        <v>2.0102021954648032E-2</v>
      </c>
      <c r="G2586" s="145">
        <v>6.593075005787869E-4</v>
      </c>
      <c r="H2586" s="517">
        <v>2.0000005732018775E-3</v>
      </c>
      <c r="I2586" s="517">
        <v>1.5750004513964775E-2</v>
      </c>
      <c r="J2586" s="148">
        <v>7.161502297128692E-4</v>
      </c>
      <c r="K2586" s="518">
        <v>2.1399845302128298E-5</v>
      </c>
      <c r="L2586" s="519">
        <v>2.2367451346283371E-5</v>
      </c>
    </row>
    <row r="2587" spans="1:12" ht="15.5" x14ac:dyDescent="0.35">
      <c r="A2587" s="143" t="s">
        <v>931</v>
      </c>
      <c r="B2587" s="229">
        <v>2037</v>
      </c>
      <c r="C2587" s="514" t="s">
        <v>3411</v>
      </c>
      <c r="D2587" s="515">
        <v>2.7568482370111721E-2</v>
      </c>
      <c r="E2587" s="516">
        <v>2.7518038547016599E-3</v>
      </c>
      <c r="F2587" s="145">
        <v>1.9639737757994474E-2</v>
      </c>
      <c r="G2587" s="145">
        <v>6.2736552694121653E-4</v>
      </c>
      <c r="H2587" s="517">
        <v>2.0000005732018775E-3</v>
      </c>
      <c r="I2587" s="517">
        <v>1.5750004513964799E-2</v>
      </c>
      <c r="J2587" s="148">
        <v>6.8145012207241425E-4</v>
      </c>
      <c r="K2587" s="518">
        <v>2.0462913891493384E-5</v>
      </c>
      <c r="L2587" s="519">
        <v>2.1388156054831119E-5</v>
      </c>
    </row>
    <row r="2588" spans="1:12" ht="15.5" x14ac:dyDescent="0.35">
      <c r="A2588" s="143" t="s">
        <v>931</v>
      </c>
      <c r="B2588" s="229">
        <v>2038</v>
      </c>
      <c r="C2588" s="514" t="s">
        <v>3412</v>
      </c>
      <c r="D2588" s="515">
        <v>2.7243814082849472E-2</v>
      </c>
      <c r="E2588" s="516">
        <v>2.5926168895385958E-3</v>
      </c>
      <c r="F2588" s="145">
        <v>1.9229930841871513E-2</v>
      </c>
      <c r="G2588" s="145">
        <v>5.9931823611181244E-4</v>
      </c>
      <c r="H2588" s="517">
        <v>2.0000005732018801E-3</v>
      </c>
      <c r="I2588" s="517">
        <v>1.5750004513964799E-2</v>
      </c>
      <c r="J2588" s="148">
        <v>6.5097877842213337E-4</v>
      </c>
      <c r="K2588" s="518">
        <v>1.9692561949509248E-5</v>
      </c>
      <c r="L2588" s="519">
        <v>2.0582972216416582E-5</v>
      </c>
    </row>
    <row r="2589" spans="1:12" ht="15.5" x14ac:dyDescent="0.35">
      <c r="A2589" s="143" t="s">
        <v>931</v>
      </c>
      <c r="B2589" s="229">
        <v>2039</v>
      </c>
      <c r="C2589" s="514" t="s">
        <v>3413</v>
      </c>
      <c r="D2589" s="515">
        <v>2.696059902330945E-2</v>
      </c>
      <c r="E2589" s="516">
        <v>2.4474076961085722E-3</v>
      </c>
      <c r="F2589" s="145">
        <v>1.8859656732476547E-2</v>
      </c>
      <c r="G2589" s="145">
        <v>5.7487564203812977E-4</v>
      </c>
      <c r="H2589" s="517">
        <v>2.0000005732018797E-3</v>
      </c>
      <c r="I2589" s="517">
        <v>1.5750004513964799E-2</v>
      </c>
      <c r="J2589" s="148">
        <v>6.2442257257088439E-4</v>
      </c>
      <c r="K2589" s="518">
        <v>1.9047253870331881E-5</v>
      </c>
      <c r="L2589" s="519">
        <v>1.9908486169411061E-5</v>
      </c>
    </row>
    <row r="2590" spans="1:12" ht="15.5" x14ac:dyDescent="0.35">
      <c r="A2590" s="143" t="s">
        <v>931</v>
      </c>
      <c r="B2590" s="229">
        <v>2040</v>
      </c>
      <c r="C2590" s="514" t="s">
        <v>3414</v>
      </c>
      <c r="D2590" s="515">
        <v>2.6713932305876487E-2</v>
      </c>
      <c r="E2590" s="516">
        <v>2.3167023202860628E-3</v>
      </c>
      <c r="F2590" s="145">
        <v>1.8544416838881733E-2</v>
      </c>
      <c r="G2590" s="145">
        <v>5.5379165197538512E-4</v>
      </c>
      <c r="H2590" s="517">
        <v>2.0000005732018788E-3</v>
      </c>
      <c r="I2590" s="517">
        <v>1.5750004513964799E-2</v>
      </c>
      <c r="J2590" s="148">
        <v>6.0151495708735754E-4</v>
      </c>
      <c r="K2590" s="518">
        <v>1.8501010545112361E-5</v>
      </c>
      <c r="L2590" s="519">
        <v>1.9337544144943905E-5</v>
      </c>
    </row>
    <row r="2591" spans="1:12" ht="15.5" x14ac:dyDescent="0.35">
      <c r="A2591" s="143" t="s">
        <v>931</v>
      </c>
      <c r="B2591" s="229">
        <v>2041</v>
      </c>
      <c r="C2591" s="514" t="s">
        <v>3415</v>
      </c>
      <c r="D2591" s="515">
        <v>2.6505876894589008E-2</v>
      </c>
      <c r="E2591" s="516">
        <v>2.2123972890942967E-3</v>
      </c>
      <c r="F2591" s="145">
        <v>1.8290482541333353E-2</v>
      </c>
      <c r="G2591" s="145">
        <v>5.3704028681676524E-4</v>
      </c>
      <c r="H2591" s="517">
        <v>2.0000005732018792E-3</v>
      </c>
      <c r="I2591" s="517">
        <v>1.5750004513964803E-2</v>
      </c>
      <c r="J2591" s="148">
        <v>5.8331526758410455E-4</v>
      </c>
      <c r="K2591" s="518">
        <v>1.8053855083963615E-5</v>
      </c>
      <c r="L2591" s="519">
        <v>1.8870170298065018E-5</v>
      </c>
    </row>
    <row r="2592" spans="1:12" ht="15.5" x14ac:dyDescent="0.35">
      <c r="A2592" s="143" t="s">
        <v>931</v>
      </c>
      <c r="B2592" s="229">
        <v>2042</v>
      </c>
      <c r="C2592" s="514" t="s">
        <v>3416</v>
      </c>
      <c r="D2592" s="515">
        <v>2.632382245843496E-2</v>
      </c>
      <c r="E2592" s="516">
        <v>2.1235542034418486E-3</v>
      </c>
      <c r="F2592" s="145">
        <v>1.8059463689895781E-2</v>
      </c>
      <c r="G2592" s="145">
        <v>5.2298200964313564E-4</v>
      </c>
      <c r="H2592" s="517">
        <v>2.0000005732018801E-3</v>
      </c>
      <c r="I2592" s="517">
        <v>1.5750004513964796E-2</v>
      </c>
      <c r="J2592" s="148">
        <v>5.6804071530868275E-4</v>
      </c>
      <c r="K2592" s="518">
        <v>1.7697357181728856E-5</v>
      </c>
      <c r="L2592" s="519">
        <v>1.8497553142627215E-5</v>
      </c>
    </row>
    <row r="2593" spans="1:12" ht="15.5" x14ac:dyDescent="0.35">
      <c r="A2593" s="143" t="s">
        <v>931</v>
      </c>
      <c r="B2593" s="229">
        <v>2043</v>
      </c>
      <c r="C2593" s="514" t="s">
        <v>3417</v>
      </c>
      <c r="D2593" s="515">
        <v>2.6166805256718311E-2</v>
      </c>
      <c r="E2593" s="516">
        <v>2.0561306930145934E-3</v>
      </c>
      <c r="F2593" s="145">
        <v>1.7886672452698031E-2</v>
      </c>
      <c r="G2593" s="145">
        <v>5.1128647549849335E-4</v>
      </c>
      <c r="H2593" s="517">
        <v>2.0000005732018801E-3</v>
      </c>
      <c r="I2593" s="517">
        <v>1.5750004513964799E-2</v>
      </c>
      <c r="J2593" s="148">
        <v>5.5533275704146875E-4</v>
      </c>
      <c r="K2593" s="518">
        <v>1.7414123347072549E-5</v>
      </c>
      <c r="L2593" s="519">
        <v>1.8201512730799276E-5</v>
      </c>
    </row>
    <row r="2594" spans="1:12" ht="15.5" x14ac:dyDescent="0.35">
      <c r="A2594" s="143" t="s">
        <v>931</v>
      </c>
      <c r="B2594" s="229">
        <v>2044</v>
      </c>
      <c r="C2594" s="514" t="s">
        <v>3418</v>
      </c>
      <c r="D2594" s="515">
        <v>2.6025936577948355E-2</v>
      </c>
      <c r="E2594" s="516">
        <v>2.0063859525022475E-3</v>
      </c>
      <c r="F2594" s="145">
        <v>1.7753939799734914E-2</v>
      </c>
      <c r="G2594" s="145">
        <v>5.0159711698623017E-4</v>
      </c>
      <c r="H2594" s="517">
        <v>2.0000005732018797E-3</v>
      </c>
      <c r="I2594" s="517">
        <v>1.5750004513964799E-2</v>
      </c>
      <c r="J2594" s="148">
        <v>5.4480420929894013E-4</v>
      </c>
      <c r="K2594" s="518">
        <v>1.7189614725748756E-5</v>
      </c>
      <c r="L2594" s="519">
        <v>1.7966852825861465E-5</v>
      </c>
    </row>
    <row r="2595" spans="1:12" ht="15.5" x14ac:dyDescent="0.35">
      <c r="A2595" s="143" t="s">
        <v>931</v>
      </c>
      <c r="B2595" s="229">
        <v>2045</v>
      </c>
      <c r="C2595" s="514" t="s">
        <v>3419</v>
      </c>
      <c r="D2595" s="515">
        <v>2.5900821105494163E-2</v>
      </c>
      <c r="E2595" s="516">
        <v>1.9726722626411571E-3</v>
      </c>
      <c r="F2595" s="145">
        <v>1.766535033961867E-2</v>
      </c>
      <c r="G2595" s="145">
        <v>4.9358481397057717E-4</v>
      </c>
      <c r="H2595" s="517">
        <v>2.000000573201874E-3</v>
      </c>
      <c r="I2595" s="517">
        <v>1.5750004513964803E-2</v>
      </c>
      <c r="J2595" s="148">
        <v>5.3609736206823013E-4</v>
      </c>
      <c r="K2595" s="518">
        <v>1.7018211018536224E-5</v>
      </c>
      <c r="L2595" s="519">
        <v>1.7787699003601452E-5</v>
      </c>
    </row>
    <row r="2596" spans="1:12" ht="15.5" x14ac:dyDescent="0.35">
      <c r="A2596" s="143" t="s">
        <v>931</v>
      </c>
      <c r="B2596" s="229">
        <v>2046</v>
      </c>
      <c r="C2596" s="514" t="s">
        <v>3420</v>
      </c>
      <c r="D2596" s="515">
        <v>2.5790678349638472E-2</v>
      </c>
      <c r="E2596" s="516">
        <v>1.9441558991011921E-3</v>
      </c>
      <c r="F2596" s="145">
        <v>1.7593588763363185E-2</v>
      </c>
      <c r="G2596" s="145">
        <v>4.8703848866839348E-4</v>
      </c>
      <c r="H2596" s="517">
        <v>2.0000005732018801E-3</v>
      </c>
      <c r="I2596" s="517">
        <v>1.5750004513964796E-2</v>
      </c>
      <c r="J2596" s="148">
        <v>5.2898336154158271E-4</v>
      </c>
      <c r="K2596" s="518">
        <v>1.6883097383534621E-5</v>
      </c>
      <c r="L2596" s="519">
        <v>1.7646476129582992E-5</v>
      </c>
    </row>
    <row r="2597" spans="1:12" ht="15.5" x14ac:dyDescent="0.35">
      <c r="A2597" s="143" t="s">
        <v>931</v>
      </c>
      <c r="B2597" s="229">
        <v>2047</v>
      </c>
      <c r="C2597" s="514" t="s">
        <v>3421</v>
      </c>
      <c r="D2597" s="515">
        <v>2.5693806912178721E-2</v>
      </c>
      <c r="E2597" s="516">
        <v>1.9195888893339375E-3</v>
      </c>
      <c r="F2597" s="145">
        <v>1.7529024911901055E-2</v>
      </c>
      <c r="G2597" s="145">
        <v>4.8174331361592167E-4</v>
      </c>
      <c r="H2597" s="517">
        <v>2.0000005732018801E-3</v>
      </c>
      <c r="I2597" s="517">
        <v>1.5750004513964799E-2</v>
      </c>
      <c r="J2597" s="148">
        <v>5.232289563398447E-4</v>
      </c>
      <c r="K2597" s="518">
        <v>1.6774997539076446E-5</v>
      </c>
      <c r="L2597" s="519">
        <v>1.7533488489844362E-5</v>
      </c>
    </row>
    <row r="2598" spans="1:12" ht="15.5" x14ac:dyDescent="0.35">
      <c r="A2598" s="143" t="s">
        <v>931</v>
      </c>
      <c r="B2598" s="229">
        <v>2048</v>
      </c>
      <c r="C2598" s="514" t="s">
        <v>3422</v>
      </c>
      <c r="D2598" s="515">
        <v>2.5609536330271992E-2</v>
      </c>
      <c r="E2598" s="516">
        <v>1.9002923590095192E-3</v>
      </c>
      <c r="F2598" s="145">
        <v>1.747829395892531E-2</v>
      </c>
      <c r="G2598" s="145">
        <v>4.7746284572188418E-4</v>
      </c>
      <c r="H2598" s="517">
        <v>2.0000005732018801E-3</v>
      </c>
      <c r="I2598" s="517">
        <v>1.5750004513964799E-2</v>
      </c>
      <c r="J2598" s="148">
        <v>5.1857745244402462E-4</v>
      </c>
      <c r="K2598" s="518">
        <v>1.6683069981991138E-5</v>
      </c>
      <c r="L2598" s="519">
        <v>1.7437404376550131E-5</v>
      </c>
    </row>
    <row r="2599" spans="1:12" ht="15.5" x14ac:dyDescent="0.35">
      <c r="A2599" s="143" t="s">
        <v>931</v>
      </c>
      <c r="B2599" s="229">
        <v>2049</v>
      </c>
      <c r="C2599" s="514" t="s">
        <v>3423</v>
      </c>
      <c r="D2599" s="515">
        <v>2.5538667507445659E-2</v>
      </c>
      <c r="E2599" s="516">
        <v>1.8922847982564112E-3</v>
      </c>
      <c r="F2599" s="145">
        <v>1.7488813686819885E-2</v>
      </c>
      <c r="G2599" s="145">
        <v>4.7456638560506274E-4</v>
      </c>
      <c r="H2599" s="517">
        <v>2.0000005732018801E-3</v>
      </c>
      <c r="I2599" s="517">
        <v>1.5750004513964799E-2</v>
      </c>
      <c r="J2599" s="148">
        <v>5.1543020139669141E-4</v>
      </c>
      <c r="K2599" s="518">
        <v>1.6614313436156292E-5</v>
      </c>
      <c r="L2599" s="519">
        <v>1.7365538964815293E-5</v>
      </c>
    </row>
    <row r="2600" spans="1:12" ht="15.5" x14ac:dyDescent="0.35">
      <c r="A2600" s="143" t="s">
        <v>931</v>
      </c>
      <c r="B2600" s="229">
        <v>2050</v>
      </c>
      <c r="C2600" s="514" t="s">
        <v>3424</v>
      </c>
      <c r="D2600" s="515">
        <v>2.54746905647452E-2</v>
      </c>
      <c r="E2600" s="516">
        <v>1.8859469596439564E-3</v>
      </c>
      <c r="F2600" s="145">
        <v>1.749956464083096E-2</v>
      </c>
      <c r="G2600" s="145">
        <v>4.722597243632006E-4</v>
      </c>
      <c r="H2600" s="517">
        <v>2.0000005732018801E-3</v>
      </c>
      <c r="I2600" s="517">
        <v>1.5750004513964799E-2</v>
      </c>
      <c r="J2600" s="148">
        <v>5.1292423383675226E-4</v>
      </c>
      <c r="K2600" s="518">
        <v>1.65497244434344E-5</v>
      </c>
      <c r="L2600" s="519">
        <v>1.7298029544451954E-5</v>
      </c>
    </row>
    <row r="2601" spans="1:12" ht="15.5" x14ac:dyDescent="0.35">
      <c r="A2601" s="143" t="s">
        <v>935</v>
      </c>
      <c r="B2601" s="229">
        <v>2015</v>
      </c>
      <c r="C2601" s="514" t="s">
        <v>3425</v>
      </c>
      <c r="D2601" s="515">
        <v>4.2898007650422967E-2</v>
      </c>
      <c r="E2601" s="516">
        <v>5.5182852521952611E-2</v>
      </c>
      <c r="F2601" s="145">
        <v>0.21607935879216381</v>
      </c>
      <c r="G2601" s="145">
        <v>1.8580512901653901E-3</v>
      </c>
      <c r="H2601" s="517">
        <v>2.0000005732018801E-3</v>
      </c>
      <c r="I2601" s="517">
        <v>1.5750004513964799E-2</v>
      </c>
      <c r="J2601" s="148">
        <v>2.0114316257141144E-3</v>
      </c>
      <c r="K2601" s="518">
        <v>1.2533676777429359E-4</v>
      </c>
      <c r="L2601" s="519">
        <v>1.3100394023937736E-4</v>
      </c>
    </row>
    <row r="2602" spans="1:12" ht="15.5" x14ac:dyDescent="0.35">
      <c r="A2602" s="143" t="s">
        <v>935</v>
      </c>
      <c r="B2602" s="229">
        <v>2016</v>
      </c>
      <c r="C2602" s="514" t="s">
        <v>3426</v>
      </c>
      <c r="D2602" s="515">
        <v>4.2038782798958542E-2</v>
      </c>
      <c r="E2602" s="516">
        <v>4.5702963487513869E-2</v>
      </c>
      <c r="F2602" s="145">
        <v>0.18371191112665988</v>
      </c>
      <c r="G2602" s="145">
        <v>1.7355191441600249E-3</v>
      </c>
      <c r="H2602" s="517">
        <v>2.0000005732018801E-3</v>
      </c>
      <c r="I2602" s="517">
        <v>1.5750004513964799E-2</v>
      </c>
      <c r="J2602" s="148">
        <v>1.8801625450985714E-3</v>
      </c>
      <c r="K2602" s="518">
        <v>1.0676697642988373E-4</v>
      </c>
      <c r="L2602" s="519">
        <v>1.1159450533260199E-4</v>
      </c>
    </row>
    <row r="2603" spans="1:12" ht="15.5" x14ac:dyDescent="0.35">
      <c r="A2603" s="143" t="s">
        <v>935</v>
      </c>
      <c r="B2603" s="229">
        <v>2017</v>
      </c>
      <c r="C2603" s="514" t="s">
        <v>3427</v>
      </c>
      <c r="D2603" s="515">
        <v>4.0995763527728359E-2</v>
      </c>
      <c r="E2603" s="516">
        <v>3.7614230094269709E-2</v>
      </c>
      <c r="F2603" s="145">
        <v>0.15582989496483673</v>
      </c>
      <c r="G2603" s="145">
        <v>1.6660224831485672E-3</v>
      </c>
      <c r="H2603" s="517">
        <v>2.0000005732018797E-3</v>
      </c>
      <c r="I2603" s="517">
        <v>1.5750004513964796E-2</v>
      </c>
      <c r="J2603" s="148">
        <v>1.8059926429763614E-3</v>
      </c>
      <c r="K2603" s="518">
        <v>9.7021870150401377E-5</v>
      </c>
      <c r="L2603" s="519">
        <v>1.0140876859043003E-4</v>
      </c>
    </row>
    <row r="2604" spans="1:12" ht="15.5" x14ac:dyDescent="0.35">
      <c r="A2604" s="143" t="s">
        <v>935</v>
      </c>
      <c r="B2604" s="229">
        <v>2018</v>
      </c>
      <c r="C2604" s="514" t="s">
        <v>3428</v>
      </c>
      <c r="D2604" s="515">
        <v>3.9922265403698705E-2</v>
      </c>
      <c r="E2604" s="516">
        <v>3.1059784317350042E-2</v>
      </c>
      <c r="F2604" s="145">
        <v>0.13198521905572336</v>
      </c>
      <c r="G2604" s="145">
        <v>1.6430344210423304E-3</v>
      </c>
      <c r="H2604" s="517">
        <v>2.0000005732018797E-3</v>
      </c>
      <c r="I2604" s="517">
        <v>1.5750004513964796E-2</v>
      </c>
      <c r="J2604" s="148">
        <v>1.7820648759192836E-3</v>
      </c>
      <c r="K2604" s="518">
        <v>8.9614268423137436E-5</v>
      </c>
      <c r="L2604" s="519">
        <v>9.3666227983805033E-5</v>
      </c>
    </row>
    <row r="2605" spans="1:12" ht="15.5" x14ac:dyDescent="0.35">
      <c r="A2605" s="143" t="s">
        <v>935</v>
      </c>
      <c r="B2605" s="229">
        <v>2019</v>
      </c>
      <c r="C2605" s="514" t="s">
        <v>3429</v>
      </c>
      <c r="D2605" s="515">
        <v>3.8884304935808939E-2</v>
      </c>
      <c r="E2605" s="516">
        <v>2.5438073826827869E-2</v>
      </c>
      <c r="F2605" s="145">
        <v>0.11182122725503905</v>
      </c>
      <c r="G2605" s="145">
        <v>1.6220033070696431E-3</v>
      </c>
      <c r="H2605" s="517">
        <v>2.0000005732018784E-3</v>
      </c>
      <c r="I2605" s="517">
        <v>1.5750004513964799E-2</v>
      </c>
      <c r="J2605" s="148">
        <v>1.7600490491382233E-3</v>
      </c>
      <c r="K2605" s="518">
        <v>8.2382199072238889E-5</v>
      </c>
      <c r="L2605" s="519">
        <v>8.610715654869162E-5</v>
      </c>
    </row>
    <row r="2606" spans="1:12" ht="15.5" x14ac:dyDescent="0.35">
      <c r="A2606" s="143" t="s">
        <v>935</v>
      </c>
      <c r="B2606" s="229">
        <v>2020</v>
      </c>
      <c r="C2606" s="514" t="s">
        <v>3430</v>
      </c>
      <c r="D2606" s="515">
        <v>3.7755160023763973E-2</v>
      </c>
      <c r="E2606" s="516">
        <v>2.122215931529543E-2</v>
      </c>
      <c r="F2606" s="145">
        <v>9.5180973072659145E-2</v>
      </c>
      <c r="G2606" s="145">
        <v>1.5809255656264707E-3</v>
      </c>
      <c r="H2606" s="517">
        <v>2.0000005732018766E-3</v>
      </c>
      <c r="I2606" s="517">
        <v>1.5750004513964799E-2</v>
      </c>
      <c r="J2606" s="148">
        <v>1.7158116300027505E-3</v>
      </c>
      <c r="K2606" s="518">
        <v>7.7040309074109345E-5</v>
      </c>
      <c r="L2606" s="519">
        <v>8.0523729989132145E-5</v>
      </c>
    </row>
    <row r="2607" spans="1:12" ht="15.5" x14ac:dyDescent="0.35">
      <c r="A2607" s="143" t="s">
        <v>935</v>
      </c>
      <c r="B2607" s="229">
        <v>2021</v>
      </c>
      <c r="C2607" s="514" t="s">
        <v>3431</v>
      </c>
      <c r="D2607" s="515">
        <v>3.6751994638951388E-2</v>
      </c>
      <c r="E2607" s="516">
        <v>1.8011850018525555E-2</v>
      </c>
      <c r="F2607" s="145">
        <v>8.1371453215304659E-2</v>
      </c>
      <c r="G2607" s="145">
        <v>1.5104685568351236E-3</v>
      </c>
      <c r="H2607" s="517">
        <v>2.0000005732018779E-3</v>
      </c>
      <c r="I2607" s="517">
        <v>1.5750004513964799E-2</v>
      </c>
      <c r="J2607" s="148">
        <v>1.6395246521347599E-3</v>
      </c>
      <c r="K2607" s="518">
        <v>7.1320437917236288E-5</v>
      </c>
      <c r="L2607" s="519">
        <v>7.4545231640097673E-5</v>
      </c>
    </row>
    <row r="2608" spans="1:12" ht="15.5" x14ac:dyDescent="0.35">
      <c r="A2608" s="143" t="s">
        <v>935</v>
      </c>
      <c r="B2608" s="229">
        <v>2022</v>
      </c>
      <c r="C2608" s="514" t="s">
        <v>3432</v>
      </c>
      <c r="D2608" s="515">
        <v>3.5622035811049814E-2</v>
      </c>
      <c r="E2608" s="516">
        <v>1.5017669733436982E-2</v>
      </c>
      <c r="F2608" s="145">
        <v>6.9558262025278386E-2</v>
      </c>
      <c r="G2608" s="145">
        <v>1.4372734756209675E-3</v>
      </c>
      <c r="H2608" s="517">
        <v>2.0000005732018801E-3</v>
      </c>
      <c r="I2608" s="517">
        <v>1.5750004513964799E-2</v>
      </c>
      <c r="J2608" s="148">
        <v>1.5603146268268291E-3</v>
      </c>
      <c r="K2608" s="518">
        <v>6.5855244996834247E-5</v>
      </c>
      <c r="L2608" s="519">
        <v>6.8832926947269492E-5</v>
      </c>
    </row>
    <row r="2609" spans="1:12" ht="15.5" x14ac:dyDescent="0.35">
      <c r="A2609" s="143" t="s">
        <v>935</v>
      </c>
      <c r="B2609" s="229">
        <v>2023</v>
      </c>
      <c r="C2609" s="514" t="s">
        <v>3433</v>
      </c>
      <c r="D2609" s="515">
        <v>3.4500862457153926E-2</v>
      </c>
      <c r="E2609" s="516">
        <v>1.2879554597390727E-2</v>
      </c>
      <c r="F2609" s="145">
        <v>6.0144002878802089E-2</v>
      </c>
      <c r="G2609" s="145">
        <v>1.3705746234402307E-3</v>
      </c>
      <c r="H2609" s="517">
        <v>2.0000005732018801E-3</v>
      </c>
      <c r="I2609" s="517">
        <v>1.5750004513964799E-2</v>
      </c>
      <c r="J2609" s="148">
        <v>1.4880327932471947E-3</v>
      </c>
      <c r="K2609" s="518">
        <v>6.0369885631831025E-5</v>
      </c>
      <c r="L2609" s="519">
        <v>6.3099543972702481E-5</v>
      </c>
    </row>
    <row r="2610" spans="1:12" ht="15.5" x14ac:dyDescent="0.35">
      <c r="A2610" s="143" t="s">
        <v>935</v>
      </c>
      <c r="B2610" s="229">
        <v>2024</v>
      </c>
      <c r="C2610" s="514" t="s">
        <v>3434</v>
      </c>
      <c r="D2610" s="515">
        <v>3.3476940389634287E-2</v>
      </c>
      <c r="E2610" s="516">
        <v>1.1134880375758271E-2</v>
      </c>
      <c r="F2610" s="145">
        <v>5.2391025939504496E-2</v>
      </c>
      <c r="G2610" s="145">
        <v>1.3145556724538624E-3</v>
      </c>
      <c r="H2610" s="517">
        <v>2.0000005732018801E-3</v>
      </c>
      <c r="I2610" s="517">
        <v>1.5750004513964799E-2</v>
      </c>
      <c r="J2610" s="148">
        <v>1.4273930953871005E-3</v>
      </c>
      <c r="K2610" s="518">
        <v>5.4187084455732902E-5</v>
      </c>
      <c r="L2610" s="519">
        <v>5.6637183963195067E-5</v>
      </c>
    </row>
    <row r="2611" spans="1:12" ht="15.5" x14ac:dyDescent="0.35">
      <c r="A2611" s="143" t="s">
        <v>935</v>
      </c>
      <c r="B2611" s="229">
        <v>2025</v>
      </c>
      <c r="C2611" s="514" t="s">
        <v>3435</v>
      </c>
      <c r="D2611" s="515">
        <v>3.2379842093805587E-2</v>
      </c>
      <c r="E2611" s="516">
        <v>9.6754551670757295E-3</v>
      </c>
      <c r="F2611" s="145">
        <v>4.614578661783636E-2</v>
      </c>
      <c r="G2611" s="145">
        <v>1.2632548882327648E-3</v>
      </c>
      <c r="H2611" s="517">
        <v>2.0000005732018779E-3</v>
      </c>
      <c r="I2611" s="517">
        <v>1.5750004513964796E-2</v>
      </c>
      <c r="J2611" s="148">
        <v>1.3718025341566966E-3</v>
      </c>
      <c r="K2611" s="518">
        <v>4.9589660155740954E-5</v>
      </c>
      <c r="L2611" s="519">
        <v>5.1831884537125639E-5</v>
      </c>
    </row>
    <row r="2612" spans="1:12" ht="15.5" x14ac:dyDescent="0.35">
      <c r="A2612" s="143" t="s">
        <v>935</v>
      </c>
      <c r="B2612" s="229">
        <v>2026</v>
      </c>
      <c r="C2612" s="514" t="s">
        <v>3436</v>
      </c>
      <c r="D2612" s="515">
        <v>3.1390858680514826E-2</v>
      </c>
      <c r="E2612" s="516">
        <v>8.5498476657436904E-3</v>
      </c>
      <c r="F2612" s="145">
        <v>4.120147026025818E-2</v>
      </c>
      <c r="G2612" s="145">
        <v>1.2187167275092214E-3</v>
      </c>
      <c r="H2612" s="517">
        <v>2.0000005732018797E-3</v>
      </c>
      <c r="I2612" s="517">
        <v>1.5750004513964799E-2</v>
      </c>
      <c r="J2612" s="148">
        <v>1.3235414117018438E-3</v>
      </c>
      <c r="K2612" s="518">
        <v>4.5400386708112336E-5</v>
      </c>
      <c r="L2612" s="519">
        <v>4.7453190733820869E-5</v>
      </c>
    </row>
    <row r="2613" spans="1:12" ht="15.5" x14ac:dyDescent="0.35">
      <c r="A2613" s="143" t="s">
        <v>935</v>
      </c>
      <c r="B2613" s="229">
        <v>2027</v>
      </c>
      <c r="C2613" s="514" t="s">
        <v>3437</v>
      </c>
      <c r="D2613" s="515">
        <v>3.049595248649957E-2</v>
      </c>
      <c r="E2613" s="516">
        <v>7.5503628231458394E-3</v>
      </c>
      <c r="F2613" s="145">
        <v>3.7083842805694878E-2</v>
      </c>
      <c r="G2613" s="145">
        <v>1.1574004449816516E-3</v>
      </c>
      <c r="H2613" s="517">
        <v>2.0000005732018801E-3</v>
      </c>
      <c r="I2613" s="517">
        <v>1.5750004513964796E-2</v>
      </c>
      <c r="J2613" s="148">
        <v>1.2571062533503479E-3</v>
      </c>
      <c r="K2613" s="518">
        <v>3.9464449048731522E-5</v>
      </c>
      <c r="L2613" s="519">
        <v>4.1248856313816095E-5</v>
      </c>
    </row>
    <row r="2614" spans="1:12" ht="15.5" x14ac:dyDescent="0.35">
      <c r="A2614" s="143" t="s">
        <v>935</v>
      </c>
      <c r="B2614" s="229">
        <v>2028</v>
      </c>
      <c r="C2614" s="514" t="s">
        <v>3438</v>
      </c>
      <c r="D2614" s="515">
        <v>2.9696709280022208E-2</v>
      </c>
      <c r="E2614" s="516">
        <v>6.7275663662967446E-3</v>
      </c>
      <c r="F2614" s="145">
        <v>3.3740628044226222E-2</v>
      </c>
      <c r="G2614" s="145">
        <v>1.0905522711211759E-3</v>
      </c>
      <c r="H2614" s="517">
        <v>2.0000005732018797E-3</v>
      </c>
      <c r="I2614" s="517">
        <v>1.5750004513964785E-2</v>
      </c>
      <c r="J2614" s="148">
        <v>1.1845983298412307E-3</v>
      </c>
      <c r="K2614" s="518">
        <v>3.4849423215956432E-5</v>
      </c>
      <c r="L2614" s="519">
        <v>3.6425159491756808E-5</v>
      </c>
    </row>
    <row r="2615" spans="1:12" ht="15.5" x14ac:dyDescent="0.35">
      <c r="A2615" s="143" t="s">
        <v>935</v>
      </c>
      <c r="B2615" s="229">
        <v>2029</v>
      </c>
      <c r="C2615" s="514" t="s">
        <v>3439</v>
      </c>
      <c r="D2615" s="515">
        <v>2.8983063719080385E-2</v>
      </c>
      <c r="E2615" s="516">
        <v>6.0203865911026035E-3</v>
      </c>
      <c r="F2615" s="145">
        <v>3.09523265951267E-2</v>
      </c>
      <c r="G2615" s="145">
        <v>1.0255982163169307E-3</v>
      </c>
      <c r="H2615" s="517">
        <v>2.0000005732018801E-3</v>
      </c>
      <c r="I2615" s="517">
        <v>1.5750004513964799E-2</v>
      </c>
      <c r="J2615" s="148">
        <v>1.114099909637508E-3</v>
      </c>
      <c r="K2615" s="518">
        <v>3.1426684830773511E-5</v>
      </c>
      <c r="L2615" s="519">
        <v>3.2847660064972561E-5</v>
      </c>
    </row>
    <row r="2616" spans="1:12" ht="15.5" x14ac:dyDescent="0.35">
      <c r="A2616" s="143" t="s">
        <v>935</v>
      </c>
      <c r="B2616" s="229">
        <v>2030</v>
      </c>
      <c r="C2616" s="514" t="s">
        <v>3440</v>
      </c>
      <c r="D2616" s="515">
        <v>2.8349759850417055E-2</v>
      </c>
      <c r="E2616" s="516">
        <v>5.4343351700506118E-3</v>
      </c>
      <c r="F2616" s="145">
        <v>2.8686568694191963E-2</v>
      </c>
      <c r="G2616" s="145">
        <v>9.6404320818438394E-4</v>
      </c>
      <c r="H2616" s="517">
        <v>2.0000005732018797E-3</v>
      </c>
      <c r="I2616" s="517">
        <v>1.5750004513964799E-2</v>
      </c>
      <c r="J2616" s="148">
        <v>1.0472627655249745E-3</v>
      </c>
      <c r="K2616" s="518">
        <v>2.8841627344031643E-5</v>
      </c>
      <c r="L2616" s="519">
        <v>3.0145717749702903E-5</v>
      </c>
    </row>
    <row r="2617" spans="1:12" ht="15.5" x14ac:dyDescent="0.35">
      <c r="A2617" s="143" t="s">
        <v>935</v>
      </c>
      <c r="B2617" s="229">
        <v>2031</v>
      </c>
      <c r="C2617" s="514" t="s">
        <v>3441</v>
      </c>
      <c r="D2617" s="515">
        <v>2.7868101258248214E-2</v>
      </c>
      <c r="E2617" s="516">
        <v>4.9276740090257566E-3</v>
      </c>
      <c r="F2617" s="145">
        <v>2.6779462846703569E-2</v>
      </c>
      <c r="G2617" s="145">
        <v>9.0618078065426478E-4</v>
      </c>
      <c r="H2617" s="517">
        <v>2.0000005732018788E-3</v>
      </c>
      <c r="I2617" s="517">
        <v>1.5750004513964799E-2</v>
      </c>
      <c r="J2617" s="148">
        <v>9.8440273266617046E-4</v>
      </c>
      <c r="K2617" s="518">
        <v>2.7174716002777299E-5</v>
      </c>
      <c r="L2617" s="519">
        <v>2.8403436074406561E-5</v>
      </c>
    </row>
    <row r="2618" spans="1:12" ht="15.5" x14ac:dyDescent="0.35">
      <c r="A2618" s="143" t="s">
        <v>935</v>
      </c>
      <c r="B2618" s="229">
        <v>2032</v>
      </c>
      <c r="C2618" s="514" t="s">
        <v>3442</v>
      </c>
      <c r="D2618" s="515">
        <v>2.7374490747306045E-2</v>
      </c>
      <c r="E2618" s="516">
        <v>4.4928605096589292E-3</v>
      </c>
      <c r="F2618" s="145">
        <v>2.522044293196601E-2</v>
      </c>
      <c r="G2618" s="145">
        <v>8.5185940684268189E-4</v>
      </c>
      <c r="H2618" s="517">
        <v>2.0000005732018797E-3</v>
      </c>
      <c r="I2618" s="517">
        <v>1.5750004513964796E-2</v>
      </c>
      <c r="J2618" s="148">
        <v>9.2539332069962901E-4</v>
      </c>
      <c r="K2618" s="518">
        <v>2.5521919255320571E-5</v>
      </c>
      <c r="L2618" s="519">
        <v>2.667590719220676E-5</v>
      </c>
    </row>
    <row r="2619" spans="1:12" ht="15.5" x14ac:dyDescent="0.35">
      <c r="A2619" s="143" t="s">
        <v>935</v>
      </c>
      <c r="B2619" s="229">
        <v>2033</v>
      </c>
      <c r="C2619" s="514" t="s">
        <v>3443</v>
      </c>
      <c r="D2619" s="515">
        <v>2.6942934593393034E-2</v>
      </c>
      <c r="E2619" s="516">
        <v>4.1141529267717282E-3</v>
      </c>
      <c r="F2619" s="145">
        <v>2.3917850083780712E-2</v>
      </c>
      <c r="G2619" s="145">
        <v>8.0141580209106965E-4</v>
      </c>
      <c r="H2619" s="517">
        <v>2.000000573201874E-3</v>
      </c>
      <c r="I2619" s="517">
        <v>1.575000451396474E-2</v>
      </c>
      <c r="J2619" s="148">
        <v>8.705853764806341E-4</v>
      </c>
      <c r="K2619" s="518">
        <v>2.4245751669998775E-5</v>
      </c>
      <c r="L2619" s="519">
        <v>2.5342036971586548E-5</v>
      </c>
    </row>
    <row r="2620" spans="1:12" ht="15.5" x14ac:dyDescent="0.35">
      <c r="A2620" s="143" t="s">
        <v>935</v>
      </c>
      <c r="B2620" s="229">
        <v>2034</v>
      </c>
      <c r="C2620" s="514" t="s">
        <v>3444</v>
      </c>
      <c r="D2620" s="515">
        <v>2.6567453814871456E-2</v>
      </c>
      <c r="E2620" s="516">
        <v>3.7803476520739971E-3</v>
      </c>
      <c r="F2620" s="145">
        <v>2.2834018009307882E-2</v>
      </c>
      <c r="G2620" s="145">
        <v>7.546280943153946E-4</v>
      </c>
      <c r="H2620" s="517">
        <v>2.000000573201874E-3</v>
      </c>
      <c r="I2620" s="517">
        <v>1.5750004513964733E-2</v>
      </c>
      <c r="J2620" s="148">
        <v>8.1974989147093151E-4</v>
      </c>
      <c r="K2620" s="518">
        <v>2.3056009114976644E-5</v>
      </c>
      <c r="L2620" s="519">
        <v>2.4098499537630657E-5</v>
      </c>
    </row>
    <row r="2621" spans="1:12" ht="15.5" x14ac:dyDescent="0.35">
      <c r="A2621" s="143" t="s">
        <v>935</v>
      </c>
      <c r="B2621" s="229">
        <v>2035</v>
      </c>
      <c r="C2621" s="514" t="s">
        <v>3445</v>
      </c>
      <c r="D2621" s="515">
        <v>2.6243753078883974E-2</v>
      </c>
      <c r="E2621" s="516">
        <v>3.4875188759625731E-3</v>
      </c>
      <c r="F2621" s="145">
        <v>2.1939421614418485E-2</v>
      </c>
      <c r="G2621" s="145">
        <v>7.1167229051273279E-4</v>
      </c>
      <c r="H2621" s="517">
        <v>2.0000005732018801E-3</v>
      </c>
      <c r="I2621" s="517">
        <v>1.5750004513964796E-2</v>
      </c>
      <c r="J2621" s="148">
        <v>7.7307855174761988E-4</v>
      </c>
      <c r="K2621" s="518">
        <v>2.194649915261481E-5</v>
      </c>
      <c r="L2621" s="519">
        <v>2.2938822458148369E-5</v>
      </c>
    </row>
    <row r="2622" spans="1:12" ht="15.5" x14ac:dyDescent="0.35">
      <c r="A2622" s="143" t="s">
        <v>935</v>
      </c>
      <c r="B2622" s="229">
        <v>2036</v>
      </c>
      <c r="C2622" s="514" t="s">
        <v>3446</v>
      </c>
      <c r="D2622" s="515">
        <v>2.5966366453785996E-2</v>
      </c>
      <c r="E2622" s="516">
        <v>3.2302734663084169E-3</v>
      </c>
      <c r="F2622" s="145">
        <v>2.1189835217697458E-2</v>
      </c>
      <c r="G2622" s="145">
        <v>6.7378166857123194E-4</v>
      </c>
      <c r="H2622" s="517">
        <v>2.0000005732018788E-3</v>
      </c>
      <c r="I2622" s="517">
        <v>1.5750004513964785E-2</v>
      </c>
      <c r="J2622" s="148">
        <v>7.3191110938079535E-4</v>
      </c>
      <c r="K2622" s="518">
        <v>2.0953803111621748E-5</v>
      </c>
      <c r="L2622" s="519">
        <v>2.1901241107205032E-5</v>
      </c>
    </row>
    <row r="2623" spans="1:12" ht="15.5" x14ac:dyDescent="0.35">
      <c r="A2623" s="143" t="s">
        <v>935</v>
      </c>
      <c r="B2623" s="229">
        <v>2037</v>
      </c>
      <c r="C2623" s="514" t="s">
        <v>3447</v>
      </c>
      <c r="D2623" s="515">
        <v>2.57312224076061E-2</v>
      </c>
      <c r="E2623" s="516">
        <v>3.0108809179082482E-3</v>
      </c>
      <c r="F2623" s="145">
        <v>2.0585937229694068E-2</v>
      </c>
      <c r="G2623" s="145">
        <v>6.3993694439773712E-4</v>
      </c>
      <c r="H2623" s="517">
        <v>2.0000005732018797E-3</v>
      </c>
      <c r="I2623" s="517">
        <v>1.5750004513964792E-2</v>
      </c>
      <c r="J2623" s="148">
        <v>6.9513957362589776E-4</v>
      </c>
      <c r="K2623" s="518">
        <v>2.006438239767205E-5</v>
      </c>
      <c r="L2623" s="519">
        <v>2.0971604735316534E-5</v>
      </c>
    </row>
    <row r="2624" spans="1:12" ht="15.5" x14ac:dyDescent="0.35">
      <c r="A2624" s="143" t="s">
        <v>935</v>
      </c>
      <c r="B2624" s="229">
        <v>2038</v>
      </c>
      <c r="C2624" s="514" t="s">
        <v>3448</v>
      </c>
      <c r="D2624" s="515">
        <v>2.5533313948899451E-2</v>
      </c>
      <c r="E2624" s="516">
        <v>2.8155042834202672E-3</v>
      </c>
      <c r="F2624" s="145">
        <v>2.0057726375488485E-2</v>
      </c>
      <c r="G2624" s="145">
        <v>6.098597518041063E-4</v>
      </c>
      <c r="H2624" s="517">
        <v>2.0000005732018801E-3</v>
      </c>
      <c r="I2624" s="517">
        <v>1.5750004513964799E-2</v>
      </c>
      <c r="J2624" s="148">
        <v>6.6246022546634939E-4</v>
      </c>
      <c r="K2624" s="518">
        <v>1.9301136670120398E-5</v>
      </c>
      <c r="L2624" s="519">
        <v>2.0173848422817744E-5</v>
      </c>
    </row>
    <row r="2625" spans="1:12" ht="15.5" x14ac:dyDescent="0.35">
      <c r="A2625" s="143" t="s">
        <v>935</v>
      </c>
      <c r="B2625" s="229">
        <v>2039</v>
      </c>
      <c r="C2625" s="514" t="s">
        <v>3449</v>
      </c>
      <c r="D2625" s="515">
        <v>2.5367114262406239E-2</v>
      </c>
      <c r="E2625" s="516">
        <v>2.6324222416029544E-3</v>
      </c>
      <c r="F2625" s="145">
        <v>1.9566357903463758E-2</v>
      </c>
      <c r="G2625" s="145">
        <v>5.8328925079439368E-4</v>
      </c>
      <c r="H2625" s="517">
        <v>2.0000005732018801E-3</v>
      </c>
      <c r="I2625" s="517">
        <v>1.5750004513964785E-2</v>
      </c>
      <c r="J2625" s="148">
        <v>6.3358981895356712E-4</v>
      </c>
      <c r="K2625" s="518">
        <v>1.8653650844311844E-5</v>
      </c>
      <c r="L2625" s="519">
        <v>1.9497086161141955E-5</v>
      </c>
    </row>
    <row r="2626" spans="1:12" ht="15.5" x14ac:dyDescent="0.35">
      <c r="A2626" s="143" t="s">
        <v>935</v>
      </c>
      <c r="B2626" s="229">
        <v>2040</v>
      </c>
      <c r="C2626" s="514" t="s">
        <v>3450</v>
      </c>
      <c r="D2626" s="515">
        <v>2.5228946983223907E-2</v>
      </c>
      <c r="E2626" s="516">
        <v>2.4746946893723231E-3</v>
      </c>
      <c r="F2626" s="145">
        <v>1.9173818368965142E-2</v>
      </c>
      <c r="G2626" s="145">
        <v>5.6026777388931042E-4</v>
      </c>
      <c r="H2626" s="517">
        <v>2.0000005732018801E-3</v>
      </c>
      <c r="I2626" s="517">
        <v>1.5750004513964799E-2</v>
      </c>
      <c r="J2626" s="148">
        <v>6.0857559649401334E-4</v>
      </c>
      <c r="K2626" s="518">
        <v>1.8093561297932169E-5</v>
      </c>
      <c r="L2626" s="519">
        <v>1.891167185083554E-5</v>
      </c>
    </row>
    <row r="2627" spans="1:12" ht="15.5" x14ac:dyDescent="0.35">
      <c r="A2627" s="143" t="s">
        <v>935</v>
      </c>
      <c r="B2627" s="229">
        <v>2041</v>
      </c>
      <c r="C2627" s="514" t="s">
        <v>3451</v>
      </c>
      <c r="D2627" s="515">
        <v>2.5115755525018178E-2</v>
      </c>
      <c r="E2627" s="516">
        <v>2.3537064794366493E-3</v>
      </c>
      <c r="F2627" s="145">
        <v>1.8871378403960366E-2</v>
      </c>
      <c r="G2627" s="145">
        <v>5.4188567195707297E-4</v>
      </c>
      <c r="H2627" s="517">
        <v>2.0000005732018801E-3</v>
      </c>
      <c r="I2627" s="517">
        <v>1.5750004513964799E-2</v>
      </c>
      <c r="J2627" s="148">
        <v>5.8860269502494095E-4</v>
      </c>
      <c r="K2627" s="518">
        <v>1.763783806027606E-5</v>
      </c>
      <c r="L2627" s="519">
        <v>1.8435342830614516E-5</v>
      </c>
    </row>
    <row r="2628" spans="1:12" ht="15.5" x14ac:dyDescent="0.35">
      <c r="A2628" s="143" t="s">
        <v>935</v>
      </c>
      <c r="B2628" s="229">
        <v>2042</v>
      </c>
      <c r="C2628" s="514" t="s">
        <v>3452</v>
      </c>
      <c r="D2628" s="515">
        <v>2.5022043866827309E-2</v>
      </c>
      <c r="E2628" s="516">
        <v>2.2500946958223331E-3</v>
      </c>
      <c r="F2628" s="145">
        <v>1.859238962590886E-2</v>
      </c>
      <c r="G2628" s="145">
        <v>5.2631858726600266E-4</v>
      </c>
      <c r="H2628" s="517">
        <v>2.0000005732018801E-3</v>
      </c>
      <c r="I2628" s="517">
        <v>1.5750004513964785E-2</v>
      </c>
      <c r="J2628" s="148">
        <v>5.7168766570911997E-4</v>
      </c>
      <c r="K2628" s="518">
        <v>1.7269805245648098E-5</v>
      </c>
      <c r="L2628" s="519">
        <v>1.8050669205230501E-5</v>
      </c>
    </row>
    <row r="2629" spans="1:12" ht="15.5" x14ac:dyDescent="0.35">
      <c r="A2629" s="143" t="s">
        <v>935</v>
      </c>
      <c r="B2629" s="229">
        <v>2043</v>
      </c>
      <c r="C2629" s="514" t="s">
        <v>3453</v>
      </c>
      <c r="D2629" s="515">
        <v>2.4945350508754429E-2</v>
      </c>
      <c r="E2629" s="516">
        <v>2.171827643992208E-3</v>
      </c>
      <c r="F2629" s="145">
        <v>1.8390000817289625E-2</v>
      </c>
      <c r="G2629" s="145">
        <v>5.1330705232545621E-4</v>
      </c>
      <c r="H2629" s="517">
        <v>2.0000005732018801E-3</v>
      </c>
      <c r="I2629" s="517">
        <v>1.5750004513964799E-2</v>
      </c>
      <c r="J2629" s="148">
        <v>5.5754873643032226E-4</v>
      </c>
      <c r="K2629" s="518">
        <v>1.697949360032586E-5</v>
      </c>
      <c r="L2629" s="519">
        <v>1.7747230955545654E-5</v>
      </c>
    </row>
    <row r="2630" spans="1:12" ht="15.5" x14ac:dyDescent="0.35">
      <c r="A2630" s="143" t="s">
        <v>935</v>
      </c>
      <c r="B2630" s="229">
        <v>2044</v>
      </c>
      <c r="C2630" s="514" t="s">
        <v>3454</v>
      </c>
      <c r="D2630" s="515">
        <v>2.4881957626072367E-2</v>
      </c>
      <c r="E2630" s="516">
        <v>2.1128494825032721E-3</v>
      </c>
      <c r="F2630" s="145">
        <v>1.823023301719294E-2</v>
      </c>
      <c r="G2630" s="145">
        <v>5.0246560244099467E-4</v>
      </c>
      <c r="H2630" s="517">
        <v>2.000000573201874E-3</v>
      </c>
      <c r="I2630" s="517">
        <v>1.5750004513964799E-2</v>
      </c>
      <c r="J2630" s="148">
        <v>5.4576739030723831E-4</v>
      </c>
      <c r="K2630" s="518">
        <v>1.6750121232986504E-5</v>
      </c>
      <c r="L2630" s="519">
        <v>1.7507487387580006E-5</v>
      </c>
    </row>
    <row r="2631" spans="1:12" ht="15.5" x14ac:dyDescent="0.35">
      <c r="A2631" s="143" t="s">
        <v>935</v>
      </c>
      <c r="B2631" s="229">
        <v>2045</v>
      </c>
      <c r="C2631" s="514" t="s">
        <v>3455</v>
      </c>
      <c r="D2631" s="515">
        <v>2.4828580472626472E-2</v>
      </c>
      <c r="E2631" s="516">
        <v>2.0716097483230757E-3</v>
      </c>
      <c r="F2631" s="145">
        <v>1.8123022317965417E-2</v>
      </c>
      <c r="G2631" s="145">
        <v>4.9345669104993621E-4</v>
      </c>
      <c r="H2631" s="517">
        <v>2.0000005732018801E-3</v>
      </c>
      <c r="I2631" s="517">
        <v>1.5750004513964792E-2</v>
      </c>
      <c r="J2631" s="148">
        <v>5.3597687480217392E-4</v>
      </c>
      <c r="K2631" s="518">
        <v>1.657318922913634E-5</v>
      </c>
      <c r="L2631" s="519">
        <v>1.7322555303639884E-5</v>
      </c>
    </row>
    <row r="2632" spans="1:12" ht="15.5" x14ac:dyDescent="0.35">
      <c r="A2632" s="143" t="s">
        <v>935</v>
      </c>
      <c r="B2632" s="229">
        <v>2046</v>
      </c>
      <c r="C2632" s="514" t="s">
        <v>3456</v>
      </c>
      <c r="D2632" s="515">
        <v>2.478434844597938E-2</v>
      </c>
      <c r="E2632" s="516">
        <v>2.0359172636597372E-3</v>
      </c>
      <c r="F2632" s="145">
        <v>1.8034732281326418E-2</v>
      </c>
      <c r="G2632" s="145">
        <v>4.8605556357945052E-4</v>
      </c>
      <c r="H2632" s="517">
        <v>2.0000005732018797E-3</v>
      </c>
      <c r="I2632" s="517">
        <v>1.5750004513964785E-2</v>
      </c>
      <c r="J2632" s="148">
        <v>5.2793319517313434E-4</v>
      </c>
      <c r="K2632" s="518">
        <v>1.6438164122870836E-5</v>
      </c>
      <c r="L2632" s="519">
        <v>1.7181424961234066E-5</v>
      </c>
    </row>
    <row r="2633" spans="1:12" ht="15.5" x14ac:dyDescent="0.35">
      <c r="A2633" s="143" t="s">
        <v>935</v>
      </c>
      <c r="B2633" s="229">
        <v>2047</v>
      </c>
      <c r="C2633" s="514" t="s">
        <v>3457</v>
      </c>
      <c r="D2633" s="515">
        <v>2.4747109781678565E-2</v>
      </c>
      <c r="E2633" s="516">
        <v>2.0050984856291006E-3</v>
      </c>
      <c r="F2633" s="145">
        <v>1.7953783668087808E-2</v>
      </c>
      <c r="G2633" s="145">
        <v>4.8004250351669494E-4</v>
      </c>
      <c r="H2633" s="517">
        <v>2.0000005732018797E-3</v>
      </c>
      <c r="I2633" s="517">
        <v>1.5750004513964799E-2</v>
      </c>
      <c r="J2633" s="148">
        <v>5.213979420547421E-4</v>
      </c>
      <c r="K2633" s="518">
        <v>1.6332010383255605E-5</v>
      </c>
      <c r="L2633" s="519">
        <v>1.7070471420563699E-5</v>
      </c>
    </row>
    <row r="2634" spans="1:12" ht="15.5" x14ac:dyDescent="0.35">
      <c r="A2634" s="143" t="s">
        <v>935</v>
      </c>
      <c r="B2634" s="229">
        <v>2048</v>
      </c>
      <c r="C2634" s="514" t="s">
        <v>3458</v>
      </c>
      <c r="D2634" s="515">
        <v>2.4715435639687484E-2</v>
      </c>
      <c r="E2634" s="516">
        <v>1.9803203121155914E-3</v>
      </c>
      <c r="F2634" s="145">
        <v>1.7886994990336382E-2</v>
      </c>
      <c r="G2634" s="145">
        <v>4.7516526802756607E-4</v>
      </c>
      <c r="H2634" s="517">
        <v>2.0000005732018801E-3</v>
      </c>
      <c r="I2634" s="517">
        <v>1.5750004513964796E-2</v>
      </c>
      <c r="J2634" s="148">
        <v>5.1609716683693573E-4</v>
      </c>
      <c r="K2634" s="518">
        <v>1.6245560324992017E-5</v>
      </c>
      <c r="L2634" s="519">
        <v>1.6980112474281889E-5</v>
      </c>
    </row>
    <row r="2635" spans="1:12" ht="15.5" x14ac:dyDescent="0.35">
      <c r="A2635" s="143" t="s">
        <v>935</v>
      </c>
      <c r="B2635" s="229">
        <v>2049</v>
      </c>
      <c r="C2635" s="514" t="s">
        <v>3459</v>
      </c>
      <c r="D2635" s="515">
        <v>2.4689017562425922E-2</v>
      </c>
      <c r="E2635" s="516">
        <v>1.9705982732679747E-3</v>
      </c>
      <c r="F2635" s="145">
        <v>1.7897140874153283E-2</v>
      </c>
      <c r="G2635" s="145">
        <v>4.7193041513102408E-4</v>
      </c>
      <c r="H2635" s="517">
        <v>2.0000005732018801E-3</v>
      </c>
      <c r="I2635" s="517">
        <v>1.5750004513964799E-2</v>
      </c>
      <c r="J2635" s="148">
        <v>5.125815897682991E-4</v>
      </c>
      <c r="K2635" s="518">
        <v>1.6183718077988666E-5</v>
      </c>
      <c r="L2635" s="519">
        <v>1.6915473995289938E-5</v>
      </c>
    </row>
    <row r="2636" spans="1:12" ht="15.5" x14ac:dyDescent="0.35">
      <c r="A2636" s="143" t="s">
        <v>935</v>
      </c>
      <c r="B2636" s="229">
        <v>2050</v>
      </c>
      <c r="C2636" s="514" t="s">
        <v>3460</v>
      </c>
      <c r="D2636" s="515">
        <v>2.4668604619662627E-2</v>
      </c>
      <c r="E2636" s="516">
        <v>1.9630168069900951E-3</v>
      </c>
      <c r="F2636" s="145">
        <v>1.7907853629338749E-2</v>
      </c>
      <c r="G2636" s="145">
        <v>4.6939206478689569E-4</v>
      </c>
      <c r="H2636" s="517">
        <v>2.0000005732018805E-3</v>
      </c>
      <c r="I2636" s="517">
        <v>1.5750004513964803E-2</v>
      </c>
      <c r="J2636" s="148">
        <v>5.0982349201084544E-4</v>
      </c>
      <c r="K2636" s="518">
        <v>1.6122601815143956E-5</v>
      </c>
      <c r="L2636" s="519">
        <v>1.6851594326238792E-5</v>
      </c>
    </row>
    <row r="2637" spans="1:12" ht="15.5" x14ac:dyDescent="0.35">
      <c r="A2637" s="143" t="s">
        <v>969</v>
      </c>
      <c r="B2637" s="229">
        <v>2015</v>
      </c>
      <c r="C2637" s="514" t="s">
        <v>3461</v>
      </c>
      <c r="D2637" s="515">
        <v>4.3589746361904394E-2</v>
      </c>
      <c r="E2637" s="516">
        <v>5.1004459966216588E-2</v>
      </c>
      <c r="F2637" s="145">
        <v>0.20710150394312368</v>
      </c>
      <c r="G2637" s="145">
        <v>1.901730267017713E-3</v>
      </c>
      <c r="H2637" s="517">
        <v>2.0000005732018797E-3</v>
      </c>
      <c r="I2637" s="517">
        <v>1.5750004513964799E-2</v>
      </c>
      <c r="J2637" s="148">
        <v>2.0563652014184185E-3</v>
      </c>
      <c r="K2637" s="518">
        <v>1.9545467749206089E-4</v>
      </c>
      <c r="L2637" s="519">
        <v>2.0429227069096551E-4</v>
      </c>
    </row>
    <row r="2638" spans="1:12" ht="15.5" x14ac:dyDescent="0.35">
      <c r="A2638" s="143" t="s">
        <v>969</v>
      </c>
      <c r="B2638" s="229">
        <v>2016</v>
      </c>
      <c r="C2638" s="514" t="s">
        <v>3462</v>
      </c>
      <c r="D2638" s="515">
        <v>4.2744065339564603E-2</v>
      </c>
      <c r="E2638" s="516">
        <v>4.2388192778459059E-2</v>
      </c>
      <c r="F2638" s="145">
        <v>0.17775306162393428</v>
      </c>
      <c r="G2638" s="145">
        <v>1.7861311827580353E-3</v>
      </c>
      <c r="H2638" s="517">
        <v>2.0000005732018801E-3</v>
      </c>
      <c r="I2638" s="517">
        <v>1.5750004513964796E-2</v>
      </c>
      <c r="J2638" s="148">
        <v>1.9329712534983665E-3</v>
      </c>
      <c r="K2638" s="518">
        <v>1.6871199552742879E-4</v>
      </c>
      <c r="L2638" s="519">
        <v>1.7634040331678636E-4</v>
      </c>
    </row>
    <row r="2639" spans="1:12" ht="15.5" x14ac:dyDescent="0.35">
      <c r="A2639" s="143" t="s">
        <v>969</v>
      </c>
      <c r="B2639" s="229">
        <v>2017</v>
      </c>
      <c r="C2639" s="514" t="s">
        <v>3463</v>
      </c>
      <c r="D2639" s="515">
        <v>4.1754760717347808E-2</v>
      </c>
      <c r="E2639" s="516">
        <v>3.5232486723705728E-2</v>
      </c>
      <c r="F2639" s="145">
        <v>0.15203562008324439</v>
      </c>
      <c r="G2639" s="145">
        <v>1.7210726387559818E-3</v>
      </c>
      <c r="H2639" s="517">
        <v>2.0000005732018801E-3</v>
      </c>
      <c r="I2639" s="517">
        <v>1.5750004513964799E-2</v>
      </c>
      <c r="J2639" s="148">
        <v>1.8637204631364449E-3</v>
      </c>
      <c r="K2639" s="518">
        <v>1.5355172013183354E-4</v>
      </c>
      <c r="L2639" s="519">
        <v>1.6049464754052883E-4</v>
      </c>
    </row>
    <row r="2640" spans="1:12" ht="15.5" x14ac:dyDescent="0.35">
      <c r="A2640" s="143" t="s">
        <v>969</v>
      </c>
      <c r="B2640" s="229">
        <v>2018</v>
      </c>
      <c r="C2640" s="514" t="s">
        <v>3464</v>
      </c>
      <c r="D2640" s="515">
        <v>4.0654667994277673E-2</v>
      </c>
      <c r="E2640" s="516">
        <v>2.9283784379122865E-2</v>
      </c>
      <c r="F2640" s="145">
        <v>0.13001487882278609</v>
      </c>
      <c r="G2640" s="145">
        <v>1.6884352795583097E-3</v>
      </c>
      <c r="H2640" s="517">
        <v>2.0000005732018801E-3</v>
      </c>
      <c r="I2640" s="517">
        <v>1.5750004513964803E-2</v>
      </c>
      <c r="J2640" s="148">
        <v>1.8293988267840604E-3</v>
      </c>
      <c r="K2640" s="518">
        <v>1.4075221560320511E-4</v>
      </c>
      <c r="L2640" s="519">
        <v>1.4711640621407562E-4</v>
      </c>
    </row>
    <row r="2641" spans="1:12" ht="15.5" x14ac:dyDescent="0.35">
      <c r="A2641" s="143" t="s">
        <v>969</v>
      </c>
      <c r="B2641" s="229">
        <v>2019</v>
      </c>
      <c r="C2641" s="514" t="s">
        <v>3465</v>
      </c>
      <c r="D2641" s="515">
        <v>3.9405367331883157E-2</v>
      </c>
      <c r="E2641" s="516">
        <v>2.4387455685412767E-2</v>
      </c>
      <c r="F2641" s="145">
        <v>0.11132990263019138</v>
      </c>
      <c r="G2641" s="145">
        <v>1.6725524048108596E-3</v>
      </c>
      <c r="H2641" s="517">
        <v>2.0000005732018801E-3</v>
      </c>
      <c r="I2641" s="517">
        <v>1.5750004513964799E-2</v>
      </c>
      <c r="J2641" s="148">
        <v>1.8130685532866018E-3</v>
      </c>
      <c r="K2641" s="518">
        <v>1.2964448294411761E-4</v>
      </c>
      <c r="L2641" s="519">
        <v>1.3550643117397798E-4</v>
      </c>
    </row>
    <row r="2642" spans="1:12" ht="15.5" x14ac:dyDescent="0.35">
      <c r="A2642" s="143" t="s">
        <v>969</v>
      </c>
      <c r="B2642" s="229">
        <v>2020</v>
      </c>
      <c r="C2642" s="514" t="s">
        <v>3466</v>
      </c>
      <c r="D2642" s="515">
        <v>3.8248734161758759E-2</v>
      </c>
      <c r="E2642" s="516">
        <v>2.0597318805038612E-2</v>
      </c>
      <c r="F2642" s="145">
        <v>9.5677391039016374E-2</v>
      </c>
      <c r="G2642" s="145">
        <v>1.6227395383936057E-3</v>
      </c>
      <c r="H2642" s="517">
        <v>2.0000005732018801E-3</v>
      </c>
      <c r="I2642" s="517">
        <v>1.5750004513964803E-2</v>
      </c>
      <c r="J2642" s="148">
        <v>1.7595185715889416E-3</v>
      </c>
      <c r="K2642" s="518">
        <v>1.1924542502043512E-4</v>
      </c>
      <c r="L2642" s="519">
        <v>1.2463717399612256E-4</v>
      </c>
    </row>
    <row r="2643" spans="1:12" ht="15.5" x14ac:dyDescent="0.35">
      <c r="A2643" s="143" t="s">
        <v>969</v>
      </c>
      <c r="B2643" s="229">
        <v>2021</v>
      </c>
      <c r="C2643" s="514" t="s">
        <v>3467</v>
      </c>
      <c r="D2643" s="515">
        <v>3.7081603903126786E-2</v>
      </c>
      <c r="E2643" s="516">
        <v>1.7723060494647079E-2</v>
      </c>
      <c r="F2643" s="145">
        <v>8.2634291423913431E-2</v>
      </c>
      <c r="G2643" s="145">
        <v>1.5488964553579208E-3</v>
      </c>
      <c r="H2643" s="517">
        <v>2.0000005732018801E-3</v>
      </c>
      <c r="I2643" s="517">
        <v>1.5750004513964799E-2</v>
      </c>
      <c r="J2643" s="148">
        <v>1.6797296558634116E-3</v>
      </c>
      <c r="K2643" s="518">
        <v>1.0909152238774252E-4</v>
      </c>
      <c r="L2643" s="519">
        <v>1.1402415694365526E-4</v>
      </c>
    </row>
    <row r="2644" spans="1:12" ht="15.5" x14ac:dyDescent="0.35">
      <c r="A2644" s="143" t="s">
        <v>969</v>
      </c>
      <c r="B2644" s="229">
        <v>2022</v>
      </c>
      <c r="C2644" s="514" t="s">
        <v>3468</v>
      </c>
      <c r="D2644" s="515">
        <v>3.5935500237833456E-2</v>
      </c>
      <c r="E2644" s="516">
        <v>1.4940388513344557E-2</v>
      </c>
      <c r="F2644" s="145">
        <v>7.1319665061440357E-2</v>
      </c>
      <c r="G2644" s="145">
        <v>1.4691184433276402E-3</v>
      </c>
      <c r="H2644" s="517">
        <v>2.0000005732018801E-3</v>
      </c>
      <c r="I2644" s="517">
        <v>1.5750004513964799E-2</v>
      </c>
      <c r="J2644" s="148">
        <v>1.5935033494566019E-3</v>
      </c>
      <c r="K2644" s="518">
        <v>9.9957639145631798E-5</v>
      </c>
      <c r="L2644" s="519">
        <v>1.044772800323428E-4</v>
      </c>
    </row>
    <row r="2645" spans="1:12" ht="15.5" x14ac:dyDescent="0.35">
      <c r="A2645" s="143" t="s">
        <v>969</v>
      </c>
      <c r="B2645" s="229">
        <v>2023</v>
      </c>
      <c r="C2645" s="514" t="s">
        <v>3469</v>
      </c>
      <c r="D2645" s="515">
        <v>3.4801974876212741E-2</v>
      </c>
      <c r="E2645" s="516">
        <v>1.2928926557417826E-2</v>
      </c>
      <c r="F2645" s="145">
        <v>6.2186111989912682E-2</v>
      </c>
      <c r="G2645" s="145">
        <v>1.3975979642144966E-3</v>
      </c>
      <c r="H2645" s="517">
        <v>2.0000005732018801E-3</v>
      </c>
      <c r="I2645" s="517">
        <v>1.5750004513964799E-2</v>
      </c>
      <c r="J2645" s="148">
        <v>1.5161399852483572E-3</v>
      </c>
      <c r="K2645" s="518">
        <v>9.0631568561031108E-5</v>
      </c>
      <c r="L2645" s="519">
        <v>9.472952591973179E-5</v>
      </c>
    </row>
    <row r="2646" spans="1:12" ht="15.5" x14ac:dyDescent="0.35">
      <c r="A2646" s="143" t="s">
        <v>969</v>
      </c>
      <c r="B2646" s="229">
        <v>2024</v>
      </c>
      <c r="C2646" s="514" t="s">
        <v>3470</v>
      </c>
      <c r="D2646" s="515">
        <v>3.3686261428836094E-2</v>
      </c>
      <c r="E2646" s="516">
        <v>1.1273857570206245E-2</v>
      </c>
      <c r="F2646" s="145">
        <v>5.4588193797726899E-2</v>
      </c>
      <c r="G2646" s="145">
        <v>1.3394836667134033E-3</v>
      </c>
      <c r="H2646" s="517">
        <v>2.0000005732018801E-3</v>
      </c>
      <c r="I2646" s="517">
        <v>1.5750004513964803E-2</v>
      </c>
      <c r="J2646" s="148">
        <v>1.4533644856270522E-3</v>
      </c>
      <c r="K2646" s="518">
        <v>8.1093251840801567E-5</v>
      </c>
      <c r="L2646" s="519">
        <v>8.4759928843067015E-5</v>
      </c>
    </row>
    <row r="2647" spans="1:12" ht="15.5" x14ac:dyDescent="0.35">
      <c r="A2647" s="143" t="s">
        <v>969</v>
      </c>
      <c r="B2647" s="229">
        <v>2025</v>
      </c>
      <c r="C2647" s="514" t="s">
        <v>3471</v>
      </c>
      <c r="D2647" s="515">
        <v>3.2584125451275529E-2</v>
      </c>
      <c r="E2647" s="516">
        <v>9.8756003971926503E-3</v>
      </c>
      <c r="F2647" s="145">
        <v>4.8417717624226447E-2</v>
      </c>
      <c r="G2647" s="145">
        <v>1.284854828519938E-3</v>
      </c>
      <c r="H2647" s="517">
        <v>2.0000005732018801E-3</v>
      </c>
      <c r="I2647" s="517">
        <v>1.5750004513964799E-2</v>
      </c>
      <c r="J2647" s="148">
        <v>1.3942977374025735E-3</v>
      </c>
      <c r="K2647" s="518">
        <v>7.3102611774436034E-5</v>
      </c>
      <c r="L2647" s="519">
        <v>7.6407987490840565E-5</v>
      </c>
    </row>
    <row r="2648" spans="1:12" ht="15.5" x14ac:dyDescent="0.35">
      <c r="A2648" s="143" t="s">
        <v>969</v>
      </c>
      <c r="B2648" s="229">
        <v>2026</v>
      </c>
      <c r="C2648" s="514" t="s">
        <v>3472</v>
      </c>
      <c r="D2648" s="515">
        <v>3.1581362357954813E-2</v>
      </c>
      <c r="E2648" s="516">
        <v>8.6495916545503548E-3</v>
      </c>
      <c r="F2648" s="145">
        <v>4.3346997618333161E-2</v>
      </c>
      <c r="G2648" s="145">
        <v>1.2195069997207168E-3</v>
      </c>
      <c r="H2648" s="517">
        <v>2.0000005732018801E-3</v>
      </c>
      <c r="I2648" s="517">
        <v>1.5750004513964799E-2</v>
      </c>
      <c r="J2648" s="148">
        <v>1.3235817322442727E-3</v>
      </c>
      <c r="K2648" s="518">
        <v>6.4729432868787035E-5</v>
      </c>
      <c r="L2648" s="519">
        <v>6.7656210590509174E-5</v>
      </c>
    </row>
    <row r="2649" spans="1:12" ht="15.5" x14ac:dyDescent="0.35">
      <c r="A2649" s="143" t="s">
        <v>969</v>
      </c>
      <c r="B2649" s="229">
        <v>2027</v>
      </c>
      <c r="C2649" s="514" t="s">
        <v>3473</v>
      </c>
      <c r="D2649" s="515">
        <v>3.067103665809974E-2</v>
      </c>
      <c r="E2649" s="516">
        <v>7.6661879120194492E-3</v>
      </c>
      <c r="F2649" s="145">
        <v>3.9118274834254799E-2</v>
      </c>
      <c r="G2649" s="145">
        <v>1.1528339222601537E-3</v>
      </c>
      <c r="H2649" s="517">
        <v>2.0000005732018805E-3</v>
      </c>
      <c r="I2649" s="517">
        <v>1.5750004513964799E-2</v>
      </c>
      <c r="J2649" s="148">
        <v>1.2514931147079821E-3</v>
      </c>
      <c r="K2649" s="518">
        <v>5.4723875091976704E-5</v>
      </c>
      <c r="L2649" s="519">
        <v>5.719824589003658E-5</v>
      </c>
    </row>
    <row r="2650" spans="1:12" ht="15.5" x14ac:dyDescent="0.35">
      <c r="A2650" s="143" t="s">
        <v>969</v>
      </c>
      <c r="B2650" s="229">
        <v>2028</v>
      </c>
      <c r="C2650" s="514" t="s">
        <v>3474</v>
      </c>
      <c r="D2650" s="515">
        <v>2.9857652403178343E-2</v>
      </c>
      <c r="E2650" s="516">
        <v>6.8540498852821723E-3</v>
      </c>
      <c r="F2650" s="145">
        <v>3.565161951005149E-2</v>
      </c>
      <c r="G2650" s="145">
        <v>1.0819124690790302E-3</v>
      </c>
      <c r="H2650" s="517">
        <v>2.0000005732018801E-3</v>
      </c>
      <c r="I2650" s="517">
        <v>1.5750004513964799E-2</v>
      </c>
      <c r="J2650" s="148">
        <v>1.1746770755106011E-3</v>
      </c>
      <c r="K2650" s="518">
        <v>4.7231084763502772E-5</v>
      </c>
      <c r="L2650" s="519">
        <v>4.9366664831673846E-5</v>
      </c>
    </row>
    <row r="2651" spans="1:12" ht="15.5" x14ac:dyDescent="0.35">
      <c r="A2651" s="143" t="s">
        <v>969</v>
      </c>
      <c r="B2651" s="229">
        <v>2029</v>
      </c>
      <c r="C2651" s="514" t="s">
        <v>3475</v>
      </c>
      <c r="D2651" s="515">
        <v>2.9134534008307799E-2</v>
      </c>
      <c r="E2651" s="516">
        <v>6.1366801985961649E-3</v>
      </c>
      <c r="F2651" s="145">
        <v>3.2680692806165562E-2</v>
      </c>
      <c r="G2651" s="145">
        <v>1.0145096753704068E-3</v>
      </c>
      <c r="H2651" s="517">
        <v>2.0000005732018805E-3</v>
      </c>
      <c r="I2651" s="517">
        <v>1.5750004513964803E-2</v>
      </c>
      <c r="J2651" s="148">
        <v>1.1016034842389357E-3</v>
      </c>
      <c r="K2651" s="518">
        <v>4.1730363932764121E-5</v>
      </c>
      <c r="L2651" s="519">
        <v>4.3617225814056309E-5</v>
      </c>
    </row>
    <row r="2652" spans="1:12" ht="15.5" x14ac:dyDescent="0.35">
      <c r="A2652" s="143" t="s">
        <v>969</v>
      </c>
      <c r="B2652" s="229">
        <v>2030</v>
      </c>
      <c r="C2652" s="514" t="s">
        <v>3476</v>
      </c>
      <c r="D2652" s="515">
        <v>2.8496342514280751E-2</v>
      </c>
      <c r="E2652" s="516">
        <v>5.5375017459551156E-3</v>
      </c>
      <c r="F2652" s="145">
        <v>3.0221223096305806E-2</v>
      </c>
      <c r="G2652" s="145">
        <v>9.511213677353235E-4</v>
      </c>
      <c r="H2652" s="517">
        <v>2.0000005732018805E-3</v>
      </c>
      <c r="I2652" s="517">
        <v>1.5750004513964803E-2</v>
      </c>
      <c r="J2652" s="148">
        <v>1.0328657867724014E-3</v>
      </c>
      <c r="K2652" s="518">
        <v>3.694293162677962E-5</v>
      </c>
      <c r="L2652" s="519">
        <v>3.8613327063111441E-5</v>
      </c>
    </row>
    <row r="2653" spans="1:12" ht="15.5" x14ac:dyDescent="0.35">
      <c r="A2653" s="143" t="s">
        <v>969</v>
      </c>
      <c r="B2653" s="229">
        <v>2031</v>
      </c>
      <c r="C2653" s="514" t="s">
        <v>3477</v>
      </c>
      <c r="D2653" s="515">
        <v>2.7934613705921058E-2</v>
      </c>
      <c r="E2653" s="516">
        <v>5.0359840073696E-3</v>
      </c>
      <c r="F2653" s="145">
        <v>2.8122652254530551E-2</v>
      </c>
      <c r="G2653" s="145">
        <v>8.9732168414086795E-4</v>
      </c>
      <c r="H2653" s="517">
        <v>2.0000005732018801E-3</v>
      </c>
      <c r="I2653" s="517">
        <v>1.5750004513964799E-2</v>
      </c>
      <c r="J2653" s="148">
        <v>9.7448505028348514E-4</v>
      </c>
      <c r="K2653" s="518">
        <v>3.3843791847937814E-5</v>
      </c>
      <c r="L2653" s="519">
        <v>3.5374057935699495E-5</v>
      </c>
    </row>
    <row r="2654" spans="1:12" ht="15.5" x14ac:dyDescent="0.35">
      <c r="A2654" s="143" t="s">
        <v>969</v>
      </c>
      <c r="B2654" s="229">
        <v>2032</v>
      </c>
      <c r="C2654" s="514" t="s">
        <v>3478</v>
      </c>
      <c r="D2654" s="515">
        <v>2.7442389286901854E-2</v>
      </c>
      <c r="E2654" s="516">
        <v>4.5783789177949044E-3</v>
      </c>
      <c r="F2654" s="145">
        <v>2.6353117509170285E-2</v>
      </c>
      <c r="G2654" s="145">
        <v>8.4235803334230188E-4</v>
      </c>
      <c r="H2654" s="517">
        <v>2.0000005732018784E-3</v>
      </c>
      <c r="I2654" s="517">
        <v>1.5750004513964803E-2</v>
      </c>
      <c r="J2654" s="148">
        <v>9.1483544905329619E-4</v>
      </c>
      <c r="K2654" s="518">
        <v>3.0814130730678094E-5</v>
      </c>
      <c r="L2654" s="519">
        <v>3.2207408986639421E-5</v>
      </c>
    </row>
    <row r="2655" spans="1:12" ht="15.5" x14ac:dyDescent="0.35">
      <c r="A2655" s="143" t="s">
        <v>969</v>
      </c>
      <c r="B2655" s="229">
        <v>2033</v>
      </c>
      <c r="C2655" s="514" t="s">
        <v>3479</v>
      </c>
      <c r="D2655" s="515">
        <v>2.7013099270018968E-2</v>
      </c>
      <c r="E2655" s="516">
        <v>4.1842075647948156E-3</v>
      </c>
      <c r="F2655" s="145">
        <v>2.4892035821631204E-2</v>
      </c>
      <c r="G2655" s="145">
        <v>7.9225751947469133E-4</v>
      </c>
      <c r="H2655" s="517">
        <v>2.0000005732018805E-3</v>
      </c>
      <c r="I2655" s="517">
        <v>1.5750004513964803E-2</v>
      </c>
      <c r="J2655" s="148">
        <v>8.6043629566686969E-4</v>
      </c>
      <c r="K2655" s="518">
        <v>2.8696721335788207E-5</v>
      </c>
      <c r="L2655" s="519">
        <v>2.9994259734777595E-5</v>
      </c>
    </row>
    <row r="2656" spans="1:12" ht="15.5" x14ac:dyDescent="0.35">
      <c r="A2656" s="143" t="s">
        <v>969</v>
      </c>
      <c r="B2656" s="229">
        <v>2034</v>
      </c>
      <c r="C2656" s="514" t="s">
        <v>3480</v>
      </c>
      <c r="D2656" s="515">
        <v>2.664095753241711E-2</v>
      </c>
      <c r="E2656" s="516">
        <v>3.8310659888713132E-3</v>
      </c>
      <c r="F2656" s="145">
        <v>2.3640936505807657E-2</v>
      </c>
      <c r="G2656" s="145">
        <v>7.4579083718538447E-4</v>
      </c>
      <c r="H2656" s="517">
        <v>2.0000005732018801E-3</v>
      </c>
      <c r="I2656" s="517">
        <v>1.5750004513964796E-2</v>
      </c>
      <c r="J2656" s="148">
        <v>8.0998120207933719E-4</v>
      </c>
      <c r="K2656" s="518">
        <v>2.6769600257414467E-5</v>
      </c>
      <c r="L2656" s="519">
        <v>2.7980002792712862E-5</v>
      </c>
    </row>
    <row r="2657" spans="1:12" ht="15.5" x14ac:dyDescent="0.35">
      <c r="A2657" s="143" t="s">
        <v>969</v>
      </c>
      <c r="B2657" s="229">
        <v>2035</v>
      </c>
      <c r="C2657" s="514" t="s">
        <v>3481</v>
      </c>
      <c r="D2657" s="515">
        <v>2.6320644788143152E-2</v>
      </c>
      <c r="E2657" s="516">
        <v>3.5207900146115925E-3</v>
      </c>
      <c r="F2657" s="145">
        <v>2.259727739750534E-2</v>
      </c>
      <c r="G2657" s="145">
        <v>7.0325601088620511E-4</v>
      </c>
      <c r="H2657" s="517">
        <v>2.0000005732018801E-3</v>
      </c>
      <c r="I2657" s="517">
        <v>1.5750004513964799E-2</v>
      </c>
      <c r="J2657" s="148">
        <v>7.6379382378352297E-4</v>
      </c>
      <c r="K2657" s="518">
        <v>2.5043935388609367E-5</v>
      </c>
      <c r="L2657" s="519">
        <v>2.617631101606491E-5</v>
      </c>
    </row>
    <row r="2658" spans="1:12" ht="15.5" x14ac:dyDescent="0.35">
      <c r="A2658" s="143" t="s">
        <v>969</v>
      </c>
      <c r="B2658" s="229">
        <v>2036</v>
      </c>
      <c r="C2658" s="514" t="s">
        <v>3482</v>
      </c>
      <c r="D2658" s="515">
        <v>2.6046739980281348E-2</v>
      </c>
      <c r="E2658" s="516">
        <v>3.2501086811229109E-3</v>
      </c>
      <c r="F2658" s="145">
        <v>2.1723256104845205E-2</v>
      </c>
      <c r="G2658" s="145">
        <v>6.6625912057242346E-4</v>
      </c>
      <c r="H2658" s="517">
        <v>2.0000005732018801E-3</v>
      </c>
      <c r="I2658" s="517">
        <v>1.5750004513964799E-2</v>
      </c>
      <c r="J2658" s="148">
        <v>7.2362067626266459E-4</v>
      </c>
      <c r="K2658" s="518">
        <v>2.3525462372403727E-5</v>
      </c>
      <c r="L2658" s="519">
        <v>2.4589179388190671E-5</v>
      </c>
    </row>
    <row r="2659" spans="1:12" ht="15.5" x14ac:dyDescent="0.35">
      <c r="A2659" s="143" t="s">
        <v>969</v>
      </c>
      <c r="B2659" s="229">
        <v>2037</v>
      </c>
      <c r="C2659" s="514" t="s">
        <v>3483</v>
      </c>
      <c r="D2659" s="515">
        <v>2.5814797524424182E-2</v>
      </c>
      <c r="E2659" s="516">
        <v>3.0205692145202768E-3</v>
      </c>
      <c r="F2659" s="145">
        <v>2.1015048426082455E-2</v>
      </c>
      <c r="G2659" s="145">
        <v>6.334065339772991E-4</v>
      </c>
      <c r="H2659" s="517">
        <v>2.0000005732018801E-3</v>
      </c>
      <c r="I2659" s="517">
        <v>1.5750004513964796E-2</v>
      </c>
      <c r="J2659" s="148">
        <v>6.8794332405851342E-4</v>
      </c>
      <c r="K2659" s="518">
        <v>2.2278680753078416E-5</v>
      </c>
      <c r="L2659" s="519">
        <v>2.3286023836550979E-5</v>
      </c>
    </row>
    <row r="2660" spans="1:12" ht="15.5" x14ac:dyDescent="0.35">
      <c r="A2660" s="143" t="s">
        <v>969</v>
      </c>
      <c r="B2660" s="229">
        <v>2038</v>
      </c>
      <c r="C2660" s="514" t="s">
        <v>3484</v>
      </c>
      <c r="D2660" s="515">
        <v>2.5619589660316421E-2</v>
      </c>
      <c r="E2660" s="516">
        <v>2.8109656242771854E-3</v>
      </c>
      <c r="F2660" s="145">
        <v>2.0369147197201277E-2</v>
      </c>
      <c r="G2660" s="145">
        <v>6.0420003888690319E-4</v>
      </c>
      <c r="H2660" s="517">
        <v>2.0000005732018801E-3</v>
      </c>
      <c r="I2660" s="517">
        <v>1.5750004513964803E-2</v>
      </c>
      <c r="J2660" s="148">
        <v>6.5622316444369352E-4</v>
      </c>
      <c r="K2660" s="518">
        <v>2.1226930693671473E-5</v>
      </c>
      <c r="L2660" s="519">
        <v>2.2186718306529285E-5</v>
      </c>
    </row>
    <row r="2661" spans="1:12" ht="15.5" x14ac:dyDescent="0.35">
      <c r="A2661" s="143" t="s">
        <v>969</v>
      </c>
      <c r="B2661" s="229">
        <v>2039</v>
      </c>
      <c r="C2661" s="514" t="s">
        <v>3485</v>
      </c>
      <c r="D2661" s="515">
        <v>2.545672190330435E-2</v>
      </c>
      <c r="E2661" s="516">
        <v>2.6117949952552868E-3</v>
      </c>
      <c r="F2661" s="145">
        <v>1.9752489345625426E-2</v>
      </c>
      <c r="G2661" s="145">
        <v>5.783516804813843E-4</v>
      </c>
      <c r="H2661" s="517">
        <v>2.0000005732018801E-3</v>
      </c>
      <c r="I2661" s="517">
        <v>1.5750004513964799E-2</v>
      </c>
      <c r="J2661" s="148">
        <v>6.2814803508382477E-4</v>
      </c>
      <c r="K2661" s="518">
        <v>2.0346264366130215E-5</v>
      </c>
      <c r="L2661" s="519">
        <v>2.126623215555568E-5</v>
      </c>
    </row>
    <row r="2662" spans="1:12" ht="15.5" x14ac:dyDescent="0.35">
      <c r="A2662" s="143" t="s">
        <v>969</v>
      </c>
      <c r="B2662" s="229">
        <v>2040</v>
      </c>
      <c r="C2662" s="514" t="s">
        <v>3486</v>
      </c>
      <c r="D2662" s="515">
        <v>2.5321360911482498E-2</v>
      </c>
      <c r="E2662" s="516">
        <v>2.4366101455297147E-3</v>
      </c>
      <c r="F2662" s="145">
        <v>1.9250786579751312E-2</v>
      </c>
      <c r="G2662" s="145">
        <v>5.5581454717934758E-4</v>
      </c>
      <c r="H2662" s="517">
        <v>2.0000005732018805E-3</v>
      </c>
      <c r="I2662" s="517">
        <v>1.5750004513964803E-2</v>
      </c>
      <c r="J2662" s="148">
        <v>6.0366868684005978E-4</v>
      </c>
      <c r="K2662" s="518">
        <v>1.9594877456176233E-5</v>
      </c>
      <c r="L2662" s="519">
        <v>2.048087086376362E-5</v>
      </c>
    </row>
    <row r="2663" spans="1:12" ht="15.5" x14ac:dyDescent="0.35">
      <c r="A2663" s="143" t="s">
        <v>969</v>
      </c>
      <c r="B2663" s="229">
        <v>2041</v>
      </c>
      <c r="C2663" s="514" t="s">
        <v>3487</v>
      </c>
      <c r="D2663" s="515">
        <v>2.5210469235252532E-2</v>
      </c>
      <c r="E2663" s="516">
        <v>2.3018737751388236E-3</v>
      </c>
      <c r="F2663" s="145">
        <v>1.885905830566462E-2</v>
      </c>
      <c r="G2663" s="145">
        <v>5.3813353350282741E-4</v>
      </c>
      <c r="H2663" s="517">
        <v>2.0000005732018801E-3</v>
      </c>
      <c r="I2663" s="517">
        <v>1.5750004513964799E-2</v>
      </c>
      <c r="J2663" s="148">
        <v>5.8446541820154853E-4</v>
      </c>
      <c r="K2663" s="518">
        <v>1.8970770257561495E-5</v>
      </c>
      <c r="L2663" s="519">
        <v>1.9828544307062178E-5</v>
      </c>
    </row>
    <row r="2664" spans="1:12" ht="15.5" x14ac:dyDescent="0.35">
      <c r="A2664" s="143" t="s">
        <v>969</v>
      </c>
      <c r="B2664" s="229">
        <v>2042</v>
      </c>
      <c r="C2664" s="514" t="s">
        <v>3488</v>
      </c>
      <c r="D2664" s="515">
        <v>2.5119158485154874E-2</v>
      </c>
      <c r="E2664" s="516">
        <v>2.1868825595136071E-3</v>
      </c>
      <c r="F2664" s="145">
        <v>1.8502716687502811E-2</v>
      </c>
      <c r="G2664" s="145">
        <v>5.2306174827101406E-4</v>
      </c>
      <c r="H2664" s="517">
        <v>2.0000005732018801E-3</v>
      </c>
      <c r="I2664" s="517">
        <v>1.5750004513964796E-2</v>
      </c>
      <c r="J2664" s="148">
        <v>5.6809511298199498E-4</v>
      </c>
      <c r="K2664" s="518">
        <v>1.8460185323166131E-5</v>
      </c>
      <c r="L2664" s="519">
        <v>1.9294872987620508E-5</v>
      </c>
    </row>
    <row r="2665" spans="1:12" ht="15.5" x14ac:dyDescent="0.35">
      <c r="A2665" s="143" t="s">
        <v>969</v>
      </c>
      <c r="B2665" s="229">
        <v>2043</v>
      </c>
      <c r="C2665" s="514" t="s">
        <v>3489</v>
      </c>
      <c r="D2665" s="515">
        <v>2.5045090335519323E-2</v>
      </c>
      <c r="E2665" s="516">
        <v>2.0990476404622819E-3</v>
      </c>
      <c r="F2665" s="145">
        <v>1.8233150882150957E-2</v>
      </c>
      <c r="G2665" s="145">
        <v>5.1034319898868828E-4</v>
      </c>
      <c r="H2665" s="517">
        <v>2.0000005732018801E-3</v>
      </c>
      <c r="I2665" s="517">
        <v>1.5750004513964796E-2</v>
      </c>
      <c r="J2665" s="148">
        <v>5.5427968680363455E-4</v>
      </c>
      <c r="K2665" s="518">
        <v>1.8055315869044299E-5</v>
      </c>
      <c r="L2665" s="519">
        <v>1.8871697133364934E-5</v>
      </c>
    </row>
    <row r="2666" spans="1:12" ht="15.5" x14ac:dyDescent="0.35">
      <c r="A2666" s="143" t="s">
        <v>969</v>
      </c>
      <c r="B2666" s="229">
        <v>2044</v>
      </c>
      <c r="C2666" s="514" t="s">
        <v>3490</v>
      </c>
      <c r="D2666" s="515">
        <v>2.4984438940046622E-2</v>
      </c>
      <c r="E2666" s="516">
        <v>2.033033006300661E-3</v>
      </c>
      <c r="F2666" s="145">
        <v>1.8018692145483024E-2</v>
      </c>
      <c r="G2666" s="145">
        <v>4.996174549617774E-4</v>
      </c>
      <c r="H2666" s="517">
        <v>2.0000005732018801E-3</v>
      </c>
      <c r="I2666" s="517">
        <v>1.5750004513964799E-2</v>
      </c>
      <c r="J2666" s="148">
        <v>5.4262807916556101E-4</v>
      </c>
      <c r="K2666" s="518">
        <v>1.7733961308738505E-5</v>
      </c>
      <c r="L2666" s="519">
        <v>1.8535812345831835E-5</v>
      </c>
    </row>
    <row r="2667" spans="1:12" ht="15.5" x14ac:dyDescent="0.35">
      <c r="A2667" s="143" t="s">
        <v>969</v>
      </c>
      <c r="B2667" s="229">
        <v>2045</v>
      </c>
      <c r="C2667" s="514" t="s">
        <v>3491</v>
      </c>
      <c r="D2667" s="515">
        <v>2.4934278258508958E-2</v>
      </c>
      <c r="E2667" s="516">
        <v>1.9880317017801769E-3</v>
      </c>
      <c r="F2667" s="145">
        <v>1.78728098770208E-2</v>
      </c>
      <c r="G2667" s="145">
        <v>4.9059423699681227E-4</v>
      </c>
      <c r="H2667" s="517">
        <v>2.0000005732018805E-3</v>
      </c>
      <c r="I2667" s="517">
        <v>1.5750004513964803E-2</v>
      </c>
      <c r="J2667" s="148">
        <v>5.3282521404515748E-4</v>
      </c>
      <c r="K2667" s="518">
        <v>1.748127620175599E-5</v>
      </c>
      <c r="L2667" s="519">
        <v>1.8271701939585116E-5</v>
      </c>
    </row>
    <row r="2668" spans="1:12" ht="15.5" x14ac:dyDescent="0.35">
      <c r="A2668" s="143" t="s">
        <v>969</v>
      </c>
      <c r="B2668" s="229">
        <v>2046</v>
      </c>
      <c r="C2668" s="514" t="s">
        <v>3492</v>
      </c>
      <c r="D2668" s="515">
        <v>2.489295153957358E-2</v>
      </c>
      <c r="E2668" s="516">
        <v>1.9489580047727479E-3</v>
      </c>
      <c r="F2668" s="145">
        <v>1.7752461233043023E-2</v>
      </c>
      <c r="G2668" s="145">
        <v>4.8308430709582099E-4</v>
      </c>
      <c r="H2668" s="517">
        <v>2.0000005732018801E-3</v>
      </c>
      <c r="I2668" s="517">
        <v>1.5750004513964803E-2</v>
      </c>
      <c r="J2668" s="148">
        <v>5.2466608420392434E-4</v>
      </c>
      <c r="K2668" s="518">
        <v>1.7278231931554443E-5</v>
      </c>
      <c r="L2668" s="519">
        <v>1.8059476908480671E-5</v>
      </c>
    </row>
    <row r="2669" spans="1:12" ht="15.5" x14ac:dyDescent="0.35">
      <c r="A2669" s="143" t="s">
        <v>969</v>
      </c>
      <c r="B2669" s="229">
        <v>2047</v>
      </c>
      <c r="C2669" s="514" t="s">
        <v>3493</v>
      </c>
      <c r="D2669" s="515">
        <v>2.48593590006356E-2</v>
      </c>
      <c r="E2669" s="516">
        <v>1.9132611550056458E-3</v>
      </c>
      <c r="F2669" s="145">
        <v>1.7635459625814032E-2</v>
      </c>
      <c r="G2669" s="145">
        <v>4.7683871756024586E-4</v>
      </c>
      <c r="H2669" s="517">
        <v>2.0000005732018779E-3</v>
      </c>
      <c r="I2669" s="517">
        <v>1.5750004513964799E-2</v>
      </c>
      <c r="J2669" s="148">
        <v>5.1788064548215554E-4</v>
      </c>
      <c r="K2669" s="518">
        <v>1.7108093033098392E-5</v>
      </c>
      <c r="L2669" s="519">
        <v>1.7881645084016607E-5</v>
      </c>
    </row>
    <row r="2670" spans="1:12" ht="15.5" x14ac:dyDescent="0.35">
      <c r="A2670" s="143" t="s">
        <v>969</v>
      </c>
      <c r="B2670" s="229">
        <v>2048</v>
      </c>
      <c r="C2670" s="514" t="s">
        <v>3494</v>
      </c>
      <c r="D2670" s="515">
        <v>2.4831407503708998E-2</v>
      </c>
      <c r="E2670" s="516">
        <v>1.8837107194245553E-3</v>
      </c>
      <c r="F2670" s="145">
        <v>1.7534313489410352E-2</v>
      </c>
      <c r="G2670" s="145">
        <v>4.7165739265947449E-4</v>
      </c>
      <c r="H2670" s="517">
        <v>2.0000005732018801E-3</v>
      </c>
      <c r="I2670" s="517">
        <v>1.5750004513964799E-2</v>
      </c>
      <c r="J2670" s="148">
        <v>5.122519044092037E-4</v>
      </c>
      <c r="K2670" s="518">
        <v>1.6956531913236413E-5</v>
      </c>
      <c r="L2670" s="519">
        <v>1.7723231042856992E-5</v>
      </c>
    </row>
    <row r="2671" spans="1:12" ht="15.5" x14ac:dyDescent="0.35">
      <c r="A2671" s="143" t="s">
        <v>969</v>
      </c>
      <c r="B2671" s="229">
        <v>2049</v>
      </c>
      <c r="C2671" s="514" t="s">
        <v>3495</v>
      </c>
      <c r="D2671" s="515">
        <v>2.4808353664134027E-2</v>
      </c>
      <c r="E2671" s="516">
        <v>1.8729202768207431E-3</v>
      </c>
      <c r="F2671" s="145">
        <v>1.7540878716843192E-2</v>
      </c>
      <c r="G2671" s="145">
        <v>4.6835045720853441E-4</v>
      </c>
      <c r="H2671" s="517">
        <v>2.0000005732018792E-3</v>
      </c>
      <c r="I2671" s="517">
        <v>1.5750004513964799E-2</v>
      </c>
      <c r="J2671" s="148">
        <v>5.0865971073026529E-4</v>
      </c>
      <c r="K2671" s="518">
        <v>1.6852690468766239E-5</v>
      </c>
      <c r="L2671" s="519">
        <v>1.7614694349057446E-5</v>
      </c>
    </row>
    <row r="2672" spans="1:12" ht="15.5" x14ac:dyDescent="0.35">
      <c r="A2672" s="143" t="s">
        <v>969</v>
      </c>
      <c r="B2672" s="229">
        <v>2050</v>
      </c>
      <c r="C2672" s="514" t="s">
        <v>3496</v>
      </c>
      <c r="D2672" s="515">
        <v>2.4789808865608724E-2</v>
      </c>
      <c r="E2672" s="516">
        <v>1.86447848400871E-3</v>
      </c>
      <c r="F2672" s="145">
        <v>1.7549821229754674E-2</v>
      </c>
      <c r="G2672" s="145">
        <v>4.6566915533485293E-4</v>
      </c>
      <c r="H2672" s="517">
        <v>2.0000005732018805E-3</v>
      </c>
      <c r="I2672" s="517">
        <v>1.5750004513964803E-2</v>
      </c>
      <c r="J2672" s="148">
        <v>5.0574800714730194E-4</v>
      </c>
      <c r="K2672" s="518">
        <v>1.674751577483402E-5</v>
      </c>
      <c r="L2672" s="519">
        <v>1.7504764122171415E-5</v>
      </c>
    </row>
    <row r="2673" spans="1:12" ht="15.5" x14ac:dyDescent="0.35">
      <c r="A2673" s="143" t="s">
        <v>970</v>
      </c>
      <c r="B2673" s="229">
        <v>2015</v>
      </c>
      <c r="C2673" s="514" t="s">
        <v>3497</v>
      </c>
      <c r="D2673" s="515">
        <v>4.5212109250684689E-2</v>
      </c>
      <c r="E2673" s="516">
        <v>5.4328343143226369E-2</v>
      </c>
      <c r="F2673" s="145">
        <v>0.17874552335103711</v>
      </c>
      <c r="G2673" s="145">
        <v>2.0891749078922215E-3</v>
      </c>
      <c r="H2673" s="517">
        <v>2.0000005732018797E-3</v>
      </c>
      <c r="I2673" s="517">
        <v>1.5750004513964799E-2</v>
      </c>
      <c r="J2673" s="148">
        <v>2.2623447188865218E-3</v>
      </c>
      <c r="K2673" s="518">
        <v>1.4140522263261256E-4</v>
      </c>
      <c r="L2673" s="519">
        <v>1.4779893932367715E-4</v>
      </c>
    </row>
    <row r="2674" spans="1:12" ht="15.5" x14ac:dyDescent="0.35">
      <c r="A2674" s="143" t="s">
        <v>970</v>
      </c>
      <c r="B2674" s="229">
        <v>2016</v>
      </c>
      <c r="C2674" s="514" t="s">
        <v>3498</v>
      </c>
      <c r="D2674" s="515">
        <v>4.4388767592248579E-2</v>
      </c>
      <c r="E2674" s="516">
        <v>4.508299884637524E-2</v>
      </c>
      <c r="F2674" s="145">
        <v>0.15253831247881131</v>
      </c>
      <c r="G2674" s="145">
        <v>2.0012610523618157E-3</v>
      </c>
      <c r="H2674" s="517">
        <v>2.0000005732018805E-3</v>
      </c>
      <c r="I2674" s="517">
        <v>1.5750004513964799E-2</v>
      </c>
      <c r="J2674" s="148">
        <v>2.1688574548917464E-3</v>
      </c>
      <c r="K2674" s="518">
        <v>1.191145939748125E-4</v>
      </c>
      <c r="L2674" s="519">
        <v>1.2450042735117118E-4</v>
      </c>
    </row>
    <row r="2675" spans="1:12" ht="15.5" x14ac:dyDescent="0.35">
      <c r="A2675" s="143" t="s">
        <v>970</v>
      </c>
      <c r="B2675" s="229">
        <v>2017</v>
      </c>
      <c r="C2675" s="514" t="s">
        <v>3499</v>
      </c>
      <c r="D2675" s="515">
        <v>4.3278191630242713E-2</v>
      </c>
      <c r="E2675" s="516">
        <v>3.7637367011795174E-2</v>
      </c>
      <c r="F2675" s="145">
        <v>0.13024601991606297</v>
      </c>
      <c r="G2675" s="145">
        <v>1.9655464412708878E-3</v>
      </c>
      <c r="H2675" s="517">
        <v>2.000000573201874E-3</v>
      </c>
      <c r="I2675" s="517">
        <v>1.5750004513964799E-2</v>
      </c>
      <c r="J2675" s="148">
        <v>2.131300031758807E-3</v>
      </c>
      <c r="K2675" s="518">
        <v>1.0850026810311203E-4</v>
      </c>
      <c r="L2675" s="519">
        <v>1.134061687639257E-4</v>
      </c>
    </row>
    <row r="2676" spans="1:12" ht="15.5" x14ac:dyDescent="0.35">
      <c r="A2676" s="143" t="s">
        <v>970</v>
      </c>
      <c r="B2676" s="229">
        <v>2018</v>
      </c>
      <c r="C2676" s="514" t="s">
        <v>3500</v>
      </c>
      <c r="D2676" s="515">
        <v>4.2082155655644209E-2</v>
      </c>
      <c r="E2676" s="516">
        <v>3.1101435244372932E-2</v>
      </c>
      <c r="F2676" s="145">
        <v>0.11100650083835108</v>
      </c>
      <c r="G2676" s="145">
        <v>1.9543238477453956E-3</v>
      </c>
      <c r="H2676" s="517">
        <v>2.0000005732018805E-3</v>
      </c>
      <c r="I2676" s="517">
        <v>1.5750004513964799E-2</v>
      </c>
      <c r="J2676" s="148">
        <v>2.1201774511185206E-3</v>
      </c>
      <c r="K2676" s="518">
        <v>1.0015182507444756E-4</v>
      </c>
      <c r="L2676" s="519">
        <v>1.0468024618717268E-4</v>
      </c>
    </row>
    <row r="2677" spans="1:12" ht="15.5" x14ac:dyDescent="0.35">
      <c r="A2677" s="143" t="s">
        <v>970</v>
      </c>
      <c r="B2677" s="229">
        <v>2019</v>
      </c>
      <c r="C2677" s="514" t="s">
        <v>3501</v>
      </c>
      <c r="D2677" s="515">
        <v>4.0582519916528732E-2</v>
      </c>
      <c r="E2677" s="516">
        <v>2.5704600117533571E-2</v>
      </c>
      <c r="F2677" s="145">
        <v>9.4860324572179272E-2</v>
      </c>
      <c r="G2677" s="145">
        <v>1.9376939007847848E-3</v>
      </c>
      <c r="H2677" s="517">
        <v>2.0000005732018801E-3</v>
      </c>
      <c r="I2677" s="517">
        <v>1.5750004513964799E-2</v>
      </c>
      <c r="J2677" s="148">
        <v>2.102942251724832E-3</v>
      </c>
      <c r="K2677" s="518">
        <v>9.2202470999232098E-5</v>
      </c>
      <c r="L2677" s="519">
        <v>9.6371457595412127E-5</v>
      </c>
    </row>
    <row r="2678" spans="1:12" ht="15.5" x14ac:dyDescent="0.35">
      <c r="A2678" s="143" t="s">
        <v>970</v>
      </c>
      <c r="B2678" s="229">
        <v>2020</v>
      </c>
      <c r="C2678" s="514" t="s">
        <v>3502</v>
      </c>
      <c r="D2678" s="515">
        <v>3.9326479782517715E-2</v>
      </c>
      <c r="E2678" s="516">
        <v>2.1782299614797319E-2</v>
      </c>
      <c r="F2678" s="145">
        <v>8.1738991077713055E-2</v>
      </c>
      <c r="G2678" s="145">
        <v>1.8765432726061085E-3</v>
      </c>
      <c r="H2678" s="517">
        <v>2.0000005732018801E-3</v>
      </c>
      <c r="I2678" s="517">
        <v>1.5750004513964792E-2</v>
      </c>
      <c r="J2678" s="148">
        <v>2.0368872253631715E-3</v>
      </c>
      <c r="K2678" s="518">
        <v>8.6113772992453338E-5</v>
      </c>
      <c r="L2678" s="519">
        <v>9.0007455682963674E-5</v>
      </c>
    </row>
    <row r="2679" spans="1:12" ht="15.5" x14ac:dyDescent="0.35">
      <c r="A2679" s="143" t="s">
        <v>970</v>
      </c>
      <c r="B2679" s="229">
        <v>2021</v>
      </c>
      <c r="C2679" s="514" t="s">
        <v>3503</v>
      </c>
      <c r="D2679" s="515">
        <v>3.8062897841584946E-2</v>
      </c>
      <c r="E2679" s="516">
        <v>1.871270545461956E-2</v>
      </c>
      <c r="F2679" s="145">
        <v>7.0814883009840734E-2</v>
      </c>
      <c r="G2679" s="145">
        <v>1.7698655719144696E-3</v>
      </c>
      <c r="H2679" s="517">
        <v>2.0000005732018797E-3</v>
      </c>
      <c r="I2679" s="517">
        <v>1.5750004513964799E-2</v>
      </c>
      <c r="J2679" s="148">
        <v>1.9213008850742996E-3</v>
      </c>
      <c r="K2679" s="518">
        <v>7.8616885311804559E-5</v>
      </c>
      <c r="L2679" s="519">
        <v>8.2171592008342071E-5</v>
      </c>
    </row>
    <row r="2680" spans="1:12" ht="15.5" x14ac:dyDescent="0.35">
      <c r="A2680" s="143" t="s">
        <v>970</v>
      </c>
      <c r="B2680" s="229">
        <v>2022</v>
      </c>
      <c r="C2680" s="514" t="s">
        <v>3504</v>
      </c>
      <c r="D2680" s="515">
        <v>3.6818614818011644E-2</v>
      </c>
      <c r="E2680" s="516">
        <v>1.5785522803995838E-2</v>
      </c>
      <c r="F2680" s="145">
        <v>6.1395318526720123E-2</v>
      </c>
      <c r="G2680" s="145">
        <v>1.6687127798438288E-3</v>
      </c>
      <c r="H2680" s="517">
        <v>2.0000005732018801E-3</v>
      </c>
      <c r="I2680" s="517">
        <v>1.5750004513964803E-2</v>
      </c>
      <c r="J2680" s="148">
        <v>1.8117440851996957E-3</v>
      </c>
      <c r="K2680" s="518">
        <v>7.2195702120831631E-5</v>
      </c>
      <c r="L2680" s="519">
        <v>7.5460071407052267E-5</v>
      </c>
    </row>
    <row r="2681" spans="1:12" ht="15.5" x14ac:dyDescent="0.35">
      <c r="A2681" s="143" t="s">
        <v>970</v>
      </c>
      <c r="B2681" s="229">
        <v>2023</v>
      </c>
      <c r="C2681" s="514" t="s">
        <v>3505</v>
      </c>
      <c r="D2681" s="515">
        <v>3.5593375135673337E-2</v>
      </c>
      <c r="E2681" s="516">
        <v>1.37180348538631E-2</v>
      </c>
      <c r="F2681" s="145">
        <v>5.3894625334293365E-2</v>
      </c>
      <c r="G2681" s="145">
        <v>1.5844308559393558E-3</v>
      </c>
      <c r="H2681" s="517">
        <v>2.0000005732018797E-3</v>
      </c>
      <c r="I2681" s="517">
        <v>1.5750004513964796E-2</v>
      </c>
      <c r="J2681" s="148">
        <v>1.7203883096072361E-3</v>
      </c>
      <c r="K2681" s="518">
        <v>6.567871902693866E-5</v>
      </c>
      <c r="L2681" s="519">
        <v>6.8648419256337625E-5</v>
      </c>
    </row>
    <row r="2682" spans="1:12" ht="15.5" x14ac:dyDescent="0.35">
      <c r="A2682" s="143" t="s">
        <v>970</v>
      </c>
      <c r="B2682" s="229">
        <v>2024</v>
      </c>
      <c r="C2682" s="514" t="s">
        <v>3506</v>
      </c>
      <c r="D2682" s="515">
        <v>3.4397599455019405E-2</v>
      </c>
      <c r="E2682" s="516">
        <v>1.2114064890602386E-2</v>
      </c>
      <c r="F2682" s="145">
        <v>4.7797581187998261E-2</v>
      </c>
      <c r="G2682" s="145">
        <v>1.5292355531389421E-3</v>
      </c>
      <c r="H2682" s="517">
        <v>2.0000005732018801E-3</v>
      </c>
      <c r="I2682" s="517">
        <v>1.5750004513964796E-2</v>
      </c>
      <c r="J2682" s="148">
        <v>1.6606879192988281E-3</v>
      </c>
      <c r="K2682" s="518">
        <v>5.8611724657963957E-5</v>
      </c>
      <c r="L2682" s="519">
        <v>6.126188676132093E-5</v>
      </c>
    </row>
    <row r="2683" spans="1:12" ht="15.5" x14ac:dyDescent="0.35">
      <c r="A2683" s="143" t="s">
        <v>970</v>
      </c>
      <c r="B2683" s="229">
        <v>2025</v>
      </c>
      <c r="C2683" s="514" t="s">
        <v>3507</v>
      </c>
      <c r="D2683" s="515">
        <v>3.3229385065049785E-2</v>
      </c>
      <c r="E2683" s="516">
        <v>1.0675776723465921E-2</v>
      </c>
      <c r="F2683" s="145">
        <v>4.280361665568589E-2</v>
      </c>
      <c r="G2683" s="145">
        <v>1.4692281760365802E-3</v>
      </c>
      <c r="H2683" s="517">
        <v>2.0000005732018788E-3</v>
      </c>
      <c r="I2683" s="517">
        <v>1.5750004513964799E-2</v>
      </c>
      <c r="J2683" s="148">
        <v>1.5956565243582471E-3</v>
      </c>
      <c r="K2683" s="518">
        <v>5.3364181035537899E-5</v>
      </c>
      <c r="L2683" s="519">
        <v>5.5777072501918712E-5</v>
      </c>
    </row>
    <row r="2684" spans="1:12" ht="15.5" x14ac:dyDescent="0.35">
      <c r="A2684" s="143" t="s">
        <v>970</v>
      </c>
      <c r="B2684" s="229">
        <v>2026</v>
      </c>
      <c r="C2684" s="514" t="s">
        <v>3508</v>
      </c>
      <c r="D2684" s="515">
        <v>3.2154045481593334E-2</v>
      </c>
      <c r="E2684" s="516">
        <v>9.4920416605070983E-3</v>
      </c>
      <c r="F2684" s="145">
        <v>3.8780719989012481E-2</v>
      </c>
      <c r="G2684" s="145">
        <v>1.4034359473441662E-3</v>
      </c>
      <c r="H2684" s="517">
        <v>2.0000005732018797E-3</v>
      </c>
      <c r="I2684" s="517">
        <v>1.5750004513964799E-2</v>
      </c>
      <c r="J2684" s="148">
        <v>1.5243355012038089E-3</v>
      </c>
      <c r="K2684" s="518">
        <v>4.7869972726168722E-5</v>
      </c>
      <c r="L2684" s="519">
        <v>5.0034440472988117E-5</v>
      </c>
    </row>
    <row r="2685" spans="1:12" ht="15.5" x14ac:dyDescent="0.35">
      <c r="A2685" s="143" t="s">
        <v>970</v>
      </c>
      <c r="B2685" s="229">
        <v>2027</v>
      </c>
      <c r="C2685" s="514" t="s">
        <v>3509</v>
      </c>
      <c r="D2685" s="515">
        <v>3.116424499830231E-2</v>
      </c>
      <c r="E2685" s="516">
        <v>8.4855405404906502E-3</v>
      </c>
      <c r="F2685" s="145">
        <v>3.5406356017469783E-2</v>
      </c>
      <c r="G2685" s="145">
        <v>1.3254418325795824E-3</v>
      </c>
      <c r="H2685" s="517">
        <v>2.0000005732018797E-3</v>
      </c>
      <c r="I2685" s="517">
        <v>1.5750004513964796E-2</v>
      </c>
      <c r="J2685" s="148">
        <v>1.4397771983600939E-3</v>
      </c>
      <c r="K2685" s="518">
        <v>4.1574061212208742E-5</v>
      </c>
      <c r="L2685" s="519">
        <v>4.3453855778060441E-5</v>
      </c>
    </row>
    <row r="2686" spans="1:12" ht="15.5" x14ac:dyDescent="0.35">
      <c r="A2686" s="143" t="s">
        <v>970</v>
      </c>
      <c r="B2686" s="229">
        <v>2028</v>
      </c>
      <c r="C2686" s="514" t="s">
        <v>3510</v>
      </c>
      <c r="D2686" s="515">
        <v>3.0270267149013579E-2</v>
      </c>
      <c r="E2686" s="516">
        <v>7.6451332164779165E-3</v>
      </c>
      <c r="F2686" s="145">
        <v>3.2613520789924827E-2</v>
      </c>
      <c r="G2686" s="145">
        <v>1.2402193512254932E-3</v>
      </c>
      <c r="H2686" s="517">
        <v>2.000000573201874E-3</v>
      </c>
      <c r="I2686" s="517">
        <v>1.5750004513964737E-2</v>
      </c>
      <c r="J2686" s="148">
        <v>1.3472914864128484E-3</v>
      </c>
      <c r="K2686" s="518">
        <v>3.6818684845267354E-5</v>
      </c>
      <c r="L2686" s="519">
        <v>3.8483462393476072E-5</v>
      </c>
    </row>
    <row r="2687" spans="1:12" ht="15.5" x14ac:dyDescent="0.35">
      <c r="A2687" s="143" t="s">
        <v>970</v>
      </c>
      <c r="B2687" s="229">
        <v>2029</v>
      </c>
      <c r="C2687" s="514" t="s">
        <v>3511</v>
      </c>
      <c r="D2687" s="515">
        <v>2.9468745861541589E-2</v>
      </c>
      <c r="E2687" s="516">
        <v>6.9052633183995012E-3</v>
      </c>
      <c r="F2687" s="145">
        <v>3.0215054851472304E-2</v>
      </c>
      <c r="G2687" s="145">
        <v>1.1613866382521143E-3</v>
      </c>
      <c r="H2687" s="517">
        <v>2.0000005732018801E-3</v>
      </c>
      <c r="I2687" s="517">
        <v>1.5750004513964799E-2</v>
      </c>
      <c r="J2687" s="148">
        <v>1.2617009787795049E-3</v>
      </c>
      <c r="K2687" s="518">
        <v>3.3343566643979225E-5</v>
      </c>
      <c r="L2687" s="519">
        <v>3.4851214767734306E-5</v>
      </c>
    </row>
    <row r="2688" spans="1:12" ht="15.5" x14ac:dyDescent="0.35">
      <c r="A2688" s="143" t="s">
        <v>970</v>
      </c>
      <c r="B2688" s="229">
        <v>2030</v>
      </c>
      <c r="C2688" s="514" t="s">
        <v>3512</v>
      </c>
      <c r="D2688" s="515">
        <v>2.8752065097680492E-2</v>
      </c>
      <c r="E2688" s="516">
        <v>6.2792670485880553E-3</v>
      </c>
      <c r="F2688" s="145">
        <v>2.8207798466269605E-2</v>
      </c>
      <c r="G2688" s="145">
        <v>1.0892102875223872E-3</v>
      </c>
      <c r="H2688" s="517">
        <v>2.0000005732018779E-3</v>
      </c>
      <c r="I2688" s="517">
        <v>1.5750004513964799E-2</v>
      </c>
      <c r="J2688" s="148">
        <v>1.1833250919604866E-3</v>
      </c>
      <c r="K2688" s="518">
        <v>3.04532286503497E-5</v>
      </c>
      <c r="L2688" s="519">
        <v>3.1830188515717853E-5</v>
      </c>
    </row>
    <row r="2689" spans="1:12" ht="15.5" x14ac:dyDescent="0.35">
      <c r="A2689" s="143" t="s">
        <v>970</v>
      </c>
      <c r="B2689" s="229">
        <v>2031</v>
      </c>
      <c r="C2689" s="514" t="s">
        <v>3513</v>
      </c>
      <c r="D2689" s="515">
        <v>2.8113456688703822E-2</v>
      </c>
      <c r="E2689" s="516">
        <v>5.7487584562854977E-3</v>
      </c>
      <c r="F2689" s="145">
        <v>2.6486355563777601E-2</v>
      </c>
      <c r="G2689" s="145">
        <v>1.027169497072474E-3</v>
      </c>
      <c r="H2689" s="517">
        <v>2.0000005732018805E-3</v>
      </c>
      <c r="I2689" s="517">
        <v>1.5750004513964799E-2</v>
      </c>
      <c r="J2689" s="148">
        <v>1.1159183496266395E-3</v>
      </c>
      <c r="K2689" s="518">
        <v>2.8841975704738145E-5</v>
      </c>
      <c r="L2689" s="519">
        <v>3.0146081861734804E-5</v>
      </c>
    </row>
    <row r="2690" spans="1:12" ht="15.5" x14ac:dyDescent="0.35">
      <c r="A2690" s="143" t="s">
        <v>970</v>
      </c>
      <c r="B2690" s="229">
        <v>2032</v>
      </c>
      <c r="C2690" s="514" t="s">
        <v>3514</v>
      </c>
      <c r="D2690" s="515">
        <v>2.7548005401253902E-2</v>
      </c>
      <c r="E2690" s="516">
        <v>5.2676085489068228E-3</v>
      </c>
      <c r="F2690" s="145">
        <v>2.5036072213475858E-2</v>
      </c>
      <c r="G2690" s="145">
        <v>9.6611796648969921E-4</v>
      </c>
      <c r="H2690" s="517">
        <v>2.0000005732018797E-3</v>
      </c>
      <c r="I2690" s="517">
        <v>1.5750004513964799E-2</v>
      </c>
      <c r="J2690" s="148">
        <v>1.0495932393035504E-3</v>
      </c>
      <c r="K2690" s="518">
        <v>2.7095700866160641E-5</v>
      </c>
      <c r="L2690" s="519">
        <v>2.8320848223936524E-5</v>
      </c>
    </row>
    <row r="2691" spans="1:12" ht="15.5" x14ac:dyDescent="0.35">
      <c r="A2691" s="143" t="s">
        <v>970</v>
      </c>
      <c r="B2691" s="229">
        <v>2033</v>
      </c>
      <c r="C2691" s="514" t="s">
        <v>3515</v>
      </c>
      <c r="D2691" s="515">
        <v>2.7049402855028836E-2</v>
      </c>
      <c r="E2691" s="516">
        <v>4.8454500118943937E-3</v>
      </c>
      <c r="F2691" s="145">
        <v>2.3813687830065863E-2</v>
      </c>
      <c r="G2691" s="145">
        <v>9.1027051434851855E-4</v>
      </c>
      <c r="H2691" s="517">
        <v>2.0000005732018801E-3</v>
      </c>
      <c r="I2691" s="517">
        <v>1.5750004513964803E-2</v>
      </c>
      <c r="J2691" s="148">
        <v>9.8890230554486941E-4</v>
      </c>
      <c r="K2691" s="518">
        <v>2.5956698088434796E-5</v>
      </c>
      <c r="L2691" s="519">
        <v>2.7130344794851961E-5</v>
      </c>
    </row>
    <row r="2692" spans="1:12" ht="15.5" x14ac:dyDescent="0.35">
      <c r="A2692" s="143" t="s">
        <v>970</v>
      </c>
      <c r="B2692" s="229">
        <v>2034</v>
      </c>
      <c r="C2692" s="514" t="s">
        <v>3516</v>
      </c>
      <c r="D2692" s="515">
        <v>2.6610764769230667E-2</v>
      </c>
      <c r="E2692" s="516">
        <v>4.462441568935013E-3</v>
      </c>
      <c r="F2692" s="145">
        <v>2.2762373568929791E-2</v>
      </c>
      <c r="G2692" s="145">
        <v>8.5848701169047293E-4</v>
      </c>
      <c r="H2692" s="517">
        <v>2.0000005732018805E-3</v>
      </c>
      <c r="I2692" s="517">
        <v>1.5750004513964799E-2</v>
      </c>
      <c r="J2692" s="148">
        <v>9.3262748616986467E-4</v>
      </c>
      <c r="K2692" s="518">
        <v>2.49074042592353E-5</v>
      </c>
      <c r="L2692" s="519">
        <v>2.6033606554868374E-5</v>
      </c>
    </row>
    <row r="2693" spans="1:12" ht="15.5" x14ac:dyDescent="0.35">
      <c r="A2693" s="143" t="s">
        <v>970</v>
      </c>
      <c r="B2693" s="229">
        <v>2035</v>
      </c>
      <c r="C2693" s="514" t="s">
        <v>3517</v>
      </c>
      <c r="D2693" s="515">
        <v>2.6228578300199763E-2</v>
      </c>
      <c r="E2693" s="516">
        <v>4.1280752626624874E-3</v>
      </c>
      <c r="F2693" s="145">
        <v>2.1901328156365772E-2</v>
      </c>
      <c r="G2693" s="145">
        <v>8.1129182507991347E-4</v>
      </c>
      <c r="H2693" s="517">
        <v>2.0000005732018801E-3</v>
      </c>
      <c r="I2693" s="517">
        <v>1.5750004513964799E-2</v>
      </c>
      <c r="J2693" s="148">
        <v>8.813396725084932E-4</v>
      </c>
      <c r="K2693" s="518">
        <v>2.3933781902677546E-5</v>
      </c>
      <c r="L2693" s="519">
        <v>2.5015961315732425E-5</v>
      </c>
    </row>
    <row r="2694" spans="1:12" ht="15.5" x14ac:dyDescent="0.35">
      <c r="A2694" s="143" t="s">
        <v>970</v>
      </c>
      <c r="B2694" s="229">
        <v>2036</v>
      </c>
      <c r="C2694" s="514" t="s">
        <v>3518</v>
      </c>
      <c r="D2694" s="515">
        <v>2.635589324623425E-2</v>
      </c>
      <c r="E2694" s="516">
        <v>3.8285228731894049E-3</v>
      </c>
      <c r="F2694" s="145">
        <v>2.1146813712448698E-2</v>
      </c>
      <c r="G2694" s="145">
        <v>7.7009984409020192E-4</v>
      </c>
      <c r="H2694" s="517">
        <v>2.0000005732018797E-3</v>
      </c>
      <c r="I2694" s="517">
        <v>1.5750004513964778E-2</v>
      </c>
      <c r="J2694" s="148">
        <v>8.3657755094276062E-4</v>
      </c>
      <c r="K2694" s="518">
        <v>2.3039019753306576E-5</v>
      </c>
      <c r="L2694" s="519">
        <v>2.4080741992414992E-5</v>
      </c>
    </row>
    <row r="2695" spans="1:12" ht="15.5" x14ac:dyDescent="0.35">
      <c r="A2695" s="143" t="s">
        <v>970</v>
      </c>
      <c r="B2695" s="229">
        <v>2037</v>
      </c>
      <c r="C2695" s="514" t="s">
        <v>3519</v>
      </c>
      <c r="D2695" s="515">
        <v>2.6063870502389515E-2</v>
      </c>
      <c r="E2695" s="516">
        <v>3.5742390446922854E-3</v>
      </c>
      <c r="F2695" s="145">
        <v>2.0534429756209935E-2</v>
      </c>
      <c r="G2695" s="145">
        <v>7.3354419517548573E-4</v>
      </c>
      <c r="H2695" s="517">
        <v>2.0000005732018792E-3</v>
      </c>
      <c r="I2695" s="517">
        <v>1.5750004513964799E-2</v>
      </c>
      <c r="J2695" s="148">
        <v>7.968529989210673E-4</v>
      </c>
      <c r="K2695" s="518">
        <v>2.2259054834664229E-5</v>
      </c>
      <c r="L2695" s="519">
        <v>2.3265510521194819E-5</v>
      </c>
    </row>
    <row r="2696" spans="1:12" ht="15.5" x14ac:dyDescent="0.35">
      <c r="A2696" s="143" t="s">
        <v>970</v>
      </c>
      <c r="B2696" s="229">
        <v>2038</v>
      </c>
      <c r="C2696" s="514" t="s">
        <v>3520</v>
      </c>
      <c r="D2696" s="515">
        <v>2.5815577678094632E-2</v>
      </c>
      <c r="E2696" s="516">
        <v>3.3403198807115376E-3</v>
      </c>
      <c r="F2696" s="145">
        <v>1.9969968518147377E-2</v>
      </c>
      <c r="G2696" s="145">
        <v>7.0114260064970161E-4</v>
      </c>
      <c r="H2696" s="517">
        <v>2.0000005732018801E-3</v>
      </c>
      <c r="I2696" s="517">
        <v>1.5750004513964799E-2</v>
      </c>
      <c r="J2696" s="148">
        <v>7.6164088417873463E-4</v>
      </c>
      <c r="K2696" s="518">
        <v>2.1608312346902493E-5</v>
      </c>
      <c r="L2696" s="519">
        <v>2.2585344345763497E-5</v>
      </c>
    </row>
    <row r="2697" spans="1:12" ht="15.5" x14ac:dyDescent="0.35">
      <c r="A2697" s="143" t="s">
        <v>970</v>
      </c>
      <c r="B2697" s="229">
        <v>2039</v>
      </c>
      <c r="C2697" s="514" t="s">
        <v>3521</v>
      </c>
      <c r="D2697" s="515">
        <v>2.5603376532350685E-2</v>
      </c>
      <c r="E2697" s="516">
        <v>3.1208497351666734E-3</v>
      </c>
      <c r="F2697" s="145">
        <v>1.944211703257933E-2</v>
      </c>
      <c r="G2697" s="145">
        <v>6.7262524070744209E-4</v>
      </c>
      <c r="H2697" s="517">
        <v>2.0000005732018801E-3</v>
      </c>
      <c r="I2697" s="517">
        <v>1.5750004513964799E-2</v>
      </c>
      <c r="J2697" s="148">
        <v>7.3064935424298997E-4</v>
      </c>
      <c r="K2697" s="518">
        <v>2.1049006837077316E-5</v>
      </c>
      <c r="L2697" s="519">
        <v>2.2000749522665443E-5</v>
      </c>
    </row>
    <row r="2698" spans="1:12" ht="15.5" x14ac:dyDescent="0.35">
      <c r="A2698" s="143" t="s">
        <v>970</v>
      </c>
      <c r="B2698" s="229">
        <v>2040</v>
      </c>
      <c r="C2698" s="514" t="s">
        <v>3522</v>
      </c>
      <c r="D2698" s="515">
        <v>2.5425131829817163E-2</v>
      </c>
      <c r="E2698" s="516">
        <v>2.9226801067575151E-3</v>
      </c>
      <c r="F2698" s="145">
        <v>1.8995209893622956E-2</v>
      </c>
      <c r="G2698" s="145">
        <v>6.4777201523957524E-4</v>
      </c>
      <c r="H2698" s="517">
        <v>2.0000005732018797E-3</v>
      </c>
      <c r="I2698" s="517">
        <v>1.5750004513964796E-2</v>
      </c>
      <c r="J2698" s="148">
        <v>7.0363985251306344E-4</v>
      </c>
      <c r="K2698" s="518">
        <v>2.0561732125173679E-5</v>
      </c>
      <c r="L2698" s="519">
        <v>2.1491442410539079E-5</v>
      </c>
    </row>
    <row r="2699" spans="1:12" ht="15.5" x14ac:dyDescent="0.35">
      <c r="A2699" s="143" t="s">
        <v>970</v>
      </c>
      <c r="B2699" s="229">
        <v>2041</v>
      </c>
      <c r="C2699" s="514" t="s">
        <v>3523</v>
      </c>
      <c r="D2699" s="515">
        <v>2.5277515071428287E-2</v>
      </c>
      <c r="E2699" s="516">
        <v>2.7697411137253161E-3</v>
      </c>
      <c r="F2699" s="145">
        <v>1.8646966271503699E-2</v>
      </c>
      <c r="G2699" s="145">
        <v>6.284584916855403E-4</v>
      </c>
      <c r="H2699" s="517">
        <v>2.0000005732018801E-3</v>
      </c>
      <c r="I2699" s="517">
        <v>1.5750004513964799E-2</v>
      </c>
      <c r="J2699" s="148">
        <v>6.8265167832949852E-4</v>
      </c>
      <c r="K2699" s="518">
        <v>2.0159499879375362E-5</v>
      </c>
      <c r="L2699" s="519">
        <v>2.1071023007464927E-5</v>
      </c>
    </row>
    <row r="2700" spans="1:12" ht="15.5" x14ac:dyDescent="0.35">
      <c r="A2700" s="143" t="s">
        <v>970</v>
      </c>
      <c r="B2700" s="229">
        <v>2042</v>
      </c>
      <c r="C2700" s="514" t="s">
        <v>3524</v>
      </c>
      <c r="D2700" s="515">
        <v>2.5154515447241378E-2</v>
      </c>
      <c r="E2700" s="516">
        <v>2.6374994171408589E-3</v>
      </c>
      <c r="F2700" s="145">
        <v>1.8321076435101159E-2</v>
      </c>
      <c r="G2700" s="145">
        <v>6.1200933652259392E-4</v>
      </c>
      <c r="H2700" s="517">
        <v>2.0000005732018775E-3</v>
      </c>
      <c r="I2700" s="517">
        <v>1.5750004513964775E-2</v>
      </c>
      <c r="J2700" s="148">
        <v>6.6477569733534522E-4</v>
      </c>
      <c r="K2700" s="518">
        <v>1.9829686141078165E-5</v>
      </c>
      <c r="L2700" s="519">
        <v>2.0726296555448737E-5</v>
      </c>
    </row>
    <row r="2701" spans="1:12" ht="15.5" x14ac:dyDescent="0.35">
      <c r="A2701" s="143" t="s">
        <v>970</v>
      </c>
      <c r="B2701" s="229">
        <v>2043</v>
      </c>
      <c r="C2701" s="514" t="s">
        <v>3525</v>
      </c>
      <c r="D2701" s="515">
        <v>2.5053614454200963E-2</v>
      </c>
      <c r="E2701" s="516">
        <v>2.5372493225712341E-3</v>
      </c>
      <c r="F2701" s="145">
        <v>1.8075921386736433E-2</v>
      </c>
      <c r="G2701" s="145">
        <v>5.98139135167963E-4</v>
      </c>
      <c r="H2701" s="517">
        <v>2.0000005732018801E-3</v>
      </c>
      <c r="I2701" s="517">
        <v>1.5750004513964799E-2</v>
      </c>
      <c r="J2701" s="148">
        <v>6.4970180830904094E-4</v>
      </c>
      <c r="K2701" s="518">
        <v>1.9564900381314724E-5</v>
      </c>
      <c r="L2701" s="519">
        <v>2.0449538358598156E-5</v>
      </c>
    </row>
    <row r="2702" spans="1:12" ht="15.5" x14ac:dyDescent="0.35">
      <c r="A2702" s="143" t="s">
        <v>970</v>
      </c>
      <c r="B2702" s="229">
        <v>2044</v>
      </c>
      <c r="C2702" s="514" t="s">
        <v>3526</v>
      </c>
      <c r="D2702" s="515">
        <v>2.4969160924269512E-2</v>
      </c>
      <c r="E2702" s="516">
        <v>2.4617368978694259E-3</v>
      </c>
      <c r="F2702" s="145">
        <v>1.7875664789331617E-2</v>
      </c>
      <c r="G2702" s="145">
        <v>5.8643731824144295E-4</v>
      </c>
      <c r="H2702" s="517">
        <v>2.0000005732018797E-3</v>
      </c>
      <c r="I2702" s="517">
        <v>1.5750004513964803E-2</v>
      </c>
      <c r="J2702" s="148">
        <v>6.3698396414010438E-4</v>
      </c>
      <c r="K2702" s="518">
        <v>1.9353707946475997E-5</v>
      </c>
      <c r="L2702" s="519">
        <v>2.0228796739008553E-5</v>
      </c>
    </row>
    <row r="2703" spans="1:12" ht="15.5" x14ac:dyDescent="0.35">
      <c r="A2703" s="143" t="s">
        <v>970</v>
      </c>
      <c r="B2703" s="229">
        <v>2045</v>
      </c>
      <c r="C2703" s="514" t="s">
        <v>3527</v>
      </c>
      <c r="D2703" s="515">
        <v>2.4897911730811021E-2</v>
      </c>
      <c r="E2703" s="516">
        <v>2.4108200530655777E-3</v>
      </c>
      <c r="F2703" s="145">
        <v>1.773747245758913E-2</v>
      </c>
      <c r="G2703" s="145">
        <v>5.7659278522570413E-4</v>
      </c>
      <c r="H2703" s="517">
        <v>2.0000005732018723E-3</v>
      </c>
      <c r="I2703" s="517">
        <v>1.5750004513964803E-2</v>
      </c>
      <c r="J2703" s="148">
        <v>6.2628401363986881E-4</v>
      </c>
      <c r="K2703" s="518">
        <v>1.9191412533871013E-5</v>
      </c>
      <c r="L2703" s="519">
        <v>2.0059163048020813E-5</v>
      </c>
    </row>
    <row r="2704" spans="1:12" ht="15.5" x14ac:dyDescent="0.35">
      <c r="A2704" s="143" t="s">
        <v>970</v>
      </c>
      <c r="B2704" s="229">
        <v>2046</v>
      </c>
      <c r="C2704" s="514" t="s">
        <v>3528</v>
      </c>
      <c r="D2704" s="515">
        <v>2.4838749419350329E-2</v>
      </c>
      <c r="E2704" s="516">
        <v>2.3671776260732452E-3</v>
      </c>
      <c r="F2704" s="145">
        <v>1.7625805195593539E-2</v>
      </c>
      <c r="G2704" s="145">
        <v>5.6844133066160545E-4</v>
      </c>
      <c r="H2704" s="517">
        <v>2.0000005732018801E-3</v>
      </c>
      <c r="I2704" s="517">
        <v>1.5750004513964778E-2</v>
      </c>
      <c r="J2704" s="148">
        <v>6.1742395697620756E-4</v>
      </c>
      <c r="K2704" s="518">
        <v>1.9064124408560225E-5</v>
      </c>
      <c r="L2704" s="519">
        <v>1.9926119518516176E-5</v>
      </c>
    </row>
    <row r="2705" spans="1:12" ht="15.5" x14ac:dyDescent="0.35">
      <c r="A2705" s="143" t="s">
        <v>970</v>
      </c>
      <c r="B2705" s="229">
        <v>2047</v>
      </c>
      <c r="C2705" s="514" t="s">
        <v>3529</v>
      </c>
      <c r="D2705" s="515">
        <v>2.4790245717411022E-2</v>
      </c>
      <c r="E2705" s="516">
        <v>2.3268291610033329E-3</v>
      </c>
      <c r="F2705" s="145">
        <v>1.7514656846573079E-2</v>
      </c>
      <c r="G2705" s="145">
        <v>5.6168197963629555E-4</v>
      </c>
      <c r="H2705" s="517">
        <v>2.0000005732018801E-3</v>
      </c>
      <c r="I2705" s="517">
        <v>1.5750004513964799E-2</v>
      </c>
      <c r="J2705" s="148">
        <v>6.1007683966714178E-4</v>
      </c>
      <c r="K2705" s="518">
        <v>1.8962800719167192E-5</v>
      </c>
      <c r="L2705" s="519">
        <v>1.9820214421506002E-5</v>
      </c>
    </row>
    <row r="2706" spans="1:12" ht="15.5" x14ac:dyDescent="0.35">
      <c r="A2706" s="143" t="s">
        <v>970</v>
      </c>
      <c r="B2706" s="229">
        <v>2048</v>
      </c>
      <c r="C2706" s="514" t="s">
        <v>3530</v>
      </c>
      <c r="D2706" s="515">
        <v>2.4750611423575042E-2</v>
      </c>
      <c r="E2706" s="516">
        <v>2.2930527704489085E-3</v>
      </c>
      <c r="F2706" s="145">
        <v>1.7417141056514065E-2</v>
      </c>
      <c r="G2706" s="145">
        <v>5.5606771578380683E-4</v>
      </c>
      <c r="H2706" s="517">
        <v>2.0000005732018801E-3</v>
      </c>
      <c r="I2706" s="517">
        <v>1.5750004513964799E-2</v>
      </c>
      <c r="J2706" s="148">
        <v>6.0397428076367421E-4</v>
      </c>
      <c r="K2706" s="518">
        <v>1.8881025356429546E-5</v>
      </c>
      <c r="L2706" s="519">
        <v>1.973474153973813E-5</v>
      </c>
    </row>
    <row r="2707" spans="1:12" ht="15.5" x14ac:dyDescent="0.35">
      <c r="A2707" s="143" t="s">
        <v>970</v>
      </c>
      <c r="B2707" s="229">
        <v>2049</v>
      </c>
      <c r="C2707" s="514" t="s">
        <v>3531</v>
      </c>
      <c r="D2707" s="515">
        <v>2.4718696577362122E-2</v>
      </c>
      <c r="E2707" s="516">
        <v>2.2808866468412938E-3</v>
      </c>
      <c r="F2707" s="145">
        <v>1.7423116227841248E-2</v>
      </c>
      <c r="G2707" s="145">
        <v>5.5250704246144608E-4</v>
      </c>
      <c r="H2707" s="517">
        <v>2.0000005732018801E-3</v>
      </c>
      <c r="I2707" s="517">
        <v>1.5750004513964803E-2</v>
      </c>
      <c r="J2707" s="148">
        <v>6.0010434572715953E-4</v>
      </c>
      <c r="K2707" s="518">
        <v>1.8819148340890553E-5</v>
      </c>
      <c r="L2707" s="519">
        <v>1.9670066720131654E-5</v>
      </c>
    </row>
    <row r="2708" spans="1:12" ht="16" thickBot="1" x14ac:dyDescent="0.4">
      <c r="A2708" s="149" t="s">
        <v>970</v>
      </c>
      <c r="B2708" s="520">
        <v>2050</v>
      </c>
      <c r="C2708" s="521" t="s">
        <v>3532</v>
      </c>
      <c r="D2708" s="522">
        <v>2.4692375308652287E-2</v>
      </c>
      <c r="E2708" s="523">
        <v>2.2713979196713752E-3</v>
      </c>
      <c r="F2708" s="524">
        <v>1.7431922685019363E-2</v>
      </c>
      <c r="G2708" s="524">
        <v>5.4961877569638113E-4</v>
      </c>
      <c r="H2708" s="525">
        <v>2.0000005732018801E-3</v>
      </c>
      <c r="I2708" s="525">
        <v>1.5750004513964799E-2</v>
      </c>
      <c r="J2708" s="526">
        <v>5.9696565248821447E-4</v>
      </c>
      <c r="K2708" s="527">
        <v>1.8758726982356064E-5</v>
      </c>
      <c r="L2708" s="528">
        <v>1.9606913375880038E-5</v>
      </c>
    </row>
  </sheetData>
  <sheetProtection algorithmName="SHA-512" hashValue="u1BrZU1CEeUT2YUqKKJObiXoIs26W21oksraSDJX6JWAJ4xustiY2jtPM2rdp7lNDgWY/fD5KwL/DdnwSPH+nw==" saltValue="m90ZiKEOywFCURDX+rXxvA==" spinCount="100000" sheet="1"/>
  <hyperlinks>
    <hyperlink ref="A35" r:id="rId1" tooltip="EMFAC2017 Database" xr:uid="{796F359B-1DDD-48D8-A275-574D5022B46E}"/>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592A-49D5-4C9C-AFF1-6101304A04CC}">
  <sheetPr codeName="Sheet23">
    <tabColor theme="1"/>
  </sheetPr>
  <dimension ref="A1:D6"/>
  <sheetViews>
    <sheetView workbookViewId="0">
      <selection activeCell="G23" sqref="G23"/>
    </sheetView>
  </sheetViews>
  <sheetFormatPr defaultRowHeight="14.5" x14ac:dyDescent="0.35"/>
  <cols>
    <col min="1" max="1" width="16.26953125" bestFit="1" customWidth="1"/>
    <col min="2" max="4" width="15.7265625" bestFit="1" customWidth="1"/>
  </cols>
  <sheetData>
    <row r="1" spans="1:4" x14ac:dyDescent="0.35">
      <c r="A1" s="614" t="s">
        <v>62</v>
      </c>
      <c r="B1" s="614" t="s">
        <v>147</v>
      </c>
      <c r="C1" s="614" t="s">
        <v>143</v>
      </c>
      <c r="D1" s="614" t="s">
        <v>242</v>
      </c>
    </row>
    <row r="2" spans="1:4" x14ac:dyDescent="0.35">
      <c r="A2" s="613" t="s">
        <v>66</v>
      </c>
      <c r="B2" s="613" t="s">
        <v>67</v>
      </c>
      <c r="C2" s="613" t="s">
        <v>67</v>
      </c>
      <c r="D2" s="613" t="s">
        <v>67</v>
      </c>
    </row>
    <row r="3" spans="1:4" x14ac:dyDescent="0.35">
      <c r="A3" s="613" t="s">
        <v>63</v>
      </c>
      <c r="B3" s="613" t="s">
        <v>65</v>
      </c>
      <c r="C3" s="613" t="s">
        <v>65</v>
      </c>
      <c r="D3" s="613" t="s">
        <v>65</v>
      </c>
    </row>
    <row r="4" spans="1:4" x14ac:dyDescent="0.35">
      <c r="A4" s="613" t="s">
        <v>313</v>
      </c>
      <c r="B4" s="613" t="s">
        <v>3615</v>
      </c>
      <c r="C4" s="613" t="s">
        <v>3615</v>
      </c>
      <c r="D4" s="613" t="s">
        <v>3615</v>
      </c>
    </row>
    <row r="5" spans="1:4" x14ac:dyDescent="0.35">
      <c r="A5" s="613" t="s">
        <v>306</v>
      </c>
      <c r="B5" s="613" t="s">
        <v>63</v>
      </c>
      <c r="C5" s="613" t="s">
        <v>63</v>
      </c>
      <c r="D5" s="613" t="s">
        <v>63</v>
      </c>
    </row>
    <row r="6" spans="1:4" x14ac:dyDescent="0.35">
      <c r="A6" s="613"/>
      <c r="B6" s="613" t="s">
        <v>64</v>
      </c>
      <c r="C6" s="613" t="s">
        <v>64</v>
      </c>
      <c r="D6" s="613" t="s">
        <v>64</v>
      </c>
    </row>
  </sheetData>
  <sheetProtection algorithmName="SHA-512" hashValue="MTC4ScqynITSx5yUl9oPwrkOka8ShMY5wxfNQzONT3TQzx6rVrpKrOH3OP14C4GA7OKdK5GRJzCluaGpHgCaow==" saltValue="pwi/1nTiy1pDXPJkL3owz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sheetPr>
  <dimension ref="A1:EA104"/>
  <sheetViews>
    <sheetView showGridLines="0" showWhiteSpace="0" zoomScaleNormal="100" zoomScaleSheetLayoutView="20" workbookViewId="0">
      <selection activeCell="E15" sqref="E15"/>
    </sheetView>
  </sheetViews>
  <sheetFormatPr defaultColWidth="9.1796875" defaultRowHeight="18" customHeight="1" x14ac:dyDescent="0.35"/>
  <cols>
    <col min="1" max="1" width="2.81640625" style="630" customWidth="1"/>
    <col min="2" max="2" width="24.1796875" style="630" customWidth="1"/>
    <col min="3" max="3" width="12.54296875" style="630" customWidth="1"/>
    <col min="4" max="4" width="32.453125" style="630" bestFit="1" customWidth="1"/>
    <col min="5" max="5" width="15.453125" style="630" customWidth="1"/>
    <col min="6" max="6" width="17.26953125" style="697" bestFit="1" customWidth="1"/>
    <col min="7" max="7" width="11.1796875" style="697" customWidth="1"/>
    <col min="8" max="8" width="15.81640625" style="697" bestFit="1" customWidth="1"/>
    <col min="9" max="9" width="12.7265625" style="697" customWidth="1"/>
    <col min="10" max="10" width="17.54296875" style="699" bestFit="1" customWidth="1"/>
    <col min="11" max="11" width="11.54296875" style="699" customWidth="1"/>
    <col min="12" max="12" width="27.54296875" style="630" customWidth="1"/>
    <col min="13" max="13" width="9.1796875" style="630"/>
    <col min="14" max="14" width="28.26953125" style="699" customWidth="1"/>
    <col min="15" max="15" width="13.26953125" style="699" customWidth="1"/>
    <col min="16" max="16" width="24.54296875" style="699" customWidth="1"/>
    <col min="17" max="17" width="14" style="699" customWidth="1"/>
    <col min="18" max="18" width="18.453125" style="698" bestFit="1" customWidth="1"/>
    <col min="19" max="19" width="13" style="698" customWidth="1"/>
    <col min="20" max="20" width="18" style="697" customWidth="1"/>
    <col min="21" max="21" width="11" style="697" customWidth="1"/>
    <col min="22" max="22" width="23.54296875" style="697" customWidth="1"/>
    <col min="23" max="23" width="11" style="697" customWidth="1"/>
    <col min="24" max="24" width="18" style="697" customWidth="1"/>
    <col min="25" max="25" width="10.81640625" style="697" customWidth="1"/>
    <col min="26" max="26" width="17" style="699" customWidth="1"/>
    <col min="27" max="27" width="11.26953125" style="699" customWidth="1"/>
    <col min="28" max="28" width="27.54296875" style="630" customWidth="1"/>
    <col min="29" max="29" width="9.1796875" style="630" customWidth="1"/>
    <col min="30" max="30" width="24" style="698" customWidth="1"/>
    <col min="31" max="31" width="10.7265625" style="698" customWidth="1"/>
    <col min="32" max="32" width="18.81640625" style="698" customWidth="1"/>
    <col min="33" max="33" width="11.54296875" style="698" customWidth="1"/>
    <col min="34" max="34" width="20.453125" style="698" customWidth="1"/>
    <col min="35" max="35" width="11.1796875" style="698" customWidth="1"/>
    <col min="36" max="36" width="19.54296875" style="697" customWidth="1"/>
    <col min="37" max="37" width="11.1796875" style="697" customWidth="1"/>
    <col min="38" max="38" width="19.26953125" style="697" customWidth="1"/>
    <col min="39" max="39" width="11.1796875" style="697" customWidth="1"/>
    <col min="40" max="40" width="19.453125" style="697" customWidth="1"/>
    <col min="41" max="41" width="12.1796875" style="697" customWidth="1"/>
    <col min="42" max="43" width="23.7265625" style="697" customWidth="1"/>
    <col min="44" max="44" width="27.453125" style="697" customWidth="1"/>
    <col min="45" max="46" width="23.7265625" style="699" customWidth="1"/>
    <col min="47" max="48" width="23.7265625" style="697" customWidth="1"/>
    <col min="49" max="52" width="23.7265625" style="852" customWidth="1"/>
    <col min="53" max="54" width="23.7265625" style="630" customWidth="1"/>
    <col min="55" max="55" width="29.7265625" style="853" customWidth="1"/>
    <col min="56" max="57" width="31.1796875" style="853" customWidth="1"/>
    <col min="58" max="58" width="29.7265625" style="630" customWidth="1"/>
    <col min="59" max="63" width="23.7265625" style="630" customWidth="1"/>
    <col min="64" max="64" width="23.7265625" style="854" customWidth="1"/>
    <col min="65" max="81" width="23.7265625" style="697" customWidth="1"/>
    <col min="82" max="82" width="23.7265625" style="701" customWidth="1"/>
    <col min="83" max="104" width="23.7265625" style="697" customWidth="1"/>
    <col min="105" max="109" width="23.7265625" style="853" customWidth="1"/>
    <col min="110" max="112" width="23.7265625" style="630" customWidth="1"/>
    <col min="113" max="115" width="35.7265625" style="630" customWidth="1"/>
    <col min="116" max="116" width="39.54296875" style="630" customWidth="1"/>
    <col min="117" max="117" width="35.7265625" style="630" customWidth="1"/>
    <col min="118" max="119" width="37.81640625" style="630" customWidth="1"/>
    <col min="120" max="120" width="38.1796875" style="630" customWidth="1"/>
    <col min="121" max="131" width="24.1796875" style="630" customWidth="1"/>
    <col min="132" max="16384" width="9.1796875" style="630"/>
  </cols>
  <sheetData>
    <row r="1" spans="1:127" s="635" customFormat="1" x14ac:dyDescent="0.4">
      <c r="B1" s="632"/>
      <c r="C1" s="632"/>
      <c r="D1" s="633" t="str">
        <f>'Read Me'!B1</f>
        <v>California Air Resources Board</v>
      </c>
      <c r="E1" s="633"/>
      <c r="F1" s="632"/>
      <c r="G1" s="632"/>
      <c r="H1" s="632"/>
      <c r="I1" s="632"/>
      <c r="J1" s="632"/>
      <c r="K1" s="632"/>
      <c r="L1" s="632"/>
      <c r="M1" s="632"/>
      <c r="N1" s="632"/>
      <c r="O1" s="632"/>
      <c r="P1" s="632"/>
      <c r="Q1" s="632"/>
      <c r="BH1" s="691"/>
      <c r="BZ1" s="691"/>
    </row>
    <row r="2" spans="1:127" s="635" customFormat="1" x14ac:dyDescent="0.4">
      <c r="D2" s="639"/>
      <c r="E2" s="639"/>
      <c r="K2" s="692"/>
      <c r="BH2" s="691"/>
      <c r="BZ2" s="691"/>
    </row>
    <row r="3" spans="1:127" s="635" customFormat="1" x14ac:dyDescent="0.4">
      <c r="B3" s="632"/>
      <c r="C3" s="632"/>
      <c r="D3" s="633" t="str">
        <f>'Read Me'!B3</f>
        <v>Benefits Calculator Tool</v>
      </c>
      <c r="E3" s="633"/>
      <c r="F3" s="632"/>
      <c r="G3" s="632"/>
      <c r="H3" s="632"/>
      <c r="I3" s="632"/>
      <c r="J3" s="632"/>
      <c r="K3" s="632"/>
      <c r="L3" s="632"/>
      <c r="M3" s="632"/>
      <c r="N3" s="632"/>
      <c r="O3" s="632"/>
      <c r="P3" s="632"/>
      <c r="Q3" s="632"/>
      <c r="BH3" s="691"/>
      <c r="BZ3" s="691"/>
    </row>
    <row r="4" spans="1:127" s="635" customFormat="1" x14ac:dyDescent="0.4">
      <c r="B4" s="632"/>
      <c r="C4" s="632"/>
      <c r="D4" s="637" t="str">
        <f>'Read Me'!B4</f>
        <v>Safe and Affordable Drinking Water</v>
      </c>
      <c r="E4" s="637"/>
      <c r="F4" s="632"/>
      <c r="G4" s="632"/>
      <c r="H4" s="632"/>
      <c r="I4" s="632"/>
      <c r="J4" s="632"/>
      <c r="K4" s="632"/>
      <c r="L4" s="632"/>
      <c r="M4" s="632"/>
      <c r="N4" s="632"/>
      <c r="O4" s="632"/>
      <c r="P4" s="632"/>
      <c r="Q4" s="632"/>
      <c r="BH4" s="691"/>
      <c r="BZ4" s="691"/>
    </row>
    <row r="5" spans="1:127" s="635" customFormat="1" x14ac:dyDescent="0.4">
      <c r="B5" s="632"/>
      <c r="C5" s="632"/>
      <c r="D5" s="637" t="str">
        <f>'Read Me'!B5</f>
        <v>(SADW) Fund</v>
      </c>
      <c r="E5" s="637"/>
      <c r="F5" s="632"/>
      <c r="G5" s="632"/>
      <c r="H5" s="632"/>
      <c r="I5" s="632"/>
      <c r="J5" s="632"/>
      <c r="K5" s="632"/>
      <c r="L5" s="632"/>
      <c r="M5" s="632"/>
      <c r="N5" s="632"/>
      <c r="O5" s="632"/>
      <c r="P5" s="632"/>
      <c r="Q5" s="632"/>
      <c r="BH5" s="691"/>
      <c r="BZ5" s="691"/>
    </row>
    <row r="6" spans="1:127" s="635" customFormat="1" x14ac:dyDescent="0.4">
      <c r="B6" s="632"/>
      <c r="C6" s="632"/>
      <c r="D6" s="638"/>
      <c r="E6" s="637"/>
      <c r="F6" s="632"/>
      <c r="G6" s="632"/>
      <c r="H6" s="632"/>
      <c r="I6" s="632"/>
      <c r="J6" s="632"/>
      <c r="K6" s="632"/>
      <c r="L6" s="632"/>
      <c r="M6" s="632"/>
      <c r="N6" s="632"/>
      <c r="O6" s="632"/>
      <c r="P6" s="632"/>
      <c r="Q6" s="632"/>
      <c r="BH6" s="691"/>
      <c r="BZ6" s="691"/>
    </row>
    <row r="7" spans="1:127" s="635" customFormat="1" x14ac:dyDescent="0.4">
      <c r="B7" s="632"/>
      <c r="C7" s="632"/>
      <c r="D7" s="633"/>
      <c r="E7" s="633"/>
      <c r="BH7" s="691"/>
      <c r="BZ7" s="691"/>
    </row>
    <row r="8" spans="1:127" s="635" customFormat="1" x14ac:dyDescent="0.4">
      <c r="B8" s="632"/>
      <c r="C8" s="632"/>
      <c r="D8" s="633" t="str">
        <f>'Read Me'!B8</f>
        <v xml:space="preserve">California Climate Investments </v>
      </c>
      <c r="E8" s="633"/>
      <c r="F8" s="632"/>
      <c r="G8" s="632"/>
      <c r="H8" s="632"/>
      <c r="I8" s="632"/>
      <c r="J8" s="632"/>
      <c r="K8" s="632"/>
      <c r="L8" s="632"/>
      <c r="M8" s="632"/>
      <c r="N8" s="632"/>
      <c r="O8" s="632"/>
      <c r="P8" s="632"/>
      <c r="Q8" s="632"/>
      <c r="BH8" s="691"/>
      <c r="BZ8" s="691"/>
    </row>
    <row r="9" spans="1:127" s="635" customFormat="1" ht="15.5" x14ac:dyDescent="0.35">
      <c r="BH9" s="691"/>
      <c r="BZ9" s="691"/>
    </row>
    <row r="10" spans="1:127" s="635" customFormat="1" ht="15.5" x14ac:dyDescent="0.35">
      <c r="BH10" s="691"/>
      <c r="BZ10" s="691"/>
    </row>
    <row r="11" spans="1:127" s="635" customFormat="1" ht="15.5" x14ac:dyDescent="0.35">
      <c r="B11" s="621" t="s">
        <v>8</v>
      </c>
      <c r="C11" s="621"/>
      <c r="D11" s="621"/>
      <c r="E11" s="621"/>
      <c r="BH11" s="691"/>
      <c r="BZ11" s="691"/>
    </row>
    <row r="12" spans="1:127" s="635" customFormat="1" ht="15" customHeight="1" x14ac:dyDescent="0.35">
      <c r="B12" s="693" t="s">
        <v>3616</v>
      </c>
      <c r="C12" s="694"/>
      <c r="D12" s="694"/>
      <c r="E12" s="694"/>
      <c r="F12" s="641"/>
      <c r="G12" s="641"/>
      <c r="H12" s="641"/>
      <c r="I12" s="641"/>
      <c r="J12" s="641"/>
      <c r="K12" s="641"/>
      <c r="L12" s="641"/>
      <c r="M12" s="641"/>
      <c r="N12" s="641"/>
      <c r="O12" s="641"/>
      <c r="P12" s="641"/>
      <c r="Q12" s="643"/>
      <c r="BH12" s="691"/>
      <c r="BZ12" s="691"/>
    </row>
    <row r="13" spans="1:127" s="635" customFormat="1" ht="15" customHeight="1" x14ac:dyDescent="0.35">
      <c r="B13" s="631" t="s">
        <v>3650</v>
      </c>
      <c r="C13" s="695"/>
      <c r="D13" s="695"/>
      <c r="E13" s="695"/>
      <c r="F13" s="644"/>
      <c r="G13" s="644"/>
      <c r="H13" s="644"/>
      <c r="I13" s="644"/>
      <c r="J13" s="644"/>
      <c r="K13" s="644"/>
      <c r="L13" s="644"/>
      <c r="M13" s="644"/>
      <c r="N13" s="644"/>
      <c r="O13" s="644"/>
      <c r="P13" s="644"/>
      <c r="Q13" s="646"/>
      <c r="BH13" s="691"/>
      <c r="BZ13" s="691"/>
    </row>
    <row r="14" spans="1:127" s="697" customFormat="1" ht="18" customHeight="1" x14ac:dyDescent="0.35">
      <c r="A14" s="696"/>
      <c r="F14" s="698"/>
      <c r="G14" s="698"/>
      <c r="AL14" s="699"/>
      <c r="AM14" s="699"/>
      <c r="AP14" s="698"/>
      <c r="AQ14" s="699"/>
      <c r="AS14" s="699"/>
      <c r="AT14" s="699"/>
      <c r="AY14" s="700"/>
      <c r="AZ14" s="700"/>
      <c r="BA14" s="700"/>
      <c r="BH14" s="701"/>
      <c r="BZ14" s="701"/>
      <c r="CW14" s="700"/>
      <c r="CX14" s="700"/>
      <c r="CY14" s="700"/>
      <c r="CZ14" s="700"/>
      <c r="DA14" s="700"/>
    </row>
    <row r="15" spans="1:127" s="697" customFormat="1" ht="18" customHeight="1" x14ac:dyDescent="0.35">
      <c r="A15" s="696"/>
      <c r="B15" s="647" t="s">
        <v>35</v>
      </c>
      <c r="C15" s="647"/>
      <c r="D15" s="647"/>
      <c r="E15" s="647"/>
      <c r="F15" s="698"/>
      <c r="G15" s="698"/>
      <c r="AL15" s="699"/>
      <c r="AM15" s="699"/>
      <c r="AP15" s="698"/>
      <c r="AQ15" s="699"/>
      <c r="AS15" s="699"/>
      <c r="AT15" s="699"/>
      <c r="AY15" s="700"/>
      <c r="AZ15" s="700"/>
      <c r="BA15" s="700"/>
      <c r="BH15" s="701"/>
      <c r="BZ15" s="701"/>
      <c r="CW15" s="700"/>
      <c r="CX15" s="700"/>
      <c r="CY15" s="700"/>
      <c r="CZ15" s="700"/>
      <c r="DA15" s="700"/>
    </row>
    <row r="16" spans="1:127" ht="18" customHeight="1" thickBot="1" x14ac:dyDescent="0.4">
      <c r="B16" s="702"/>
      <c r="C16" s="702"/>
      <c r="D16" s="702"/>
      <c r="E16" s="702"/>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703"/>
      <c r="AD16" s="703"/>
      <c r="AE16" s="703"/>
      <c r="AF16" s="703"/>
      <c r="AG16" s="703"/>
      <c r="AH16" s="703"/>
      <c r="AI16" s="703"/>
      <c r="AJ16" s="703"/>
      <c r="AK16" s="703"/>
      <c r="AL16" s="704"/>
      <c r="AM16" s="704"/>
      <c r="AN16" s="704"/>
      <c r="AO16" s="704"/>
      <c r="AP16" s="704"/>
      <c r="AQ16" s="704"/>
      <c r="AR16" s="704"/>
      <c r="AS16" s="704"/>
      <c r="AT16" s="704"/>
      <c r="AU16" s="704"/>
      <c r="AV16" s="704"/>
      <c r="AW16" s="704"/>
      <c r="AX16" s="704"/>
      <c r="AY16" s="704"/>
      <c r="AZ16" s="704"/>
      <c r="BA16" s="703"/>
      <c r="BB16" s="703"/>
      <c r="BC16" s="705"/>
      <c r="BD16" s="705"/>
      <c r="BE16" s="705"/>
      <c r="BF16" s="705"/>
      <c r="BG16" s="705"/>
      <c r="BH16" s="706"/>
      <c r="BI16" s="703"/>
      <c r="BJ16" s="703"/>
      <c r="BK16" s="703"/>
      <c r="BL16" s="703"/>
      <c r="BM16" s="703"/>
      <c r="BN16" s="703"/>
      <c r="BO16" s="703"/>
      <c r="BP16" s="703"/>
      <c r="BQ16" s="703"/>
      <c r="BR16" s="703"/>
      <c r="BS16" s="703"/>
      <c r="BT16" s="703"/>
      <c r="BU16" s="703"/>
      <c r="BV16" s="703"/>
      <c r="BW16" s="703"/>
      <c r="BX16" s="703"/>
      <c r="BY16" s="703"/>
      <c r="BZ16" s="707"/>
      <c r="CA16" s="703"/>
      <c r="CB16" s="703"/>
      <c r="CC16" s="703"/>
      <c r="CD16" s="703"/>
      <c r="CE16" s="703"/>
      <c r="CF16" s="703"/>
      <c r="CG16" s="703"/>
      <c r="CH16" s="703"/>
      <c r="CI16" s="703"/>
      <c r="CJ16" s="703"/>
      <c r="CK16" s="703"/>
      <c r="CL16" s="703"/>
      <c r="CM16" s="703"/>
      <c r="CN16" s="703"/>
      <c r="CO16" s="703"/>
      <c r="CP16" s="703"/>
      <c r="CQ16" s="703"/>
      <c r="CR16" s="703"/>
      <c r="CS16" s="703"/>
      <c r="CT16" s="703"/>
      <c r="CU16" s="703"/>
      <c r="CV16" s="703"/>
      <c r="CW16" s="704"/>
      <c r="CX16" s="704"/>
      <c r="CY16" s="704"/>
      <c r="CZ16" s="704"/>
      <c r="DA16" s="704"/>
      <c r="DB16" s="703"/>
      <c r="DC16" s="703"/>
      <c r="DD16" s="703"/>
      <c r="DE16" s="704"/>
      <c r="DF16" s="704"/>
      <c r="DG16" s="704"/>
      <c r="DH16" s="704"/>
      <c r="DI16" s="704"/>
      <c r="DJ16" s="704"/>
      <c r="DK16" s="704"/>
      <c r="DL16" s="704"/>
      <c r="DM16" s="708"/>
      <c r="DN16" s="708"/>
      <c r="DO16" s="708"/>
      <c r="DP16" s="708"/>
      <c r="DQ16" s="708"/>
      <c r="DR16" s="708"/>
      <c r="DS16" s="708"/>
      <c r="DT16" s="708"/>
      <c r="DU16" s="708"/>
      <c r="DV16" s="708"/>
      <c r="DW16" s="708"/>
    </row>
    <row r="17" spans="1:128" s="709" customFormat="1" ht="18" customHeight="1" x14ac:dyDescent="0.35">
      <c r="B17" s="710" t="s">
        <v>23</v>
      </c>
      <c r="C17" s="711"/>
      <c r="D17" s="712"/>
      <c r="E17" s="712"/>
      <c r="F17" s="713"/>
      <c r="G17" s="713"/>
      <c r="H17" s="714" t="s">
        <v>282</v>
      </c>
      <c r="I17" s="714"/>
      <c r="J17" s="714"/>
      <c r="K17" s="714"/>
      <c r="L17" s="714"/>
      <c r="M17" s="714"/>
      <c r="N17" s="714"/>
      <c r="O17" s="714"/>
      <c r="P17" s="714"/>
      <c r="Q17" s="714"/>
      <c r="R17" s="714"/>
      <c r="S17" s="714"/>
      <c r="T17" s="714"/>
      <c r="U17" s="714"/>
      <c r="V17" s="714"/>
      <c r="W17" s="714"/>
      <c r="X17" s="715"/>
      <c r="Y17" s="716"/>
      <c r="Z17" s="717" t="s">
        <v>283</v>
      </c>
      <c r="AA17" s="717"/>
      <c r="AB17" s="716"/>
      <c r="AC17" s="716"/>
      <c r="AD17" s="717"/>
      <c r="AE17" s="717"/>
      <c r="AF17" s="716"/>
      <c r="AG17" s="716"/>
      <c r="AH17" s="716"/>
      <c r="AI17" s="716"/>
      <c r="AJ17" s="718"/>
      <c r="AK17" s="718"/>
      <c r="AL17" s="719" t="s">
        <v>282</v>
      </c>
      <c r="AM17" s="720"/>
      <c r="AN17" s="721"/>
      <c r="AO17" s="722" t="s">
        <v>282</v>
      </c>
      <c r="AP17" s="723"/>
      <c r="AQ17" s="723"/>
      <c r="AR17" s="724"/>
      <c r="AS17" s="720" t="s">
        <v>283</v>
      </c>
      <c r="AT17" s="720"/>
      <c r="AU17" s="722" t="s">
        <v>283</v>
      </c>
      <c r="AV17" s="723"/>
      <c r="AW17" s="723"/>
      <c r="AX17" s="724"/>
      <c r="AY17" s="725" t="s">
        <v>436</v>
      </c>
      <c r="AZ17" s="726"/>
      <c r="BA17" s="727" t="s">
        <v>45</v>
      </c>
      <c r="BB17" s="726"/>
      <c r="BC17" s="728"/>
      <c r="BD17" s="729"/>
      <c r="BE17" s="730" t="s">
        <v>423</v>
      </c>
      <c r="BF17" s="730"/>
      <c r="BG17" s="730"/>
      <c r="BH17" s="731"/>
      <c r="BI17" s="720" t="s">
        <v>401</v>
      </c>
      <c r="BJ17" s="720"/>
      <c r="BK17" s="720"/>
      <c r="BL17" s="720"/>
      <c r="BM17" s="720"/>
      <c r="BN17" s="720"/>
      <c r="BO17" s="732" t="s">
        <v>523</v>
      </c>
      <c r="BP17" s="733"/>
      <c r="BQ17" s="734" t="s">
        <v>421</v>
      </c>
      <c r="BR17" s="735"/>
      <c r="BS17" s="735"/>
      <c r="BT17" s="735"/>
      <c r="BU17" s="735"/>
      <c r="BV17" s="736"/>
      <c r="BW17" s="737" t="s">
        <v>424</v>
      </c>
      <c r="BX17" s="737"/>
      <c r="BY17" s="737"/>
      <c r="BZ17" s="731"/>
      <c r="CA17" s="721" t="s">
        <v>402</v>
      </c>
      <c r="CB17" s="720"/>
      <c r="CC17" s="720"/>
      <c r="CD17" s="720"/>
      <c r="CE17" s="720"/>
      <c r="CF17" s="721"/>
      <c r="CG17" s="730" t="s">
        <v>524</v>
      </c>
      <c r="CH17" s="730"/>
      <c r="CI17" s="734" t="s">
        <v>412</v>
      </c>
      <c r="CJ17" s="735"/>
      <c r="CK17" s="735"/>
      <c r="CL17" s="735"/>
      <c r="CM17" s="735"/>
      <c r="CN17" s="735"/>
      <c r="CO17" s="735"/>
      <c r="CP17" s="735"/>
      <c r="CQ17" s="735"/>
      <c r="CR17" s="736" t="s">
        <v>531</v>
      </c>
      <c r="CS17" s="737"/>
      <c r="CT17" s="737"/>
      <c r="CU17" s="737"/>
      <c r="CV17" s="738"/>
      <c r="CW17" s="739" t="s">
        <v>411</v>
      </c>
      <c r="CX17" s="740"/>
      <c r="CY17" s="740"/>
      <c r="CZ17" s="740"/>
      <c r="DA17" s="740"/>
      <c r="DB17" s="722" t="s">
        <v>410</v>
      </c>
      <c r="DC17" s="723"/>
      <c r="DD17" s="724"/>
      <c r="DE17" s="741" t="s">
        <v>284</v>
      </c>
      <c r="DF17" s="742"/>
      <c r="DG17" s="722" t="s">
        <v>284</v>
      </c>
      <c r="DH17" s="723"/>
      <c r="DI17" s="723"/>
      <c r="DJ17" s="723"/>
      <c r="DK17" s="723"/>
      <c r="DL17" s="723"/>
      <c r="DM17" s="743" t="s">
        <v>285</v>
      </c>
      <c r="DN17" s="743"/>
      <c r="DO17" s="743"/>
      <c r="DP17" s="743"/>
      <c r="DQ17" s="743"/>
      <c r="DR17" s="743"/>
      <c r="DS17" s="743"/>
      <c r="DT17" s="743"/>
      <c r="DU17" s="743"/>
      <c r="DV17" s="743"/>
      <c r="DW17" s="743"/>
      <c r="DX17" s="744"/>
    </row>
    <row r="18" spans="1:128" s="709" customFormat="1" ht="78" thickBot="1" x14ac:dyDescent="0.4">
      <c r="B18" s="745" t="s">
        <v>379</v>
      </c>
      <c r="C18" s="746"/>
      <c r="D18" s="745" t="s">
        <v>434</v>
      </c>
      <c r="E18" s="746"/>
      <c r="F18" s="745" t="s">
        <v>381</v>
      </c>
      <c r="G18" s="746"/>
      <c r="H18" s="747" t="s">
        <v>507</v>
      </c>
      <c r="I18" s="748"/>
      <c r="J18" s="747" t="s">
        <v>508</v>
      </c>
      <c r="K18" s="748"/>
      <c r="L18" s="747" t="s">
        <v>510</v>
      </c>
      <c r="M18" s="748"/>
      <c r="N18" s="747" t="s">
        <v>509</v>
      </c>
      <c r="O18" s="748"/>
      <c r="P18" s="747" t="s">
        <v>511</v>
      </c>
      <c r="Q18" s="748"/>
      <c r="R18" s="747" t="s">
        <v>512</v>
      </c>
      <c r="S18" s="748"/>
      <c r="T18" s="747" t="s">
        <v>513</v>
      </c>
      <c r="U18" s="748"/>
      <c r="V18" s="749" t="s">
        <v>530</v>
      </c>
      <c r="W18" s="750"/>
      <c r="X18" s="751" t="s">
        <v>514</v>
      </c>
      <c r="Y18" s="752"/>
      <c r="Z18" s="751" t="s">
        <v>515</v>
      </c>
      <c r="AA18" s="752"/>
      <c r="AB18" s="753" t="s">
        <v>517</v>
      </c>
      <c r="AC18" s="754"/>
      <c r="AD18" s="755" t="s">
        <v>516</v>
      </c>
      <c r="AE18" s="756"/>
      <c r="AF18" s="751" t="s">
        <v>518</v>
      </c>
      <c r="AG18" s="752"/>
      <c r="AH18" s="751" t="s">
        <v>519</v>
      </c>
      <c r="AI18" s="752"/>
      <c r="AJ18" s="751" t="s">
        <v>520</v>
      </c>
      <c r="AK18" s="752"/>
      <c r="AL18" s="757" t="s">
        <v>383</v>
      </c>
      <c r="AM18" s="758" t="s">
        <v>521</v>
      </c>
      <c r="AN18" s="758" t="s">
        <v>522</v>
      </c>
      <c r="AO18" s="759" t="s">
        <v>290</v>
      </c>
      <c r="AP18" s="760" t="s">
        <v>291</v>
      </c>
      <c r="AQ18" s="760" t="s">
        <v>292</v>
      </c>
      <c r="AR18" s="760" t="s">
        <v>293</v>
      </c>
      <c r="AS18" s="758" t="s">
        <v>383</v>
      </c>
      <c r="AT18" s="758" t="s">
        <v>382</v>
      </c>
      <c r="AU18" s="759" t="s">
        <v>290</v>
      </c>
      <c r="AV18" s="760" t="s">
        <v>291</v>
      </c>
      <c r="AW18" s="760" t="s">
        <v>292</v>
      </c>
      <c r="AX18" s="760" t="s">
        <v>293</v>
      </c>
      <c r="AY18" s="761" t="s">
        <v>3618</v>
      </c>
      <c r="AZ18" s="761" t="s">
        <v>3619</v>
      </c>
      <c r="BA18" s="759" t="s">
        <v>3620</v>
      </c>
      <c r="BB18" s="759" t="s">
        <v>3621</v>
      </c>
      <c r="BC18" s="758" t="s">
        <v>294</v>
      </c>
      <c r="BD18" s="758" t="s">
        <v>447</v>
      </c>
      <c r="BE18" s="762" t="s">
        <v>430</v>
      </c>
      <c r="BF18" s="762" t="s">
        <v>431</v>
      </c>
      <c r="BG18" s="762" t="s">
        <v>432</v>
      </c>
      <c r="BH18" s="763" t="s">
        <v>425</v>
      </c>
      <c r="BI18" s="758" t="s">
        <v>403</v>
      </c>
      <c r="BJ18" s="758" t="s">
        <v>404</v>
      </c>
      <c r="BK18" s="758" t="s">
        <v>405</v>
      </c>
      <c r="BL18" s="758" t="s">
        <v>408</v>
      </c>
      <c r="BM18" s="758" t="s">
        <v>407</v>
      </c>
      <c r="BN18" s="758" t="s">
        <v>406</v>
      </c>
      <c r="BO18" s="762" t="s">
        <v>409</v>
      </c>
      <c r="BP18" s="762" t="s">
        <v>554</v>
      </c>
      <c r="BQ18" s="764" t="s">
        <v>3622</v>
      </c>
      <c r="BR18" s="764" t="s">
        <v>413</v>
      </c>
      <c r="BS18" s="764" t="s">
        <v>3623</v>
      </c>
      <c r="BT18" s="764" t="s">
        <v>414</v>
      </c>
      <c r="BU18" s="764" t="s">
        <v>3624</v>
      </c>
      <c r="BV18" s="765" t="s">
        <v>447</v>
      </c>
      <c r="BW18" s="762" t="s">
        <v>430</v>
      </c>
      <c r="BX18" s="762" t="s">
        <v>431</v>
      </c>
      <c r="BY18" s="762" t="s">
        <v>432</v>
      </c>
      <c r="BZ18" s="763" t="s">
        <v>425</v>
      </c>
      <c r="CA18" s="758" t="s">
        <v>403</v>
      </c>
      <c r="CB18" s="758" t="s">
        <v>404</v>
      </c>
      <c r="CC18" s="758" t="s">
        <v>405</v>
      </c>
      <c r="CD18" s="758" t="s">
        <v>408</v>
      </c>
      <c r="CE18" s="758" t="s">
        <v>407</v>
      </c>
      <c r="CF18" s="758" t="s">
        <v>406</v>
      </c>
      <c r="CG18" s="766" t="s">
        <v>409</v>
      </c>
      <c r="CH18" s="766" t="s">
        <v>554</v>
      </c>
      <c r="CI18" s="764" t="s">
        <v>3622</v>
      </c>
      <c r="CJ18" s="764" t="s">
        <v>413</v>
      </c>
      <c r="CK18" s="764" t="s">
        <v>3623</v>
      </c>
      <c r="CL18" s="764" t="s">
        <v>414</v>
      </c>
      <c r="CM18" s="764" t="s">
        <v>3624</v>
      </c>
      <c r="CN18" s="765" t="s">
        <v>442</v>
      </c>
      <c r="CO18" s="765" t="s">
        <v>443</v>
      </c>
      <c r="CP18" s="765" t="s">
        <v>444</v>
      </c>
      <c r="CQ18" s="765" t="s">
        <v>445</v>
      </c>
      <c r="CR18" s="767" t="s">
        <v>547</v>
      </c>
      <c r="CS18" s="767" t="s">
        <v>442</v>
      </c>
      <c r="CT18" s="767" t="s">
        <v>443</v>
      </c>
      <c r="CU18" s="767" t="s">
        <v>444</v>
      </c>
      <c r="CV18" s="767" t="s">
        <v>445</v>
      </c>
      <c r="CW18" s="761" t="s">
        <v>3622</v>
      </c>
      <c r="CX18" s="761" t="s">
        <v>413</v>
      </c>
      <c r="CY18" s="761" t="s">
        <v>3623</v>
      </c>
      <c r="CZ18" s="761" t="s">
        <v>414</v>
      </c>
      <c r="DA18" s="761" t="s">
        <v>3624</v>
      </c>
      <c r="DB18" s="760" t="s">
        <v>3625</v>
      </c>
      <c r="DC18" s="760" t="s">
        <v>289</v>
      </c>
      <c r="DD18" s="760" t="s">
        <v>3626</v>
      </c>
      <c r="DE18" s="768" t="s">
        <v>415</v>
      </c>
      <c r="DF18" s="768" t="s">
        <v>416</v>
      </c>
      <c r="DG18" s="769" t="s">
        <v>295</v>
      </c>
      <c r="DH18" s="769" t="s">
        <v>417</v>
      </c>
      <c r="DI18" s="770" t="s">
        <v>418</v>
      </c>
      <c r="DJ18" s="770" t="s">
        <v>419</v>
      </c>
      <c r="DK18" s="770" t="s">
        <v>420</v>
      </c>
      <c r="DL18" s="770" t="s">
        <v>336</v>
      </c>
      <c r="DM18" s="771" t="s">
        <v>296</v>
      </c>
      <c r="DN18" s="771" t="s">
        <v>3627</v>
      </c>
      <c r="DO18" s="771" t="s">
        <v>448</v>
      </c>
      <c r="DP18" s="771" t="s">
        <v>3628</v>
      </c>
      <c r="DQ18" s="771" t="s">
        <v>449</v>
      </c>
      <c r="DR18" s="771" t="s">
        <v>450</v>
      </c>
      <c r="DS18" s="771" t="s">
        <v>3629</v>
      </c>
      <c r="DT18" s="771" t="s">
        <v>451</v>
      </c>
      <c r="DU18" s="771" t="s">
        <v>452</v>
      </c>
      <c r="DV18" s="772" t="s">
        <v>240</v>
      </c>
      <c r="DW18" s="772" t="s">
        <v>297</v>
      </c>
    </row>
    <row r="19" spans="1:128" s="773" customFormat="1" ht="78.5" hidden="1" thickTop="1" thickBot="1" x14ac:dyDescent="0.4">
      <c r="B19" s="774" t="s">
        <v>379</v>
      </c>
      <c r="C19" s="775" t="s">
        <v>30</v>
      </c>
      <c r="D19" s="776" t="s">
        <v>434</v>
      </c>
      <c r="E19" s="775" t="s">
        <v>488</v>
      </c>
      <c r="F19" s="776" t="s">
        <v>381</v>
      </c>
      <c r="G19" s="775" t="s">
        <v>489</v>
      </c>
      <c r="H19" s="777" t="s">
        <v>68</v>
      </c>
      <c r="I19" s="775" t="s">
        <v>490</v>
      </c>
      <c r="J19" s="776" t="s">
        <v>286</v>
      </c>
      <c r="K19" s="775" t="s">
        <v>491</v>
      </c>
      <c r="L19" s="776" t="s">
        <v>426</v>
      </c>
      <c r="M19" s="775" t="s">
        <v>493</v>
      </c>
      <c r="N19" s="776" t="s">
        <v>385</v>
      </c>
      <c r="O19" s="775" t="s">
        <v>492</v>
      </c>
      <c r="P19" s="776" t="s">
        <v>287</v>
      </c>
      <c r="Q19" s="775" t="s">
        <v>494</v>
      </c>
      <c r="R19" s="778" t="s">
        <v>288</v>
      </c>
      <c r="S19" s="775" t="s">
        <v>495</v>
      </c>
      <c r="T19" s="776" t="s">
        <v>380</v>
      </c>
      <c r="U19" s="775" t="s">
        <v>496</v>
      </c>
      <c r="V19" s="776" t="s">
        <v>530</v>
      </c>
      <c r="W19" s="775" t="s">
        <v>525</v>
      </c>
      <c r="X19" s="777" t="s">
        <v>453</v>
      </c>
      <c r="Y19" s="775" t="s">
        <v>497</v>
      </c>
      <c r="Z19" s="776" t="s">
        <v>454</v>
      </c>
      <c r="AA19" s="775" t="s">
        <v>498</v>
      </c>
      <c r="AB19" s="776" t="s">
        <v>456</v>
      </c>
      <c r="AC19" s="775" t="s">
        <v>500</v>
      </c>
      <c r="AD19" s="776" t="s">
        <v>455</v>
      </c>
      <c r="AE19" s="775" t="s">
        <v>499</v>
      </c>
      <c r="AF19" s="776" t="s">
        <v>457</v>
      </c>
      <c r="AG19" s="775" t="s">
        <v>501</v>
      </c>
      <c r="AH19" s="778" t="s">
        <v>458</v>
      </c>
      <c r="AI19" s="775" t="s">
        <v>502</v>
      </c>
      <c r="AJ19" s="776" t="s">
        <v>459</v>
      </c>
      <c r="AK19" s="775" t="s">
        <v>503</v>
      </c>
      <c r="AL19" s="779" t="s">
        <v>383</v>
      </c>
      <c r="AM19" s="779" t="s">
        <v>382</v>
      </c>
      <c r="AN19" s="779" t="s">
        <v>384</v>
      </c>
      <c r="AO19" s="780" t="s">
        <v>290</v>
      </c>
      <c r="AP19" s="781" t="s">
        <v>291</v>
      </c>
      <c r="AQ19" s="781" t="s">
        <v>292</v>
      </c>
      <c r="AR19" s="781" t="s">
        <v>293</v>
      </c>
      <c r="AS19" s="779" t="s">
        <v>460</v>
      </c>
      <c r="AT19" s="779" t="s">
        <v>461</v>
      </c>
      <c r="AU19" s="780" t="s">
        <v>462</v>
      </c>
      <c r="AV19" s="781" t="s">
        <v>463</v>
      </c>
      <c r="AW19" s="781" t="s">
        <v>464</v>
      </c>
      <c r="AX19" s="781" t="s">
        <v>465</v>
      </c>
      <c r="AY19" s="782" t="s">
        <v>3630</v>
      </c>
      <c r="AZ19" s="782" t="s">
        <v>3631</v>
      </c>
      <c r="BA19" s="780" t="s">
        <v>3632</v>
      </c>
      <c r="BB19" s="780" t="s">
        <v>3633</v>
      </c>
      <c r="BC19" s="779" t="s">
        <v>294</v>
      </c>
      <c r="BD19" s="779" t="s">
        <v>447</v>
      </c>
      <c r="BE19" s="783" t="s">
        <v>430</v>
      </c>
      <c r="BF19" s="783" t="s">
        <v>431</v>
      </c>
      <c r="BG19" s="783" t="s">
        <v>432</v>
      </c>
      <c r="BH19" s="784" t="s">
        <v>425</v>
      </c>
      <c r="BI19" s="779" t="s">
        <v>403</v>
      </c>
      <c r="BJ19" s="779" t="s">
        <v>404</v>
      </c>
      <c r="BK19" s="779" t="s">
        <v>405</v>
      </c>
      <c r="BL19" s="779" t="s">
        <v>408</v>
      </c>
      <c r="BM19" s="779" t="s">
        <v>407</v>
      </c>
      <c r="BN19" s="779" t="s">
        <v>406</v>
      </c>
      <c r="BO19" s="783" t="s">
        <v>409</v>
      </c>
      <c r="BP19" s="783" t="s">
        <v>433</v>
      </c>
      <c r="BQ19" s="785" t="s">
        <v>3634</v>
      </c>
      <c r="BR19" s="785" t="s">
        <v>413</v>
      </c>
      <c r="BS19" s="785" t="s">
        <v>3635</v>
      </c>
      <c r="BT19" s="785" t="s">
        <v>414</v>
      </c>
      <c r="BU19" s="785" t="s">
        <v>3636</v>
      </c>
      <c r="BV19" s="786" t="s">
        <v>466</v>
      </c>
      <c r="BW19" s="783" t="s">
        <v>467</v>
      </c>
      <c r="BX19" s="783" t="s">
        <v>468</v>
      </c>
      <c r="BY19" s="783" t="s">
        <v>469</v>
      </c>
      <c r="BZ19" s="784" t="s">
        <v>470</v>
      </c>
      <c r="CA19" s="779" t="s">
        <v>471</v>
      </c>
      <c r="CB19" s="779" t="s">
        <v>472</v>
      </c>
      <c r="CC19" s="779" t="s">
        <v>473</v>
      </c>
      <c r="CD19" s="779" t="s">
        <v>474</v>
      </c>
      <c r="CE19" s="779" t="s">
        <v>475</v>
      </c>
      <c r="CF19" s="779" t="s">
        <v>476</v>
      </c>
      <c r="CG19" s="783" t="s">
        <v>477</v>
      </c>
      <c r="CH19" s="783" t="s">
        <v>553</v>
      </c>
      <c r="CI19" s="785" t="s">
        <v>478</v>
      </c>
      <c r="CJ19" s="785" t="s">
        <v>479</v>
      </c>
      <c r="CK19" s="785" t="s">
        <v>480</v>
      </c>
      <c r="CL19" s="785" t="s">
        <v>481</v>
      </c>
      <c r="CM19" s="785" t="s">
        <v>482</v>
      </c>
      <c r="CN19" s="786" t="s">
        <v>442</v>
      </c>
      <c r="CO19" s="786" t="s">
        <v>443</v>
      </c>
      <c r="CP19" s="786" t="s">
        <v>444</v>
      </c>
      <c r="CQ19" s="786" t="s">
        <v>445</v>
      </c>
      <c r="CR19" s="787" t="s">
        <v>547</v>
      </c>
      <c r="CS19" s="787" t="s">
        <v>548</v>
      </c>
      <c r="CT19" s="787" t="s">
        <v>549</v>
      </c>
      <c r="CU19" s="787" t="s">
        <v>551</v>
      </c>
      <c r="CV19" s="787" t="s">
        <v>550</v>
      </c>
      <c r="CW19" s="782" t="s">
        <v>483</v>
      </c>
      <c r="CX19" s="782" t="s">
        <v>484</v>
      </c>
      <c r="CY19" s="782" t="s">
        <v>485</v>
      </c>
      <c r="CZ19" s="782" t="s">
        <v>486</v>
      </c>
      <c r="DA19" s="782" t="s">
        <v>487</v>
      </c>
      <c r="DB19" s="781" t="s">
        <v>3637</v>
      </c>
      <c r="DC19" s="781" t="s">
        <v>289</v>
      </c>
      <c r="DD19" s="781" t="s">
        <v>3638</v>
      </c>
      <c r="DE19" s="788" t="s">
        <v>415</v>
      </c>
      <c r="DF19" s="788" t="s">
        <v>416</v>
      </c>
      <c r="DG19" s="789" t="s">
        <v>295</v>
      </c>
      <c r="DH19" s="789" t="s">
        <v>417</v>
      </c>
      <c r="DI19" s="790" t="s">
        <v>418</v>
      </c>
      <c r="DJ19" s="790" t="s">
        <v>419</v>
      </c>
      <c r="DK19" s="790" t="s">
        <v>420</v>
      </c>
      <c r="DL19" s="790" t="s">
        <v>336</v>
      </c>
      <c r="DM19" s="791" t="s">
        <v>296</v>
      </c>
      <c r="DN19" s="791" t="s">
        <v>3627</v>
      </c>
      <c r="DO19" s="791" t="s">
        <v>448</v>
      </c>
      <c r="DP19" s="791" t="s">
        <v>3628</v>
      </c>
      <c r="DQ19" s="791" t="s">
        <v>449</v>
      </c>
      <c r="DR19" s="791" t="s">
        <v>450</v>
      </c>
      <c r="DS19" s="791" t="s">
        <v>3629</v>
      </c>
      <c r="DT19" s="791" t="s">
        <v>451</v>
      </c>
      <c r="DU19" s="791" t="s">
        <v>452</v>
      </c>
      <c r="DV19" s="792" t="s">
        <v>240</v>
      </c>
      <c r="DW19" s="793" t="s">
        <v>297</v>
      </c>
    </row>
    <row r="20" spans="1:128" s="635" customFormat="1" ht="18" customHeight="1" thickTop="1" x14ac:dyDescent="0.35">
      <c r="B20" s="794"/>
      <c r="C20" s="795" t="str">
        <f t="shared" ref="C20:E51" si="0">IF(ISBLANK(B20),"(Required)","")</f>
        <v>(Required)</v>
      </c>
      <c r="D20" s="796"/>
      <c r="E20" s="795" t="str">
        <f t="shared" si="0"/>
        <v>(Required)</v>
      </c>
      <c r="F20" s="796"/>
      <c r="G20" s="795" t="str">
        <f t="shared" ref="G20:G51" si="1">IF(ISBLANK(F20),"(Required)","")</f>
        <v>(Required)</v>
      </c>
      <c r="H20" s="797"/>
      <c r="I20" s="795" t="str">
        <f t="shared" ref="I20:I51" si="2">IF(ISBLANK(H20),"(Required)","")</f>
        <v>(Required)</v>
      </c>
      <c r="J20" s="796"/>
      <c r="K20" s="795" t="str">
        <f t="shared" ref="K20:K51" si="3">IF(ISBLANK(J20),"(Required)","")</f>
        <v>(Required)</v>
      </c>
      <c r="L20" s="796"/>
      <c r="M20" s="795" t="str">
        <f t="shared" ref="M20:M51" si="4">IF(ISBLANK(L20),"(Required)","")</f>
        <v>(Required)</v>
      </c>
      <c r="N20" s="796"/>
      <c r="O20" s="795" t="str">
        <f t="shared" ref="O20:O51" si="5">IF(ISBLANK(N20),"(Required)","")</f>
        <v>(Required)</v>
      </c>
      <c r="P20" s="796"/>
      <c r="Q20" s="795" t="str">
        <f t="shared" ref="Q20:Q51" si="6">IF(ISBLANK(P20),"(Required)","")</f>
        <v>(Required)</v>
      </c>
      <c r="R20" s="798"/>
      <c r="S20" s="799" t="str">
        <f t="shared" ref="S20:S51" si="7">IF(ISBLANK(R20),"(Optional)","")</f>
        <v>(Optional)</v>
      </c>
      <c r="T20" s="796"/>
      <c r="U20" s="795" t="str">
        <f t="shared" ref="U20:U51" si="8">IF(ISBLANK(T20),"(Required)","")</f>
        <v>(Required)</v>
      </c>
      <c r="V20" s="800"/>
      <c r="W20" s="799" t="str">
        <f t="shared" ref="W20:W83" si="9">IF(ISBLANK(V20),"(Optional)","")</f>
        <v>(Optional)</v>
      </c>
      <c r="X20" s="797"/>
      <c r="Y20" s="795" t="str">
        <f t="shared" ref="Y20:Y51" si="10">IF(ISBLANK(X20),"(Required)","")</f>
        <v>(Required)</v>
      </c>
      <c r="Z20" s="796"/>
      <c r="AA20" s="795" t="str">
        <f t="shared" ref="AA20:AA51" si="11">IF(ISBLANK(Z20),"(Required)","")</f>
        <v>(Required)</v>
      </c>
      <c r="AB20" s="801"/>
      <c r="AC20" s="795" t="str">
        <f t="shared" ref="AC20:AC51" si="12">IF(ISBLANK(AB20),"(Required)","")</f>
        <v>(Required)</v>
      </c>
      <c r="AD20" s="801"/>
      <c r="AE20" s="795" t="str">
        <f t="shared" ref="AE20:AE51" si="13">IF(ISBLANK(AD20),"(Required)","")</f>
        <v>(Required)</v>
      </c>
      <c r="AF20" s="796"/>
      <c r="AG20" s="795" t="str">
        <f t="shared" ref="AG20:AG51" si="14">IF(ISBLANK(AF20),"(Required)","")</f>
        <v>(Required)</v>
      </c>
      <c r="AH20" s="802"/>
      <c r="AI20" s="799" t="str">
        <f t="shared" ref="AI20:AI51" si="15">IF(ISBLANK(AH20),"(Optional)","")</f>
        <v>(Optional)</v>
      </c>
      <c r="AJ20" s="796"/>
      <c r="AK20" s="795" t="str">
        <f t="shared" ref="AK20:AK51" si="16">IF(ISBLANK(AJ20),"(Required)","")</f>
        <v>(Required)</v>
      </c>
      <c r="AL20" s="803" t="str">
        <f t="shared" ref="AL20:AL51" si="17">IF(P20="","",IF(AND(H20="DESL",P20&gt;100),"0.367",IF(AND(H20="DESL",P20&lt;=100),"0.408",IF(H20="CNG","0.507",IF(H20="LPG","0.507",IF(AND(H20="PROP",P20&gt;100),"0.367",IF(AND(H20="PROP",P20&lt;=100),"0.408",IF(H20="LNG","0.507",IF(H20="GAS","0.605")))))))))</f>
        <v/>
      </c>
      <c r="AM20" s="803" t="str">
        <f>IF(H20="DESL",'Fuel Density'!$C$12,IF(H20="GAS",'Fuel Density'!$C$11,IF(H20="CNG",'Fuel Density'!$C$13,IF(H20="LNG",'Fuel Density'!$C$14,IF(H20="LPG",'Fuel Density'!$C$15,IF(H20="PROP",'Fuel Density'!$C$16,IF(H20="","","")))))))</f>
        <v/>
      </c>
      <c r="AN20" s="803" t="str">
        <f>IF(H20="DESL",'Fuel-Specific GHG'!$C$14,IF(H20="GAS",'Fuel-Specific GHG'!$C$16,IF(H20="CNG",'Fuel-Specific GHG'!$C$13,IF(H20="LNG",'Fuel-Specific GHG'!$C$18,IF(OR(H20="LPG",H20="PROP"),'Fuel-Specific GHG'!$C$19,IF(H20="","",""))))))</f>
        <v/>
      </c>
      <c r="AO20" s="804" t="str">
        <f>IFERROR(((P20*(IF(ISBLANK(R20),Defaults!$B$19,R20))*T20*AL20)/AM20),"")</f>
        <v/>
      </c>
      <c r="AP20" s="805" t="str">
        <f t="shared" ref="AP20:AP51" si="18">IF(H20="CNG","scf/year",IF(H20="Electric","kWh/year",IF(H20="Hydrogen","kg/year",IF(H20="","","gallons/year"))))</f>
        <v/>
      </c>
      <c r="AQ20" s="805" t="str">
        <f>IF(H20="DESL",'Fuel-Specific GHG'!$E$14,IF(H20="GAS",'Fuel-Specific GHG'!$E$16,IF(H20="CNG",'Fuel-Specific GHG'!$E$13,IF(H20="LNG",'Fuel-Specific GHG'!$E$18,IF(OR(H20="LPG",H20="PROP"),'Fuel-Specific GHG'!$E$19,"")))))</f>
        <v/>
      </c>
      <c r="AR20" s="805" t="str">
        <f t="shared" ref="AR20:AR51" si="19">IF(H20="CNG","gCO2e/scf",IF(H20="","","gCO2e/gallon"))</f>
        <v/>
      </c>
      <c r="AS20" s="803" t="str">
        <f>IF(AF20="","",IF(AND(X20="DESL",AF20&gt;100),"0.367",IF(AND(X20="DESL",AF20&lt;=100),"0.408",IF(AND(X20="PROP",AF20&gt;100),"0.367",IF(AND(X20="PROP",AF20&lt;=100),"0.408",IF(X20="CNG","0.507",IF(X20="LPG","0.507",IF(X20="LNG","0.507",IF(X20="GAS","0.605")))))))))</f>
        <v/>
      </c>
      <c r="AT20" s="803" t="str">
        <f>IF(X20="DESL",'Fuel Density'!$C$12,IF(X20="PROP",'Fuel Density'!$C$16,IF(X20="GAS",'Fuel Density'!$C$11,IF(X20="CNG",'Fuel Density'!$C$13,IF(X20="LNG",'Fuel Density'!$C$14,IF(X20="LPG",'Fuel Density'!$C$15,IF(X20="","","")))))))</f>
        <v/>
      </c>
      <c r="AU20" s="804" t="str">
        <f>IFERROR(IF(X20="ELEC",AO20*AN20*(1/'Fuel-Specific GHG'!$C$15)*(1/IF(H20="GAS",3.4,IF(H20="DESL",2.7,3))),((AF20*(IF(ISBLANK(AH20),Defaults!$B$19,AH20))*AJ20*AS20)/AT20)),"")</f>
        <v/>
      </c>
      <c r="AV20" s="805" t="str">
        <f t="shared" ref="AV20:AV51" si="20">IF(X20="CNG","scf/year",IF(X20="ELEC","kWh/year",IF(X20="","","gallons/year")))</f>
        <v/>
      </c>
      <c r="AW20" s="805" t="str">
        <f>IF(X20="DESL",'Fuel-Specific GHG'!$E$14,IF(X20="PROP",'Fuel-Specific GHG'!$E$19,IF(X20="GAS",'Fuel-Specific GHG'!$E$16,IF(X20="CNG",'Fuel-Specific GHG'!$E$13,IF(X20="LNG",'Fuel-Specific GHG'!$E$18,IF(X20="LPG",'Fuel-Specific GHG'!$E$19,IF(X20="ELEC",'Fuel-Specific GHG'!$E$15,"")))))))</f>
        <v/>
      </c>
      <c r="AX20" s="805" t="str">
        <f t="shared" ref="AX20:AX51" si="21">IF(X20="CNG","gCO2e/scf",IF(X20="ELEC","gCO2e/kWh",IF(X20="","","gCO2e/gallon")))</f>
        <v/>
      </c>
      <c r="AY20" s="806" t="str">
        <f t="shared" ref="AY20:AY51" si="22">IFERROR((AO20*AQ20)/1000000,"")</f>
        <v/>
      </c>
      <c r="AZ20" s="806" t="str">
        <f>IFERROR((AU20*AW20)/1000000,"")</f>
        <v/>
      </c>
      <c r="BA20" s="806" t="str">
        <f>IF(AND(AY20="",AZ20=""),"",SUM(AY20)-SUM(AZ20))</f>
        <v/>
      </c>
      <c r="BB20" s="804" t="str">
        <f t="shared" ref="BB20:BB83" si="23">IFERROR(SUM((BA20*F20),CR20),"")</f>
        <v/>
      </c>
      <c r="BC20" s="807" t="str">
        <f t="shared" ref="BC20:BC51" si="24">IF(AND(H20="",X20=""),"",IF(H20="DESL",0.92, IF(X20="DESL",0.92,0.76)))</f>
        <v/>
      </c>
      <c r="BD20" s="807" t="str">
        <f>IF(AND(J20&gt;=1970,J20&lt;=1979),"1970-1979",IF(AND(J20&gt;=1980,J20&lt;=1987),"1980-1987",IF(AND(J20&gt;=1988,J20&lt;=2000),"1988-2000",IF(AND(J20&gt;=2001,J20&lt;=2006),"2001-2006",IF(AND(J20&gt;=2007,J20&lt;=2009),"2007-2009",IF(J20&gt;=2010,"2010+",""))))))</f>
        <v/>
      </c>
      <c r="BE20" s="808" t="str">
        <f t="shared" ref="BE20:BE51" si="25">IF(ISBLANK(H20),"",IF(AND(H20="DESL",L20="Uncontrolled"),"1",(IF(AND(H20="DESL",L20="Controlled"),"2",(IF(H20="GAS","3","4"))))))</f>
        <v/>
      </c>
      <c r="BF20" s="809" t="str">
        <f t="shared" ref="BF20:BF51" si="26">IF(AND(BE20="1",P20&gt;=25,P20&lt;=49),"1",(IF(AND(BE20="1",P20&gt;=50,P20&lt;=119),"2",(IF(AND(BE20="1",P20&lt;=120),"3",(IF(AND(BE20="2",P20&gt;=25,P20&lt;=49),"1",(IF(AND(BE20="2",P20&gt;=50,P20&lt;=74),"2",(IF(AND(BE20="2",P20&gt;=75,P20&lt;=99),"3",(IF(AND(BE20="2",P20&gt;=100,P20&lt;=174),"4",(IF(AND(BE20="2",P20&gt;=175,P20&lt;=299),"5",(IF(AND(BE20="2",P20&gt;=300,P20&lt;=750),"6",(IF(AND(BE20="2",P20&gt;=751),"7",(IF(AND(OR(BE20="3",BE20="4"),P20&gt;=25,P20&lt;=50),"1",(IF(AND(OR(BE20="3",BE20="4"),P20&gt;=51,P20&lt;=120),"2",(IF(AND(OR(BE20="3",BE20="4"),P20&gt;=121),"3","")))))))))))))))))))))))))</f>
        <v/>
      </c>
      <c r="BG20" s="808" t="str">
        <f>IF(AND(BE20="1",OR(BF20="1",BF20="2"),OR(BD20="1980-1987",BD20="1970-1979")),"1",(IF(AND(BE20="1",OR(BF20="1",BF20="2"),OR(BD20="1988-2000",BD20="2001-2006",BD20="2007-2009",BD20="2010+")),"2",(IF(AND(BE20="1",BF20="3",BD20="1970-1979"),"2",(IF(AND(BE20="1",BF20="3",BD20="1980-1987"),"3",(IF(AND(BE20="1",BF20="3",BD20="1988-2000"),"4",(IF(AND(BE20="2",N20=1),"1",(IF(AND(BE20="2",N20=2),"2",(IF(AND(BE20="2",N20=3),"3",(IF(AND(BE20="2",N20="4 (Phase-Out)"),"4",(IF(AND(OR(BF20="1",BF20="2",BF20="7"),BE20="2",N20="4 (Phase-In or Alt. NOx)"),"4",(IF(AND(OR(BF20="3",BF20="4",BF20="5", BF20="6"),BE20="2",N20="4 (Phase-In or Alt. NOx)"),"5",(IF(AND(BE20="2",N20="4 (Final)"),"6",(IF(AND(OR(BE20="3",BE20="4"),L20="Uncontrolled"),"1",(IF(AND(OR(BE20="3",BE20="4"),L20="Controlled",BD20="2001-2006"),"2",(IF(AND(OR(BE20="3",BE20="4"),L20="Controlled",BD20="2007-2009"),"3",(IF(AND(OR(BE20="3",BE20="4"),L20="Controlled",BD20="2010+"),"4","")))))))))))))))))))))))))))))))</f>
        <v/>
      </c>
      <c r="BH20" s="810">
        <f>_xlfn.NUMBERVALUE(CONCATENATE(BE20,BF20,BG20))</f>
        <v>0</v>
      </c>
      <c r="BI20" s="803" t="str">
        <f>IFERROR(VLOOKUP(BH20,'Pump Emission Factors'!$B$11:$J$88,4,FALSE),"")</f>
        <v/>
      </c>
      <c r="BJ20" s="803" t="str">
        <f>IFERROR(VLOOKUP(BH20,'Pump Emission Factors'!$B$11:$J$88,6,FALSE),"")</f>
        <v/>
      </c>
      <c r="BK20" s="803" t="str">
        <f>IFERROR(VLOOKUP(BH20,'Pump Emission Factors'!$B$11:$J$88,8,FALSE),"")</f>
        <v/>
      </c>
      <c r="BL20" s="803" t="str">
        <f>IFERROR(VLOOKUP(BH20,'Pump Emission Factors'!$B$11:$J$88,5,FALSE),"")</f>
        <v/>
      </c>
      <c r="BM20" s="803" t="str">
        <f>IFERROR(VLOOKUP(BH20,'Pump Emission Factors'!$B$11:$J$88,7,FALSE),"")</f>
        <v/>
      </c>
      <c r="BN20" s="803" t="str">
        <f>IFERROR(VLOOKUP(BH20,'Pump Emission Factors'!$B$11:$J$88,9,FALSE),"")</f>
        <v/>
      </c>
      <c r="BO20" s="811" t="str">
        <f t="shared" ref="BO20:BO51" si="27">IF(ISBLANK(F20),"",(D20-J20+(F20/2)))</f>
        <v/>
      </c>
      <c r="BP20" s="811" t="str">
        <f t="shared" ref="BP20:BP51" si="28">IFERROR(T20*BO20,"")</f>
        <v/>
      </c>
      <c r="BQ20" s="803">
        <f>IFERROR(((BI20+(BL20*BP20))*(IF(ISBLANK(R20),Defaults!$B$19,R20))*P20*T20)*F20*(1/454),0)</f>
        <v>0</v>
      </c>
      <c r="BR20" s="803">
        <f>IFERROR(((BJ20+(BM20*BP20))*(IF(ISBLANK(R20),Defaults!$B$19,R20))*P20*T20)*F20*(1/454),0)</f>
        <v>0</v>
      </c>
      <c r="BS20" s="803">
        <f>IFERROR(((BK20+(BN20*BP20))*(IF(ISBLANK(R20),Defaults!$B$19,R20))*P20*T20)*F20*(1/454),0)</f>
        <v>0</v>
      </c>
      <c r="BT20" s="803">
        <f t="shared" ref="BT20:BT51" si="29">IF(BS20="","",IF(H20="DESL",BS20,0))</f>
        <v>0</v>
      </c>
      <c r="BU20" s="803">
        <f>IF(BS20=0,0,BS20*BC20)</f>
        <v>0</v>
      </c>
      <c r="BV20" s="812" t="str">
        <f t="shared" ref="BV20:BV51" si="30">IF(AND(Z20&gt;=1970,Z20&lt;=1979),"1970-1979",IF(AND(Z20&gt;=1980,Z20&lt;=1987),"1980-1987",IF(AND(Z20&gt;=1988,Z20&lt;=2000),"1988-2000",IF(AND(Z20&gt;=2001,Z20&lt;=2006),"2001-2006",IF(AND(Z20&gt;=2007,Z20&lt;=2009),"2007-2009",IF(Z20&gt;=2010,"2010+",""))))))</f>
        <v/>
      </c>
      <c r="BW20" s="808" t="str">
        <f t="shared" ref="BW20:BW51" si="31">IF(ISBLANK(X20),"",IF(AND(X20="DESL",AB20="Uncontrolled"),"1",(IF(AND(X20="DESL",AB20="Controlled"),"2",(IF(X20="GAS","3","4"))))))</f>
        <v/>
      </c>
      <c r="BX20" s="809" t="str">
        <f t="shared" ref="BX20:BX83" si="32">IF(AND(BW20="1",AF20&gt;=25,AF20&lt;=49),"1",(IF(AND(BW20="1",AF20&gt;=50,AF20&lt;=119),"2",(IF(AND(BW20="1",AF20&lt;=120),"3",(IF(AND(BW20="2",AF20&gt;=25,AF20&lt;=49),"1",(IF(AND(BW20="2",AF20&gt;=50,AF20&lt;=74),"2",(IF(AND(BW20="2",AF20&gt;=75,AF20&lt;=99),"3",(IF(AND(BW20="2",AF20&gt;=100,AF20&lt;=174),"4",(IF(AND(BW20="2",AF20&gt;=175,AF20&lt;=299),"5",(IF(AND(BW20="2",AF20&gt;=300,AF20&lt;=750),"6",(IF(AND(BW20="2",AF20&gt;=751),"7",(IF(AND(OR(BW20="3",BW20="4"),AF20&gt;=25,AF20&lt;=50),"1",(IF(AND(OR(BW20="3",BW20="4"),AF20&gt;=51,AF20&lt;=120),"2",(IF(AND(OR(BW20="3",BW20="4"),AF20&gt;=121),"3","")))))))))))))))))))))))))</f>
        <v/>
      </c>
      <c r="BY20" s="808" t="str">
        <f>IF(AND(BW20="1",OR(BX20="1",BX20="2"),OR(BV20="1980-1987",BV20="1970-1979")),"1",(IF(AND(BW20="1",OR(BX20="1",BX20="2"),OR(BV20="1988-2000",BV20="2001-2006",BV20="2007-2009",BV20="2010+")),"2",(IF(AND(BW20="1",BX20="3",BV20="1970-1979"),"2",(IF(AND(BW20="1",BX20="3",BV20="1980-1987"),"3",(IF(AND(BW20="1",BX20="3",BV20="1988-2000"),"4",(IF(AND(BW20="2",AD20=1),"1",(IF(AND(BW20="2",AD20=2),"2",(IF(AND(BW20="2",AD20=3),"3",(IF(AND(BW20="2",AD20="4 (Phase-Out)"),"4",(IF(AND(OR(BX20="1",BX20="2",BX20="7"),BW20="2",AD20="4 (Phase-In or Alt. NOx)"),"4",(IF(AND(OR(BX20="3",BX20="4",BX20="5", BX20="6"),BW20="2",AD20="4 (Phase-In or Alt. NOx)"),"5",(IF(AND(BW20="2",AD20="4 (Final)"),"6",(IF(AND(OR(BW20="3",BW20="4"),AB20="Uncontrolled"),"1",(IF(AND(OR(BW20="3",BW20="4"),AB20="Controlled",BV20="2001-2006"),"2",(IF(AND(OR(BW20="3",BW20="4"),AB20="Controlled",BV20="2007-2009"),"3",(IF(AND(OR(BW20="3",BW20="4"),AB20="Controlled",BV20="2010+"),"4","")))))))))))))))))))))))))))))))</f>
        <v/>
      </c>
      <c r="BZ20" s="810">
        <f>_xlfn.NUMBERVALUE(CONCATENATE(BW20,BX20,BY20))</f>
        <v>0</v>
      </c>
      <c r="CA20" s="813" t="str">
        <f>IFERROR(VLOOKUP(BZ20,'Pump Emission Factors'!$B$11:$J$88,4,FALSE),"")</f>
        <v/>
      </c>
      <c r="CB20" s="813" t="str">
        <f>IFERROR(VLOOKUP(BZ20,'Pump Emission Factors'!$B$11:$J$88,6,FALSE),"")</f>
        <v/>
      </c>
      <c r="CC20" s="813" t="str">
        <f>IFERROR(VLOOKUP(BZ20,'Pump Emission Factors'!$B$11:$J$88,8,FALSE),"")</f>
        <v/>
      </c>
      <c r="CD20" s="813" t="str">
        <f>IFERROR(VLOOKUP(BZ20,'Pump Emission Factors'!$B$11:$J$88,5,FALSE),"")</f>
        <v/>
      </c>
      <c r="CE20" s="813" t="str">
        <f>IFERROR(VLOOKUP(BZ20,'Pump Emission Factors'!$B$11:$J$88,7,FALSE),"")</f>
        <v/>
      </c>
      <c r="CF20" s="813" t="str">
        <f>IFERROR(VLOOKUP(BZ20,'Pump Emission Factors'!$B$11:$J$88,9,FALSE),"")</f>
        <v/>
      </c>
      <c r="CG20" s="814" t="str">
        <f t="shared" ref="CG20:CG51" si="33">IF(ISBLANK(F20),"",(F20/2))</f>
        <v/>
      </c>
      <c r="CH20" s="814" t="str">
        <f t="shared" ref="CH20:CH51" si="34">IFERROR(AJ20*CG20,"")</f>
        <v/>
      </c>
      <c r="CI20" s="813">
        <f>IFERROR(IF($X20="ELEC",((($AU20*(IF($H20="DESL",'Fuel-Specific GHG'!$C$14,IF($H20="GAS",'Fuel-Specific GHG'!$C$16,IF($H20="CNG",'Fuel-Specific GHG'!$C$13,IF(OR($H20="LPG",$H20="PROP"),'Fuel-Specific GHG'!$C$19,"")))))*(1/'Fuel-Specific GHG'!$C$15)*(1/3.4)*$F20)*'Grid Electricity'!$D$39)/454),((CA20+(CD20*CH20))*(IF(ISBLANK(AH20),Defaults!$B$19,AH20))*$AF20*$AJ20*$F20)),0)</f>
        <v>0</v>
      </c>
      <c r="CJ20" s="813">
        <f>IFERROR(IF($X20="ELEC",((($AU20*(IF($H20="DESL",'Fuel-Specific GHG'!$C$14,IF($H20="GAS",'Fuel-Specific GHG'!$C$16,IF($H20="CNG",'Fuel-Specific GHG'!$C$13,IF(OR($H20="LPG",$H20="PROP"),'Fuel-Specific GHG'!$C$19,"")))))*(1/'Fuel-Specific GHG'!$C$15)*(1/3.4)*$F20)*'Grid Electricity'!$C$39)/454),((CB20+(CE20*CH20))*(IF(ISBLANK(AH20),Defaults!$B$19,AH20))*$AF20*$AJ20*$F20)),0)</f>
        <v>0</v>
      </c>
      <c r="CK20" s="813">
        <f>IFERROR(IF($X20="ELEC",((($AU20*(IF($H20="DESL",'Fuel-Specific GHG'!$C$14,IF($H20="GAS",'Fuel-Specific GHG'!$C$16,IF($H20="CNG",'Fuel-Specific GHG'!$C$13,IF(OR($H20="LPG",$H20="PROP"),'Fuel-Specific GHG'!$C$19,"")))))*(1/'Fuel-Specific GHG'!$C$15)*(1/3.4)*$F20)*'Grid Electricity'!$F$39)/454),((CC20+(CF20*CH20))*(IF(ISBLANK(AH20),Defaults!$B$19,AH20))*$AF20*$AJ20*$F20)),0)</f>
        <v>0</v>
      </c>
      <c r="CL20" s="813">
        <f t="shared" ref="CL20:CL51" si="35">IF(CK20="","",IF(X20="DESL",CK20,0))</f>
        <v>0</v>
      </c>
      <c r="CM20" s="813">
        <f t="shared" ref="CM20:CM51" si="36">IF(CK20=0,0,CK20*BC20)</f>
        <v>0</v>
      </c>
      <c r="CN20" s="814" t="str">
        <f t="shared" ref="CN20:CN51" si="37">IFERROR(IF($X20="ELEC",CI20,""),"")</f>
        <v/>
      </c>
      <c r="CO20" s="814" t="str">
        <f t="shared" ref="CO20:CO51" si="38">IFERROR(IF($X20="ELEC",CJ20,""),"")</f>
        <v/>
      </c>
      <c r="CP20" s="814" t="str">
        <f t="shared" ref="CP20:CP51" si="39">IFERROR(IF($X20="ELEC",CK20,""),"")</f>
        <v/>
      </c>
      <c r="CQ20" s="814" t="str">
        <f t="shared" ref="CQ20:CQ51" si="40">IFERROR(IF($X20="ELEC",CM20,""),"")</f>
        <v/>
      </c>
      <c r="CR20" s="815" t="str">
        <f>IF(AND(V20="Yes, Booster Pump VFD",AF20&lt;=75),('Pump Emission Factors'!$F$95*F20),(IF(AND(V20="Yes, Booster Pump VFD",AF20&gt;75),('Pump Emission Factors'!$F$96*F20),(IF(AND(V20="Yes, Well Pump VFD",AF20&lt;=75),('Pump Emission Factors'!$F$97*F20),(IF(AND(V20="Yes, Well Pump VFD",AF20&gt;75),('Pump Emission Factors'!$F$98*F20),"")))))))</f>
        <v/>
      </c>
      <c r="CS20" s="815" t="str">
        <f>IF(AND(V20="Yes, Booster Pump VFD",AF20&lt;=75),('Pump Emission Factors'!$G$95*F20),(IF(AND(V20="Yes, Booster Pump VFD",AF20&gt;75),('Pump Emission Factors'!$G$96*F20),(IF(AND(V20="Yes, Well Pump VFD",AF20&lt;=75),('Pump Emission Factors'!$G$97*F20),(IF(AND(V20="Yes, Well Pump VFD",AF20&gt;75),('Pump Emission Factors'!$G$98*F20),"")))))))</f>
        <v/>
      </c>
      <c r="CT20" s="815" t="str">
        <f>IF(AND(V20="Yes, Booster Pump VFD",AF20&lt;=75),('Pump Emission Factors'!$H$95*F20),(IF(AND(V20="Yes, Booster Pump VFD",AF20&gt;75),('Pump Emission Factors'!$H$96*F20),(IF(AND(V20="Yes, Well Pump VFD",AF20&lt;=75),('Pump Emission Factors'!$H$97*F20),(IF(AND(V20="Yes, Well Pump VFD",AF20&gt;75),('Pump Emission Factors'!$H$98*F20),"")))))))</f>
        <v/>
      </c>
      <c r="CU20" s="815" t="str">
        <f>IF(AND(V20="Yes, Booster Pump VFD",AF20&lt;=75),('Pump Emission Factors'!$J$95*F20),(IF(AND(V20="Yes, Booster Pump VFD",AF20&gt;75),('Pump Emission Factors'!$J$96*F20),(IF(AND(V20="Yes, Well Pump VFD",AF20&lt;=75),('Pump Emission Factors'!$J$97*F20),(IF(AND(V20="Yes, Well Pump VFD",AF20&gt;75),('Pump Emission Factors'!$J$98*F20),"")))))))</f>
        <v/>
      </c>
      <c r="CV20" s="815" t="str">
        <f>IF(AND(V20="Yes, Booster Pump VFD",AF20&lt;=75),('Pump Emission Factors'!$I$95*F20),(IF(AND(V20="Yes, Booster Pump VFD",AF20&gt;75),('Pump Emission Factors'!$I$96*F20),(IF(AND(V20="Yes, Well Pump VFD",AF20&lt;=75),('Pump Emission Factors'!$I$97*F20),(IF(AND(V20="Yes, Well Pump VFD",AF20&gt;75),('Pump Emission Factors'!$I$98*F20),"")))))))</f>
        <v/>
      </c>
      <c r="CW20" s="806">
        <f t="shared" ref="CW20:CW51" si="41">IFERROR(SUM((BQ20-CI20),CS20),"")</f>
        <v>0</v>
      </c>
      <c r="CX20" s="806">
        <f t="shared" ref="CX20:CX51" si="42">IFERROR(SUM((BR20-CJ20),CT20),"")</f>
        <v>0</v>
      </c>
      <c r="CY20" s="806">
        <f t="shared" ref="CY20:CY51" si="43">IFERROR(SUM((BS20-CK20),CU20),"")</f>
        <v>0</v>
      </c>
      <c r="CZ20" s="806">
        <f t="shared" ref="CZ20:CZ51" si="44">IFERROR(BT20-CL20,"")</f>
        <v>0</v>
      </c>
      <c r="DA20" s="806">
        <f t="shared" ref="DA20:DA51" si="45">IFERROR(SUM((BU20-CM20),CV20),"")</f>
        <v>0</v>
      </c>
      <c r="DB20" s="816" t="str">
        <f>IFERROR(CW20/2000*1/$F20,"")</f>
        <v/>
      </c>
      <c r="DC20" s="816" t="str">
        <f t="shared" ref="DC20:DD35" si="46">IFERROR(CX20/2000*1/$F20,"")</f>
        <v/>
      </c>
      <c r="DD20" s="816" t="str">
        <f t="shared" si="46"/>
        <v/>
      </c>
      <c r="DE20" s="817" t="str">
        <f t="shared" ref="DE20:DE51" si="47">IF(H20="DESL",AO20*F20,IF(H20="GAS",AO20*F20,""))</f>
        <v/>
      </c>
      <c r="DF20" s="817" t="str">
        <f t="shared" ref="DF20:DF51" si="48">IF(X20="DESL",AU20*F20,IF(X20="GAS",AU20*F20,""))</f>
        <v/>
      </c>
      <c r="DG20" s="804" t="str">
        <f t="shared" ref="DG20:DG51" si="49">IFERROR(DH20/F20,"")</f>
        <v/>
      </c>
      <c r="DH20" s="804" t="str">
        <f t="shared" ref="DH20:DH51" si="50">IF(B20="","",IF(AND(DE20="",DF20=""),0,IFERROR(SUM(DE20)-SUM(DF20),0)))</f>
        <v/>
      </c>
      <c r="DI20" s="818" t="str">
        <f>IF(AO20="","",IF(H20="DESL",AO20*F20*'Fuel Prices'!$C$12,IF(H20="GAS",AO20*F20*'Fuel Prices'!$C$11,IF(H20="CNG",AO20*F20*'Fuel Prices'!$C$13,IF(H20="LNG",AO20*F20*'Fuel Prices'!$C$14,IF(H20="LPG",AO20*F20*'Fuel Prices'!$C$16,IF(H20="PROP",AO20*F20*'Fuel Prices'!$C$16,"0")))))))</f>
        <v/>
      </c>
      <c r="DJ20" s="818" t="str">
        <f>IF(AU20="","",IF(X20="DESL",AU20*F20*'Fuel Prices'!$C$12,IF(X20="GAS",AU20*F20*'Fuel Prices'!$C$11,IF(X20="CNG",AU20*F20*'Fuel Prices'!$C$13,IF(X20="LNG",AU20*F20*'Fuel Prices'!$C$14,IF(X20="LPG",AU20*F20*'Fuel Prices'!$C$16,IF(X20="PROP",AU20*F20*'Fuel Prices'!$C$16,IF(X20="ELEC",AU20*F20*'Fuel Prices'!$C$35,"0"))))))))</f>
        <v/>
      </c>
      <c r="DK20" s="818" t="str">
        <f t="shared" ref="DK20:DK51" si="51">IFERROR(DL20/F20,"")</f>
        <v/>
      </c>
      <c r="DL20" s="818" t="str">
        <f t="shared" ref="DL20:DL51" si="52">IFERROR(DI20-DJ20,"")</f>
        <v/>
      </c>
      <c r="DM20" s="804" t="str">
        <f t="shared" ref="DM20:DM51" si="53">IF(OR(F20="",DN20=""),"",IFERROR(ROUND(F20,0),""))</f>
        <v/>
      </c>
      <c r="DN20" s="804" t="str">
        <f t="shared" ref="DN20:DN51" si="54">IFERROR(ROUND(BB20,0),"")</f>
        <v/>
      </c>
      <c r="DO20" s="804" t="str">
        <f>IFERROR(ROUND(CZ20*IF(COUNTIF($B$20:B20,B20)=1,1,"")/IF(B20="",0,1),0),"")</f>
        <v/>
      </c>
      <c r="DP20" s="804" t="str">
        <f>IFERROR(ROUND(CW20*IF(COUNTIF($B$20:B20,B20)=1,1,"")/IF(B20="",0,1),0),"")</f>
        <v/>
      </c>
      <c r="DQ20" s="804" t="str">
        <f>IFERROR(ROUND(DA20*IF(COUNTIF($B$20:B20,B20)=1,1,"")/IF(B20="",0,1),0),"")</f>
        <v/>
      </c>
      <c r="DR20" s="804" t="str">
        <f>IFERROR(ROUND(CX20*IF(COUNTIF($B$20:B20,B20)=1,1,"")/IF(B20="",0,1),0),"")</f>
        <v/>
      </c>
      <c r="DS20" s="804">
        <f t="shared" ref="DS20:DS51" si="55">SUM(CN20,CS20)</f>
        <v>0</v>
      </c>
      <c r="DT20" s="804">
        <f t="shared" ref="DT20:DT51" si="56">SUM(CQ20,CV20)</f>
        <v>0</v>
      </c>
      <c r="DU20" s="804">
        <f t="shared" ref="DU20:DU51" si="57">SUM(CO20,CT20)</f>
        <v>0</v>
      </c>
      <c r="DV20" s="818" t="str">
        <f>IFERROR(ROUND(DL20,0),"")</f>
        <v/>
      </c>
      <c r="DW20" s="819" t="str">
        <f>IFERROR(ROUND(DH20,0),"")</f>
        <v/>
      </c>
    </row>
    <row r="21" spans="1:128" s="696" customFormat="1" ht="18" customHeight="1" x14ac:dyDescent="0.35">
      <c r="B21" s="820"/>
      <c r="C21" s="795" t="str">
        <f t="shared" si="0"/>
        <v>(Required)</v>
      </c>
      <c r="D21" s="821"/>
      <c r="E21" s="795" t="str">
        <f t="shared" si="0"/>
        <v>(Required)</v>
      </c>
      <c r="F21" s="821"/>
      <c r="G21" s="795" t="str">
        <f t="shared" si="1"/>
        <v>(Required)</v>
      </c>
      <c r="H21" s="822"/>
      <c r="I21" s="795" t="str">
        <f t="shared" si="2"/>
        <v>(Required)</v>
      </c>
      <c r="J21" s="821"/>
      <c r="K21" s="795" t="str">
        <f t="shared" si="3"/>
        <v>(Required)</v>
      </c>
      <c r="L21" s="821"/>
      <c r="M21" s="795" t="str">
        <f t="shared" si="4"/>
        <v>(Required)</v>
      </c>
      <c r="N21" s="821"/>
      <c r="O21" s="795" t="str">
        <f t="shared" si="5"/>
        <v>(Required)</v>
      </c>
      <c r="P21" s="821"/>
      <c r="Q21" s="795" t="str">
        <f t="shared" si="6"/>
        <v>(Required)</v>
      </c>
      <c r="R21" s="823"/>
      <c r="S21" s="799" t="str">
        <f t="shared" si="7"/>
        <v>(Optional)</v>
      </c>
      <c r="T21" s="821"/>
      <c r="U21" s="795" t="str">
        <f t="shared" si="8"/>
        <v>(Required)</v>
      </c>
      <c r="V21" s="824"/>
      <c r="W21" s="799" t="str">
        <f t="shared" si="9"/>
        <v>(Optional)</v>
      </c>
      <c r="X21" s="822"/>
      <c r="Y21" s="795" t="str">
        <f t="shared" si="10"/>
        <v>(Required)</v>
      </c>
      <c r="Z21" s="821"/>
      <c r="AA21" s="795" t="str">
        <f t="shared" si="11"/>
        <v>(Required)</v>
      </c>
      <c r="AB21" s="821"/>
      <c r="AC21" s="795" t="str">
        <f t="shared" si="12"/>
        <v>(Required)</v>
      </c>
      <c r="AD21" s="821"/>
      <c r="AE21" s="795" t="str">
        <f t="shared" si="13"/>
        <v>(Required)</v>
      </c>
      <c r="AF21" s="821"/>
      <c r="AG21" s="795" t="str">
        <f t="shared" si="14"/>
        <v>(Required)</v>
      </c>
      <c r="AH21" s="823"/>
      <c r="AI21" s="799" t="str">
        <f t="shared" si="15"/>
        <v>(Optional)</v>
      </c>
      <c r="AJ21" s="821"/>
      <c r="AK21" s="795" t="str">
        <f t="shared" si="16"/>
        <v>(Required)</v>
      </c>
      <c r="AL21" s="803" t="str">
        <f t="shared" si="17"/>
        <v/>
      </c>
      <c r="AM21" s="803" t="str">
        <f>IF(H21="DESL",'Fuel Density'!$C$12,IF(H21="GAS",'Fuel Density'!$C$11,IF(H21="CNG",'Fuel Density'!$C$13,IF(H21="LNG",'Fuel Density'!$C$14,IF(H21="LPG",'Fuel Density'!$C$15,IF(H21="PROP",'Fuel Density'!$C$16,IF(H21="","","")))))))</f>
        <v/>
      </c>
      <c r="AN21" s="803" t="str">
        <f>IF(H21="DESL",'Fuel-Specific GHG'!$C$14,IF(H21="GAS",'Fuel-Specific GHG'!$C$16,IF(H21="CNG",'Fuel-Specific GHG'!$C$13,IF(H21="LNG",'Fuel-Specific GHG'!$C$18,IF(OR(H21="LPG",H21="PROP"),'Fuel-Specific GHG'!$C$19,IF(H21="","",""))))))</f>
        <v/>
      </c>
      <c r="AO21" s="804" t="str">
        <f>IFERROR(((P21*(IF(ISBLANK(R21),Defaults!$B$19,R21))*T21*AL21)/AM21),"")</f>
        <v/>
      </c>
      <c r="AP21" s="805" t="str">
        <f t="shared" si="18"/>
        <v/>
      </c>
      <c r="AQ21" s="805" t="str">
        <f>IF(H21="DESL",'Fuel-Specific GHG'!$E$14,IF(H21="GAS",'Fuel-Specific GHG'!$E$16,IF(H21="CNG",'Fuel-Specific GHG'!$E$13,IF(H21="LNG",'Fuel-Specific GHG'!$E$18,IF(OR(H21="LPG",H21="PROP"),'Fuel-Specific GHG'!$E$19,"")))))</f>
        <v/>
      </c>
      <c r="AR21" s="805" t="str">
        <f t="shared" si="19"/>
        <v/>
      </c>
      <c r="AS21" s="803" t="str">
        <f t="shared" ref="AS21:AS84" si="58">IF(AF21="","",IF(AND(X21="DESL",AF21&gt;100),"0.367",IF(AND(X21="DESL",AF21&lt;=100),"0.408",IF(AND(X21="PROP",AF21&gt;100),"0.367",IF(AND(X21="PROP",AF21&lt;=100),"0.408",IF(X21="CNG","0.507",IF(X21="LPG","0.507",IF(X21="LNG","0.507",IF(X21="GAS","0.605")))))))))</f>
        <v/>
      </c>
      <c r="AT21" s="803" t="str">
        <f>IF(X21="DESL",'Fuel Density'!$C$12,IF(X21="PROP",'Fuel Density'!$C$16,IF(X21="GAS",'Fuel Density'!$C$11,IF(X21="CNG",'Fuel Density'!$C$13,IF(X21="LNG",'Fuel Density'!$C$14,IF(X21="LPG",'Fuel Density'!$C$15,IF(X21="","","")))))))</f>
        <v/>
      </c>
      <c r="AU21" s="804" t="str">
        <f>IFERROR(IF(X21="ELEC",AO21*AN21*(1/'Fuel-Specific GHG'!$C$15)*(1/IF(H21="GAS",3.4,IF(H21="DESL",2.7,3))),((AF21*(IF(ISBLANK(AH21),Defaults!$B$19,AH21))*AJ21*AS21)/AT21)),"")</f>
        <v/>
      </c>
      <c r="AV21" s="805" t="str">
        <f t="shared" si="20"/>
        <v/>
      </c>
      <c r="AW21" s="805" t="str">
        <f>IF(X21="DESL",'Fuel-Specific GHG'!$E$14,IF(X21="PROP",'Fuel-Specific GHG'!$E$19,IF(X21="GAS",'Fuel-Specific GHG'!$E$16,IF(X21="CNG",'Fuel-Specific GHG'!$E$13,IF(X21="LNG",'Fuel-Specific GHG'!$E$18,IF(X21="LPG",'Fuel-Specific GHG'!$E$19,IF(X21="ELEC",'Fuel-Specific GHG'!$E$15,"")))))))</f>
        <v/>
      </c>
      <c r="AX21" s="805" t="str">
        <f t="shared" si="21"/>
        <v/>
      </c>
      <c r="AY21" s="806" t="str">
        <f t="shared" si="22"/>
        <v/>
      </c>
      <c r="AZ21" s="806" t="str">
        <f>IFERROR((AU21*AW21)/1000000,"")</f>
        <v/>
      </c>
      <c r="BA21" s="806" t="str">
        <f t="shared" ref="BA21:BA84" si="59">IF(AND(AY21="",AZ21=""),"",SUM(AY21)-SUM(AZ21))</f>
        <v/>
      </c>
      <c r="BB21" s="804" t="str">
        <f t="shared" si="23"/>
        <v/>
      </c>
      <c r="BC21" s="807" t="str">
        <f t="shared" si="24"/>
        <v/>
      </c>
      <c r="BD21" s="807"/>
      <c r="BE21" s="808" t="str">
        <f t="shared" si="25"/>
        <v/>
      </c>
      <c r="BF21" s="809" t="str">
        <f t="shared" si="26"/>
        <v/>
      </c>
      <c r="BG21" s="808" t="str">
        <f t="shared" ref="BG21:BG84" si="60">IF(AND(BE21="1",OR(BF21="1",BF21="2"),OR(BD21="1980-1987",BD21="1970-1979")),"1",(IF(AND(BE21="1",OR(BF21="1",BF21="2"),OR(BD21="1988-2000",BD21="2001-2006",BD21="2007-2009",BD21="2010+")),"2",(IF(AND(BE21="1",BF21="3",BD21="1970-1979"),"2",(IF(AND(BE21="1",BF21="3",BD21="1980-1987"),"3",(IF(AND(BE21="1",BF21="3",BD21="1988-2000"),"4",(IF(AND(BE21="2",N21=1),"1",(IF(AND(BE21="2",N21=2),"2",(IF(AND(BE21="2",N21=3),"3",(IF(AND(BE21="2",N21="4 (Phase-Out)"),"4",(IF(AND(OR(BF21="1",BF21="2",BF21="7"),BE21="2",N21="4 (Phase-In or Alt. NOx)"),"4",(IF(AND(OR(BF21="3",BF21="4",BF21="5", BF21="6"),BE21="2",N21="4 (Phase-In or Alt. NOx)"),"5",(IF(AND(BE21="2",N21="4 (Final)"),"6",(IF(AND(OR(BE21="3",BE21="4"),L21="Uncontrolled"),"1",(IF(AND(OR(BE21="3",BE21="4"),L21="Controlled",BD21="2001-2006"),"2",(IF(AND(OR(BE21="3",BE21="4"),L21="Controlled",BD21="2007-2009"),"3",(IF(AND(OR(BE21="3",BE21="4"),L21="Controlled",BD21="2010+"),"4","")))))))))))))))))))))))))))))))</f>
        <v/>
      </c>
      <c r="BH21" s="810">
        <f t="shared" ref="BH21:BH84" si="61">_xlfn.NUMBERVALUE(CONCATENATE(BE21,BF21,BG21))</f>
        <v>0</v>
      </c>
      <c r="BI21" s="803" t="str">
        <f>IFERROR(VLOOKUP(BH21,'Pump Emission Factors'!$B$11:$J$88,4,FALSE),"")</f>
        <v/>
      </c>
      <c r="BJ21" s="803" t="str">
        <f>IFERROR(VLOOKUP(BH21,'Pump Emission Factors'!$B$11:$J$88,6,FALSE),"")</f>
        <v/>
      </c>
      <c r="BK21" s="803" t="str">
        <f>IFERROR(VLOOKUP(BH21,'Pump Emission Factors'!$B$11:$J$88,8,FALSE),"")</f>
        <v/>
      </c>
      <c r="BL21" s="803" t="str">
        <f>IFERROR(VLOOKUP(BH21,'Pump Emission Factors'!$B$11:$J$88,5,FALSE),"")</f>
        <v/>
      </c>
      <c r="BM21" s="803" t="str">
        <f>IFERROR(VLOOKUP(BH21,'Pump Emission Factors'!$B$11:$J$88,7,FALSE),"")</f>
        <v/>
      </c>
      <c r="BN21" s="803" t="str">
        <f>IFERROR(VLOOKUP(BH21,'Pump Emission Factors'!$B$11:$J$88,9,FALSE),"")</f>
        <v/>
      </c>
      <c r="BO21" s="811" t="str">
        <f t="shared" si="27"/>
        <v/>
      </c>
      <c r="BP21" s="811" t="str">
        <f t="shared" si="28"/>
        <v/>
      </c>
      <c r="BQ21" s="803">
        <f>IFERROR(((BI21+(BL21*BP21))*(IF(ISBLANK(R21),Defaults!$B$19,R21))*P21*T21)*F21*(1/454),0)</f>
        <v>0</v>
      </c>
      <c r="BR21" s="803">
        <f>IFERROR(((BJ21+(BM21*BP21))*(IF(ISBLANK(R21),Defaults!$B$19,R21))*P21*T21)*F21*(1/454),0)</f>
        <v>0</v>
      </c>
      <c r="BS21" s="803">
        <f>IFERROR(((BK21+(BN21*BP21))*(IF(ISBLANK(R21),Defaults!$B$19,R21))*P21*T21)*F21*(1/454),0)</f>
        <v>0</v>
      </c>
      <c r="BT21" s="803">
        <f t="shared" si="29"/>
        <v>0</v>
      </c>
      <c r="BU21" s="803">
        <f t="shared" ref="BU21:BU51" si="62">IF(BS21=0,0,BS21*BC21)</f>
        <v>0</v>
      </c>
      <c r="BV21" s="812" t="str">
        <f t="shared" si="30"/>
        <v/>
      </c>
      <c r="BW21" s="808" t="str">
        <f t="shared" si="31"/>
        <v/>
      </c>
      <c r="BX21" s="809" t="str">
        <f t="shared" si="32"/>
        <v/>
      </c>
      <c r="BY21" s="808" t="str">
        <f t="shared" ref="BY21:BY84" si="63">IF(AND(BW21="1",OR(BX21="1",BX21="2"),OR(BV21="1980-1987",BV21="1970-1979")),"1",(IF(AND(BW21="1",OR(BX21="1",BX21="2"),OR(BV21="1988-2000",BV21="2001-2006",BV21="2007-2009",BV21="2010+")),"2",(IF(AND(BW21="1",BX21="3",BV21="1970-1979"),"2",(IF(AND(BW21="1",BX21="3",BV21="1980-1987"),"3",(IF(AND(BW21="1",BX21="3",BV21="1988-2000"),"4",(IF(AND(BW21="2",AD21=1),"1",(IF(AND(BW21="2",AD21=2),"2",(IF(AND(BW21="2",AD21=3),"3",(IF(AND(BW21="2",AD21="4 (Phase-Out)"),"4",(IF(AND(OR(BX21="1",BX21="2",BX21="7"),BW21="2",AD21="4 (Phase-In or Alt. NOx)"),"4",(IF(AND(OR(BX21="3",BX21="4",BX21="5", BX21="6"),BW21="2",AD21="4 (Phase-In or Alt. NOx)"),"5",(IF(AND(BW21="2",AD21="4 (Final)"),"6",(IF(AND(OR(BW21="3",BW21="4"),AB21="Uncontrolled"),"1",(IF(AND(OR(BW21="3",BW21="4"),AB21="Controlled",BV21="2001-2006"),"2",(IF(AND(OR(BW21="3",BW21="4"),AB21="Controlled",BV21="2007-2009"),"3",(IF(AND(OR(BW21="3",BW21="4"),AB21="Controlled",BV21="2010+"),"4","")))))))))))))))))))))))))))))))</f>
        <v/>
      </c>
      <c r="BZ21" s="810">
        <f t="shared" ref="BZ21:BZ84" si="64">_xlfn.NUMBERVALUE(CONCATENATE(BW21,BX21,BY21))</f>
        <v>0</v>
      </c>
      <c r="CA21" s="813" t="str">
        <f>IFERROR(VLOOKUP(BZ21,'Pump Emission Factors'!$B$11:$J$88,4,FALSE),"")</f>
        <v/>
      </c>
      <c r="CB21" s="813" t="str">
        <f>IFERROR(VLOOKUP(BZ21,'Pump Emission Factors'!$B$11:$J$88,6,FALSE),"")</f>
        <v/>
      </c>
      <c r="CC21" s="813" t="str">
        <f>IFERROR(VLOOKUP(BZ21,'Pump Emission Factors'!$B$11:$J$88,8,FALSE),"")</f>
        <v/>
      </c>
      <c r="CD21" s="813" t="str">
        <f>IFERROR(VLOOKUP(BZ21,'Pump Emission Factors'!$B$11:$J$88,5,FALSE),"")</f>
        <v/>
      </c>
      <c r="CE21" s="813" t="str">
        <f>IFERROR(VLOOKUP(BZ21,'Pump Emission Factors'!$B$11:$J$88,7,FALSE),"")</f>
        <v/>
      </c>
      <c r="CF21" s="813" t="str">
        <f>IFERROR(VLOOKUP(BZ21,'Pump Emission Factors'!$B$11:$J$88,9,FALSE),"")</f>
        <v/>
      </c>
      <c r="CG21" s="814" t="str">
        <f t="shared" si="33"/>
        <v/>
      </c>
      <c r="CH21" s="814" t="str">
        <f t="shared" si="34"/>
        <v/>
      </c>
      <c r="CI21" s="813">
        <f>IFERROR(IF($X21="ELEC",((($AU21*(IF($H21="DESL",'Fuel-Specific GHG'!$C$14,IF($H21="GAS",'Fuel-Specific GHG'!$C$16,IF($H21="CNG",'Fuel-Specific GHG'!$C$13,IF(OR($H21="LPG",$H21="PROP"),'Fuel-Specific GHG'!$C$19,"")))))*(1/'Fuel-Specific GHG'!$C$15)*(1/3.4)*$F21)*'Grid Electricity'!$D$39)/454),((CA21+(CD21*CH21))*(IF(ISBLANK(AH21),Defaults!$B$19,AH21))*$AF21*$AJ21*$F21)),0)</f>
        <v>0</v>
      </c>
      <c r="CJ21" s="813">
        <f>IFERROR(IF($X21="ELEC",((($AU21*(IF($H21="DESL",'Fuel-Specific GHG'!$C$14,IF($H21="GAS",'Fuel-Specific GHG'!$C$16,IF($H21="CNG",'Fuel-Specific GHG'!$C$13,IF(OR($H21="LPG",$H21="PROP"),'Fuel-Specific GHG'!$C$19,"")))))*(1/'Fuel-Specific GHG'!$C$15)*(1/3.4)*$F21)*'Grid Electricity'!$C$39)/454),((CB21+(CE21*CH21))*(IF(ISBLANK(AH21),Defaults!$B$19,AH21))*$AF21*$AJ21*$F21)),0)</f>
        <v>0</v>
      </c>
      <c r="CK21" s="813">
        <f>IFERROR(IF($X21="ELEC",((($AU21*(IF($H21="DESL",'Fuel-Specific GHG'!$C$14,IF($H21="GAS",'Fuel-Specific GHG'!$C$16,IF($H21="CNG",'Fuel-Specific GHG'!$C$13,IF(OR($H21="LPG",$H21="PROP"),'Fuel-Specific GHG'!$C$19,"")))))*(1/'Fuel-Specific GHG'!$C$15)*(1/3.4)*$F21)*'Grid Electricity'!$F$39)/454),((CC21+(CF21*CH21))*(IF(ISBLANK(AH21),Defaults!$B$19,AH21))*$AF21*$AJ21*$F21)),0)</f>
        <v>0</v>
      </c>
      <c r="CL21" s="813">
        <f t="shared" si="35"/>
        <v>0</v>
      </c>
      <c r="CM21" s="813">
        <f t="shared" si="36"/>
        <v>0</v>
      </c>
      <c r="CN21" s="814" t="str">
        <f t="shared" si="37"/>
        <v/>
      </c>
      <c r="CO21" s="814" t="str">
        <f t="shared" si="38"/>
        <v/>
      </c>
      <c r="CP21" s="814" t="str">
        <f t="shared" si="39"/>
        <v/>
      </c>
      <c r="CQ21" s="814" t="str">
        <f t="shared" si="40"/>
        <v/>
      </c>
      <c r="CR21" s="815" t="str">
        <f>IF(AND(V21="Yes, Booster Pump VFD",AF21&lt;=75),('Pump Emission Factors'!$F$95*F21),(IF(AND(V21="Yes, Booster Pump VFD",AF21&gt;75),('Pump Emission Factors'!$F$96*F21),(IF(AND(V21="Yes, Well Pump VFD",AF21&lt;=75),('Pump Emission Factors'!$F$97*F21),(IF(AND(V21="Yes, Well Pump VFD",AF21&gt;75),('Pump Emission Factors'!$F$98*F21),"")))))))</f>
        <v/>
      </c>
      <c r="CS21" s="815" t="str">
        <f>IF(AND(V21="Yes, Booster Pump VFD",AF21&lt;=75),('Pump Emission Factors'!$G$95*F21),(IF(AND(V21="Yes, Booster Pump VFD",AF21&gt;75),('Pump Emission Factors'!$G$96*F21),(IF(AND(V21="Yes, Well Pump VFD",AF21&lt;=75),('Pump Emission Factors'!$G$97*F21),(IF(AND(V21="Yes, Well Pump VFD",AF21&gt;75),('Pump Emission Factors'!$G$98*F21),"")))))))</f>
        <v/>
      </c>
      <c r="CT21" s="815" t="str">
        <f>IF(AND(V21="Yes, Booster Pump VFD",AF21&lt;=75),('Pump Emission Factors'!$H$95*F21),(IF(AND(V21="Yes, Booster Pump VFD",AF21&gt;75),('Pump Emission Factors'!$H$96*F21),(IF(AND(V21="Yes, Well Pump VFD",AF21&lt;=75),('Pump Emission Factors'!$H$97*F21),(IF(AND(V21="Yes, Well Pump VFD",AF21&gt;75),('Pump Emission Factors'!$H$98*F21),"")))))))</f>
        <v/>
      </c>
      <c r="CU21" s="815" t="str">
        <f>IF(AND(V21="Yes, Booster Pump VFD",AF21&lt;=75),('Pump Emission Factors'!$J$95*F21),(IF(AND(V21="Yes, Booster Pump VFD",AF21&gt;75),('Pump Emission Factors'!$J$96*F21),(IF(AND(V21="Yes, Well Pump VFD",AF21&lt;=75),('Pump Emission Factors'!$J$97*F21),(IF(AND(V21="Yes, Well Pump VFD",AF21&gt;75),('Pump Emission Factors'!$J$98*F21),"")))))))</f>
        <v/>
      </c>
      <c r="CV21" s="815" t="str">
        <f>IF(AND(V21="Yes, Booster Pump VFD",AF21&lt;=75),('Pump Emission Factors'!$I$95*F21),(IF(AND(V21="Yes, Booster Pump VFD",AF21&gt;75),('Pump Emission Factors'!$I$96*F21),(IF(AND(V21="Yes, Well Pump VFD",AF21&lt;=75),('Pump Emission Factors'!$I$97*F21),(IF(AND(V21="Yes, Well Pump VFD",AF21&gt;75),('Pump Emission Factors'!$I$98*F21),"")))))))</f>
        <v/>
      </c>
      <c r="CW21" s="806">
        <f t="shared" si="41"/>
        <v>0</v>
      </c>
      <c r="CX21" s="806">
        <f t="shared" si="42"/>
        <v>0</v>
      </c>
      <c r="CY21" s="806">
        <f t="shared" si="43"/>
        <v>0</v>
      </c>
      <c r="CZ21" s="806">
        <f t="shared" si="44"/>
        <v>0</v>
      </c>
      <c r="DA21" s="806">
        <f t="shared" si="45"/>
        <v>0</v>
      </c>
      <c r="DB21" s="816" t="str">
        <f t="shared" ref="DB21:DD84" si="65">IFERROR(CW21/2000*1/$F21,"")</f>
        <v/>
      </c>
      <c r="DC21" s="816" t="str">
        <f t="shared" si="46"/>
        <v/>
      </c>
      <c r="DD21" s="816" t="str">
        <f t="shared" si="46"/>
        <v/>
      </c>
      <c r="DE21" s="817" t="str">
        <f t="shared" si="47"/>
        <v/>
      </c>
      <c r="DF21" s="817" t="str">
        <f t="shared" si="48"/>
        <v/>
      </c>
      <c r="DG21" s="804" t="str">
        <f t="shared" si="49"/>
        <v/>
      </c>
      <c r="DH21" s="804" t="str">
        <f t="shared" si="50"/>
        <v/>
      </c>
      <c r="DI21" s="818" t="str">
        <f>IF(AO21="","",IF(H21="DESL",AO21*F21*'Fuel Prices'!$C$12,IF(H21="GAS",AO21*F21*'Fuel Prices'!$C$11,IF(H21="CNG",AO21*F21*'Fuel Prices'!$C$13,IF(H21="LNG",AO21*F21*'Fuel Prices'!$C$14,IF(H21="LPG",AO21*F21*'Fuel Prices'!$C$16,IF(H21="PROP",AO21*F21*'Fuel Prices'!$C$16,"0")))))))</f>
        <v/>
      </c>
      <c r="DJ21" s="818" t="str">
        <f>IF(AU21="","",IF(X21="DESL",AU21*F21*'Fuel Prices'!$C$12,IF(X21="GAS",AU21*F21*'Fuel Prices'!$C$11,IF(X21="CNG",AU21*F21*'Fuel Prices'!$C$13,IF(X21="LNG",AU21*F21*'Fuel Prices'!$C$14,IF(X21="LPG",AU21*F21*'Fuel Prices'!$C$16,IF(X21="PROP",AU21*F21*'Fuel Prices'!$C$16,IF(X21="ELEC",AU21*F21*'Fuel Prices'!$C$35,"0"))))))))</f>
        <v/>
      </c>
      <c r="DK21" s="818" t="str">
        <f t="shared" si="51"/>
        <v/>
      </c>
      <c r="DL21" s="818" t="str">
        <f t="shared" si="52"/>
        <v/>
      </c>
      <c r="DM21" s="804" t="str">
        <f t="shared" si="53"/>
        <v/>
      </c>
      <c r="DN21" s="804" t="str">
        <f t="shared" si="54"/>
        <v/>
      </c>
      <c r="DO21" s="804" t="str">
        <f>IFERROR(ROUND(CZ21*IF(COUNTIF($B$20:B21,B21)=1,1,"")/IF(B21="",0,1),0),"")</f>
        <v/>
      </c>
      <c r="DP21" s="804" t="str">
        <f>IFERROR(ROUND(CW21*IF(COUNTIF($B$20:B21,B21)=1,1,"")/IF(B21="",0,1),0),"")</f>
        <v/>
      </c>
      <c r="DQ21" s="804" t="str">
        <f>IFERROR(ROUND(DA21*IF(COUNTIF($B$20:B21,B21)=1,1,"")/IF(B21="",0,1),0),"")</f>
        <v/>
      </c>
      <c r="DR21" s="804" t="str">
        <f>IFERROR(ROUND(CX21*IF(COUNTIF($B$20:B21,B21)=1,1,"")/IF(B21="",0,1),0),"")</f>
        <v/>
      </c>
      <c r="DS21" s="804">
        <f t="shared" si="55"/>
        <v>0</v>
      </c>
      <c r="DT21" s="804">
        <f t="shared" si="56"/>
        <v>0</v>
      </c>
      <c r="DU21" s="804">
        <f t="shared" si="57"/>
        <v>0</v>
      </c>
      <c r="DV21" s="818" t="str">
        <f t="shared" ref="DV21:DV84" si="66">IFERROR(ROUND(DL21,0),"")</f>
        <v/>
      </c>
      <c r="DW21" s="819" t="str">
        <f t="shared" ref="DW21:DW84" si="67">IFERROR(ROUND(DH21,0),"")</f>
        <v/>
      </c>
    </row>
    <row r="22" spans="1:128" ht="18" customHeight="1" x14ac:dyDescent="0.35">
      <c r="A22" s="635"/>
      <c r="B22" s="820"/>
      <c r="C22" s="795" t="str">
        <f t="shared" si="0"/>
        <v>(Required)</v>
      </c>
      <c r="D22" s="821"/>
      <c r="E22" s="795" t="str">
        <f t="shared" si="0"/>
        <v>(Required)</v>
      </c>
      <c r="F22" s="821"/>
      <c r="G22" s="795" t="str">
        <f t="shared" si="1"/>
        <v>(Required)</v>
      </c>
      <c r="H22" s="822"/>
      <c r="I22" s="795" t="str">
        <f t="shared" si="2"/>
        <v>(Required)</v>
      </c>
      <c r="J22" s="821"/>
      <c r="K22" s="795" t="str">
        <f t="shared" si="3"/>
        <v>(Required)</v>
      </c>
      <c r="L22" s="821"/>
      <c r="M22" s="795" t="str">
        <f t="shared" si="4"/>
        <v>(Required)</v>
      </c>
      <c r="N22" s="821"/>
      <c r="O22" s="795" t="str">
        <f t="shared" si="5"/>
        <v>(Required)</v>
      </c>
      <c r="P22" s="821"/>
      <c r="Q22" s="795" t="str">
        <f t="shared" si="6"/>
        <v>(Required)</v>
      </c>
      <c r="R22" s="823"/>
      <c r="S22" s="799" t="str">
        <f t="shared" si="7"/>
        <v>(Optional)</v>
      </c>
      <c r="T22" s="821"/>
      <c r="U22" s="795" t="str">
        <f t="shared" si="8"/>
        <v>(Required)</v>
      </c>
      <c r="V22" s="824"/>
      <c r="W22" s="799" t="str">
        <f t="shared" si="9"/>
        <v>(Optional)</v>
      </c>
      <c r="X22" s="822"/>
      <c r="Y22" s="795" t="str">
        <f t="shared" si="10"/>
        <v>(Required)</v>
      </c>
      <c r="Z22" s="821"/>
      <c r="AA22" s="795" t="str">
        <f t="shared" si="11"/>
        <v>(Required)</v>
      </c>
      <c r="AB22" s="821"/>
      <c r="AC22" s="795" t="str">
        <f t="shared" si="12"/>
        <v>(Required)</v>
      </c>
      <c r="AD22" s="821"/>
      <c r="AE22" s="795" t="str">
        <f t="shared" si="13"/>
        <v>(Required)</v>
      </c>
      <c r="AF22" s="821"/>
      <c r="AG22" s="795" t="str">
        <f t="shared" si="14"/>
        <v>(Required)</v>
      </c>
      <c r="AH22" s="823"/>
      <c r="AI22" s="799" t="str">
        <f t="shared" si="15"/>
        <v>(Optional)</v>
      </c>
      <c r="AJ22" s="821"/>
      <c r="AK22" s="795" t="str">
        <f t="shared" si="16"/>
        <v>(Required)</v>
      </c>
      <c r="AL22" s="803" t="str">
        <f t="shared" si="17"/>
        <v/>
      </c>
      <c r="AM22" s="803" t="str">
        <f>IF(H22="DESL",'Fuel Density'!$C$12,IF(H22="GAS",'Fuel Density'!$C$11,IF(H22="CNG",'Fuel Density'!$C$13,IF(H22="LNG",'Fuel Density'!$C$14,IF(H22="LPG",'Fuel Density'!$C$15,IF(H22="PROP",'Fuel Density'!$C$16,IF(H22="","","")))))))</f>
        <v/>
      </c>
      <c r="AN22" s="803" t="str">
        <f>IF(H22="DESL",'Fuel-Specific GHG'!$C$14,IF(H22="GAS",'Fuel-Specific GHG'!$C$16,IF(H22="CNG",'Fuel-Specific GHG'!$C$13,IF(H22="LNG",'Fuel-Specific GHG'!$C$18,IF(OR(H22="LPG",H22="PROP"),'Fuel-Specific GHG'!$C$19,IF(H22="","",""))))))</f>
        <v/>
      </c>
      <c r="AO22" s="804" t="str">
        <f>IFERROR(((P22*(IF(ISBLANK(R22),Defaults!$B$19,R22))*T22*AL22)/AM22),"")</f>
        <v/>
      </c>
      <c r="AP22" s="805" t="str">
        <f t="shared" si="18"/>
        <v/>
      </c>
      <c r="AQ22" s="805" t="str">
        <f>IF(H22="DESL",'Fuel-Specific GHG'!$E$14,IF(H22="GAS",'Fuel-Specific GHG'!$E$16,IF(H22="CNG",'Fuel-Specific GHG'!$E$13,IF(H22="LNG",'Fuel-Specific GHG'!$E$18,IF(OR(H22="LPG",H22="PROP"),'Fuel-Specific GHG'!$E$19,"")))))</f>
        <v/>
      </c>
      <c r="AR22" s="805" t="str">
        <f t="shared" si="19"/>
        <v/>
      </c>
      <c r="AS22" s="803" t="str">
        <f t="shared" si="58"/>
        <v/>
      </c>
      <c r="AT22" s="803" t="str">
        <f>IF(X22="DESL",'Fuel Density'!$C$12,IF(X22="PROP",'Fuel Density'!$C$16,IF(X22="GAS",'Fuel Density'!$C$11,IF(X22="CNG",'Fuel Density'!$C$13,IF(X22="LNG",'Fuel Density'!$C$14,IF(X22="LPG",'Fuel Density'!$C$15,IF(X22="","","")))))))</f>
        <v/>
      </c>
      <c r="AU22" s="804" t="str">
        <f>IFERROR(IF(X22="ELEC",AO22*AN22*(1/'Fuel-Specific GHG'!$C$15)*(1/IF(H22="GAS",3.4,IF(H22="DESL",2.7,3))),((AF22*(IF(ISBLANK(AH22),Defaults!$B$19,AH22))*AJ22*AS22)/AT22)),"")</f>
        <v/>
      </c>
      <c r="AV22" s="805" t="str">
        <f t="shared" si="20"/>
        <v/>
      </c>
      <c r="AW22" s="805" t="str">
        <f>IF(X22="DESL",'Fuel-Specific GHG'!$E$14,IF(X22="PROP",'Fuel-Specific GHG'!$E$19,IF(X22="GAS",'Fuel-Specific GHG'!$E$16,IF(X22="CNG",'Fuel-Specific GHG'!$E$13,IF(X22="LNG",'Fuel-Specific GHG'!$E$18,IF(X22="LPG",'Fuel-Specific GHG'!$E$19,IF(X22="ELEC",'Fuel-Specific GHG'!$E$15,"")))))))</f>
        <v/>
      </c>
      <c r="AX22" s="805" t="str">
        <f t="shared" si="21"/>
        <v/>
      </c>
      <c r="AY22" s="806" t="str">
        <f t="shared" si="22"/>
        <v/>
      </c>
      <c r="AZ22" s="806" t="str">
        <f t="shared" ref="AZ22:AZ85" si="68">IFERROR((AU22*AW22)/1000000,"")</f>
        <v/>
      </c>
      <c r="BA22" s="806" t="str">
        <f t="shared" si="59"/>
        <v/>
      </c>
      <c r="BB22" s="804" t="str">
        <f t="shared" si="23"/>
        <v/>
      </c>
      <c r="BC22" s="807" t="str">
        <f t="shared" si="24"/>
        <v/>
      </c>
      <c r="BD22" s="807"/>
      <c r="BE22" s="808" t="str">
        <f t="shared" si="25"/>
        <v/>
      </c>
      <c r="BF22" s="809" t="str">
        <f t="shared" si="26"/>
        <v/>
      </c>
      <c r="BG22" s="808" t="str">
        <f t="shared" si="60"/>
        <v/>
      </c>
      <c r="BH22" s="810">
        <f t="shared" si="61"/>
        <v>0</v>
      </c>
      <c r="BI22" s="803" t="str">
        <f>IFERROR(VLOOKUP(BH22,'Pump Emission Factors'!$B$11:$J$88,4,FALSE),"")</f>
        <v/>
      </c>
      <c r="BJ22" s="803" t="str">
        <f>IFERROR(VLOOKUP(BH22,'Pump Emission Factors'!$B$11:$J$88,6,FALSE),"")</f>
        <v/>
      </c>
      <c r="BK22" s="803" t="str">
        <f>IFERROR(VLOOKUP(BH22,'Pump Emission Factors'!$B$11:$J$88,8,FALSE),"")</f>
        <v/>
      </c>
      <c r="BL22" s="803" t="str">
        <f>IFERROR(VLOOKUP(BH22,'Pump Emission Factors'!$B$11:$J$88,5,FALSE),"")</f>
        <v/>
      </c>
      <c r="BM22" s="803" t="str">
        <f>IFERROR(VLOOKUP(BH22,'Pump Emission Factors'!$B$11:$J$88,7,FALSE),"")</f>
        <v/>
      </c>
      <c r="BN22" s="803" t="str">
        <f>IFERROR(VLOOKUP(BH22,'Pump Emission Factors'!$B$11:$J$88,9,FALSE),"")</f>
        <v/>
      </c>
      <c r="BO22" s="811" t="str">
        <f t="shared" si="27"/>
        <v/>
      </c>
      <c r="BP22" s="811" t="str">
        <f t="shared" si="28"/>
        <v/>
      </c>
      <c r="BQ22" s="803">
        <f>IFERROR(((BI22+(BL22*BP22))*(IF(ISBLANK(R22),Defaults!$B$19,R22))*P22*T22)*F22*(1/454),0)</f>
        <v>0</v>
      </c>
      <c r="BR22" s="803">
        <f>IFERROR(((BJ22+(BM22*BP22))*(IF(ISBLANK(R22),Defaults!$B$19,R22))*P22*T22)*F22*(1/454),0)</f>
        <v>0</v>
      </c>
      <c r="BS22" s="803">
        <f>IFERROR(((BK22+(BN22*BP22))*(IF(ISBLANK(R22),Defaults!$B$19,R22))*P22*T22)*F22*(1/454),0)</f>
        <v>0</v>
      </c>
      <c r="BT22" s="803">
        <f t="shared" si="29"/>
        <v>0</v>
      </c>
      <c r="BU22" s="803">
        <f t="shared" si="62"/>
        <v>0</v>
      </c>
      <c r="BV22" s="812" t="str">
        <f t="shared" si="30"/>
        <v/>
      </c>
      <c r="BW22" s="808" t="str">
        <f t="shared" si="31"/>
        <v/>
      </c>
      <c r="BX22" s="809" t="str">
        <f t="shared" si="32"/>
        <v/>
      </c>
      <c r="BY22" s="808" t="str">
        <f t="shared" si="63"/>
        <v/>
      </c>
      <c r="BZ22" s="810">
        <f t="shared" si="64"/>
        <v>0</v>
      </c>
      <c r="CA22" s="813" t="str">
        <f>IFERROR(VLOOKUP(BZ22,'Pump Emission Factors'!$B$11:$J$88,4,FALSE),"")</f>
        <v/>
      </c>
      <c r="CB22" s="813" t="str">
        <f>IFERROR(VLOOKUP(BZ22,'Pump Emission Factors'!$B$11:$J$88,6,FALSE),"")</f>
        <v/>
      </c>
      <c r="CC22" s="813" t="str">
        <f>IFERROR(VLOOKUP(BZ22,'Pump Emission Factors'!$B$11:$J$88,8,FALSE),"")</f>
        <v/>
      </c>
      <c r="CD22" s="813" t="str">
        <f>IFERROR(VLOOKUP(BZ22,'Pump Emission Factors'!$B$11:$J$88,5,FALSE),"")</f>
        <v/>
      </c>
      <c r="CE22" s="813" t="str">
        <f>IFERROR(VLOOKUP(BZ22,'Pump Emission Factors'!$B$11:$J$88,7,FALSE),"")</f>
        <v/>
      </c>
      <c r="CF22" s="813" t="str">
        <f>IFERROR(VLOOKUP(BZ22,'Pump Emission Factors'!$B$11:$J$88,9,FALSE),"")</f>
        <v/>
      </c>
      <c r="CG22" s="814" t="str">
        <f t="shared" si="33"/>
        <v/>
      </c>
      <c r="CH22" s="814" t="str">
        <f t="shared" si="34"/>
        <v/>
      </c>
      <c r="CI22" s="813">
        <f>IFERROR(IF($X22="ELEC",((($AU22*(IF($H22="DESL",'Fuel-Specific GHG'!$C$14,IF($H22="GAS",'Fuel-Specific GHG'!$C$16,IF($H22="CNG",'Fuel-Specific GHG'!$C$13,IF(OR($H22="LPG",$H22="PROP"),'Fuel-Specific GHG'!$C$19,"")))))*(1/'Fuel-Specific GHG'!$C$15)*(1/3.4)*$F22)*'Grid Electricity'!$D$39)/454),((CA22+(CD22*CH22))*(IF(ISBLANK(AH22),Defaults!$B$19,AH22))*$AF22*$AJ22*$F22)),0)</f>
        <v>0</v>
      </c>
      <c r="CJ22" s="813">
        <f>IFERROR(IF($X22="ELEC",((($AU22*(IF($H22="DESL",'Fuel-Specific GHG'!$C$14,IF($H22="GAS",'Fuel-Specific GHG'!$C$16,IF($H22="CNG",'Fuel-Specific GHG'!$C$13,IF(OR($H22="LPG",$H22="PROP"),'Fuel-Specific GHG'!$C$19,"")))))*(1/'Fuel-Specific GHG'!$C$15)*(1/3.4)*$F22)*'Grid Electricity'!$C$39)/454),((CB22+(CE22*CH22))*(IF(ISBLANK(AH22),Defaults!$B$19,AH22))*$AF22*$AJ22*$F22)),0)</f>
        <v>0</v>
      </c>
      <c r="CK22" s="813">
        <f>IFERROR(IF($X22="ELEC",((($AU22*(IF($H22="DESL",'Fuel-Specific GHG'!$C$14,IF($H22="GAS",'Fuel-Specific GHG'!$C$16,IF($H22="CNG",'Fuel-Specific GHG'!$C$13,IF(OR($H22="LPG",$H22="PROP"),'Fuel-Specific GHG'!$C$19,"")))))*(1/'Fuel-Specific GHG'!$C$15)*(1/3.4)*$F22)*'Grid Electricity'!$F$39)/454),((CC22+(CF22*CH22))*(IF(ISBLANK(AH22),Defaults!$B$19,AH22))*$AF22*$AJ22*$F22)),0)</f>
        <v>0</v>
      </c>
      <c r="CL22" s="813">
        <f t="shared" si="35"/>
        <v>0</v>
      </c>
      <c r="CM22" s="813">
        <f t="shared" si="36"/>
        <v>0</v>
      </c>
      <c r="CN22" s="814" t="str">
        <f t="shared" si="37"/>
        <v/>
      </c>
      <c r="CO22" s="814" t="str">
        <f t="shared" si="38"/>
        <v/>
      </c>
      <c r="CP22" s="814" t="str">
        <f t="shared" si="39"/>
        <v/>
      </c>
      <c r="CQ22" s="814" t="str">
        <f t="shared" si="40"/>
        <v/>
      </c>
      <c r="CR22" s="815" t="str">
        <f>IF(AND(V22="Yes, Booster Pump VFD",AF22&lt;=75),('Pump Emission Factors'!$F$95*F22),(IF(AND(V22="Yes, Booster Pump VFD",AF22&gt;75),('Pump Emission Factors'!$F$96*F22),(IF(AND(V22="Yes, Well Pump VFD",AF22&lt;=75),('Pump Emission Factors'!$F$97*F22),(IF(AND(V22="Yes, Well Pump VFD",AF22&gt;75),('Pump Emission Factors'!$F$98*F22),"")))))))</f>
        <v/>
      </c>
      <c r="CS22" s="815" t="str">
        <f>IF(AND(V22="Yes, Booster Pump VFD",AF22&lt;=75),('Pump Emission Factors'!$G$95*F22),(IF(AND(V22="Yes, Booster Pump VFD",AF22&gt;75),('Pump Emission Factors'!$G$96*F22),(IF(AND(V22="Yes, Well Pump VFD",AF22&lt;=75),('Pump Emission Factors'!$G$97*F22),(IF(AND(V22="Yes, Well Pump VFD",AF22&gt;75),('Pump Emission Factors'!$G$98*F22),"")))))))</f>
        <v/>
      </c>
      <c r="CT22" s="815" t="str">
        <f>IF(AND(V22="Yes, Booster Pump VFD",AF22&lt;=75),('Pump Emission Factors'!$H$95*F22),(IF(AND(V22="Yes, Booster Pump VFD",AF22&gt;75),('Pump Emission Factors'!$H$96*F22),(IF(AND(V22="Yes, Well Pump VFD",AF22&lt;=75),('Pump Emission Factors'!$H$97*F22),(IF(AND(V22="Yes, Well Pump VFD",AF22&gt;75),('Pump Emission Factors'!$H$98*F22),"")))))))</f>
        <v/>
      </c>
      <c r="CU22" s="815" t="str">
        <f>IF(AND(V22="Yes, Booster Pump VFD",AF22&lt;=75),('Pump Emission Factors'!$J$95*F22),(IF(AND(V22="Yes, Booster Pump VFD",AF22&gt;75),('Pump Emission Factors'!$J$96*F22),(IF(AND(V22="Yes, Well Pump VFD",AF22&lt;=75),('Pump Emission Factors'!$J$97*F22),(IF(AND(V22="Yes, Well Pump VFD",AF22&gt;75),('Pump Emission Factors'!$J$98*F22),"")))))))</f>
        <v/>
      </c>
      <c r="CV22" s="815" t="str">
        <f>IF(AND(V22="Yes, Booster Pump VFD",AF22&lt;=75),('Pump Emission Factors'!$I$95*F22),(IF(AND(V22="Yes, Booster Pump VFD",AF22&gt;75),('Pump Emission Factors'!$I$96*F22),(IF(AND(V22="Yes, Well Pump VFD",AF22&lt;=75),('Pump Emission Factors'!$I$97*F22),(IF(AND(V22="Yes, Well Pump VFD",AF22&gt;75),('Pump Emission Factors'!$I$98*F22),"")))))))</f>
        <v/>
      </c>
      <c r="CW22" s="806">
        <f t="shared" si="41"/>
        <v>0</v>
      </c>
      <c r="CX22" s="806">
        <f t="shared" si="42"/>
        <v>0</v>
      </c>
      <c r="CY22" s="806">
        <f t="shared" si="43"/>
        <v>0</v>
      </c>
      <c r="CZ22" s="806">
        <f t="shared" si="44"/>
        <v>0</v>
      </c>
      <c r="DA22" s="806">
        <f t="shared" si="45"/>
        <v>0</v>
      </c>
      <c r="DB22" s="816" t="str">
        <f t="shared" si="65"/>
        <v/>
      </c>
      <c r="DC22" s="816" t="str">
        <f t="shared" si="46"/>
        <v/>
      </c>
      <c r="DD22" s="816" t="str">
        <f t="shared" si="46"/>
        <v/>
      </c>
      <c r="DE22" s="817" t="str">
        <f t="shared" si="47"/>
        <v/>
      </c>
      <c r="DF22" s="817" t="str">
        <f t="shared" si="48"/>
        <v/>
      </c>
      <c r="DG22" s="804" t="str">
        <f t="shared" si="49"/>
        <v/>
      </c>
      <c r="DH22" s="804" t="str">
        <f t="shared" si="50"/>
        <v/>
      </c>
      <c r="DI22" s="818" t="str">
        <f>IF(AO22="","",IF(H22="DESL",AO22*F22*'Fuel Prices'!$C$12,IF(H22="GAS",AO22*F22*'Fuel Prices'!$C$11,IF(H22="CNG",AO22*F22*'Fuel Prices'!$C$13,IF(H22="LNG",AO22*F22*'Fuel Prices'!$C$14,IF(H22="LPG",AO22*F22*'Fuel Prices'!$C$16,IF(H22="PROP",AO22*F22*'Fuel Prices'!$C$16,"0")))))))</f>
        <v/>
      </c>
      <c r="DJ22" s="818" t="str">
        <f>IF(AU22="","",IF(X22="DESL",AU22*F22*'Fuel Prices'!$C$12,IF(X22="GAS",AU22*F22*'Fuel Prices'!$C$11,IF(X22="CNG",AU22*F22*'Fuel Prices'!$C$13,IF(X22="LNG",AU22*F22*'Fuel Prices'!$C$14,IF(X22="LPG",AU22*F22*'Fuel Prices'!$C$16,IF(X22="PROP",AU22*F22*'Fuel Prices'!$C$16,IF(X22="ELEC",AU22*F22*'Fuel Prices'!$C$35,"0"))))))))</f>
        <v/>
      </c>
      <c r="DK22" s="818" t="str">
        <f t="shared" si="51"/>
        <v/>
      </c>
      <c r="DL22" s="818" t="str">
        <f t="shared" si="52"/>
        <v/>
      </c>
      <c r="DM22" s="804" t="str">
        <f t="shared" si="53"/>
        <v/>
      </c>
      <c r="DN22" s="804" t="str">
        <f t="shared" si="54"/>
        <v/>
      </c>
      <c r="DO22" s="804" t="str">
        <f>IFERROR(ROUND(CZ22*IF(COUNTIF($B$20:B22,B22)=1,1,"")/IF(B22="",0,1),0),"")</f>
        <v/>
      </c>
      <c r="DP22" s="804" t="str">
        <f>IFERROR(ROUND(CW22*IF(COUNTIF($B$20:B22,B22)=1,1,"")/IF(B22="",0,1),0),"")</f>
        <v/>
      </c>
      <c r="DQ22" s="804" t="str">
        <f>IFERROR(ROUND(DA22*IF(COUNTIF($B$20:B22,B22)=1,1,"")/IF(B22="",0,1),0),"")</f>
        <v/>
      </c>
      <c r="DR22" s="804" t="str">
        <f>IFERROR(ROUND(CX22*IF(COUNTIF($B$20:B22,B22)=1,1,"")/IF(B22="",0,1),0),"")</f>
        <v/>
      </c>
      <c r="DS22" s="804">
        <f t="shared" si="55"/>
        <v>0</v>
      </c>
      <c r="DT22" s="804">
        <f t="shared" si="56"/>
        <v>0</v>
      </c>
      <c r="DU22" s="804">
        <f t="shared" si="57"/>
        <v>0</v>
      </c>
      <c r="DV22" s="818" t="str">
        <f t="shared" si="66"/>
        <v/>
      </c>
      <c r="DW22" s="819" t="str">
        <f t="shared" si="67"/>
        <v/>
      </c>
    </row>
    <row r="23" spans="1:128" ht="18" customHeight="1" x14ac:dyDescent="0.35">
      <c r="A23" s="696"/>
      <c r="B23" s="820"/>
      <c r="C23" s="795" t="str">
        <f t="shared" si="0"/>
        <v>(Required)</v>
      </c>
      <c r="D23" s="821"/>
      <c r="E23" s="795" t="str">
        <f t="shared" si="0"/>
        <v>(Required)</v>
      </c>
      <c r="F23" s="821"/>
      <c r="G23" s="795" t="str">
        <f t="shared" si="1"/>
        <v>(Required)</v>
      </c>
      <c r="H23" s="822"/>
      <c r="I23" s="795" t="str">
        <f t="shared" si="2"/>
        <v>(Required)</v>
      </c>
      <c r="J23" s="821"/>
      <c r="K23" s="795" t="str">
        <f t="shared" si="3"/>
        <v>(Required)</v>
      </c>
      <c r="L23" s="821"/>
      <c r="M23" s="795" t="str">
        <f t="shared" si="4"/>
        <v>(Required)</v>
      </c>
      <c r="N23" s="821"/>
      <c r="O23" s="795" t="str">
        <f t="shared" si="5"/>
        <v>(Required)</v>
      </c>
      <c r="P23" s="821"/>
      <c r="Q23" s="795" t="str">
        <f t="shared" si="6"/>
        <v>(Required)</v>
      </c>
      <c r="R23" s="823"/>
      <c r="S23" s="799" t="str">
        <f t="shared" si="7"/>
        <v>(Optional)</v>
      </c>
      <c r="T23" s="821"/>
      <c r="U23" s="795" t="str">
        <f t="shared" si="8"/>
        <v>(Required)</v>
      </c>
      <c r="V23" s="824"/>
      <c r="W23" s="799" t="str">
        <f t="shared" si="9"/>
        <v>(Optional)</v>
      </c>
      <c r="X23" s="822"/>
      <c r="Y23" s="795" t="str">
        <f t="shared" si="10"/>
        <v>(Required)</v>
      </c>
      <c r="Z23" s="821"/>
      <c r="AA23" s="795" t="str">
        <f t="shared" si="11"/>
        <v>(Required)</v>
      </c>
      <c r="AB23" s="821"/>
      <c r="AC23" s="795" t="str">
        <f t="shared" si="12"/>
        <v>(Required)</v>
      </c>
      <c r="AD23" s="821"/>
      <c r="AE23" s="795" t="str">
        <f t="shared" si="13"/>
        <v>(Required)</v>
      </c>
      <c r="AF23" s="821"/>
      <c r="AG23" s="795" t="str">
        <f t="shared" si="14"/>
        <v>(Required)</v>
      </c>
      <c r="AH23" s="823"/>
      <c r="AI23" s="799" t="str">
        <f t="shared" si="15"/>
        <v>(Optional)</v>
      </c>
      <c r="AJ23" s="821"/>
      <c r="AK23" s="795" t="str">
        <f t="shared" si="16"/>
        <v>(Required)</v>
      </c>
      <c r="AL23" s="803" t="str">
        <f t="shared" si="17"/>
        <v/>
      </c>
      <c r="AM23" s="803" t="str">
        <f>IF(H23="DESL",'Fuel Density'!$C$12,IF(H23="GAS",'Fuel Density'!$C$11,IF(H23="CNG",'Fuel Density'!$C$13,IF(H23="LNG",'Fuel Density'!$C$14,IF(H23="LPG",'Fuel Density'!$C$15,IF(H23="PROP",'Fuel Density'!$C$16,IF(H23="","","")))))))</f>
        <v/>
      </c>
      <c r="AN23" s="803" t="str">
        <f>IF(H23="DESL",'Fuel-Specific GHG'!$C$14,IF(H23="GAS",'Fuel-Specific GHG'!$C$16,IF(H23="CNG",'Fuel-Specific GHG'!$C$13,IF(H23="LNG",'Fuel-Specific GHG'!$C$18,IF(OR(H23="LPG",H23="PROP"),'Fuel-Specific GHG'!$C$19,IF(H23="","",""))))))</f>
        <v/>
      </c>
      <c r="AO23" s="804" t="str">
        <f>IFERROR(((P23*(IF(ISBLANK(R23),Defaults!$B$19,R23))*T23*AL23)/AM23),"")</f>
        <v/>
      </c>
      <c r="AP23" s="805" t="str">
        <f t="shared" si="18"/>
        <v/>
      </c>
      <c r="AQ23" s="805" t="str">
        <f>IF(H23="DESL",'Fuel-Specific GHG'!$E$14,IF(H23="GAS",'Fuel-Specific GHG'!$E$16,IF(H23="CNG",'Fuel-Specific GHG'!$E$13,IF(H23="LNG",'Fuel-Specific GHG'!$E$18,IF(OR(H23="LPG",H23="PROP"),'Fuel-Specific GHG'!$E$19,"")))))</f>
        <v/>
      </c>
      <c r="AR23" s="805" t="str">
        <f t="shared" si="19"/>
        <v/>
      </c>
      <c r="AS23" s="803" t="str">
        <f t="shared" si="58"/>
        <v/>
      </c>
      <c r="AT23" s="803" t="str">
        <f>IF(X23="DESL",'Fuel Density'!$C$12,IF(X23="PROP",'Fuel Density'!$C$16,IF(X23="GAS",'Fuel Density'!$C$11,IF(X23="CNG",'Fuel Density'!$C$13,IF(X23="LNG",'Fuel Density'!$C$14,IF(X23="LPG",'Fuel Density'!$C$15,IF(X23="","","")))))))</f>
        <v/>
      </c>
      <c r="AU23" s="804" t="str">
        <f>IFERROR(IF(X23="ELEC",AO23*AN23*(1/'Fuel-Specific GHG'!$C$15)*(1/IF(H23="GAS",3.4,IF(H23="DESL",2.7,3))),((AF23*(IF(ISBLANK(AH23),Defaults!$B$19,AH23))*AJ23*AS23)/AT23)),"")</f>
        <v/>
      </c>
      <c r="AV23" s="805" t="str">
        <f t="shared" si="20"/>
        <v/>
      </c>
      <c r="AW23" s="805" t="str">
        <f>IF(X23="DESL",'Fuel-Specific GHG'!$E$14,IF(X23="PROP",'Fuel-Specific GHG'!$E$19,IF(X23="GAS",'Fuel-Specific GHG'!$E$16,IF(X23="CNG",'Fuel-Specific GHG'!$E$13,IF(X23="LNG",'Fuel-Specific GHG'!$E$18,IF(X23="LPG",'Fuel-Specific GHG'!$E$19,IF(X23="ELEC",'Fuel-Specific GHG'!$E$15,"")))))))</f>
        <v/>
      </c>
      <c r="AX23" s="805" t="str">
        <f t="shared" si="21"/>
        <v/>
      </c>
      <c r="AY23" s="806" t="str">
        <f t="shared" si="22"/>
        <v/>
      </c>
      <c r="AZ23" s="806" t="str">
        <f>IFERROR((AU23*AW23)/1000000,"")</f>
        <v/>
      </c>
      <c r="BA23" s="806" t="str">
        <f t="shared" si="59"/>
        <v/>
      </c>
      <c r="BB23" s="804" t="str">
        <f t="shared" si="23"/>
        <v/>
      </c>
      <c r="BC23" s="807" t="str">
        <f t="shared" si="24"/>
        <v/>
      </c>
      <c r="BD23" s="807"/>
      <c r="BE23" s="808" t="str">
        <f t="shared" si="25"/>
        <v/>
      </c>
      <c r="BF23" s="809" t="str">
        <f t="shared" si="26"/>
        <v/>
      </c>
      <c r="BG23" s="808" t="str">
        <f t="shared" si="60"/>
        <v/>
      </c>
      <c r="BH23" s="810">
        <f t="shared" si="61"/>
        <v>0</v>
      </c>
      <c r="BI23" s="803" t="str">
        <f>IFERROR(VLOOKUP(BH23,'Pump Emission Factors'!$B$11:$J$88,4,FALSE),"")</f>
        <v/>
      </c>
      <c r="BJ23" s="803" t="str">
        <f>IFERROR(VLOOKUP(BH23,'Pump Emission Factors'!$B$11:$J$88,6,FALSE),"")</f>
        <v/>
      </c>
      <c r="BK23" s="803" t="str">
        <f>IFERROR(VLOOKUP(BH23,'Pump Emission Factors'!$B$11:$J$88,8,FALSE),"")</f>
        <v/>
      </c>
      <c r="BL23" s="803" t="str">
        <f>IFERROR(VLOOKUP(BH23,'Pump Emission Factors'!$B$11:$J$88,5,FALSE),"")</f>
        <v/>
      </c>
      <c r="BM23" s="803" t="str">
        <f>IFERROR(VLOOKUP(BH23,'Pump Emission Factors'!$B$11:$J$88,7,FALSE),"")</f>
        <v/>
      </c>
      <c r="BN23" s="803" t="str">
        <f>IFERROR(VLOOKUP(BH23,'Pump Emission Factors'!$B$11:$J$88,9,FALSE),"")</f>
        <v/>
      </c>
      <c r="BO23" s="811" t="str">
        <f t="shared" si="27"/>
        <v/>
      </c>
      <c r="BP23" s="811" t="str">
        <f t="shared" si="28"/>
        <v/>
      </c>
      <c r="BQ23" s="803">
        <f>IFERROR(((BI23+(BL23*BP23))*(IF(ISBLANK(R23),Defaults!$B$19,R23))*P23*T23)*F23*(1/454),0)</f>
        <v>0</v>
      </c>
      <c r="BR23" s="803">
        <f>IFERROR(((BJ23+(BM23*BP23))*(IF(ISBLANK(R23),Defaults!$B$19,R23))*P23*T23)*F23*(1/454),0)</f>
        <v>0</v>
      </c>
      <c r="BS23" s="803">
        <f>IFERROR(((BK23+(BN23*BP23))*(IF(ISBLANK(R23),Defaults!$B$19,R23))*P23*T23)*F23*(1/454),0)</f>
        <v>0</v>
      </c>
      <c r="BT23" s="803">
        <f t="shared" si="29"/>
        <v>0</v>
      </c>
      <c r="BU23" s="803">
        <f t="shared" si="62"/>
        <v>0</v>
      </c>
      <c r="BV23" s="812" t="str">
        <f t="shared" si="30"/>
        <v/>
      </c>
      <c r="BW23" s="808" t="str">
        <f t="shared" si="31"/>
        <v/>
      </c>
      <c r="BX23" s="809" t="str">
        <f t="shared" si="32"/>
        <v/>
      </c>
      <c r="BY23" s="808" t="str">
        <f t="shared" si="63"/>
        <v/>
      </c>
      <c r="BZ23" s="810">
        <f t="shared" si="64"/>
        <v>0</v>
      </c>
      <c r="CA23" s="813" t="str">
        <f>IFERROR(VLOOKUP(BZ23,'Pump Emission Factors'!$B$11:$J$88,4,FALSE),"")</f>
        <v/>
      </c>
      <c r="CB23" s="813" t="str">
        <f>IFERROR(VLOOKUP(BZ23,'Pump Emission Factors'!$B$11:$J$88,6,FALSE),"")</f>
        <v/>
      </c>
      <c r="CC23" s="813" t="str">
        <f>IFERROR(VLOOKUP(BZ23,'Pump Emission Factors'!$B$11:$J$88,8,FALSE),"")</f>
        <v/>
      </c>
      <c r="CD23" s="813" t="str">
        <f>IFERROR(VLOOKUP(BZ23,'Pump Emission Factors'!$B$11:$J$88,5,FALSE),"")</f>
        <v/>
      </c>
      <c r="CE23" s="813" t="str">
        <f>IFERROR(VLOOKUP(BZ23,'Pump Emission Factors'!$B$11:$J$88,7,FALSE),"")</f>
        <v/>
      </c>
      <c r="CF23" s="813" t="str">
        <f>IFERROR(VLOOKUP(BZ23,'Pump Emission Factors'!$B$11:$J$88,9,FALSE),"")</f>
        <v/>
      </c>
      <c r="CG23" s="814" t="str">
        <f t="shared" si="33"/>
        <v/>
      </c>
      <c r="CH23" s="814" t="str">
        <f t="shared" si="34"/>
        <v/>
      </c>
      <c r="CI23" s="813">
        <f>IFERROR(IF($X23="ELEC",((($AU23*(IF($H23="DESL",'Fuel-Specific GHG'!$C$14,IF($H23="GAS",'Fuel-Specific GHG'!$C$16,IF($H23="CNG",'Fuel-Specific GHG'!$C$13,IF(OR($H23="LPG",$H23="PROP"),'Fuel-Specific GHG'!$C$19,"")))))*(1/'Fuel-Specific GHG'!$C$15)*(1/3.4)*$F23)*'Grid Electricity'!$D$39)/454),((CA23+(CD23*CH23))*(IF(ISBLANK(AH23),Defaults!$B$19,AH23))*$AF23*$AJ23*$F23)),0)</f>
        <v>0</v>
      </c>
      <c r="CJ23" s="813">
        <f>IFERROR(IF($X23="ELEC",((($AU23*(IF($H23="DESL",'Fuel-Specific GHG'!$C$14,IF($H23="GAS",'Fuel-Specific GHG'!$C$16,IF($H23="CNG",'Fuel-Specific GHG'!$C$13,IF(OR($H23="LPG",$H23="PROP"),'Fuel-Specific GHG'!$C$19,"")))))*(1/'Fuel-Specific GHG'!$C$15)*(1/3.4)*$F23)*'Grid Electricity'!$C$39)/454),((CB23+(CE23*CH23))*(IF(ISBLANK(AH23),Defaults!$B$19,AH23))*$AF23*$AJ23*$F23)),0)</f>
        <v>0</v>
      </c>
      <c r="CK23" s="813">
        <f>IFERROR(IF($X23="ELEC",((($AU23*(IF($H23="DESL",'Fuel-Specific GHG'!$C$14,IF($H23="GAS",'Fuel-Specific GHG'!$C$16,IF($H23="CNG",'Fuel-Specific GHG'!$C$13,IF(OR($H23="LPG",$H23="PROP"),'Fuel-Specific GHG'!$C$19,"")))))*(1/'Fuel-Specific GHG'!$C$15)*(1/3.4)*$F23)*'Grid Electricity'!$F$39)/454),((CC23+(CF23*CH23))*(IF(ISBLANK(AH23),Defaults!$B$19,AH23))*$AF23*$AJ23*$F23)),0)</f>
        <v>0</v>
      </c>
      <c r="CL23" s="813">
        <f t="shared" si="35"/>
        <v>0</v>
      </c>
      <c r="CM23" s="813">
        <f t="shared" si="36"/>
        <v>0</v>
      </c>
      <c r="CN23" s="814" t="str">
        <f t="shared" si="37"/>
        <v/>
      </c>
      <c r="CO23" s="814" t="str">
        <f t="shared" si="38"/>
        <v/>
      </c>
      <c r="CP23" s="814" t="str">
        <f t="shared" si="39"/>
        <v/>
      </c>
      <c r="CQ23" s="814" t="str">
        <f t="shared" si="40"/>
        <v/>
      </c>
      <c r="CR23" s="815" t="str">
        <f>IF(AND(V23="Yes, Booster Pump VFD",AF23&lt;=75),('Pump Emission Factors'!$F$95*F23),(IF(AND(V23="Yes, Booster Pump VFD",AF23&gt;75),('Pump Emission Factors'!$F$96*F23),(IF(AND(V23="Yes, Well Pump VFD",AF23&lt;=75),('Pump Emission Factors'!$F$97*F23),(IF(AND(V23="Yes, Well Pump VFD",AF23&gt;75),('Pump Emission Factors'!$F$98*F23),"")))))))</f>
        <v/>
      </c>
      <c r="CS23" s="815" t="str">
        <f>IF(AND(V23="Yes, Booster Pump VFD",AF23&lt;=75),('Pump Emission Factors'!$G$95*F23),(IF(AND(V23="Yes, Booster Pump VFD",AF23&gt;75),('Pump Emission Factors'!$G$96*F23),(IF(AND(V23="Yes, Well Pump VFD",AF23&lt;=75),('Pump Emission Factors'!$G$97*F23),(IF(AND(V23="Yes, Well Pump VFD",AF23&gt;75),('Pump Emission Factors'!$G$98*F23),"")))))))</f>
        <v/>
      </c>
      <c r="CT23" s="815" t="str">
        <f>IF(AND(V23="Yes, Booster Pump VFD",AF23&lt;=75),('Pump Emission Factors'!$H$95*F23),(IF(AND(V23="Yes, Booster Pump VFD",AF23&gt;75),('Pump Emission Factors'!$H$96*F23),(IF(AND(V23="Yes, Well Pump VFD",AF23&lt;=75),('Pump Emission Factors'!$H$97*F23),(IF(AND(V23="Yes, Well Pump VFD",AF23&gt;75),('Pump Emission Factors'!$H$98*F23),"")))))))</f>
        <v/>
      </c>
      <c r="CU23" s="815" t="str">
        <f>IF(AND(V23="Yes, Booster Pump VFD",AF23&lt;=75),('Pump Emission Factors'!$J$95*F23),(IF(AND(V23="Yes, Booster Pump VFD",AF23&gt;75),('Pump Emission Factors'!$J$96*F23),(IF(AND(V23="Yes, Well Pump VFD",AF23&lt;=75),('Pump Emission Factors'!$J$97*F23),(IF(AND(V23="Yes, Well Pump VFD",AF23&gt;75),('Pump Emission Factors'!$J$98*F23),"")))))))</f>
        <v/>
      </c>
      <c r="CV23" s="815" t="str">
        <f>IF(AND(V23="Yes, Booster Pump VFD",AF23&lt;=75),('Pump Emission Factors'!$I$95*F23),(IF(AND(V23="Yes, Booster Pump VFD",AF23&gt;75),('Pump Emission Factors'!$I$96*F23),(IF(AND(V23="Yes, Well Pump VFD",AF23&lt;=75),('Pump Emission Factors'!$I$97*F23),(IF(AND(V23="Yes, Well Pump VFD",AF23&gt;75),('Pump Emission Factors'!$I$98*F23),"")))))))</f>
        <v/>
      </c>
      <c r="CW23" s="806">
        <f t="shared" si="41"/>
        <v>0</v>
      </c>
      <c r="CX23" s="806">
        <f t="shared" si="42"/>
        <v>0</v>
      </c>
      <c r="CY23" s="806">
        <f t="shared" si="43"/>
        <v>0</v>
      </c>
      <c r="CZ23" s="806">
        <f t="shared" si="44"/>
        <v>0</v>
      </c>
      <c r="DA23" s="806">
        <f t="shared" si="45"/>
        <v>0</v>
      </c>
      <c r="DB23" s="816" t="str">
        <f t="shared" si="65"/>
        <v/>
      </c>
      <c r="DC23" s="816" t="str">
        <f t="shared" si="46"/>
        <v/>
      </c>
      <c r="DD23" s="816" t="str">
        <f t="shared" si="46"/>
        <v/>
      </c>
      <c r="DE23" s="817" t="str">
        <f t="shared" si="47"/>
        <v/>
      </c>
      <c r="DF23" s="817" t="str">
        <f t="shared" si="48"/>
        <v/>
      </c>
      <c r="DG23" s="804" t="str">
        <f t="shared" si="49"/>
        <v/>
      </c>
      <c r="DH23" s="804" t="str">
        <f t="shared" si="50"/>
        <v/>
      </c>
      <c r="DI23" s="818" t="str">
        <f>IF(AO23="","",IF(H23="DESL",AO23*F23*'Fuel Prices'!$C$12,IF(H23="GAS",AO23*F23*'Fuel Prices'!$C$11,IF(H23="CNG",AO23*F23*'Fuel Prices'!$C$13,IF(H23="LNG",AO23*F23*'Fuel Prices'!$C$14,IF(H23="LPG",AO23*F23*'Fuel Prices'!$C$16,IF(H23="PROP",AO23*F23*'Fuel Prices'!$C$16,"0")))))))</f>
        <v/>
      </c>
      <c r="DJ23" s="818" t="str">
        <f>IF(AU23="","",IF(X23="DESL",AU23*F23*'Fuel Prices'!$C$12,IF(X23="GAS",AU23*F23*'Fuel Prices'!$C$11,IF(X23="CNG",AU23*F23*'Fuel Prices'!$C$13,IF(X23="LNG",AU23*F23*'Fuel Prices'!$C$14,IF(X23="LPG",AU23*F23*'Fuel Prices'!$C$16,IF(X23="PROP",AU23*F23*'Fuel Prices'!$C$16,IF(X23="ELEC",AU23*F23*'Fuel Prices'!$C$35,"0"))))))))</f>
        <v/>
      </c>
      <c r="DK23" s="818" t="str">
        <f t="shared" si="51"/>
        <v/>
      </c>
      <c r="DL23" s="818" t="str">
        <f t="shared" si="52"/>
        <v/>
      </c>
      <c r="DM23" s="804" t="str">
        <f t="shared" si="53"/>
        <v/>
      </c>
      <c r="DN23" s="804" t="str">
        <f t="shared" si="54"/>
        <v/>
      </c>
      <c r="DO23" s="804" t="str">
        <f>IFERROR(ROUND(CZ23*IF(COUNTIF($B$20:B23,B23)=1,1,"")/IF(B23="",0,1),0),"")</f>
        <v/>
      </c>
      <c r="DP23" s="804" t="str">
        <f>IFERROR(ROUND(CW23*IF(COUNTIF($B$20:B23,B23)=1,1,"")/IF(B23="",0,1),0),"")</f>
        <v/>
      </c>
      <c r="DQ23" s="804" t="str">
        <f>IFERROR(ROUND(DA23*IF(COUNTIF($B$20:B23,B23)=1,1,"")/IF(B23="",0,1),0),"")</f>
        <v/>
      </c>
      <c r="DR23" s="804" t="str">
        <f>IFERROR(ROUND(CX23*IF(COUNTIF($B$20:B23,B23)=1,1,"")/IF(B23="",0,1),0),"")</f>
        <v/>
      </c>
      <c r="DS23" s="804">
        <f t="shared" si="55"/>
        <v>0</v>
      </c>
      <c r="DT23" s="804">
        <f t="shared" si="56"/>
        <v>0</v>
      </c>
      <c r="DU23" s="804">
        <f t="shared" si="57"/>
        <v>0</v>
      </c>
      <c r="DV23" s="818" t="str">
        <f t="shared" si="66"/>
        <v/>
      </c>
      <c r="DW23" s="819" t="str">
        <f t="shared" si="67"/>
        <v/>
      </c>
    </row>
    <row r="24" spans="1:128" ht="18" customHeight="1" x14ac:dyDescent="0.35">
      <c r="A24" s="635"/>
      <c r="B24" s="820"/>
      <c r="C24" s="795" t="str">
        <f t="shared" si="0"/>
        <v>(Required)</v>
      </c>
      <c r="D24" s="821"/>
      <c r="E24" s="795" t="str">
        <f t="shared" si="0"/>
        <v>(Required)</v>
      </c>
      <c r="F24" s="821"/>
      <c r="G24" s="795" t="str">
        <f t="shared" si="1"/>
        <v>(Required)</v>
      </c>
      <c r="H24" s="822"/>
      <c r="I24" s="795" t="str">
        <f t="shared" si="2"/>
        <v>(Required)</v>
      </c>
      <c r="J24" s="821"/>
      <c r="K24" s="795" t="str">
        <f t="shared" si="3"/>
        <v>(Required)</v>
      </c>
      <c r="L24" s="821"/>
      <c r="M24" s="795" t="str">
        <f t="shared" si="4"/>
        <v>(Required)</v>
      </c>
      <c r="N24" s="821"/>
      <c r="O24" s="795" t="str">
        <f t="shared" si="5"/>
        <v>(Required)</v>
      </c>
      <c r="P24" s="821"/>
      <c r="Q24" s="795" t="str">
        <f t="shared" si="6"/>
        <v>(Required)</v>
      </c>
      <c r="R24" s="823"/>
      <c r="S24" s="799" t="str">
        <f t="shared" si="7"/>
        <v>(Optional)</v>
      </c>
      <c r="T24" s="821"/>
      <c r="U24" s="795" t="str">
        <f t="shared" si="8"/>
        <v>(Required)</v>
      </c>
      <c r="V24" s="824"/>
      <c r="W24" s="799" t="str">
        <f t="shared" si="9"/>
        <v>(Optional)</v>
      </c>
      <c r="X24" s="822"/>
      <c r="Y24" s="795" t="str">
        <f t="shared" si="10"/>
        <v>(Required)</v>
      </c>
      <c r="Z24" s="821"/>
      <c r="AA24" s="795" t="str">
        <f t="shared" si="11"/>
        <v>(Required)</v>
      </c>
      <c r="AB24" s="821"/>
      <c r="AC24" s="795" t="str">
        <f t="shared" si="12"/>
        <v>(Required)</v>
      </c>
      <c r="AD24" s="821"/>
      <c r="AE24" s="795" t="str">
        <f t="shared" si="13"/>
        <v>(Required)</v>
      </c>
      <c r="AF24" s="821"/>
      <c r="AG24" s="795" t="str">
        <f t="shared" si="14"/>
        <v>(Required)</v>
      </c>
      <c r="AH24" s="823"/>
      <c r="AI24" s="799" t="str">
        <f t="shared" si="15"/>
        <v>(Optional)</v>
      </c>
      <c r="AJ24" s="821"/>
      <c r="AK24" s="795" t="str">
        <f t="shared" si="16"/>
        <v>(Required)</v>
      </c>
      <c r="AL24" s="803" t="str">
        <f t="shared" si="17"/>
        <v/>
      </c>
      <c r="AM24" s="803" t="str">
        <f>IF(H24="DESL",'Fuel Density'!$C$12,IF(H24="GAS",'Fuel Density'!$C$11,IF(H24="CNG",'Fuel Density'!$C$13,IF(H24="LNG",'Fuel Density'!$C$14,IF(H24="LPG",'Fuel Density'!$C$15,IF(H24="PROP",'Fuel Density'!$C$16,IF(H24="","","")))))))</f>
        <v/>
      </c>
      <c r="AN24" s="803" t="str">
        <f>IF(H24="DESL",'Fuel-Specific GHG'!$C$14,IF(H24="GAS",'Fuel-Specific GHG'!$C$16,IF(H24="CNG",'Fuel-Specific GHG'!$C$13,IF(H24="LNG",'Fuel-Specific GHG'!$C$18,IF(OR(H24="LPG",H24="PROP"),'Fuel-Specific GHG'!$C$19,IF(H24="","",""))))))</f>
        <v/>
      </c>
      <c r="AO24" s="804" t="str">
        <f>IFERROR(((P24*(IF(ISBLANK(R24),Defaults!$B$19,R24))*T24*AL24)/AM24),"")</f>
        <v/>
      </c>
      <c r="AP24" s="805" t="str">
        <f t="shared" si="18"/>
        <v/>
      </c>
      <c r="AQ24" s="805" t="str">
        <f>IF(H24="DESL",'Fuel-Specific GHG'!$E$14,IF(H24="GAS",'Fuel-Specific GHG'!$E$16,IF(H24="CNG",'Fuel-Specific GHG'!$E$13,IF(H24="LNG",'Fuel-Specific GHG'!$E$18,IF(OR(H24="LPG",H24="PROP"),'Fuel-Specific GHG'!$E$19,"")))))</f>
        <v/>
      </c>
      <c r="AR24" s="805" t="str">
        <f t="shared" si="19"/>
        <v/>
      </c>
      <c r="AS24" s="803" t="str">
        <f t="shared" si="58"/>
        <v/>
      </c>
      <c r="AT24" s="803" t="str">
        <f>IF(X24="DESL",'Fuel Density'!$C$12,IF(X24="PROP",'Fuel Density'!$C$16,IF(X24="GAS",'Fuel Density'!$C$11,IF(X24="CNG",'Fuel Density'!$C$13,IF(X24="LNG",'Fuel Density'!$C$14,IF(X24="LPG",'Fuel Density'!$C$15,IF(X24="","","")))))))</f>
        <v/>
      </c>
      <c r="AU24" s="804" t="str">
        <f>IFERROR(IF(X24="ELEC",AO24*AN24*(1/'Fuel-Specific GHG'!$C$15)*(1/IF(H24="GAS",3.4,IF(H24="DESL",2.7,3))),((AF24*(IF(ISBLANK(AH24),Defaults!$B$19,AH24))*AJ24*AS24)/AT24)),"")</f>
        <v/>
      </c>
      <c r="AV24" s="805" t="str">
        <f t="shared" si="20"/>
        <v/>
      </c>
      <c r="AW24" s="805" t="str">
        <f>IF(X24="DESL",'Fuel-Specific GHG'!$E$14,IF(X24="PROP",'Fuel-Specific GHG'!$E$19,IF(X24="GAS",'Fuel-Specific GHG'!$E$16,IF(X24="CNG",'Fuel-Specific GHG'!$E$13,IF(X24="LNG",'Fuel-Specific GHG'!$E$18,IF(X24="LPG",'Fuel-Specific GHG'!$E$19,IF(X24="ELEC",'Fuel-Specific GHG'!$E$15,"")))))))</f>
        <v/>
      </c>
      <c r="AX24" s="805" t="str">
        <f t="shared" si="21"/>
        <v/>
      </c>
      <c r="AY24" s="806" t="str">
        <f t="shared" si="22"/>
        <v/>
      </c>
      <c r="AZ24" s="806" t="str">
        <f t="shared" si="68"/>
        <v/>
      </c>
      <c r="BA24" s="806" t="str">
        <f t="shared" si="59"/>
        <v/>
      </c>
      <c r="BB24" s="804" t="str">
        <f t="shared" si="23"/>
        <v/>
      </c>
      <c r="BC24" s="807" t="str">
        <f t="shared" si="24"/>
        <v/>
      </c>
      <c r="BD24" s="807"/>
      <c r="BE24" s="808" t="str">
        <f t="shared" si="25"/>
        <v/>
      </c>
      <c r="BF24" s="809" t="str">
        <f t="shared" si="26"/>
        <v/>
      </c>
      <c r="BG24" s="808" t="str">
        <f t="shared" si="60"/>
        <v/>
      </c>
      <c r="BH24" s="810">
        <f t="shared" si="61"/>
        <v>0</v>
      </c>
      <c r="BI24" s="803" t="str">
        <f>IFERROR(VLOOKUP(BH24,'Pump Emission Factors'!$B$11:$J$88,4,FALSE),"")</f>
        <v/>
      </c>
      <c r="BJ24" s="803" t="str">
        <f>IFERROR(VLOOKUP(BH24,'Pump Emission Factors'!$B$11:$J$88,6,FALSE),"")</f>
        <v/>
      </c>
      <c r="BK24" s="803" t="str">
        <f>IFERROR(VLOOKUP(BH24,'Pump Emission Factors'!$B$11:$J$88,8,FALSE),"")</f>
        <v/>
      </c>
      <c r="BL24" s="803" t="str">
        <f>IFERROR(VLOOKUP(BH24,'Pump Emission Factors'!$B$11:$J$88,5,FALSE),"")</f>
        <v/>
      </c>
      <c r="BM24" s="803" t="str">
        <f>IFERROR(VLOOKUP(BH24,'Pump Emission Factors'!$B$11:$J$88,7,FALSE),"")</f>
        <v/>
      </c>
      <c r="BN24" s="803" t="str">
        <f>IFERROR(VLOOKUP(BH24,'Pump Emission Factors'!$B$11:$J$88,9,FALSE),"")</f>
        <v/>
      </c>
      <c r="BO24" s="811" t="str">
        <f t="shared" si="27"/>
        <v/>
      </c>
      <c r="BP24" s="811" t="str">
        <f t="shared" si="28"/>
        <v/>
      </c>
      <c r="BQ24" s="803">
        <f>IFERROR(((BI24+(BL24*BP24))*(IF(ISBLANK(R24),Defaults!$B$19,R24))*P24*T24)*F24*(1/454),0)</f>
        <v>0</v>
      </c>
      <c r="BR24" s="803">
        <f>IFERROR(((BJ24+(BM24*BP24))*(IF(ISBLANK(R24),Defaults!$B$19,R24))*P24*T24)*F24*(1/454),0)</f>
        <v>0</v>
      </c>
      <c r="BS24" s="803">
        <f>IFERROR(((BK24+(BN24*BP24))*(IF(ISBLANK(R24),Defaults!$B$19,R24))*P24*T24)*F24*(1/454),0)</f>
        <v>0</v>
      </c>
      <c r="BT24" s="803">
        <f t="shared" si="29"/>
        <v>0</v>
      </c>
      <c r="BU24" s="803">
        <f t="shared" si="62"/>
        <v>0</v>
      </c>
      <c r="BV24" s="812" t="str">
        <f t="shared" si="30"/>
        <v/>
      </c>
      <c r="BW24" s="808" t="str">
        <f t="shared" si="31"/>
        <v/>
      </c>
      <c r="BX24" s="809" t="str">
        <f t="shared" si="32"/>
        <v/>
      </c>
      <c r="BY24" s="808" t="str">
        <f t="shared" si="63"/>
        <v/>
      </c>
      <c r="BZ24" s="810">
        <f t="shared" si="64"/>
        <v>0</v>
      </c>
      <c r="CA24" s="813" t="str">
        <f>IFERROR(VLOOKUP(BZ24,'Pump Emission Factors'!$B$11:$J$88,4,FALSE),"")</f>
        <v/>
      </c>
      <c r="CB24" s="813" t="str">
        <f>IFERROR(VLOOKUP(BZ24,'Pump Emission Factors'!$B$11:$J$88,6,FALSE),"")</f>
        <v/>
      </c>
      <c r="CC24" s="813" t="str">
        <f>IFERROR(VLOOKUP(BZ24,'Pump Emission Factors'!$B$11:$J$88,8,FALSE),"")</f>
        <v/>
      </c>
      <c r="CD24" s="813" t="str">
        <f>IFERROR(VLOOKUP(BZ24,'Pump Emission Factors'!$B$11:$J$88,5,FALSE),"")</f>
        <v/>
      </c>
      <c r="CE24" s="813" t="str">
        <f>IFERROR(VLOOKUP(BZ24,'Pump Emission Factors'!$B$11:$J$88,7,FALSE),"")</f>
        <v/>
      </c>
      <c r="CF24" s="813" t="str">
        <f>IFERROR(VLOOKUP(BZ24,'Pump Emission Factors'!$B$11:$J$88,9,FALSE),"")</f>
        <v/>
      </c>
      <c r="CG24" s="814" t="str">
        <f t="shared" si="33"/>
        <v/>
      </c>
      <c r="CH24" s="814" t="str">
        <f t="shared" si="34"/>
        <v/>
      </c>
      <c r="CI24" s="813">
        <f>IFERROR(IF($X24="ELEC",((($AU24*(IF($H24="DESL",'Fuel-Specific GHG'!$C$14,IF($H24="GAS",'Fuel-Specific GHG'!$C$16,IF($H24="CNG",'Fuel-Specific GHG'!$C$13,IF(OR($H24="LPG",$H24="PROP"),'Fuel-Specific GHG'!$C$19,"")))))*(1/'Fuel-Specific GHG'!$C$15)*(1/3.4)*$F24)*'Grid Electricity'!$D$39)/454),((CA24+(CD24*CH24))*(IF(ISBLANK(AH24),Defaults!$B$19,AH24))*$AF24*$AJ24*$F24)),0)</f>
        <v>0</v>
      </c>
      <c r="CJ24" s="813">
        <f>IFERROR(IF($X24="ELEC",((($AU24*(IF($H24="DESL",'Fuel-Specific GHG'!$C$14,IF($H24="GAS",'Fuel-Specific GHG'!$C$16,IF($H24="CNG",'Fuel-Specific GHG'!$C$13,IF(OR($H24="LPG",$H24="PROP"),'Fuel-Specific GHG'!$C$19,"")))))*(1/'Fuel-Specific GHG'!$C$15)*(1/3.4)*$F24)*'Grid Electricity'!$C$39)/454),((CB24+(CE24*CH24))*(IF(ISBLANK(AH24),Defaults!$B$19,AH24))*$AF24*$AJ24*$F24)),0)</f>
        <v>0</v>
      </c>
      <c r="CK24" s="813">
        <f>IFERROR(IF($X24="ELEC",((($AU24*(IF($H24="DESL",'Fuel-Specific GHG'!$C$14,IF($H24="GAS",'Fuel-Specific GHG'!$C$16,IF($H24="CNG",'Fuel-Specific GHG'!$C$13,IF(OR($H24="LPG",$H24="PROP"),'Fuel-Specific GHG'!$C$19,"")))))*(1/'Fuel-Specific GHG'!$C$15)*(1/3.4)*$F24)*'Grid Electricity'!$F$39)/454),((CC24+(CF24*CH24))*(IF(ISBLANK(AH24),Defaults!$B$19,AH24))*$AF24*$AJ24*$F24)),0)</f>
        <v>0</v>
      </c>
      <c r="CL24" s="813">
        <f t="shared" si="35"/>
        <v>0</v>
      </c>
      <c r="CM24" s="813">
        <f t="shared" si="36"/>
        <v>0</v>
      </c>
      <c r="CN24" s="814" t="str">
        <f t="shared" si="37"/>
        <v/>
      </c>
      <c r="CO24" s="814" t="str">
        <f t="shared" si="38"/>
        <v/>
      </c>
      <c r="CP24" s="814" t="str">
        <f t="shared" si="39"/>
        <v/>
      </c>
      <c r="CQ24" s="814" t="str">
        <f t="shared" si="40"/>
        <v/>
      </c>
      <c r="CR24" s="815" t="str">
        <f>IF(AND(V24="Yes, Booster Pump VFD",AF24&lt;=75),('Pump Emission Factors'!$F$95*F24),(IF(AND(V24="Yes, Booster Pump VFD",AF24&gt;75),('Pump Emission Factors'!$F$96*F24),(IF(AND(V24="Yes, Well Pump VFD",AF24&lt;=75),('Pump Emission Factors'!$F$97*F24),(IF(AND(V24="Yes, Well Pump VFD",AF24&gt;75),('Pump Emission Factors'!$F$98*F24),"")))))))</f>
        <v/>
      </c>
      <c r="CS24" s="815" t="str">
        <f>IF(AND(V24="Yes, Booster Pump VFD",AF24&lt;=75),('Pump Emission Factors'!$G$95*F24),(IF(AND(V24="Yes, Booster Pump VFD",AF24&gt;75),('Pump Emission Factors'!$G$96*F24),(IF(AND(V24="Yes, Well Pump VFD",AF24&lt;=75),('Pump Emission Factors'!$G$97*F24),(IF(AND(V24="Yes, Well Pump VFD",AF24&gt;75),('Pump Emission Factors'!$G$98*F24),"")))))))</f>
        <v/>
      </c>
      <c r="CT24" s="815" t="str">
        <f>IF(AND(V24="Yes, Booster Pump VFD",AF24&lt;=75),('Pump Emission Factors'!$H$95*F24),(IF(AND(V24="Yes, Booster Pump VFD",AF24&gt;75),('Pump Emission Factors'!$H$96*F24),(IF(AND(V24="Yes, Well Pump VFD",AF24&lt;=75),('Pump Emission Factors'!$H$97*F24),(IF(AND(V24="Yes, Well Pump VFD",AF24&gt;75),('Pump Emission Factors'!$H$98*F24),"")))))))</f>
        <v/>
      </c>
      <c r="CU24" s="815" t="str">
        <f>IF(AND(V24="Yes, Booster Pump VFD",AF24&lt;=75),('Pump Emission Factors'!$J$95*F24),(IF(AND(V24="Yes, Booster Pump VFD",AF24&gt;75),('Pump Emission Factors'!$J$96*F24),(IF(AND(V24="Yes, Well Pump VFD",AF24&lt;=75),('Pump Emission Factors'!$J$97*F24),(IF(AND(V24="Yes, Well Pump VFD",AF24&gt;75),('Pump Emission Factors'!$J$98*F24),"")))))))</f>
        <v/>
      </c>
      <c r="CV24" s="815" t="str">
        <f>IF(AND(V24="Yes, Booster Pump VFD",AF24&lt;=75),('Pump Emission Factors'!$I$95*F24),(IF(AND(V24="Yes, Booster Pump VFD",AF24&gt;75),('Pump Emission Factors'!$I$96*F24),(IF(AND(V24="Yes, Well Pump VFD",AF24&lt;=75),('Pump Emission Factors'!$I$97*F24),(IF(AND(V24="Yes, Well Pump VFD",AF24&gt;75),('Pump Emission Factors'!$I$98*F24),"")))))))</f>
        <v/>
      </c>
      <c r="CW24" s="806">
        <f t="shared" si="41"/>
        <v>0</v>
      </c>
      <c r="CX24" s="806">
        <f t="shared" si="42"/>
        <v>0</v>
      </c>
      <c r="CY24" s="806">
        <f t="shared" si="43"/>
        <v>0</v>
      </c>
      <c r="CZ24" s="806">
        <f t="shared" si="44"/>
        <v>0</v>
      </c>
      <c r="DA24" s="806">
        <f t="shared" si="45"/>
        <v>0</v>
      </c>
      <c r="DB24" s="816" t="str">
        <f t="shared" si="65"/>
        <v/>
      </c>
      <c r="DC24" s="816" t="str">
        <f t="shared" si="46"/>
        <v/>
      </c>
      <c r="DD24" s="816" t="str">
        <f t="shared" si="46"/>
        <v/>
      </c>
      <c r="DE24" s="817" t="str">
        <f t="shared" si="47"/>
        <v/>
      </c>
      <c r="DF24" s="817" t="str">
        <f t="shared" si="48"/>
        <v/>
      </c>
      <c r="DG24" s="804" t="str">
        <f t="shared" si="49"/>
        <v/>
      </c>
      <c r="DH24" s="804" t="str">
        <f t="shared" si="50"/>
        <v/>
      </c>
      <c r="DI24" s="818" t="str">
        <f>IF(AO24="","",IF(H24="DESL",AO24*F24*'Fuel Prices'!$C$12,IF(H24="GAS",AO24*F24*'Fuel Prices'!$C$11,IF(H24="CNG",AO24*F24*'Fuel Prices'!$C$13,IF(H24="LNG",AO24*F24*'Fuel Prices'!$C$14,IF(H24="LPG",AO24*F24*'Fuel Prices'!$C$16,IF(H24="PROP",AO24*F24*'Fuel Prices'!$C$16,"0")))))))</f>
        <v/>
      </c>
      <c r="DJ24" s="818" t="str">
        <f>IF(AU24="","",IF(X24="DESL",AU24*F24*'Fuel Prices'!$C$12,IF(X24="GAS",AU24*F24*'Fuel Prices'!$C$11,IF(X24="CNG",AU24*F24*'Fuel Prices'!$C$13,IF(X24="LNG",AU24*F24*'Fuel Prices'!$C$14,IF(X24="LPG",AU24*F24*'Fuel Prices'!$C$16,IF(X24="PROP",AU24*F24*'Fuel Prices'!$C$16,IF(X24="ELEC",AU24*F24*'Fuel Prices'!$C$35,"0"))))))))</f>
        <v/>
      </c>
      <c r="DK24" s="818" t="str">
        <f t="shared" si="51"/>
        <v/>
      </c>
      <c r="DL24" s="818" t="str">
        <f t="shared" si="52"/>
        <v/>
      </c>
      <c r="DM24" s="804" t="str">
        <f t="shared" si="53"/>
        <v/>
      </c>
      <c r="DN24" s="804" t="str">
        <f t="shared" si="54"/>
        <v/>
      </c>
      <c r="DO24" s="804" t="str">
        <f>IFERROR(ROUND(CZ24*IF(COUNTIF($B$20:B24,B24)=1,1,"")/IF(B24="",0,1),0),"")</f>
        <v/>
      </c>
      <c r="DP24" s="804" t="str">
        <f>IFERROR(ROUND(CW24*IF(COUNTIF($B$20:B24,B24)=1,1,"")/IF(B24="",0,1),0),"")</f>
        <v/>
      </c>
      <c r="DQ24" s="804" t="str">
        <f>IFERROR(ROUND(DA24*IF(COUNTIF($B$20:B24,B24)=1,1,"")/IF(B24="",0,1),0),"")</f>
        <v/>
      </c>
      <c r="DR24" s="804" t="str">
        <f>IFERROR(ROUND(CX24*IF(COUNTIF($B$20:B24,B24)=1,1,"")/IF(B24="",0,1),0),"")</f>
        <v/>
      </c>
      <c r="DS24" s="804">
        <f t="shared" si="55"/>
        <v>0</v>
      </c>
      <c r="DT24" s="804">
        <f t="shared" si="56"/>
        <v>0</v>
      </c>
      <c r="DU24" s="804">
        <f t="shared" si="57"/>
        <v>0</v>
      </c>
      <c r="DV24" s="818" t="str">
        <f t="shared" si="66"/>
        <v/>
      </c>
      <c r="DW24" s="819" t="str">
        <f t="shared" si="67"/>
        <v/>
      </c>
    </row>
    <row r="25" spans="1:128" ht="18" customHeight="1" x14ac:dyDescent="0.35">
      <c r="A25" s="696"/>
      <c r="B25" s="820"/>
      <c r="C25" s="795" t="str">
        <f t="shared" si="0"/>
        <v>(Required)</v>
      </c>
      <c r="D25" s="821"/>
      <c r="E25" s="795" t="str">
        <f t="shared" si="0"/>
        <v>(Required)</v>
      </c>
      <c r="F25" s="821"/>
      <c r="G25" s="795" t="str">
        <f t="shared" si="1"/>
        <v>(Required)</v>
      </c>
      <c r="H25" s="822"/>
      <c r="I25" s="795" t="str">
        <f t="shared" si="2"/>
        <v>(Required)</v>
      </c>
      <c r="J25" s="821"/>
      <c r="K25" s="795" t="str">
        <f t="shared" si="3"/>
        <v>(Required)</v>
      </c>
      <c r="L25" s="821"/>
      <c r="M25" s="795" t="str">
        <f t="shared" si="4"/>
        <v>(Required)</v>
      </c>
      <c r="N25" s="821"/>
      <c r="O25" s="795" t="str">
        <f t="shared" si="5"/>
        <v>(Required)</v>
      </c>
      <c r="P25" s="821"/>
      <c r="Q25" s="795" t="str">
        <f t="shared" si="6"/>
        <v>(Required)</v>
      </c>
      <c r="R25" s="823"/>
      <c r="S25" s="799" t="str">
        <f t="shared" si="7"/>
        <v>(Optional)</v>
      </c>
      <c r="T25" s="821"/>
      <c r="U25" s="795" t="str">
        <f t="shared" si="8"/>
        <v>(Required)</v>
      </c>
      <c r="V25" s="824"/>
      <c r="W25" s="799" t="str">
        <f t="shared" si="9"/>
        <v>(Optional)</v>
      </c>
      <c r="X25" s="822"/>
      <c r="Y25" s="795" t="str">
        <f t="shared" si="10"/>
        <v>(Required)</v>
      </c>
      <c r="Z25" s="821"/>
      <c r="AA25" s="795" t="str">
        <f t="shared" si="11"/>
        <v>(Required)</v>
      </c>
      <c r="AB25" s="821"/>
      <c r="AC25" s="795" t="str">
        <f t="shared" si="12"/>
        <v>(Required)</v>
      </c>
      <c r="AD25" s="821"/>
      <c r="AE25" s="795" t="str">
        <f t="shared" si="13"/>
        <v>(Required)</v>
      </c>
      <c r="AF25" s="821"/>
      <c r="AG25" s="795" t="str">
        <f t="shared" si="14"/>
        <v>(Required)</v>
      </c>
      <c r="AH25" s="823"/>
      <c r="AI25" s="799" t="str">
        <f t="shared" si="15"/>
        <v>(Optional)</v>
      </c>
      <c r="AJ25" s="821"/>
      <c r="AK25" s="795" t="str">
        <f t="shared" si="16"/>
        <v>(Required)</v>
      </c>
      <c r="AL25" s="803" t="str">
        <f t="shared" si="17"/>
        <v/>
      </c>
      <c r="AM25" s="803" t="str">
        <f>IF(H25="DESL",'Fuel Density'!$C$12,IF(H25="GAS",'Fuel Density'!$C$11,IF(H25="CNG",'Fuel Density'!$C$13,IF(H25="LNG",'Fuel Density'!$C$14,IF(H25="LPG",'Fuel Density'!$C$15,IF(H25="PROP",'Fuel Density'!$C$16,IF(H25="","","")))))))</f>
        <v/>
      </c>
      <c r="AN25" s="803" t="str">
        <f>IF(H25="DESL",'Fuel-Specific GHG'!$C$14,IF(H25="GAS",'Fuel-Specific GHG'!$C$16,IF(H25="CNG",'Fuel-Specific GHG'!$C$13,IF(H25="LNG",'Fuel-Specific GHG'!$C$18,IF(OR(H25="LPG",H25="PROP"),'Fuel-Specific GHG'!$C$19,IF(H25="","",""))))))</f>
        <v/>
      </c>
      <c r="AO25" s="804" t="str">
        <f>IFERROR(((P25*(IF(ISBLANK(R25),Defaults!$B$19,R25))*T25*AL25)/AM25),"")</f>
        <v/>
      </c>
      <c r="AP25" s="805" t="str">
        <f t="shared" si="18"/>
        <v/>
      </c>
      <c r="AQ25" s="805" t="str">
        <f>IF(H25="DESL",'Fuel-Specific GHG'!$E$14,IF(H25="GAS",'Fuel-Specific GHG'!$E$16,IF(H25="CNG",'Fuel-Specific GHG'!$E$13,IF(H25="LNG",'Fuel-Specific GHG'!$E$18,IF(OR(H25="LPG",H25="PROP"),'Fuel-Specific GHG'!$E$19,"")))))</f>
        <v/>
      </c>
      <c r="AR25" s="805" t="str">
        <f t="shared" si="19"/>
        <v/>
      </c>
      <c r="AS25" s="803" t="str">
        <f t="shared" si="58"/>
        <v/>
      </c>
      <c r="AT25" s="803" t="str">
        <f>IF(X25="DESL",'Fuel Density'!$C$12,IF(X25="PROP",'Fuel Density'!$C$16,IF(X25="GAS",'Fuel Density'!$C$11,IF(X25="CNG",'Fuel Density'!$C$13,IF(X25="LNG",'Fuel Density'!$C$14,IF(X25="LPG",'Fuel Density'!$C$15,IF(X25="","","")))))))</f>
        <v/>
      </c>
      <c r="AU25" s="804" t="str">
        <f>IFERROR(IF(X25="ELEC",AO25*AN25*(1/'Fuel-Specific GHG'!$C$15)*(1/IF(H25="GAS",3.4,IF(H25="DESL",2.7,3))),((AF25*(IF(ISBLANK(AH25),Defaults!$B$19,AH25))*AJ25*AS25)/AT25)),"")</f>
        <v/>
      </c>
      <c r="AV25" s="805" t="str">
        <f t="shared" si="20"/>
        <v/>
      </c>
      <c r="AW25" s="805" t="str">
        <f>IF(X25="DESL",'Fuel-Specific GHG'!$E$14,IF(X25="PROP",'Fuel-Specific GHG'!$E$19,IF(X25="GAS",'Fuel-Specific GHG'!$E$16,IF(X25="CNG",'Fuel-Specific GHG'!$E$13,IF(X25="LNG",'Fuel-Specific GHG'!$E$18,IF(X25="LPG",'Fuel-Specific GHG'!$E$19,IF(X25="ELEC",'Fuel-Specific GHG'!$E$15,"")))))))</f>
        <v/>
      </c>
      <c r="AX25" s="805" t="str">
        <f t="shared" si="21"/>
        <v/>
      </c>
      <c r="AY25" s="806" t="str">
        <f t="shared" si="22"/>
        <v/>
      </c>
      <c r="AZ25" s="806" t="str">
        <f t="shared" si="68"/>
        <v/>
      </c>
      <c r="BA25" s="806" t="str">
        <f t="shared" si="59"/>
        <v/>
      </c>
      <c r="BB25" s="804" t="str">
        <f t="shared" si="23"/>
        <v/>
      </c>
      <c r="BC25" s="807" t="str">
        <f t="shared" si="24"/>
        <v/>
      </c>
      <c r="BD25" s="807"/>
      <c r="BE25" s="808" t="str">
        <f t="shared" si="25"/>
        <v/>
      </c>
      <c r="BF25" s="809" t="str">
        <f t="shared" si="26"/>
        <v/>
      </c>
      <c r="BG25" s="808" t="str">
        <f t="shared" si="60"/>
        <v/>
      </c>
      <c r="BH25" s="810">
        <f t="shared" si="61"/>
        <v>0</v>
      </c>
      <c r="BI25" s="803" t="str">
        <f>IFERROR(VLOOKUP(BH25,'Pump Emission Factors'!$B$11:$J$88,4,FALSE),"")</f>
        <v/>
      </c>
      <c r="BJ25" s="803" t="str">
        <f>IFERROR(VLOOKUP(BH25,'Pump Emission Factors'!$B$11:$J$88,6,FALSE),"")</f>
        <v/>
      </c>
      <c r="BK25" s="803" t="str">
        <f>IFERROR(VLOOKUP(BH25,'Pump Emission Factors'!$B$11:$J$88,8,FALSE),"")</f>
        <v/>
      </c>
      <c r="BL25" s="803" t="str">
        <f>IFERROR(VLOOKUP(BH25,'Pump Emission Factors'!$B$11:$J$88,5,FALSE),"")</f>
        <v/>
      </c>
      <c r="BM25" s="803" t="str">
        <f>IFERROR(VLOOKUP(BH25,'Pump Emission Factors'!$B$11:$J$88,7,FALSE),"")</f>
        <v/>
      </c>
      <c r="BN25" s="803" t="str">
        <f>IFERROR(VLOOKUP(BH25,'Pump Emission Factors'!$B$11:$J$88,9,FALSE),"")</f>
        <v/>
      </c>
      <c r="BO25" s="811" t="str">
        <f t="shared" si="27"/>
        <v/>
      </c>
      <c r="BP25" s="811" t="str">
        <f t="shared" si="28"/>
        <v/>
      </c>
      <c r="BQ25" s="803">
        <f>IFERROR(((BI25+(BL25*BP25))*(IF(ISBLANK(R25),Defaults!$B$19,R25))*P25*T25)*F25*(1/454),0)</f>
        <v>0</v>
      </c>
      <c r="BR25" s="803">
        <f>IFERROR(((BJ25+(BM25*BP25))*(IF(ISBLANK(R25),Defaults!$B$19,R25))*P25*T25)*F25*(1/454),0)</f>
        <v>0</v>
      </c>
      <c r="BS25" s="803">
        <f>IFERROR(((BK25+(BN25*BP25))*(IF(ISBLANK(R25),Defaults!$B$19,R25))*P25*T25)*F25*(1/454),0)</f>
        <v>0</v>
      </c>
      <c r="BT25" s="803">
        <f t="shared" si="29"/>
        <v>0</v>
      </c>
      <c r="BU25" s="803">
        <f t="shared" si="62"/>
        <v>0</v>
      </c>
      <c r="BV25" s="812" t="str">
        <f t="shared" si="30"/>
        <v/>
      </c>
      <c r="BW25" s="808" t="str">
        <f t="shared" si="31"/>
        <v/>
      </c>
      <c r="BX25" s="809" t="str">
        <f t="shared" si="32"/>
        <v/>
      </c>
      <c r="BY25" s="808" t="str">
        <f t="shared" si="63"/>
        <v/>
      </c>
      <c r="BZ25" s="810">
        <f t="shared" si="64"/>
        <v>0</v>
      </c>
      <c r="CA25" s="813" t="str">
        <f>IFERROR(VLOOKUP(BZ25,'Pump Emission Factors'!$B$11:$J$88,4,FALSE),"")</f>
        <v/>
      </c>
      <c r="CB25" s="813" t="str">
        <f>IFERROR(VLOOKUP(BZ25,'Pump Emission Factors'!$B$11:$J$88,6,FALSE),"")</f>
        <v/>
      </c>
      <c r="CC25" s="813" t="str">
        <f>IFERROR(VLOOKUP(BZ25,'Pump Emission Factors'!$B$11:$J$88,8,FALSE),"")</f>
        <v/>
      </c>
      <c r="CD25" s="813" t="str">
        <f>IFERROR(VLOOKUP(BZ25,'Pump Emission Factors'!$B$11:$J$88,5,FALSE),"")</f>
        <v/>
      </c>
      <c r="CE25" s="813" t="str">
        <f>IFERROR(VLOOKUP(BZ25,'Pump Emission Factors'!$B$11:$J$88,7,FALSE),"")</f>
        <v/>
      </c>
      <c r="CF25" s="813" t="str">
        <f>IFERROR(VLOOKUP(BZ25,'Pump Emission Factors'!$B$11:$J$88,9,FALSE),"")</f>
        <v/>
      </c>
      <c r="CG25" s="814" t="str">
        <f t="shared" si="33"/>
        <v/>
      </c>
      <c r="CH25" s="814" t="str">
        <f t="shared" si="34"/>
        <v/>
      </c>
      <c r="CI25" s="813">
        <f>IFERROR(IF($X25="ELEC",((($AU25*(IF($H25="DESL",'Fuel-Specific GHG'!$C$14,IF($H25="GAS",'Fuel-Specific GHG'!$C$16,IF($H25="CNG",'Fuel-Specific GHG'!$C$13,IF(OR($H25="LPG",$H25="PROP"),'Fuel-Specific GHG'!$C$19,"")))))*(1/'Fuel-Specific GHG'!$C$15)*(1/3.4)*$F25)*'Grid Electricity'!$D$39)/454),((CA25+(CD25*CH25))*(IF(ISBLANK(AH25),Defaults!$B$19,AH25))*$AF25*$AJ25*$F25)),0)</f>
        <v>0</v>
      </c>
      <c r="CJ25" s="813">
        <f>IFERROR(IF($X25="ELEC",((($AU25*(IF($H25="DESL",'Fuel-Specific GHG'!$C$14,IF($H25="GAS",'Fuel-Specific GHG'!$C$16,IF($H25="CNG",'Fuel-Specific GHG'!$C$13,IF(OR($H25="LPG",$H25="PROP"),'Fuel-Specific GHG'!$C$19,"")))))*(1/'Fuel-Specific GHG'!$C$15)*(1/3.4)*$F25)*'Grid Electricity'!$C$39)/454),((CB25+(CE25*CH25))*(IF(ISBLANK(AH25),Defaults!$B$19,AH25))*$AF25*$AJ25*$F25)),0)</f>
        <v>0</v>
      </c>
      <c r="CK25" s="813">
        <f>IFERROR(IF($X25="ELEC",((($AU25*(IF($H25="DESL",'Fuel-Specific GHG'!$C$14,IF($H25="GAS",'Fuel-Specific GHG'!$C$16,IF($H25="CNG",'Fuel-Specific GHG'!$C$13,IF(OR($H25="LPG",$H25="PROP"),'Fuel-Specific GHG'!$C$19,"")))))*(1/'Fuel-Specific GHG'!$C$15)*(1/3.4)*$F25)*'Grid Electricity'!$F$39)/454),((CC25+(CF25*CH25))*(IF(ISBLANK(AH25),Defaults!$B$19,AH25))*$AF25*$AJ25*$F25)),0)</f>
        <v>0</v>
      </c>
      <c r="CL25" s="813">
        <f t="shared" si="35"/>
        <v>0</v>
      </c>
      <c r="CM25" s="813">
        <f t="shared" si="36"/>
        <v>0</v>
      </c>
      <c r="CN25" s="814" t="str">
        <f t="shared" si="37"/>
        <v/>
      </c>
      <c r="CO25" s="814" t="str">
        <f t="shared" si="38"/>
        <v/>
      </c>
      <c r="CP25" s="814" t="str">
        <f t="shared" si="39"/>
        <v/>
      </c>
      <c r="CQ25" s="814" t="str">
        <f t="shared" si="40"/>
        <v/>
      </c>
      <c r="CR25" s="815" t="str">
        <f>IF(AND(V25="Yes, Booster Pump VFD",AF25&lt;=75),('Pump Emission Factors'!$F$95*F25),(IF(AND(V25="Yes, Booster Pump VFD",AF25&gt;75),('Pump Emission Factors'!$F$96*F25),(IF(AND(V25="Yes, Well Pump VFD",AF25&lt;=75),('Pump Emission Factors'!$F$97*F25),(IF(AND(V25="Yes, Well Pump VFD",AF25&gt;75),('Pump Emission Factors'!$F$98*F25),"")))))))</f>
        <v/>
      </c>
      <c r="CS25" s="815" t="str">
        <f>IF(AND(V25="Yes, Booster Pump VFD",AF25&lt;=75),('Pump Emission Factors'!$G$95*F25),(IF(AND(V25="Yes, Booster Pump VFD",AF25&gt;75),('Pump Emission Factors'!$G$96*F25),(IF(AND(V25="Yes, Well Pump VFD",AF25&lt;=75),('Pump Emission Factors'!$G$97*F25),(IF(AND(V25="Yes, Well Pump VFD",AF25&gt;75),('Pump Emission Factors'!$G$98*F25),"")))))))</f>
        <v/>
      </c>
      <c r="CT25" s="815" t="str">
        <f>IF(AND(V25="Yes, Booster Pump VFD",AF25&lt;=75),('Pump Emission Factors'!$H$95*F25),(IF(AND(V25="Yes, Booster Pump VFD",AF25&gt;75),('Pump Emission Factors'!$H$96*F25),(IF(AND(V25="Yes, Well Pump VFD",AF25&lt;=75),('Pump Emission Factors'!$H$97*F25),(IF(AND(V25="Yes, Well Pump VFD",AF25&gt;75),('Pump Emission Factors'!$H$98*F25),"")))))))</f>
        <v/>
      </c>
      <c r="CU25" s="815" t="str">
        <f>IF(AND(V25="Yes, Booster Pump VFD",AF25&lt;=75),('Pump Emission Factors'!$J$95*F25),(IF(AND(V25="Yes, Booster Pump VFD",AF25&gt;75),('Pump Emission Factors'!$J$96*F25),(IF(AND(V25="Yes, Well Pump VFD",AF25&lt;=75),('Pump Emission Factors'!$J$97*F25),(IF(AND(V25="Yes, Well Pump VFD",AF25&gt;75),('Pump Emission Factors'!$J$98*F25),"")))))))</f>
        <v/>
      </c>
      <c r="CV25" s="815" t="str">
        <f>IF(AND(V25="Yes, Booster Pump VFD",AF25&lt;=75),('Pump Emission Factors'!$I$95*F25),(IF(AND(V25="Yes, Booster Pump VFD",AF25&gt;75),('Pump Emission Factors'!$I$96*F25),(IF(AND(V25="Yes, Well Pump VFD",AF25&lt;=75),('Pump Emission Factors'!$I$97*F25),(IF(AND(V25="Yes, Well Pump VFD",AF25&gt;75),('Pump Emission Factors'!$I$98*F25),"")))))))</f>
        <v/>
      </c>
      <c r="CW25" s="806">
        <f t="shared" si="41"/>
        <v>0</v>
      </c>
      <c r="CX25" s="806">
        <f t="shared" si="42"/>
        <v>0</v>
      </c>
      <c r="CY25" s="806">
        <f t="shared" si="43"/>
        <v>0</v>
      </c>
      <c r="CZ25" s="806">
        <f t="shared" si="44"/>
        <v>0</v>
      </c>
      <c r="DA25" s="806">
        <f t="shared" si="45"/>
        <v>0</v>
      </c>
      <c r="DB25" s="816" t="str">
        <f t="shared" si="65"/>
        <v/>
      </c>
      <c r="DC25" s="816" t="str">
        <f t="shared" si="46"/>
        <v/>
      </c>
      <c r="DD25" s="816" t="str">
        <f t="shared" si="46"/>
        <v/>
      </c>
      <c r="DE25" s="817" t="str">
        <f t="shared" si="47"/>
        <v/>
      </c>
      <c r="DF25" s="817" t="str">
        <f t="shared" si="48"/>
        <v/>
      </c>
      <c r="DG25" s="804" t="str">
        <f t="shared" si="49"/>
        <v/>
      </c>
      <c r="DH25" s="804" t="str">
        <f t="shared" si="50"/>
        <v/>
      </c>
      <c r="DI25" s="818" t="str">
        <f>IF(AO25="","",IF(H25="DESL",AO25*F25*'Fuel Prices'!$C$12,IF(H25="GAS",AO25*F25*'Fuel Prices'!$C$11,IF(H25="CNG",AO25*F25*'Fuel Prices'!$C$13,IF(H25="LNG",AO25*F25*'Fuel Prices'!$C$14,IF(H25="LPG",AO25*F25*'Fuel Prices'!$C$16,IF(H25="PROP",AO25*F25*'Fuel Prices'!$C$16,"0")))))))</f>
        <v/>
      </c>
      <c r="DJ25" s="818" t="str">
        <f>IF(AU25="","",IF(X25="DESL",AU25*F25*'Fuel Prices'!$C$12,IF(X25="GAS",AU25*F25*'Fuel Prices'!$C$11,IF(X25="CNG",AU25*F25*'Fuel Prices'!$C$13,IF(X25="LNG",AU25*F25*'Fuel Prices'!$C$14,IF(X25="LPG",AU25*F25*'Fuel Prices'!$C$16,IF(X25="PROP",AU25*F25*'Fuel Prices'!$C$16,IF(X25="ELEC",AU25*F25*'Fuel Prices'!$C$35,"0"))))))))</f>
        <v/>
      </c>
      <c r="DK25" s="818" t="str">
        <f t="shared" si="51"/>
        <v/>
      </c>
      <c r="DL25" s="818" t="str">
        <f t="shared" si="52"/>
        <v/>
      </c>
      <c r="DM25" s="804" t="str">
        <f t="shared" si="53"/>
        <v/>
      </c>
      <c r="DN25" s="804" t="str">
        <f t="shared" si="54"/>
        <v/>
      </c>
      <c r="DO25" s="804" t="str">
        <f>IFERROR(ROUND(CZ25*IF(COUNTIF($B$20:B25,B25)=1,1,"")/IF(B25="",0,1),0),"")</f>
        <v/>
      </c>
      <c r="DP25" s="804" t="str">
        <f>IFERROR(ROUND(CW25*IF(COUNTIF($B$20:B25,B25)=1,1,"")/IF(B25="",0,1),0),"")</f>
        <v/>
      </c>
      <c r="DQ25" s="804" t="str">
        <f>IFERROR(ROUND(DA25*IF(COUNTIF($B$20:B25,B25)=1,1,"")/IF(B25="",0,1),0),"")</f>
        <v/>
      </c>
      <c r="DR25" s="804" t="str">
        <f>IFERROR(ROUND(CX25*IF(COUNTIF($B$20:B25,B25)=1,1,"")/IF(B25="",0,1),0),"")</f>
        <v/>
      </c>
      <c r="DS25" s="804">
        <f t="shared" si="55"/>
        <v>0</v>
      </c>
      <c r="DT25" s="804">
        <f t="shared" si="56"/>
        <v>0</v>
      </c>
      <c r="DU25" s="804">
        <f t="shared" si="57"/>
        <v>0</v>
      </c>
      <c r="DV25" s="818" t="str">
        <f t="shared" si="66"/>
        <v/>
      </c>
      <c r="DW25" s="819" t="str">
        <f t="shared" si="67"/>
        <v/>
      </c>
    </row>
    <row r="26" spans="1:128" ht="18" customHeight="1" x14ac:dyDescent="0.35">
      <c r="A26" s="635"/>
      <c r="B26" s="820"/>
      <c r="C26" s="795" t="str">
        <f t="shared" si="0"/>
        <v>(Required)</v>
      </c>
      <c r="D26" s="821"/>
      <c r="E26" s="795" t="str">
        <f t="shared" si="0"/>
        <v>(Required)</v>
      </c>
      <c r="F26" s="821"/>
      <c r="G26" s="795" t="str">
        <f t="shared" si="1"/>
        <v>(Required)</v>
      </c>
      <c r="H26" s="822"/>
      <c r="I26" s="795" t="str">
        <f t="shared" si="2"/>
        <v>(Required)</v>
      </c>
      <c r="J26" s="821"/>
      <c r="K26" s="795" t="str">
        <f t="shared" si="3"/>
        <v>(Required)</v>
      </c>
      <c r="L26" s="821"/>
      <c r="M26" s="795" t="str">
        <f t="shared" si="4"/>
        <v>(Required)</v>
      </c>
      <c r="N26" s="821"/>
      <c r="O26" s="795" t="str">
        <f t="shared" si="5"/>
        <v>(Required)</v>
      </c>
      <c r="P26" s="821"/>
      <c r="Q26" s="795" t="str">
        <f t="shared" si="6"/>
        <v>(Required)</v>
      </c>
      <c r="R26" s="823"/>
      <c r="S26" s="799" t="str">
        <f t="shared" si="7"/>
        <v>(Optional)</v>
      </c>
      <c r="T26" s="821"/>
      <c r="U26" s="795" t="str">
        <f t="shared" si="8"/>
        <v>(Required)</v>
      </c>
      <c r="V26" s="824"/>
      <c r="W26" s="799" t="str">
        <f t="shared" si="9"/>
        <v>(Optional)</v>
      </c>
      <c r="X26" s="822"/>
      <c r="Y26" s="795" t="str">
        <f t="shared" si="10"/>
        <v>(Required)</v>
      </c>
      <c r="Z26" s="821"/>
      <c r="AA26" s="795" t="str">
        <f t="shared" si="11"/>
        <v>(Required)</v>
      </c>
      <c r="AB26" s="821"/>
      <c r="AC26" s="795" t="str">
        <f t="shared" si="12"/>
        <v>(Required)</v>
      </c>
      <c r="AD26" s="821"/>
      <c r="AE26" s="795" t="str">
        <f t="shared" si="13"/>
        <v>(Required)</v>
      </c>
      <c r="AF26" s="821"/>
      <c r="AG26" s="795" t="str">
        <f t="shared" si="14"/>
        <v>(Required)</v>
      </c>
      <c r="AH26" s="823"/>
      <c r="AI26" s="799" t="str">
        <f t="shared" si="15"/>
        <v>(Optional)</v>
      </c>
      <c r="AJ26" s="821"/>
      <c r="AK26" s="795" t="str">
        <f t="shared" si="16"/>
        <v>(Required)</v>
      </c>
      <c r="AL26" s="803" t="str">
        <f t="shared" si="17"/>
        <v/>
      </c>
      <c r="AM26" s="803" t="str">
        <f>IF(H26="DESL",'Fuel Density'!$C$12,IF(H26="GAS",'Fuel Density'!$C$11,IF(H26="CNG",'Fuel Density'!$C$13,IF(H26="LNG",'Fuel Density'!$C$14,IF(H26="LPG",'Fuel Density'!$C$15,IF(H26="PROP",'Fuel Density'!$C$16,IF(H26="","","")))))))</f>
        <v/>
      </c>
      <c r="AN26" s="803" t="str">
        <f>IF(H26="DESL",'Fuel-Specific GHG'!$C$14,IF(H26="GAS",'Fuel-Specific GHG'!$C$16,IF(H26="CNG",'Fuel-Specific GHG'!$C$13,IF(H26="LNG",'Fuel-Specific GHG'!$C$18,IF(OR(H26="LPG",H26="PROP"),'Fuel-Specific GHG'!$C$19,IF(H26="","",""))))))</f>
        <v/>
      </c>
      <c r="AO26" s="804" t="str">
        <f>IFERROR(((P26*(IF(ISBLANK(R26),Defaults!$B$19,R26))*T26*AL26)/AM26),"")</f>
        <v/>
      </c>
      <c r="AP26" s="805" t="str">
        <f t="shared" si="18"/>
        <v/>
      </c>
      <c r="AQ26" s="805" t="str">
        <f>IF(H26="DESL",'Fuel-Specific GHG'!$E$14,IF(H26="GAS",'Fuel-Specific GHG'!$E$16,IF(H26="CNG",'Fuel-Specific GHG'!$E$13,IF(H26="LNG",'Fuel-Specific GHG'!$E$18,IF(OR(H26="LPG",H26="PROP"),'Fuel-Specific GHG'!$E$19,"")))))</f>
        <v/>
      </c>
      <c r="AR26" s="805" t="str">
        <f t="shared" si="19"/>
        <v/>
      </c>
      <c r="AS26" s="803" t="str">
        <f t="shared" si="58"/>
        <v/>
      </c>
      <c r="AT26" s="803" t="str">
        <f>IF(X26="DESL",'Fuel Density'!$C$12,IF(X26="PROP",'Fuel Density'!$C$16,IF(X26="GAS",'Fuel Density'!$C$11,IF(X26="CNG",'Fuel Density'!$C$13,IF(X26="LNG",'Fuel Density'!$C$14,IF(X26="LPG",'Fuel Density'!$C$15,IF(X26="","","")))))))</f>
        <v/>
      </c>
      <c r="AU26" s="804" t="str">
        <f>IFERROR(IF(X26="ELEC",AO26*AN26*(1/'Fuel-Specific GHG'!$C$15)*(1/IF(H26="GAS",3.4,IF(H26="DESL",2.7,3))),((AF26*(IF(ISBLANK(AH26),Defaults!$B$19,AH26))*AJ26*AS26)/AT26)),"")</f>
        <v/>
      </c>
      <c r="AV26" s="805" t="str">
        <f t="shared" si="20"/>
        <v/>
      </c>
      <c r="AW26" s="805" t="str">
        <f>IF(X26="DESL",'Fuel-Specific GHG'!$E$14,IF(X26="PROP",'Fuel-Specific GHG'!$E$19,IF(X26="GAS",'Fuel-Specific GHG'!$E$16,IF(X26="CNG",'Fuel-Specific GHG'!$E$13,IF(X26="LNG",'Fuel-Specific GHG'!$E$18,IF(X26="LPG",'Fuel-Specific GHG'!$E$19,IF(X26="ELEC",'Fuel-Specific GHG'!$E$15,"")))))))</f>
        <v/>
      </c>
      <c r="AX26" s="805" t="str">
        <f t="shared" si="21"/>
        <v/>
      </c>
      <c r="AY26" s="806" t="str">
        <f t="shared" si="22"/>
        <v/>
      </c>
      <c r="AZ26" s="806" t="str">
        <f t="shared" si="68"/>
        <v/>
      </c>
      <c r="BA26" s="806" t="str">
        <f t="shared" si="59"/>
        <v/>
      </c>
      <c r="BB26" s="804" t="str">
        <f t="shared" si="23"/>
        <v/>
      </c>
      <c r="BC26" s="807" t="str">
        <f t="shared" si="24"/>
        <v/>
      </c>
      <c r="BD26" s="807"/>
      <c r="BE26" s="808" t="str">
        <f t="shared" si="25"/>
        <v/>
      </c>
      <c r="BF26" s="809" t="str">
        <f t="shared" si="26"/>
        <v/>
      </c>
      <c r="BG26" s="808" t="str">
        <f t="shared" si="60"/>
        <v/>
      </c>
      <c r="BH26" s="810">
        <f t="shared" si="61"/>
        <v>0</v>
      </c>
      <c r="BI26" s="803" t="str">
        <f>IFERROR(VLOOKUP(BH26,'Pump Emission Factors'!$B$11:$J$88,4,FALSE),"")</f>
        <v/>
      </c>
      <c r="BJ26" s="803" t="str">
        <f>IFERROR(VLOOKUP(BH26,'Pump Emission Factors'!$B$11:$J$88,6,FALSE),"")</f>
        <v/>
      </c>
      <c r="BK26" s="803" t="str">
        <f>IFERROR(VLOOKUP(BH26,'Pump Emission Factors'!$B$11:$J$88,8,FALSE),"")</f>
        <v/>
      </c>
      <c r="BL26" s="803" t="str">
        <f>IFERROR(VLOOKUP(BH26,'Pump Emission Factors'!$B$11:$J$88,5,FALSE),"")</f>
        <v/>
      </c>
      <c r="BM26" s="803" t="str">
        <f>IFERROR(VLOOKUP(BH26,'Pump Emission Factors'!$B$11:$J$88,7,FALSE),"")</f>
        <v/>
      </c>
      <c r="BN26" s="803" t="str">
        <f>IFERROR(VLOOKUP(BH26,'Pump Emission Factors'!$B$11:$J$88,9,FALSE),"")</f>
        <v/>
      </c>
      <c r="BO26" s="811" t="str">
        <f t="shared" si="27"/>
        <v/>
      </c>
      <c r="BP26" s="811" t="str">
        <f t="shared" si="28"/>
        <v/>
      </c>
      <c r="BQ26" s="803">
        <f>IFERROR(((BI26+(BL26*BP26))*(IF(ISBLANK(R26),Defaults!$B$19,R26))*P26*T26)*F26*(1/454),0)</f>
        <v>0</v>
      </c>
      <c r="BR26" s="803">
        <f>IFERROR(((BJ26+(BM26*BP26))*(IF(ISBLANK(R26),Defaults!$B$19,R26))*P26*T26)*F26*(1/454),0)</f>
        <v>0</v>
      </c>
      <c r="BS26" s="803">
        <f>IFERROR(((BK26+(BN26*BP26))*(IF(ISBLANK(R26),Defaults!$B$19,R26))*P26*T26)*F26*(1/454),0)</f>
        <v>0</v>
      </c>
      <c r="BT26" s="803">
        <f t="shared" si="29"/>
        <v>0</v>
      </c>
      <c r="BU26" s="803">
        <f t="shared" si="62"/>
        <v>0</v>
      </c>
      <c r="BV26" s="812" t="str">
        <f t="shared" si="30"/>
        <v/>
      </c>
      <c r="BW26" s="808" t="str">
        <f t="shared" si="31"/>
        <v/>
      </c>
      <c r="BX26" s="809" t="str">
        <f t="shared" si="32"/>
        <v/>
      </c>
      <c r="BY26" s="808" t="str">
        <f t="shared" si="63"/>
        <v/>
      </c>
      <c r="BZ26" s="810">
        <f t="shared" si="64"/>
        <v>0</v>
      </c>
      <c r="CA26" s="813" t="str">
        <f>IFERROR(VLOOKUP(BZ26,'Pump Emission Factors'!$B$11:$J$88,4,FALSE),"")</f>
        <v/>
      </c>
      <c r="CB26" s="813" t="str">
        <f>IFERROR(VLOOKUP(BZ26,'Pump Emission Factors'!$B$11:$J$88,6,FALSE),"")</f>
        <v/>
      </c>
      <c r="CC26" s="813" t="str">
        <f>IFERROR(VLOOKUP(BZ26,'Pump Emission Factors'!$B$11:$J$88,8,FALSE),"")</f>
        <v/>
      </c>
      <c r="CD26" s="813" t="str">
        <f>IFERROR(VLOOKUP(BZ26,'Pump Emission Factors'!$B$11:$J$88,5,FALSE),"")</f>
        <v/>
      </c>
      <c r="CE26" s="813" t="str">
        <f>IFERROR(VLOOKUP(BZ26,'Pump Emission Factors'!$B$11:$J$88,7,FALSE),"")</f>
        <v/>
      </c>
      <c r="CF26" s="813" t="str">
        <f>IFERROR(VLOOKUP(BZ26,'Pump Emission Factors'!$B$11:$J$88,9,FALSE),"")</f>
        <v/>
      </c>
      <c r="CG26" s="814" t="str">
        <f t="shared" si="33"/>
        <v/>
      </c>
      <c r="CH26" s="814" t="str">
        <f t="shared" si="34"/>
        <v/>
      </c>
      <c r="CI26" s="813">
        <f>IFERROR(IF($X26="ELEC",((($AU26*(IF($H26="DESL",'Fuel-Specific GHG'!$C$14,IF($H26="GAS",'Fuel-Specific GHG'!$C$16,IF($H26="CNG",'Fuel-Specific GHG'!$C$13,IF(OR($H26="LPG",$H26="PROP"),'Fuel-Specific GHG'!$C$19,"")))))*(1/'Fuel-Specific GHG'!$C$15)*(1/3.4)*$F26)*'Grid Electricity'!$D$39)/454),((CA26+(CD26*CH26))*(IF(ISBLANK(AH26),Defaults!$B$19,AH26))*$AF26*$AJ26*$F26)),0)</f>
        <v>0</v>
      </c>
      <c r="CJ26" s="813">
        <f>IFERROR(IF($X26="ELEC",((($AU26*(IF($H26="DESL",'Fuel-Specific GHG'!$C$14,IF($H26="GAS",'Fuel-Specific GHG'!$C$16,IF($H26="CNG",'Fuel-Specific GHG'!$C$13,IF(OR($H26="LPG",$H26="PROP"),'Fuel-Specific GHG'!$C$19,"")))))*(1/'Fuel-Specific GHG'!$C$15)*(1/3.4)*$F26)*'Grid Electricity'!$C$39)/454),((CB26+(CE26*CH26))*(IF(ISBLANK(AH26),Defaults!$B$19,AH26))*$AF26*$AJ26*$F26)),0)</f>
        <v>0</v>
      </c>
      <c r="CK26" s="813">
        <f>IFERROR(IF($X26="ELEC",((($AU26*(IF($H26="DESL",'Fuel-Specific GHG'!$C$14,IF($H26="GAS",'Fuel-Specific GHG'!$C$16,IF($H26="CNG",'Fuel-Specific GHG'!$C$13,IF(OR($H26="LPG",$H26="PROP"),'Fuel-Specific GHG'!$C$19,"")))))*(1/'Fuel-Specific GHG'!$C$15)*(1/3.4)*$F26)*'Grid Electricity'!$F$39)/454),((CC26+(CF26*CH26))*(IF(ISBLANK(AH26),Defaults!$B$19,AH26))*$AF26*$AJ26*$F26)),0)</f>
        <v>0</v>
      </c>
      <c r="CL26" s="813">
        <f t="shared" si="35"/>
        <v>0</v>
      </c>
      <c r="CM26" s="813">
        <f t="shared" si="36"/>
        <v>0</v>
      </c>
      <c r="CN26" s="814" t="str">
        <f t="shared" si="37"/>
        <v/>
      </c>
      <c r="CO26" s="814" t="str">
        <f t="shared" si="38"/>
        <v/>
      </c>
      <c r="CP26" s="814" t="str">
        <f t="shared" si="39"/>
        <v/>
      </c>
      <c r="CQ26" s="814" t="str">
        <f t="shared" si="40"/>
        <v/>
      </c>
      <c r="CR26" s="815" t="str">
        <f>IF(AND(V26="Yes, Booster Pump VFD",AF26&lt;=75),('Pump Emission Factors'!$F$95*F26),(IF(AND(V26="Yes, Booster Pump VFD",AF26&gt;75),('Pump Emission Factors'!$F$96*F26),(IF(AND(V26="Yes, Well Pump VFD",AF26&lt;=75),('Pump Emission Factors'!$F$97*F26),(IF(AND(V26="Yes, Well Pump VFD",AF26&gt;75),('Pump Emission Factors'!$F$98*F26),"")))))))</f>
        <v/>
      </c>
      <c r="CS26" s="815" t="str">
        <f>IF(AND(V26="Yes, Booster Pump VFD",AF26&lt;=75),('Pump Emission Factors'!$G$95*F26),(IF(AND(V26="Yes, Booster Pump VFD",AF26&gt;75),('Pump Emission Factors'!$G$96*F26),(IF(AND(V26="Yes, Well Pump VFD",AF26&lt;=75),('Pump Emission Factors'!$G$97*F26),(IF(AND(V26="Yes, Well Pump VFD",AF26&gt;75),('Pump Emission Factors'!$G$98*F26),"")))))))</f>
        <v/>
      </c>
      <c r="CT26" s="815" t="str">
        <f>IF(AND(V26="Yes, Booster Pump VFD",AF26&lt;=75),('Pump Emission Factors'!$H$95*F26),(IF(AND(V26="Yes, Booster Pump VFD",AF26&gt;75),('Pump Emission Factors'!$H$96*F26),(IF(AND(V26="Yes, Well Pump VFD",AF26&lt;=75),('Pump Emission Factors'!$H$97*F26),(IF(AND(V26="Yes, Well Pump VFD",AF26&gt;75),('Pump Emission Factors'!$H$98*F26),"")))))))</f>
        <v/>
      </c>
      <c r="CU26" s="815" t="str">
        <f>IF(AND(V26="Yes, Booster Pump VFD",AF26&lt;=75),('Pump Emission Factors'!$J$95*F26),(IF(AND(V26="Yes, Booster Pump VFD",AF26&gt;75),('Pump Emission Factors'!$J$96*F26),(IF(AND(V26="Yes, Well Pump VFD",AF26&lt;=75),('Pump Emission Factors'!$J$97*F26),(IF(AND(V26="Yes, Well Pump VFD",AF26&gt;75),('Pump Emission Factors'!$J$98*F26),"")))))))</f>
        <v/>
      </c>
      <c r="CV26" s="815" t="str">
        <f>IF(AND(V26="Yes, Booster Pump VFD",AF26&lt;=75),('Pump Emission Factors'!$I$95*F26),(IF(AND(V26="Yes, Booster Pump VFD",AF26&gt;75),('Pump Emission Factors'!$I$96*F26),(IF(AND(V26="Yes, Well Pump VFD",AF26&lt;=75),('Pump Emission Factors'!$I$97*F26),(IF(AND(V26="Yes, Well Pump VFD",AF26&gt;75),('Pump Emission Factors'!$I$98*F26),"")))))))</f>
        <v/>
      </c>
      <c r="CW26" s="806">
        <f t="shared" si="41"/>
        <v>0</v>
      </c>
      <c r="CX26" s="806">
        <f t="shared" si="42"/>
        <v>0</v>
      </c>
      <c r="CY26" s="806">
        <f t="shared" si="43"/>
        <v>0</v>
      </c>
      <c r="CZ26" s="806">
        <f t="shared" si="44"/>
        <v>0</v>
      </c>
      <c r="DA26" s="806">
        <f t="shared" si="45"/>
        <v>0</v>
      </c>
      <c r="DB26" s="816" t="str">
        <f t="shared" si="65"/>
        <v/>
      </c>
      <c r="DC26" s="816" t="str">
        <f t="shared" si="46"/>
        <v/>
      </c>
      <c r="DD26" s="816" t="str">
        <f t="shared" si="46"/>
        <v/>
      </c>
      <c r="DE26" s="817" t="str">
        <f t="shared" si="47"/>
        <v/>
      </c>
      <c r="DF26" s="817" t="str">
        <f t="shared" si="48"/>
        <v/>
      </c>
      <c r="DG26" s="804" t="str">
        <f t="shared" si="49"/>
        <v/>
      </c>
      <c r="DH26" s="804" t="str">
        <f t="shared" si="50"/>
        <v/>
      </c>
      <c r="DI26" s="818" t="str">
        <f>IF(AO26="","",IF(H26="DESL",AO26*F26*'Fuel Prices'!$C$12,IF(H26="GAS",AO26*F26*'Fuel Prices'!$C$11,IF(H26="CNG",AO26*F26*'Fuel Prices'!$C$13,IF(H26="LNG",AO26*F26*'Fuel Prices'!$C$14,IF(H26="LPG",AO26*F26*'Fuel Prices'!$C$16,IF(H26="PROP",AO26*F26*'Fuel Prices'!$C$16,"0")))))))</f>
        <v/>
      </c>
      <c r="DJ26" s="818" t="str">
        <f>IF(AU26="","",IF(X26="DESL",AU26*F26*'Fuel Prices'!$C$12,IF(X26="GAS",AU26*F26*'Fuel Prices'!$C$11,IF(X26="CNG",AU26*F26*'Fuel Prices'!$C$13,IF(X26="LNG",AU26*F26*'Fuel Prices'!$C$14,IF(X26="LPG",AU26*F26*'Fuel Prices'!$C$16,IF(X26="PROP",AU26*F26*'Fuel Prices'!$C$16,IF(X26="ELEC",AU26*F26*'Fuel Prices'!$C$35,"0"))))))))</f>
        <v/>
      </c>
      <c r="DK26" s="818" t="str">
        <f t="shared" si="51"/>
        <v/>
      </c>
      <c r="DL26" s="818" t="str">
        <f t="shared" si="52"/>
        <v/>
      </c>
      <c r="DM26" s="804" t="str">
        <f t="shared" si="53"/>
        <v/>
      </c>
      <c r="DN26" s="804" t="str">
        <f t="shared" si="54"/>
        <v/>
      </c>
      <c r="DO26" s="804" t="str">
        <f>IFERROR(ROUND(CZ26*IF(COUNTIF($B$20:B26,B26)=1,1,"")/IF(B26="",0,1),0),"")</f>
        <v/>
      </c>
      <c r="DP26" s="804" t="str">
        <f>IFERROR(ROUND(CW26*IF(COUNTIF($B$20:B26,B26)=1,1,"")/IF(B26="",0,1),0),"")</f>
        <v/>
      </c>
      <c r="DQ26" s="804" t="str">
        <f>IFERROR(ROUND(DA26*IF(COUNTIF($B$20:B26,B26)=1,1,"")/IF(B26="",0,1),0),"")</f>
        <v/>
      </c>
      <c r="DR26" s="804" t="str">
        <f>IFERROR(ROUND(CX26*IF(COUNTIF($B$20:B26,B26)=1,1,"")/IF(B26="",0,1),0),"")</f>
        <v/>
      </c>
      <c r="DS26" s="804">
        <f t="shared" si="55"/>
        <v>0</v>
      </c>
      <c r="DT26" s="804">
        <f t="shared" si="56"/>
        <v>0</v>
      </c>
      <c r="DU26" s="804">
        <f t="shared" si="57"/>
        <v>0</v>
      </c>
      <c r="DV26" s="818" t="str">
        <f t="shared" si="66"/>
        <v/>
      </c>
      <c r="DW26" s="819" t="str">
        <f t="shared" si="67"/>
        <v/>
      </c>
    </row>
    <row r="27" spans="1:128" ht="18" customHeight="1" x14ac:dyDescent="0.35">
      <c r="A27" s="696"/>
      <c r="B27" s="820"/>
      <c r="C27" s="795" t="str">
        <f t="shared" si="0"/>
        <v>(Required)</v>
      </c>
      <c r="D27" s="821"/>
      <c r="E27" s="795" t="str">
        <f t="shared" si="0"/>
        <v>(Required)</v>
      </c>
      <c r="F27" s="821"/>
      <c r="G27" s="795" t="str">
        <f t="shared" si="1"/>
        <v>(Required)</v>
      </c>
      <c r="H27" s="822"/>
      <c r="I27" s="795" t="str">
        <f t="shared" si="2"/>
        <v>(Required)</v>
      </c>
      <c r="J27" s="821"/>
      <c r="K27" s="795" t="str">
        <f t="shared" si="3"/>
        <v>(Required)</v>
      </c>
      <c r="L27" s="821"/>
      <c r="M27" s="795" t="str">
        <f t="shared" si="4"/>
        <v>(Required)</v>
      </c>
      <c r="N27" s="821"/>
      <c r="O27" s="795" t="str">
        <f t="shared" si="5"/>
        <v>(Required)</v>
      </c>
      <c r="P27" s="821"/>
      <c r="Q27" s="795" t="str">
        <f t="shared" si="6"/>
        <v>(Required)</v>
      </c>
      <c r="R27" s="823"/>
      <c r="S27" s="799" t="str">
        <f t="shared" si="7"/>
        <v>(Optional)</v>
      </c>
      <c r="T27" s="821"/>
      <c r="U27" s="795" t="str">
        <f t="shared" si="8"/>
        <v>(Required)</v>
      </c>
      <c r="V27" s="824"/>
      <c r="W27" s="799" t="str">
        <f t="shared" si="9"/>
        <v>(Optional)</v>
      </c>
      <c r="X27" s="822"/>
      <c r="Y27" s="795" t="str">
        <f t="shared" si="10"/>
        <v>(Required)</v>
      </c>
      <c r="Z27" s="821"/>
      <c r="AA27" s="795" t="str">
        <f t="shared" si="11"/>
        <v>(Required)</v>
      </c>
      <c r="AB27" s="821"/>
      <c r="AC27" s="795" t="str">
        <f t="shared" si="12"/>
        <v>(Required)</v>
      </c>
      <c r="AD27" s="821"/>
      <c r="AE27" s="795" t="str">
        <f t="shared" si="13"/>
        <v>(Required)</v>
      </c>
      <c r="AF27" s="821"/>
      <c r="AG27" s="795" t="str">
        <f t="shared" si="14"/>
        <v>(Required)</v>
      </c>
      <c r="AH27" s="823"/>
      <c r="AI27" s="799" t="str">
        <f t="shared" si="15"/>
        <v>(Optional)</v>
      </c>
      <c r="AJ27" s="821"/>
      <c r="AK27" s="795" t="str">
        <f t="shared" si="16"/>
        <v>(Required)</v>
      </c>
      <c r="AL27" s="803" t="str">
        <f t="shared" si="17"/>
        <v/>
      </c>
      <c r="AM27" s="803" t="str">
        <f>IF(H27="DESL",'Fuel Density'!$C$12,IF(H27="GAS",'Fuel Density'!$C$11,IF(H27="CNG",'Fuel Density'!$C$13,IF(H27="LNG",'Fuel Density'!$C$14,IF(H27="LPG",'Fuel Density'!$C$15,IF(H27="PROP",'Fuel Density'!$C$16,IF(H27="","","")))))))</f>
        <v/>
      </c>
      <c r="AN27" s="803" t="str">
        <f>IF(H27="DESL",'Fuel-Specific GHG'!$C$14,IF(H27="GAS",'Fuel-Specific GHG'!$C$16,IF(H27="CNG",'Fuel-Specific GHG'!$C$13,IF(H27="LNG",'Fuel-Specific GHG'!$C$18,IF(OR(H27="LPG",H27="PROP"),'Fuel-Specific GHG'!$C$19,IF(H27="","",""))))))</f>
        <v/>
      </c>
      <c r="AO27" s="804" t="str">
        <f>IFERROR(((P27*(IF(ISBLANK(R27),Defaults!$B$19,R27))*T27*AL27)/AM27),"")</f>
        <v/>
      </c>
      <c r="AP27" s="805" t="str">
        <f t="shared" si="18"/>
        <v/>
      </c>
      <c r="AQ27" s="805" t="str">
        <f>IF(H27="DESL",'Fuel-Specific GHG'!$E$14,IF(H27="GAS",'Fuel-Specific GHG'!$E$16,IF(H27="CNG",'Fuel-Specific GHG'!$E$13,IF(H27="LNG",'Fuel-Specific GHG'!$E$18,IF(OR(H27="LPG",H27="PROP"),'Fuel-Specific GHG'!$E$19,"")))))</f>
        <v/>
      </c>
      <c r="AR27" s="805" t="str">
        <f t="shared" si="19"/>
        <v/>
      </c>
      <c r="AS27" s="803" t="str">
        <f t="shared" si="58"/>
        <v/>
      </c>
      <c r="AT27" s="803" t="str">
        <f>IF(X27="DESL",'Fuel Density'!$C$12,IF(X27="PROP",'Fuel Density'!$C$16,IF(X27="GAS",'Fuel Density'!$C$11,IF(X27="CNG",'Fuel Density'!$C$13,IF(X27="LNG",'Fuel Density'!$C$14,IF(X27="LPG",'Fuel Density'!$C$15,IF(X27="","","")))))))</f>
        <v/>
      </c>
      <c r="AU27" s="804" t="str">
        <f>IFERROR(IF(X27="ELEC",AO27*AN27*(1/'Fuel-Specific GHG'!$C$15)*(1/IF(H27="GAS",3.4,IF(H27="DESL",2.7,3))),((AF27*(IF(ISBLANK(AH27),Defaults!$B$19,AH27))*AJ27*AS27)/AT27)),"")</f>
        <v/>
      </c>
      <c r="AV27" s="805" t="str">
        <f t="shared" si="20"/>
        <v/>
      </c>
      <c r="AW27" s="805" t="str">
        <f>IF(X27="DESL",'Fuel-Specific GHG'!$E$14,IF(X27="PROP",'Fuel-Specific GHG'!$E$19,IF(X27="GAS",'Fuel-Specific GHG'!$E$16,IF(X27="CNG",'Fuel-Specific GHG'!$E$13,IF(X27="LNG",'Fuel-Specific GHG'!$E$18,IF(X27="LPG",'Fuel-Specific GHG'!$E$19,IF(X27="ELEC",'Fuel-Specific GHG'!$E$15,"")))))))</f>
        <v/>
      </c>
      <c r="AX27" s="805" t="str">
        <f t="shared" si="21"/>
        <v/>
      </c>
      <c r="AY27" s="806" t="str">
        <f t="shared" si="22"/>
        <v/>
      </c>
      <c r="AZ27" s="806" t="str">
        <f t="shared" si="68"/>
        <v/>
      </c>
      <c r="BA27" s="806" t="str">
        <f t="shared" si="59"/>
        <v/>
      </c>
      <c r="BB27" s="804" t="str">
        <f t="shared" si="23"/>
        <v/>
      </c>
      <c r="BC27" s="807" t="str">
        <f t="shared" si="24"/>
        <v/>
      </c>
      <c r="BD27" s="807"/>
      <c r="BE27" s="808" t="str">
        <f t="shared" si="25"/>
        <v/>
      </c>
      <c r="BF27" s="809" t="str">
        <f t="shared" si="26"/>
        <v/>
      </c>
      <c r="BG27" s="808" t="str">
        <f t="shared" si="60"/>
        <v/>
      </c>
      <c r="BH27" s="810">
        <f t="shared" si="61"/>
        <v>0</v>
      </c>
      <c r="BI27" s="803" t="str">
        <f>IFERROR(VLOOKUP(BH27,'Pump Emission Factors'!$B$11:$J$88,4,FALSE),"")</f>
        <v/>
      </c>
      <c r="BJ27" s="803" t="str">
        <f>IFERROR(VLOOKUP(BH27,'Pump Emission Factors'!$B$11:$J$88,6,FALSE),"")</f>
        <v/>
      </c>
      <c r="BK27" s="803" t="str">
        <f>IFERROR(VLOOKUP(BH27,'Pump Emission Factors'!$B$11:$J$88,8,FALSE),"")</f>
        <v/>
      </c>
      <c r="BL27" s="803" t="str">
        <f>IFERROR(VLOOKUP(BH27,'Pump Emission Factors'!$B$11:$J$88,5,FALSE),"")</f>
        <v/>
      </c>
      <c r="BM27" s="803" t="str">
        <f>IFERROR(VLOOKUP(BH27,'Pump Emission Factors'!$B$11:$J$88,7,FALSE),"")</f>
        <v/>
      </c>
      <c r="BN27" s="803" t="str">
        <f>IFERROR(VLOOKUP(BH27,'Pump Emission Factors'!$B$11:$J$88,9,FALSE),"")</f>
        <v/>
      </c>
      <c r="BO27" s="811" t="str">
        <f t="shared" si="27"/>
        <v/>
      </c>
      <c r="BP27" s="811" t="str">
        <f t="shared" si="28"/>
        <v/>
      </c>
      <c r="BQ27" s="803">
        <f>IFERROR(((BI27+(BL27*BP27))*(IF(ISBLANK(R27),Defaults!$B$19,R27))*P27*T27)*F27*(1/454),0)</f>
        <v>0</v>
      </c>
      <c r="BR27" s="803">
        <f>IFERROR(((BJ27+(BM27*BP27))*(IF(ISBLANK(R27),Defaults!$B$19,R27))*P27*T27)*F27*(1/454),0)</f>
        <v>0</v>
      </c>
      <c r="BS27" s="803">
        <f>IFERROR(((BK27+(BN27*BP27))*(IF(ISBLANK(R27),Defaults!$B$19,R27))*P27*T27)*F27*(1/454),0)</f>
        <v>0</v>
      </c>
      <c r="BT27" s="803">
        <f t="shared" si="29"/>
        <v>0</v>
      </c>
      <c r="BU27" s="803">
        <f t="shared" si="62"/>
        <v>0</v>
      </c>
      <c r="BV27" s="812" t="str">
        <f t="shared" si="30"/>
        <v/>
      </c>
      <c r="BW27" s="808" t="str">
        <f t="shared" si="31"/>
        <v/>
      </c>
      <c r="BX27" s="809" t="str">
        <f t="shared" si="32"/>
        <v/>
      </c>
      <c r="BY27" s="808" t="str">
        <f t="shared" si="63"/>
        <v/>
      </c>
      <c r="BZ27" s="810">
        <f t="shared" si="64"/>
        <v>0</v>
      </c>
      <c r="CA27" s="813" t="str">
        <f>IFERROR(VLOOKUP(BZ27,'Pump Emission Factors'!$B$11:$J$88,4,FALSE),"")</f>
        <v/>
      </c>
      <c r="CB27" s="813" t="str">
        <f>IFERROR(VLOOKUP(BZ27,'Pump Emission Factors'!$B$11:$J$88,6,FALSE),"")</f>
        <v/>
      </c>
      <c r="CC27" s="813" t="str">
        <f>IFERROR(VLOOKUP(BZ27,'Pump Emission Factors'!$B$11:$J$88,8,FALSE),"")</f>
        <v/>
      </c>
      <c r="CD27" s="813" t="str">
        <f>IFERROR(VLOOKUP(BZ27,'Pump Emission Factors'!$B$11:$J$88,5,FALSE),"")</f>
        <v/>
      </c>
      <c r="CE27" s="813" t="str">
        <f>IFERROR(VLOOKUP(BZ27,'Pump Emission Factors'!$B$11:$J$88,7,FALSE),"")</f>
        <v/>
      </c>
      <c r="CF27" s="813" t="str">
        <f>IFERROR(VLOOKUP(BZ27,'Pump Emission Factors'!$B$11:$J$88,9,FALSE),"")</f>
        <v/>
      </c>
      <c r="CG27" s="814" t="str">
        <f t="shared" si="33"/>
        <v/>
      </c>
      <c r="CH27" s="814" t="str">
        <f t="shared" si="34"/>
        <v/>
      </c>
      <c r="CI27" s="813">
        <f>IFERROR(IF($X27="ELEC",((($AU27*(IF($H27="DESL",'Fuel-Specific GHG'!$C$14,IF($H27="GAS",'Fuel-Specific GHG'!$C$16,IF($H27="CNG",'Fuel-Specific GHG'!$C$13,IF(OR($H27="LPG",$H27="PROP"),'Fuel-Specific GHG'!$C$19,"")))))*(1/'Fuel-Specific GHG'!$C$15)*(1/3.4)*$F27)*'Grid Electricity'!$D$39)/454),((CA27+(CD27*CH27))*(IF(ISBLANK(AH27),Defaults!$B$19,AH27))*$AF27*$AJ27*$F27)),0)</f>
        <v>0</v>
      </c>
      <c r="CJ27" s="813">
        <f>IFERROR(IF($X27="ELEC",((($AU27*(IF($H27="DESL",'Fuel-Specific GHG'!$C$14,IF($H27="GAS",'Fuel-Specific GHG'!$C$16,IF($H27="CNG",'Fuel-Specific GHG'!$C$13,IF(OR($H27="LPG",$H27="PROP"),'Fuel-Specific GHG'!$C$19,"")))))*(1/'Fuel-Specific GHG'!$C$15)*(1/3.4)*$F27)*'Grid Electricity'!$C$39)/454),((CB27+(CE27*CH27))*(IF(ISBLANK(AH27),Defaults!$B$19,AH27))*$AF27*$AJ27*$F27)),0)</f>
        <v>0</v>
      </c>
      <c r="CK27" s="813">
        <f>IFERROR(IF($X27="ELEC",((($AU27*(IF($H27="DESL",'Fuel-Specific GHG'!$C$14,IF($H27="GAS",'Fuel-Specific GHG'!$C$16,IF($H27="CNG",'Fuel-Specific GHG'!$C$13,IF(OR($H27="LPG",$H27="PROP"),'Fuel-Specific GHG'!$C$19,"")))))*(1/'Fuel-Specific GHG'!$C$15)*(1/3.4)*$F27)*'Grid Electricity'!$F$39)/454),((CC27+(CF27*CH27))*(IF(ISBLANK(AH27),Defaults!$B$19,AH27))*$AF27*$AJ27*$F27)),0)</f>
        <v>0</v>
      </c>
      <c r="CL27" s="813">
        <f t="shared" si="35"/>
        <v>0</v>
      </c>
      <c r="CM27" s="813">
        <f t="shared" si="36"/>
        <v>0</v>
      </c>
      <c r="CN27" s="814" t="str">
        <f t="shared" si="37"/>
        <v/>
      </c>
      <c r="CO27" s="814" t="str">
        <f t="shared" si="38"/>
        <v/>
      </c>
      <c r="CP27" s="814" t="str">
        <f t="shared" si="39"/>
        <v/>
      </c>
      <c r="CQ27" s="814" t="str">
        <f t="shared" si="40"/>
        <v/>
      </c>
      <c r="CR27" s="815" t="str">
        <f>IF(AND(V27="Yes, Booster Pump VFD",AF27&lt;=75),('Pump Emission Factors'!$F$95*F27),(IF(AND(V27="Yes, Booster Pump VFD",AF27&gt;75),('Pump Emission Factors'!$F$96*F27),(IF(AND(V27="Yes, Well Pump VFD",AF27&lt;=75),('Pump Emission Factors'!$F$97*F27),(IF(AND(V27="Yes, Well Pump VFD",AF27&gt;75),('Pump Emission Factors'!$F$98*F27),"")))))))</f>
        <v/>
      </c>
      <c r="CS27" s="815" t="str">
        <f>IF(AND(V27="Yes, Booster Pump VFD",AF27&lt;=75),('Pump Emission Factors'!$G$95*F27),(IF(AND(V27="Yes, Booster Pump VFD",AF27&gt;75),('Pump Emission Factors'!$G$96*F27),(IF(AND(V27="Yes, Well Pump VFD",AF27&lt;=75),('Pump Emission Factors'!$G$97*F27),(IF(AND(V27="Yes, Well Pump VFD",AF27&gt;75),('Pump Emission Factors'!$G$98*F27),"")))))))</f>
        <v/>
      </c>
      <c r="CT27" s="815" t="str">
        <f>IF(AND(V27="Yes, Booster Pump VFD",AF27&lt;=75),('Pump Emission Factors'!$H$95*F27),(IF(AND(V27="Yes, Booster Pump VFD",AF27&gt;75),('Pump Emission Factors'!$H$96*F27),(IF(AND(V27="Yes, Well Pump VFD",AF27&lt;=75),('Pump Emission Factors'!$H$97*F27),(IF(AND(V27="Yes, Well Pump VFD",AF27&gt;75),('Pump Emission Factors'!$H$98*F27),"")))))))</f>
        <v/>
      </c>
      <c r="CU27" s="815" t="str">
        <f>IF(AND(V27="Yes, Booster Pump VFD",AF27&lt;=75),('Pump Emission Factors'!$J$95*F27),(IF(AND(V27="Yes, Booster Pump VFD",AF27&gt;75),('Pump Emission Factors'!$J$96*F27),(IF(AND(V27="Yes, Well Pump VFD",AF27&lt;=75),('Pump Emission Factors'!$J$97*F27),(IF(AND(V27="Yes, Well Pump VFD",AF27&gt;75),('Pump Emission Factors'!$J$98*F27),"")))))))</f>
        <v/>
      </c>
      <c r="CV27" s="815" t="str">
        <f>IF(AND(V27="Yes, Booster Pump VFD",AF27&lt;=75),('Pump Emission Factors'!$I$95*F27),(IF(AND(V27="Yes, Booster Pump VFD",AF27&gt;75),('Pump Emission Factors'!$I$96*F27),(IF(AND(V27="Yes, Well Pump VFD",AF27&lt;=75),('Pump Emission Factors'!$I$97*F27),(IF(AND(V27="Yes, Well Pump VFD",AF27&gt;75),('Pump Emission Factors'!$I$98*F27),"")))))))</f>
        <v/>
      </c>
      <c r="CW27" s="806">
        <f t="shared" si="41"/>
        <v>0</v>
      </c>
      <c r="CX27" s="806">
        <f t="shared" si="42"/>
        <v>0</v>
      </c>
      <c r="CY27" s="806">
        <f t="shared" si="43"/>
        <v>0</v>
      </c>
      <c r="CZ27" s="806">
        <f t="shared" si="44"/>
        <v>0</v>
      </c>
      <c r="DA27" s="806">
        <f t="shared" si="45"/>
        <v>0</v>
      </c>
      <c r="DB27" s="816" t="str">
        <f t="shared" si="65"/>
        <v/>
      </c>
      <c r="DC27" s="816" t="str">
        <f t="shared" si="46"/>
        <v/>
      </c>
      <c r="DD27" s="816" t="str">
        <f t="shared" si="46"/>
        <v/>
      </c>
      <c r="DE27" s="817" t="str">
        <f t="shared" si="47"/>
        <v/>
      </c>
      <c r="DF27" s="817" t="str">
        <f t="shared" si="48"/>
        <v/>
      </c>
      <c r="DG27" s="804" t="str">
        <f t="shared" si="49"/>
        <v/>
      </c>
      <c r="DH27" s="804" t="str">
        <f t="shared" si="50"/>
        <v/>
      </c>
      <c r="DI27" s="818" t="str">
        <f>IF(AO27="","",IF(H27="DESL",AO27*F27*'Fuel Prices'!$C$12,IF(H27="GAS",AO27*F27*'Fuel Prices'!$C$11,IF(H27="CNG",AO27*F27*'Fuel Prices'!$C$13,IF(H27="LNG",AO27*F27*'Fuel Prices'!$C$14,IF(H27="LPG",AO27*F27*'Fuel Prices'!$C$16,IF(H27="PROP",AO27*F27*'Fuel Prices'!$C$16,"0")))))))</f>
        <v/>
      </c>
      <c r="DJ27" s="818" t="str">
        <f>IF(AU27="","",IF(X27="DESL",AU27*F27*'Fuel Prices'!$C$12,IF(X27="GAS",AU27*F27*'Fuel Prices'!$C$11,IF(X27="CNG",AU27*F27*'Fuel Prices'!$C$13,IF(X27="LNG",AU27*F27*'Fuel Prices'!$C$14,IF(X27="LPG",AU27*F27*'Fuel Prices'!$C$16,IF(X27="PROP",AU27*F27*'Fuel Prices'!$C$16,IF(X27="ELEC",AU27*F27*'Fuel Prices'!$C$35,"0"))))))))</f>
        <v/>
      </c>
      <c r="DK27" s="818" t="str">
        <f t="shared" si="51"/>
        <v/>
      </c>
      <c r="DL27" s="818" t="str">
        <f t="shared" si="52"/>
        <v/>
      </c>
      <c r="DM27" s="804" t="str">
        <f t="shared" si="53"/>
        <v/>
      </c>
      <c r="DN27" s="804" t="str">
        <f t="shared" si="54"/>
        <v/>
      </c>
      <c r="DO27" s="804" t="str">
        <f>IFERROR(ROUND(CZ27*IF(COUNTIF($B$20:B27,B27)=1,1,"")/IF(B27="",0,1),0),"")</f>
        <v/>
      </c>
      <c r="DP27" s="804" t="str">
        <f>IFERROR(ROUND(CW27*IF(COUNTIF($B$20:B27,B27)=1,1,"")/IF(B27="",0,1),0),"")</f>
        <v/>
      </c>
      <c r="DQ27" s="804" t="str">
        <f>IFERROR(ROUND(DA27*IF(COUNTIF($B$20:B27,B27)=1,1,"")/IF(B27="",0,1),0),"")</f>
        <v/>
      </c>
      <c r="DR27" s="804" t="str">
        <f>IFERROR(ROUND(CX27*IF(COUNTIF($B$20:B27,B27)=1,1,"")/IF(B27="",0,1),0),"")</f>
        <v/>
      </c>
      <c r="DS27" s="804">
        <f t="shared" si="55"/>
        <v>0</v>
      </c>
      <c r="DT27" s="804">
        <f t="shared" si="56"/>
        <v>0</v>
      </c>
      <c r="DU27" s="804">
        <f t="shared" si="57"/>
        <v>0</v>
      </c>
      <c r="DV27" s="818" t="str">
        <f t="shared" si="66"/>
        <v/>
      </c>
      <c r="DW27" s="819" t="str">
        <f t="shared" si="67"/>
        <v/>
      </c>
    </row>
    <row r="28" spans="1:128" ht="18" customHeight="1" x14ac:dyDescent="0.35">
      <c r="A28" s="635"/>
      <c r="B28" s="820"/>
      <c r="C28" s="795" t="str">
        <f t="shared" si="0"/>
        <v>(Required)</v>
      </c>
      <c r="D28" s="821"/>
      <c r="E28" s="795" t="str">
        <f t="shared" si="0"/>
        <v>(Required)</v>
      </c>
      <c r="F28" s="821"/>
      <c r="G28" s="795" t="str">
        <f t="shared" si="1"/>
        <v>(Required)</v>
      </c>
      <c r="H28" s="822"/>
      <c r="I28" s="795" t="str">
        <f t="shared" si="2"/>
        <v>(Required)</v>
      </c>
      <c r="J28" s="821"/>
      <c r="K28" s="795" t="str">
        <f t="shared" si="3"/>
        <v>(Required)</v>
      </c>
      <c r="L28" s="821"/>
      <c r="M28" s="795" t="str">
        <f t="shared" si="4"/>
        <v>(Required)</v>
      </c>
      <c r="N28" s="821"/>
      <c r="O28" s="795" t="str">
        <f t="shared" si="5"/>
        <v>(Required)</v>
      </c>
      <c r="P28" s="821"/>
      <c r="Q28" s="795" t="str">
        <f t="shared" si="6"/>
        <v>(Required)</v>
      </c>
      <c r="R28" s="823"/>
      <c r="S28" s="799" t="str">
        <f t="shared" si="7"/>
        <v>(Optional)</v>
      </c>
      <c r="T28" s="821"/>
      <c r="U28" s="795" t="str">
        <f t="shared" si="8"/>
        <v>(Required)</v>
      </c>
      <c r="V28" s="824"/>
      <c r="W28" s="799" t="str">
        <f t="shared" si="9"/>
        <v>(Optional)</v>
      </c>
      <c r="X28" s="822"/>
      <c r="Y28" s="795" t="str">
        <f t="shared" si="10"/>
        <v>(Required)</v>
      </c>
      <c r="Z28" s="821"/>
      <c r="AA28" s="795" t="str">
        <f t="shared" si="11"/>
        <v>(Required)</v>
      </c>
      <c r="AB28" s="821"/>
      <c r="AC28" s="795" t="str">
        <f t="shared" si="12"/>
        <v>(Required)</v>
      </c>
      <c r="AD28" s="821"/>
      <c r="AE28" s="795" t="str">
        <f t="shared" si="13"/>
        <v>(Required)</v>
      </c>
      <c r="AF28" s="821"/>
      <c r="AG28" s="795" t="str">
        <f t="shared" si="14"/>
        <v>(Required)</v>
      </c>
      <c r="AH28" s="823"/>
      <c r="AI28" s="799" t="str">
        <f t="shared" si="15"/>
        <v>(Optional)</v>
      </c>
      <c r="AJ28" s="821"/>
      <c r="AK28" s="795" t="str">
        <f t="shared" si="16"/>
        <v>(Required)</v>
      </c>
      <c r="AL28" s="803" t="str">
        <f t="shared" si="17"/>
        <v/>
      </c>
      <c r="AM28" s="803" t="str">
        <f>IF(H28="DESL",'Fuel Density'!$C$12,IF(H28="GAS",'Fuel Density'!$C$11,IF(H28="CNG",'Fuel Density'!$C$13,IF(H28="LNG",'Fuel Density'!$C$14,IF(H28="LPG",'Fuel Density'!$C$15,IF(H28="PROP",'Fuel Density'!$C$16,IF(H28="","","")))))))</f>
        <v/>
      </c>
      <c r="AN28" s="803" t="str">
        <f>IF(H28="DESL",'Fuel-Specific GHG'!$C$14,IF(H28="GAS",'Fuel-Specific GHG'!$C$16,IF(H28="CNG",'Fuel-Specific GHG'!$C$13,IF(H28="LNG",'Fuel-Specific GHG'!$C$18,IF(OR(H28="LPG",H28="PROP"),'Fuel-Specific GHG'!$C$19,IF(H28="","",""))))))</f>
        <v/>
      </c>
      <c r="AO28" s="804" t="str">
        <f>IFERROR(((P28*(IF(ISBLANK(R28),Defaults!$B$19,R28))*T28*AL28)/AM28),"")</f>
        <v/>
      </c>
      <c r="AP28" s="805" t="str">
        <f t="shared" si="18"/>
        <v/>
      </c>
      <c r="AQ28" s="805" t="str">
        <f>IF(H28="DESL",'Fuel-Specific GHG'!$E$14,IF(H28="GAS",'Fuel-Specific GHG'!$E$16,IF(H28="CNG",'Fuel-Specific GHG'!$E$13,IF(H28="LNG",'Fuel-Specific GHG'!$E$18,IF(OR(H28="LPG",H28="PROP"),'Fuel-Specific GHG'!$E$19,"")))))</f>
        <v/>
      </c>
      <c r="AR28" s="805" t="str">
        <f t="shared" si="19"/>
        <v/>
      </c>
      <c r="AS28" s="803" t="str">
        <f t="shared" si="58"/>
        <v/>
      </c>
      <c r="AT28" s="803" t="str">
        <f>IF(X28="DESL",'Fuel Density'!$C$12,IF(X28="PROP",'Fuel Density'!$C$16,IF(X28="GAS",'Fuel Density'!$C$11,IF(X28="CNG",'Fuel Density'!$C$13,IF(X28="LNG",'Fuel Density'!$C$14,IF(X28="LPG",'Fuel Density'!$C$15,IF(X28="","","")))))))</f>
        <v/>
      </c>
      <c r="AU28" s="804" t="str">
        <f>IFERROR(IF(X28="ELEC",AO28*AN28*(1/'Fuel-Specific GHG'!$C$15)*(1/IF(H28="GAS",3.4,IF(H28="DESL",2.7,3))),((AF28*(IF(ISBLANK(AH28),Defaults!$B$19,AH28))*AJ28*AS28)/AT28)),"")</f>
        <v/>
      </c>
      <c r="AV28" s="805" t="str">
        <f t="shared" si="20"/>
        <v/>
      </c>
      <c r="AW28" s="805" t="str">
        <f>IF(X28="DESL",'Fuel-Specific GHG'!$E$14,IF(X28="PROP",'Fuel-Specific GHG'!$E$19,IF(X28="GAS",'Fuel-Specific GHG'!$E$16,IF(X28="CNG",'Fuel-Specific GHG'!$E$13,IF(X28="LNG",'Fuel-Specific GHG'!$E$18,IF(X28="LPG",'Fuel-Specific GHG'!$E$19,IF(X28="ELEC",'Fuel-Specific GHG'!$E$15,"")))))))</f>
        <v/>
      </c>
      <c r="AX28" s="805" t="str">
        <f t="shared" si="21"/>
        <v/>
      </c>
      <c r="AY28" s="806" t="str">
        <f t="shared" si="22"/>
        <v/>
      </c>
      <c r="AZ28" s="806" t="str">
        <f t="shared" si="68"/>
        <v/>
      </c>
      <c r="BA28" s="806" t="str">
        <f t="shared" si="59"/>
        <v/>
      </c>
      <c r="BB28" s="804" t="str">
        <f t="shared" si="23"/>
        <v/>
      </c>
      <c r="BC28" s="807" t="str">
        <f t="shared" si="24"/>
        <v/>
      </c>
      <c r="BD28" s="807"/>
      <c r="BE28" s="808" t="str">
        <f t="shared" si="25"/>
        <v/>
      </c>
      <c r="BF28" s="809" t="str">
        <f t="shared" si="26"/>
        <v/>
      </c>
      <c r="BG28" s="808" t="str">
        <f t="shared" si="60"/>
        <v/>
      </c>
      <c r="BH28" s="810">
        <f t="shared" si="61"/>
        <v>0</v>
      </c>
      <c r="BI28" s="803" t="str">
        <f>IFERROR(VLOOKUP(BH28,'Pump Emission Factors'!$B$11:$J$88,4,FALSE),"")</f>
        <v/>
      </c>
      <c r="BJ28" s="803" t="str">
        <f>IFERROR(VLOOKUP(BH28,'Pump Emission Factors'!$B$11:$J$88,6,FALSE),"")</f>
        <v/>
      </c>
      <c r="BK28" s="803" t="str">
        <f>IFERROR(VLOOKUP(BH28,'Pump Emission Factors'!$B$11:$J$88,8,FALSE),"")</f>
        <v/>
      </c>
      <c r="BL28" s="803" t="str">
        <f>IFERROR(VLOOKUP(BH28,'Pump Emission Factors'!$B$11:$J$88,5,FALSE),"")</f>
        <v/>
      </c>
      <c r="BM28" s="803" t="str">
        <f>IFERROR(VLOOKUP(BH28,'Pump Emission Factors'!$B$11:$J$88,7,FALSE),"")</f>
        <v/>
      </c>
      <c r="BN28" s="803" t="str">
        <f>IFERROR(VLOOKUP(BH28,'Pump Emission Factors'!$B$11:$J$88,9,FALSE),"")</f>
        <v/>
      </c>
      <c r="BO28" s="811" t="str">
        <f t="shared" si="27"/>
        <v/>
      </c>
      <c r="BP28" s="811" t="str">
        <f t="shared" si="28"/>
        <v/>
      </c>
      <c r="BQ28" s="803">
        <f>IFERROR(((BI28+(BL28*BP28))*(IF(ISBLANK(R28),Defaults!$B$19,R28))*P28*T28)*F28*(1/454),0)</f>
        <v>0</v>
      </c>
      <c r="BR28" s="803">
        <f>IFERROR(((BJ28+(BM28*BP28))*(IF(ISBLANK(R28),Defaults!$B$19,R28))*P28*T28)*F28*(1/454),0)</f>
        <v>0</v>
      </c>
      <c r="BS28" s="803">
        <f>IFERROR(((BK28+(BN28*BP28))*(IF(ISBLANK(R28),Defaults!$B$19,R28))*P28*T28)*F28*(1/454),0)</f>
        <v>0</v>
      </c>
      <c r="BT28" s="803">
        <f t="shared" si="29"/>
        <v>0</v>
      </c>
      <c r="BU28" s="803">
        <f t="shared" si="62"/>
        <v>0</v>
      </c>
      <c r="BV28" s="812" t="str">
        <f t="shared" si="30"/>
        <v/>
      </c>
      <c r="BW28" s="808" t="str">
        <f t="shared" si="31"/>
        <v/>
      </c>
      <c r="BX28" s="809" t="str">
        <f t="shared" si="32"/>
        <v/>
      </c>
      <c r="BY28" s="808" t="str">
        <f t="shared" si="63"/>
        <v/>
      </c>
      <c r="BZ28" s="810">
        <f t="shared" si="64"/>
        <v>0</v>
      </c>
      <c r="CA28" s="813" t="str">
        <f>IFERROR(VLOOKUP(BZ28,'Pump Emission Factors'!$B$11:$J$88,4,FALSE),"")</f>
        <v/>
      </c>
      <c r="CB28" s="813" t="str">
        <f>IFERROR(VLOOKUP(BZ28,'Pump Emission Factors'!$B$11:$J$88,6,FALSE),"")</f>
        <v/>
      </c>
      <c r="CC28" s="813" t="str">
        <f>IFERROR(VLOOKUP(BZ28,'Pump Emission Factors'!$B$11:$J$88,8,FALSE),"")</f>
        <v/>
      </c>
      <c r="CD28" s="813" t="str">
        <f>IFERROR(VLOOKUP(BZ28,'Pump Emission Factors'!$B$11:$J$88,5,FALSE),"")</f>
        <v/>
      </c>
      <c r="CE28" s="813" t="str">
        <f>IFERROR(VLOOKUP(BZ28,'Pump Emission Factors'!$B$11:$J$88,7,FALSE),"")</f>
        <v/>
      </c>
      <c r="CF28" s="813" t="str">
        <f>IFERROR(VLOOKUP(BZ28,'Pump Emission Factors'!$B$11:$J$88,9,FALSE),"")</f>
        <v/>
      </c>
      <c r="CG28" s="814" t="str">
        <f t="shared" si="33"/>
        <v/>
      </c>
      <c r="CH28" s="814" t="str">
        <f t="shared" si="34"/>
        <v/>
      </c>
      <c r="CI28" s="813">
        <f>IFERROR(IF($X28="ELEC",((($AU28*(IF($H28="DESL",'Fuel-Specific GHG'!$C$14,IF($H28="GAS",'Fuel-Specific GHG'!$C$16,IF($H28="CNG",'Fuel-Specific GHG'!$C$13,IF(OR($H28="LPG",$H28="PROP"),'Fuel-Specific GHG'!$C$19,"")))))*(1/'Fuel-Specific GHG'!$C$15)*(1/3.4)*$F28)*'Grid Electricity'!$D$39)/454),((CA28+(CD28*CH28))*(IF(ISBLANK(AH28),Defaults!$B$19,AH28))*$AF28*$AJ28*$F28)),0)</f>
        <v>0</v>
      </c>
      <c r="CJ28" s="813">
        <f>IFERROR(IF($X28="ELEC",((($AU28*(IF($H28="DESL",'Fuel-Specific GHG'!$C$14,IF($H28="GAS",'Fuel-Specific GHG'!$C$16,IF($H28="CNG",'Fuel-Specific GHG'!$C$13,IF(OR($H28="LPG",$H28="PROP"),'Fuel-Specific GHG'!$C$19,"")))))*(1/'Fuel-Specific GHG'!$C$15)*(1/3.4)*$F28)*'Grid Electricity'!$C$39)/454),((CB28+(CE28*CH28))*(IF(ISBLANK(AH28),Defaults!$B$19,AH28))*$AF28*$AJ28*$F28)),0)</f>
        <v>0</v>
      </c>
      <c r="CK28" s="813">
        <f>IFERROR(IF($X28="ELEC",((($AU28*(IF($H28="DESL",'Fuel-Specific GHG'!$C$14,IF($H28="GAS",'Fuel-Specific GHG'!$C$16,IF($H28="CNG",'Fuel-Specific GHG'!$C$13,IF(OR($H28="LPG",$H28="PROP"),'Fuel-Specific GHG'!$C$19,"")))))*(1/'Fuel-Specific GHG'!$C$15)*(1/3.4)*$F28)*'Grid Electricity'!$F$39)/454),((CC28+(CF28*CH28))*(IF(ISBLANK(AH28),Defaults!$B$19,AH28))*$AF28*$AJ28*$F28)),0)</f>
        <v>0</v>
      </c>
      <c r="CL28" s="813">
        <f t="shared" si="35"/>
        <v>0</v>
      </c>
      <c r="CM28" s="813">
        <f t="shared" si="36"/>
        <v>0</v>
      </c>
      <c r="CN28" s="814" t="str">
        <f t="shared" si="37"/>
        <v/>
      </c>
      <c r="CO28" s="814" t="str">
        <f t="shared" si="38"/>
        <v/>
      </c>
      <c r="CP28" s="814" t="str">
        <f t="shared" si="39"/>
        <v/>
      </c>
      <c r="CQ28" s="814" t="str">
        <f t="shared" si="40"/>
        <v/>
      </c>
      <c r="CR28" s="815" t="str">
        <f>IF(AND(V28="Yes, Booster Pump VFD",AF28&lt;=75),('Pump Emission Factors'!$F$95*F28),(IF(AND(V28="Yes, Booster Pump VFD",AF28&gt;75),('Pump Emission Factors'!$F$96*F28),(IF(AND(V28="Yes, Well Pump VFD",AF28&lt;=75),('Pump Emission Factors'!$F$97*F28),(IF(AND(V28="Yes, Well Pump VFD",AF28&gt;75),('Pump Emission Factors'!$F$98*F28),"")))))))</f>
        <v/>
      </c>
      <c r="CS28" s="815" t="str">
        <f>IF(AND(V28="Yes, Booster Pump VFD",AF28&lt;=75),('Pump Emission Factors'!$G$95*F28),(IF(AND(V28="Yes, Booster Pump VFD",AF28&gt;75),('Pump Emission Factors'!$G$96*F28),(IF(AND(V28="Yes, Well Pump VFD",AF28&lt;=75),('Pump Emission Factors'!$G$97*F28),(IF(AND(V28="Yes, Well Pump VFD",AF28&gt;75),('Pump Emission Factors'!$G$98*F28),"")))))))</f>
        <v/>
      </c>
      <c r="CT28" s="815" t="str">
        <f>IF(AND(V28="Yes, Booster Pump VFD",AF28&lt;=75),('Pump Emission Factors'!$H$95*F28),(IF(AND(V28="Yes, Booster Pump VFD",AF28&gt;75),('Pump Emission Factors'!$H$96*F28),(IF(AND(V28="Yes, Well Pump VFD",AF28&lt;=75),('Pump Emission Factors'!$H$97*F28),(IF(AND(V28="Yes, Well Pump VFD",AF28&gt;75),('Pump Emission Factors'!$H$98*F28),"")))))))</f>
        <v/>
      </c>
      <c r="CU28" s="815" t="str">
        <f>IF(AND(V28="Yes, Booster Pump VFD",AF28&lt;=75),('Pump Emission Factors'!$J$95*F28),(IF(AND(V28="Yes, Booster Pump VFD",AF28&gt;75),('Pump Emission Factors'!$J$96*F28),(IF(AND(V28="Yes, Well Pump VFD",AF28&lt;=75),('Pump Emission Factors'!$J$97*F28),(IF(AND(V28="Yes, Well Pump VFD",AF28&gt;75),('Pump Emission Factors'!$J$98*F28),"")))))))</f>
        <v/>
      </c>
      <c r="CV28" s="815" t="str">
        <f>IF(AND(V28="Yes, Booster Pump VFD",AF28&lt;=75),('Pump Emission Factors'!$I$95*F28),(IF(AND(V28="Yes, Booster Pump VFD",AF28&gt;75),('Pump Emission Factors'!$I$96*F28),(IF(AND(V28="Yes, Well Pump VFD",AF28&lt;=75),('Pump Emission Factors'!$I$97*F28),(IF(AND(V28="Yes, Well Pump VFD",AF28&gt;75),('Pump Emission Factors'!$I$98*F28),"")))))))</f>
        <v/>
      </c>
      <c r="CW28" s="806">
        <f t="shared" si="41"/>
        <v>0</v>
      </c>
      <c r="CX28" s="806">
        <f t="shared" si="42"/>
        <v>0</v>
      </c>
      <c r="CY28" s="806">
        <f t="shared" si="43"/>
        <v>0</v>
      </c>
      <c r="CZ28" s="806">
        <f t="shared" si="44"/>
        <v>0</v>
      </c>
      <c r="DA28" s="806">
        <f t="shared" si="45"/>
        <v>0</v>
      </c>
      <c r="DB28" s="816" t="str">
        <f t="shared" si="65"/>
        <v/>
      </c>
      <c r="DC28" s="816" t="str">
        <f t="shared" si="46"/>
        <v/>
      </c>
      <c r="DD28" s="816" t="str">
        <f t="shared" si="46"/>
        <v/>
      </c>
      <c r="DE28" s="817" t="str">
        <f t="shared" si="47"/>
        <v/>
      </c>
      <c r="DF28" s="817" t="str">
        <f t="shared" si="48"/>
        <v/>
      </c>
      <c r="DG28" s="804" t="str">
        <f t="shared" si="49"/>
        <v/>
      </c>
      <c r="DH28" s="804" t="str">
        <f t="shared" si="50"/>
        <v/>
      </c>
      <c r="DI28" s="818" t="str">
        <f>IF(AO28="","",IF(H28="DESL",AO28*F28*'Fuel Prices'!$C$12,IF(H28="GAS",AO28*F28*'Fuel Prices'!$C$11,IF(H28="CNG",AO28*F28*'Fuel Prices'!$C$13,IF(H28="LNG",AO28*F28*'Fuel Prices'!$C$14,IF(H28="LPG",AO28*F28*'Fuel Prices'!$C$16,IF(H28="PROP",AO28*F28*'Fuel Prices'!$C$16,"0")))))))</f>
        <v/>
      </c>
      <c r="DJ28" s="818" t="str">
        <f>IF(AU28="","",IF(X28="DESL",AU28*F28*'Fuel Prices'!$C$12,IF(X28="GAS",AU28*F28*'Fuel Prices'!$C$11,IF(X28="CNG",AU28*F28*'Fuel Prices'!$C$13,IF(X28="LNG",AU28*F28*'Fuel Prices'!$C$14,IF(X28="LPG",AU28*F28*'Fuel Prices'!$C$16,IF(X28="PROP",AU28*F28*'Fuel Prices'!$C$16,IF(X28="ELEC",AU28*F28*'Fuel Prices'!$C$35,"0"))))))))</f>
        <v/>
      </c>
      <c r="DK28" s="818" t="str">
        <f t="shared" si="51"/>
        <v/>
      </c>
      <c r="DL28" s="818" t="str">
        <f t="shared" si="52"/>
        <v/>
      </c>
      <c r="DM28" s="804" t="str">
        <f t="shared" si="53"/>
        <v/>
      </c>
      <c r="DN28" s="804" t="str">
        <f t="shared" si="54"/>
        <v/>
      </c>
      <c r="DO28" s="804" t="str">
        <f>IFERROR(ROUND(CZ28*IF(COUNTIF($B$20:B28,B28)=1,1,"")/IF(B28="",0,1),0),"")</f>
        <v/>
      </c>
      <c r="DP28" s="804" t="str">
        <f>IFERROR(ROUND(CW28*IF(COUNTIF($B$20:B28,B28)=1,1,"")/IF(B28="",0,1),0),"")</f>
        <v/>
      </c>
      <c r="DQ28" s="804" t="str">
        <f>IFERROR(ROUND(DA28*IF(COUNTIF($B$20:B28,B28)=1,1,"")/IF(B28="",0,1),0),"")</f>
        <v/>
      </c>
      <c r="DR28" s="804" t="str">
        <f>IFERROR(ROUND(CX28*IF(COUNTIF($B$20:B28,B28)=1,1,"")/IF(B28="",0,1),0),"")</f>
        <v/>
      </c>
      <c r="DS28" s="804">
        <f t="shared" si="55"/>
        <v>0</v>
      </c>
      <c r="DT28" s="804">
        <f t="shared" si="56"/>
        <v>0</v>
      </c>
      <c r="DU28" s="804">
        <f t="shared" si="57"/>
        <v>0</v>
      </c>
      <c r="DV28" s="818" t="str">
        <f t="shared" si="66"/>
        <v/>
      </c>
      <c r="DW28" s="819" t="str">
        <f t="shared" si="67"/>
        <v/>
      </c>
    </row>
    <row r="29" spans="1:128" ht="18" customHeight="1" x14ac:dyDescent="0.35">
      <c r="A29" s="696"/>
      <c r="B29" s="820"/>
      <c r="C29" s="795" t="str">
        <f t="shared" si="0"/>
        <v>(Required)</v>
      </c>
      <c r="D29" s="821"/>
      <c r="E29" s="795" t="str">
        <f t="shared" si="0"/>
        <v>(Required)</v>
      </c>
      <c r="F29" s="821"/>
      <c r="G29" s="795" t="str">
        <f t="shared" si="1"/>
        <v>(Required)</v>
      </c>
      <c r="H29" s="822"/>
      <c r="I29" s="795" t="str">
        <f t="shared" si="2"/>
        <v>(Required)</v>
      </c>
      <c r="J29" s="821"/>
      <c r="K29" s="795" t="str">
        <f t="shared" si="3"/>
        <v>(Required)</v>
      </c>
      <c r="L29" s="821"/>
      <c r="M29" s="795" t="str">
        <f t="shared" si="4"/>
        <v>(Required)</v>
      </c>
      <c r="N29" s="821"/>
      <c r="O29" s="795" t="str">
        <f t="shared" si="5"/>
        <v>(Required)</v>
      </c>
      <c r="P29" s="821"/>
      <c r="Q29" s="795" t="str">
        <f t="shared" si="6"/>
        <v>(Required)</v>
      </c>
      <c r="R29" s="823"/>
      <c r="S29" s="799" t="str">
        <f t="shared" si="7"/>
        <v>(Optional)</v>
      </c>
      <c r="T29" s="821"/>
      <c r="U29" s="795" t="str">
        <f t="shared" si="8"/>
        <v>(Required)</v>
      </c>
      <c r="V29" s="824"/>
      <c r="W29" s="799" t="str">
        <f t="shared" si="9"/>
        <v>(Optional)</v>
      </c>
      <c r="X29" s="822"/>
      <c r="Y29" s="795" t="str">
        <f t="shared" si="10"/>
        <v>(Required)</v>
      </c>
      <c r="Z29" s="821"/>
      <c r="AA29" s="795" t="str">
        <f t="shared" si="11"/>
        <v>(Required)</v>
      </c>
      <c r="AB29" s="821"/>
      <c r="AC29" s="795" t="str">
        <f t="shared" si="12"/>
        <v>(Required)</v>
      </c>
      <c r="AD29" s="821"/>
      <c r="AE29" s="795" t="str">
        <f t="shared" si="13"/>
        <v>(Required)</v>
      </c>
      <c r="AF29" s="821"/>
      <c r="AG29" s="795" t="str">
        <f t="shared" si="14"/>
        <v>(Required)</v>
      </c>
      <c r="AH29" s="823"/>
      <c r="AI29" s="799" t="str">
        <f t="shared" si="15"/>
        <v>(Optional)</v>
      </c>
      <c r="AJ29" s="821"/>
      <c r="AK29" s="795" t="str">
        <f t="shared" si="16"/>
        <v>(Required)</v>
      </c>
      <c r="AL29" s="803" t="str">
        <f t="shared" si="17"/>
        <v/>
      </c>
      <c r="AM29" s="803" t="str">
        <f>IF(H29="DESL",'Fuel Density'!$C$12,IF(H29="GAS",'Fuel Density'!$C$11,IF(H29="CNG",'Fuel Density'!$C$13,IF(H29="LNG",'Fuel Density'!$C$14,IF(H29="LPG",'Fuel Density'!$C$15,IF(H29="PROP",'Fuel Density'!$C$16,IF(H29="","","")))))))</f>
        <v/>
      </c>
      <c r="AN29" s="803" t="str">
        <f>IF(H29="DESL",'Fuel-Specific GHG'!$C$14,IF(H29="GAS",'Fuel-Specific GHG'!$C$16,IF(H29="CNG",'Fuel-Specific GHG'!$C$13,IF(H29="LNG",'Fuel-Specific GHG'!$C$18,IF(OR(H29="LPG",H29="PROP"),'Fuel-Specific GHG'!$C$19,IF(H29="","",""))))))</f>
        <v/>
      </c>
      <c r="AO29" s="804" t="str">
        <f>IFERROR(((P29*(IF(ISBLANK(R29),Defaults!$B$19,R29))*T29*AL29)/AM29),"")</f>
        <v/>
      </c>
      <c r="AP29" s="805" t="str">
        <f t="shared" si="18"/>
        <v/>
      </c>
      <c r="AQ29" s="805" t="str">
        <f>IF(H29="DESL",'Fuel-Specific GHG'!$E$14,IF(H29="GAS",'Fuel-Specific GHG'!$E$16,IF(H29="CNG",'Fuel-Specific GHG'!$E$13,IF(H29="LNG",'Fuel-Specific GHG'!$E$18,IF(OR(H29="LPG",H29="PROP"),'Fuel-Specific GHG'!$E$19,"")))))</f>
        <v/>
      </c>
      <c r="AR29" s="805" t="str">
        <f t="shared" si="19"/>
        <v/>
      </c>
      <c r="AS29" s="803" t="str">
        <f t="shared" si="58"/>
        <v/>
      </c>
      <c r="AT29" s="803" t="str">
        <f>IF(X29="DESL",'Fuel Density'!$C$12,IF(X29="PROP",'Fuel Density'!$C$16,IF(X29="GAS",'Fuel Density'!$C$11,IF(X29="CNG",'Fuel Density'!$C$13,IF(X29="LNG",'Fuel Density'!$C$14,IF(X29="LPG",'Fuel Density'!$C$15,IF(X29="","","")))))))</f>
        <v/>
      </c>
      <c r="AU29" s="804" t="str">
        <f>IFERROR(IF(X29="ELEC",AO29*AN29*(1/'Fuel-Specific GHG'!$C$15)*(1/IF(H29="GAS",3.4,IF(H29="DESL",2.7,3))),((AF29*(IF(ISBLANK(AH29),Defaults!$B$19,AH29))*AJ29*AS29)/AT29)),"")</f>
        <v/>
      </c>
      <c r="AV29" s="805" t="str">
        <f t="shared" si="20"/>
        <v/>
      </c>
      <c r="AW29" s="805" t="str">
        <f>IF(X29="DESL",'Fuel-Specific GHG'!$E$14,IF(X29="PROP",'Fuel-Specific GHG'!$E$19,IF(X29="GAS",'Fuel-Specific GHG'!$E$16,IF(X29="CNG",'Fuel-Specific GHG'!$E$13,IF(X29="LNG",'Fuel-Specific GHG'!$E$18,IF(X29="LPG",'Fuel-Specific GHG'!$E$19,IF(X29="ELEC",'Fuel-Specific GHG'!$E$15,"")))))))</f>
        <v/>
      </c>
      <c r="AX29" s="805" t="str">
        <f t="shared" si="21"/>
        <v/>
      </c>
      <c r="AY29" s="806" t="str">
        <f t="shared" si="22"/>
        <v/>
      </c>
      <c r="AZ29" s="806" t="str">
        <f t="shared" si="68"/>
        <v/>
      </c>
      <c r="BA29" s="806" t="str">
        <f t="shared" si="59"/>
        <v/>
      </c>
      <c r="BB29" s="804" t="str">
        <f t="shared" si="23"/>
        <v/>
      </c>
      <c r="BC29" s="807" t="str">
        <f t="shared" si="24"/>
        <v/>
      </c>
      <c r="BD29" s="807"/>
      <c r="BE29" s="808" t="str">
        <f t="shared" si="25"/>
        <v/>
      </c>
      <c r="BF29" s="809" t="str">
        <f t="shared" si="26"/>
        <v/>
      </c>
      <c r="BG29" s="808" t="str">
        <f t="shared" si="60"/>
        <v/>
      </c>
      <c r="BH29" s="810">
        <f t="shared" si="61"/>
        <v>0</v>
      </c>
      <c r="BI29" s="803" t="str">
        <f>IFERROR(VLOOKUP(BH29,'Pump Emission Factors'!$B$11:$J$88,4,FALSE),"")</f>
        <v/>
      </c>
      <c r="BJ29" s="803" t="str">
        <f>IFERROR(VLOOKUP(BH29,'Pump Emission Factors'!$B$11:$J$88,6,FALSE),"")</f>
        <v/>
      </c>
      <c r="BK29" s="803" t="str">
        <f>IFERROR(VLOOKUP(BH29,'Pump Emission Factors'!$B$11:$J$88,8,FALSE),"")</f>
        <v/>
      </c>
      <c r="BL29" s="803" t="str">
        <f>IFERROR(VLOOKUP(BH29,'Pump Emission Factors'!$B$11:$J$88,5,FALSE),"")</f>
        <v/>
      </c>
      <c r="BM29" s="803" t="str">
        <f>IFERROR(VLOOKUP(BH29,'Pump Emission Factors'!$B$11:$J$88,7,FALSE),"")</f>
        <v/>
      </c>
      <c r="BN29" s="803" t="str">
        <f>IFERROR(VLOOKUP(BH29,'Pump Emission Factors'!$B$11:$J$88,9,FALSE),"")</f>
        <v/>
      </c>
      <c r="BO29" s="811" t="str">
        <f t="shared" si="27"/>
        <v/>
      </c>
      <c r="BP29" s="811" t="str">
        <f t="shared" si="28"/>
        <v/>
      </c>
      <c r="BQ29" s="803">
        <f>IFERROR(((BI29+(BL29*BP29))*(IF(ISBLANK(R29),Defaults!$B$19,R29))*P29*T29)*F29*(1/454),0)</f>
        <v>0</v>
      </c>
      <c r="BR29" s="803">
        <f>IFERROR(((BJ29+(BM29*BP29))*(IF(ISBLANK(R29),Defaults!$B$19,R29))*P29*T29)*F29*(1/454),0)</f>
        <v>0</v>
      </c>
      <c r="BS29" s="803">
        <f>IFERROR(((BK29+(BN29*BP29))*(IF(ISBLANK(R29),Defaults!$B$19,R29))*P29*T29)*F29*(1/454),0)</f>
        <v>0</v>
      </c>
      <c r="BT29" s="803">
        <f t="shared" si="29"/>
        <v>0</v>
      </c>
      <c r="BU29" s="803">
        <f t="shared" si="62"/>
        <v>0</v>
      </c>
      <c r="BV29" s="812" t="str">
        <f t="shared" si="30"/>
        <v/>
      </c>
      <c r="BW29" s="808" t="str">
        <f t="shared" si="31"/>
        <v/>
      </c>
      <c r="BX29" s="809" t="str">
        <f t="shared" si="32"/>
        <v/>
      </c>
      <c r="BY29" s="808" t="str">
        <f t="shared" si="63"/>
        <v/>
      </c>
      <c r="BZ29" s="810">
        <f t="shared" si="64"/>
        <v>0</v>
      </c>
      <c r="CA29" s="813" t="str">
        <f>IFERROR(VLOOKUP(BZ29,'Pump Emission Factors'!$B$11:$J$88,4,FALSE),"")</f>
        <v/>
      </c>
      <c r="CB29" s="813" t="str">
        <f>IFERROR(VLOOKUP(BZ29,'Pump Emission Factors'!$B$11:$J$88,6,FALSE),"")</f>
        <v/>
      </c>
      <c r="CC29" s="813" t="str">
        <f>IFERROR(VLOOKUP(BZ29,'Pump Emission Factors'!$B$11:$J$88,8,FALSE),"")</f>
        <v/>
      </c>
      <c r="CD29" s="813" t="str">
        <f>IFERROR(VLOOKUP(BZ29,'Pump Emission Factors'!$B$11:$J$88,5,FALSE),"")</f>
        <v/>
      </c>
      <c r="CE29" s="813" t="str">
        <f>IFERROR(VLOOKUP(BZ29,'Pump Emission Factors'!$B$11:$J$88,7,FALSE),"")</f>
        <v/>
      </c>
      <c r="CF29" s="813" t="str">
        <f>IFERROR(VLOOKUP(BZ29,'Pump Emission Factors'!$B$11:$J$88,9,FALSE),"")</f>
        <v/>
      </c>
      <c r="CG29" s="814" t="str">
        <f t="shared" si="33"/>
        <v/>
      </c>
      <c r="CH29" s="814" t="str">
        <f t="shared" si="34"/>
        <v/>
      </c>
      <c r="CI29" s="813">
        <f>IFERROR(IF($X29="ELEC",((($AU29*(IF($H29="DESL",'Fuel-Specific GHG'!$C$14,IF($H29="GAS",'Fuel-Specific GHG'!$C$16,IF($H29="CNG",'Fuel-Specific GHG'!$C$13,IF(OR($H29="LPG",$H29="PROP"),'Fuel-Specific GHG'!$C$19,"")))))*(1/'Fuel-Specific GHG'!$C$15)*(1/3.4)*$F29)*'Grid Electricity'!$D$39)/454),((CA29+(CD29*CH29))*(IF(ISBLANK(AH29),Defaults!$B$19,AH29))*$AF29*$AJ29*$F29)),0)</f>
        <v>0</v>
      </c>
      <c r="CJ29" s="813">
        <f>IFERROR(IF($X29="ELEC",((($AU29*(IF($H29="DESL",'Fuel-Specific GHG'!$C$14,IF($H29="GAS",'Fuel-Specific GHG'!$C$16,IF($H29="CNG",'Fuel-Specific GHG'!$C$13,IF(OR($H29="LPG",$H29="PROP"),'Fuel-Specific GHG'!$C$19,"")))))*(1/'Fuel-Specific GHG'!$C$15)*(1/3.4)*$F29)*'Grid Electricity'!$C$39)/454),((CB29+(CE29*CH29))*(IF(ISBLANK(AH29),Defaults!$B$19,AH29))*$AF29*$AJ29*$F29)),0)</f>
        <v>0</v>
      </c>
      <c r="CK29" s="813">
        <f>IFERROR(IF($X29="ELEC",((($AU29*(IF($H29="DESL",'Fuel-Specific GHG'!$C$14,IF($H29="GAS",'Fuel-Specific GHG'!$C$16,IF($H29="CNG",'Fuel-Specific GHG'!$C$13,IF(OR($H29="LPG",$H29="PROP"),'Fuel-Specific GHG'!$C$19,"")))))*(1/'Fuel-Specific GHG'!$C$15)*(1/3.4)*$F29)*'Grid Electricity'!$F$39)/454),((CC29+(CF29*CH29))*(IF(ISBLANK(AH29),Defaults!$B$19,AH29))*$AF29*$AJ29*$F29)),0)</f>
        <v>0</v>
      </c>
      <c r="CL29" s="813">
        <f t="shared" si="35"/>
        <v>0</v>
      </c>
      <c r="CM29" s="813">
        <f t="shared" si="36"/>
        <v>0</v>
      </c>
      <c r="CN29" s="814" t="str">
        <f t="shared" si="37"/>
        <v/>
      </c>
      <c r="CO29" s="814" t="str">
        <f t="shared" si="38"/>
        <v/>
      </c>
      <c r="CP29" s="814" t="str">
        <f t="shared" si="39"/>
        <v/>
      </c>
      <c r="CQ29" s="814" t="str">
        <f t="shared" si="40"/>
        <v/>
      </c>
      <c r="CR29" s="815" t="str">
        <f>IF(AND(V29="Yes, Booster Pump VFD",AF29&lt;=75),('Pump Emission Factors'!$F$95*F29),(IF(AND(V29="Yes, Booster Pump VFD",AF29&gt;75),('Pump Emission Factors'!$F$96*F29),(IF(AND(V29="Yes, Well Pump VFD",AF29&lt;=75),('Pump Emission Factors'!$F$97*F29),(IF(AND(V29="Yes, Well Pump VFD",AF29&gt;75),('Pump Emission Factors'!$F$98*F29),"")))))))</f>
        <v/>
      </c>
      <c r="CS29" s="815" t="str">
        <f>IF(AND(V29="Yes, Booster Pump VFD",AF29&lt;=75),('Pump Emission Factors'!$G$95*F29),(IF(AND(V29="Yes, Booster Pump VFD",AF29&gt;75),('Pump Emission Factors'!$G$96*F29),(IF(AND(V29="Yes, Well Pump VFD",AF29&lt;=75),('Pump Emission Factors'!$G$97*F29),(IF(AND(V29="Yes, Well Pump VFD",AF29&gt;75),('Pump Emission Factors'!$G$98*F29),"")))))))</f>
        <v/>
      </c>
      <c r="CT29" s="815" t="str">
        <f>IF(AND(V29="Yes, Booster Pump VFD",AF29&lt;=75),('Pump Emission Factors'!$H$95*F29),(IF(AND(V29="Yes, Booster Pump VFD",AF29&gt;75),('Pump Emission Factors'!$H$96*F29),(IF(AND(V29="Yes, Well Pump VFD",AF29&lt;=75),('Pump Emission Factors'!$H$97*F29),(IF(AND(V29="Yes, Well Pump VFD",AF29&gt;75),('Pump Emission Factors'!$H$98*F29),"")))))))</f>
        <v/>
      </c>
      <c r="CU29" s="815" t="str">
        <f>IF(AND(V29="Yes, Booster Pump VFD",AF29&lt;=75),('Pump Emission Factors'!$J$95*F29),(IF(AND(V29="Yes, Booster Pump VFD",AF29&gt;75),('Pump Emission Factors'!$J$96*F29),(IF(AND(V29="Yes, Well Pump VFD",AF29&lt;=75),('Pump Emission Factors'!$J$97*F29),(IF(AND(V29="Yes, Well Pump VFD",AF29&gt;75),('Pump Emission Factors'!$J$98*F29),"")))))))</f>
        <v/>
      </c>
      <c r="CV29" s="815" t="str">
        <f>IF(AND(V29="Yes, Booster Pump VFD",AF29&lt;=75),('Pump Emission Factors'!$I$95*F29),(IF(AND(V29="Yes, Booster Pump VFD",AF29&gt;75),('Pump Emission Factors'!$I$96*F29),(IF(AND(V29="Yes, Well Pump VFD",AF29&lt;=75),('Pump Emission Factors'!$I$97*F29),(IF(AND(V29="Yes, Well Pump VFD",AF29&gt;75),('Pump Emission Factors'!$I$98*F29),"")))))))</f>
        <v/>
      </c>
      <c r="CW29" s="806">
        <f t="shared" si="41"/>
        <v>0</v>
      </c>
      <c r="CX29" s="806">
        <f t="shared" si="42"/>
        <v>0</v>
      </c>
      <c r="CY29" s="806">
        <f t="shared" si="43"/>
        <v>0</v>
      </c>
      <c r="CZ29" s="806">
        <f t="shared" si="44"/>
        <v>0</v>
      </c>
      <c r="DA29" s="806">
        <f t="shared" si="45"/>
        <v>0</v>
      </c>
      <c r="DB29" s="816" t="str">
        <f t="shared" si="65"/>
        <v/>
      </c>
      <c r="DC29" s="816" t="str">
        <f t="shared" si="46"/>
        <v/>
      </c>
      <c r="DD29" s="816" t="str">
        <f t="shared" si="46"/>
        <v/>
      </c>
      <c r="DE29" s="817" t="str">
        <f t="shared" si="47"/>
        <v/>
      </c>
      <c r="DF29" s="817" t="str">
        <f t="shared" si="48"/>
        <v/>
      </c>
      <c r="DG29" s="804" t="str">
        <f t="shared" si="49"/>
        <v/>
      </c>
      <c r="DH29" s="804" t="str">
        <f t="shared" si="50"/>
        <v/>
      </c>
      <c r="DI29" s="818" t="str">
        <f>IF(AO29="","",IF(H29="DESL",AO29*F29*'Fuel Prices'!$C$12,IF(H29="GAS",AO29*F29*'Fuel Prices'!$C$11,IF(H29="CNG",AO29*F29*'Fuel Prices'!$C$13,IF(H29="LNG",AO29*F29*'Fuel Prices'!$C$14,IF(H29="LPG",AO29*F29*'Fuel Prices'!$C$16,IF(H29="PROP",AO29*F29*'Fuel Prices'!$C$16,"0")))))))</f>
        <v/>
      </c>
      <c r="DJ29" s="818" t="str">
        <f>IF(AU29="","",IF(X29="DESL",AU29*F29*'Fuel Prices'!$C$12,IF(X29="GAS",AU29*F29*'Fuel Prices'!$C$11,IF(X29="CNG",AU29*F29*'Fuel Prices'!$C$13,IF(X29="LNG",AU29*F29*'Fuel Prices'!$C$14,IF(X29="LPG",AU29*F29*'Fuel Prices'!$C$16,IF(X29="PROP",AU29*F29*'Fuel Prices'!$C$16,IF(X29="ELEC",AU29*F29*'Fuel Prices'!$C$35,"0"))))))))</f>
        <v/>
      </c>
      <c r="DK29" s="818" t="str">
        <f t="shared" si="51"/>
        <v/>
      </c>
      <c r="DL29" s="818" t="str">
        <f t="shared" si="52"/>
        <v/>
      </c>
      <c r="DM29" s="804" t="str">
        <f t="shared" si="53"/>
        <v/>
      </c>
      <c r="DN29" s="804" t="str">
        <f t="shared" si="54"/>
        <v/>
      </c>
      <c r="DO29" s="804" t="str">
        <f>IFERROR(ROUND(CZ29*IF(COUNTIF($B$20:B29,B29)=1,1,"")/IF(B29="",0,1),0),"")</f>
        <v/>
      </c>
      <c r="DP29" s="804" t="str">
        <f>IFERROR(ROUND(CW29*IF(COUNTIF($B$20:B29,B29)=1,1,"")/IF(B29="",0,1),0),"")</f>
        <v/>
      </c>
      <c r="DQ29" s="804" t="str">
        <f>IFERROR(ROUND(DA29*IF(COUNTIF($B$20:B29,B29)=1,1,"")/IF(B29="",0,1),0),"")</f>
        <v/>
      </c>
      <c r="DR29" s="804" t="str">
        <f>IFERROR(ROUND(CX29*IF(COUNTIF($B$20:B29,B29)=1,1,"")/IF(B29="",0,1),0),"")</f>
        <v/>
      </c>
      <c r="DS29" s="804">
        <f t="shared" si="55"/>
        <v>0</v>
      </c>
      <c r="DT29" s="804">
        <f t="shared" si="56"/>
        <v>0</v>
      </c>
      <c r="DU29" s="804">
        <f t="shared" si="57"/>
        <v>0</v>
      </c>
      <c r="DV29" s="818" t="str">
        <f t="shared" si="66"/>
        <v/>
      </c>
      <c r="DW29" s="819" t="str">
        <f t="shared" si="67"/>
        <v/>
      </c>
    </row>
    <row r="30" spans="1:128" ht="18" customHeight="1" x14ac:dyDescent="0.35">
      <c r="A30" s="635"/>
      <c r="B30" s="820"/>
      <c r="C30" s="795" t="str">
        <f t="shared" si="0"/>
        <v>(Required)</v>
      </c>
      <c r="D30" s="821"/>
      <c r="E30" s="795" t="str">
        <f t="shared" si="0"/>
        <v>(Required)</v>
      </c>
      <c r="F30" s="821"/>
      <c r="G30" s="795" t="str">
        <f t="shared" si="1"/>
        <v>(Required)</v>
      </c>
      <c r="H30" s="822"/>
      <c r="I30" s="795" t="str">
        <f t="shared" si="2"/>
        <v>(Required)</v>
      </c>
      <c r="J30" s="821"/>
      <c r="K30" s="795" t="str">
        <f t="shared" si="3"/>
        <v>(Required)</v>
      </c>
      <c r="L30" s="821"/>
      <c r="M30" s="795" t="str">
        <f t="shared" si="4"/>
        <v>(Required)</v>
      </c>
      <c r="N30" s="821"/>
      <c r="O30" s="795" t="str">
        <f t="shared" si="5"/>
        <v>(Required)</v>
      </c>
      <c r="P30" s="821"/>
      <c r="Q30" s="795" t="str">
        <f t="shared" si="6"/>
        <v>(Required)</v>
      </c>
      <c r="R30" s="823"/>
      <c r="S30" s="799" t="str">
        <f t="shared" si="7"/>
        <v>(Optional)</v>
      </c>
      <c r="T30" s="821"/>
      <c r="U30" s="795" t="str">
        <f t="shared" si="8"/>
        <v>(Required)</v>
      </c>
      <c r="V30" s="824"/>
      <c r="W30" s="799" t="str">
        <f t="shared" si="9"/>
        <v>(Optional)</v>
      </c>
      <c r="X30" s="822"/>
      <c r="Y30" s="795" t="str">
        <f t="shared" si="10"/>
        <v>(Required)</v>
      </c>
      <c r="Z30" s="821"/>
      <c r="AA30" s="795" t="str">
        <f t="shared" si="11"/>
        <v>(Required)</v>
      </c>
      <c r="AB30" s="821"/>
      <c r="AC30" s="795" t="str">
        <f t="shared" si="12"/>
        <v>(Required)</v>
      </c>
      <c r="AD30" s="821"/>
      <c r="AE30" s="795" t="str">
        <f t="shared" si="13"/>
        <v>(Required)</v>
      </c>
      <c r="AF30" s="821"/>
      <c r="AG30" s="795" t="str">
        <f t="shared" si="14"/>
        <v>(Required)</v>
      </c>
      <c r="AH30" s="823"/>
      <c r="AI30" s="799" t="str">
        <f t="shared" si="15"/>
        <v>(Optional)</v>
      </c>
      <c r="AJ30" s="821"/>
      <c r="AK30" s="795" t="str">
        <f t="shared" si="16"/>
        <v>(Required)</v>
      </c>
      <c r="AL30" s="803" t="str">
        <f t="shared" si="17"/>
        <v/>
      </c>
      <c r="AM30" s="803" t="str">
        <f>IF(H30="DESL",'Fuel Density'!$C$12,IF(H30="GAS",'Fuel Density'!$C$11,IF(H30="CNG",'Fuel Density'!$C$13,IF(H30="LNG",'Fuel Density'!$C$14,IF(H30="LPG",'Fuel Density'!$C$15,IF(H30="PROP",'Fuel Density'!$C$16,IF(H30="","","")))))))</f>
        <v/>
      </c>
      <c r="AN30" s="803" t="str">
        <f>IF(H30="DESL",'Fuel-Specific GHG'!$C$14,IF(H30="GAS",'Fuel-Specific GHG'!$C$16,IF(H30="CNG",'Fuel-Specific GHG'!$C$13,IF(H30="LNG",'Fuel-Specific GHG'!$C$18,IF(OR(H30="LPG",H30="PROP"),'Fuel-Specific GHG'!$C$19,IF(H30="","",""))))))</f>
        <v/>
      </c>
      <c r="AO30" s="804" t="str">
        <f>IFERROR(((P30*(IF(ISBLANK(R30),Defaults!$B$19,R30))*T30*AL30)/AM30),"")</f>
        <v/>
      </c>
      <c r="AP30" s="805" t="str">
        <f t="shared" si="18"/>
        <v/>
      </c>
      <c r="AQ30" s="805" t="str">
        <f>IF(H30="DESL",'Fuel-Specific GHG'!$E$14,IF(H30="GAS",'Fuel-Specific GHG'!$E$16,IF(H30="CNG",'Fuel-Specific GHG'!$E$13,IF(H30="LNG",'Fuel-Specific GHG'!$E$18,IF(OR(H30="LPG",H30="PROP"),'Fuel-Specific GHG'!$E$19,"")))))</f>
        <v/>
      </c>
      <c r="AR30" s="805" t="str">
        <f t="shared" si="19"/>
        <v/>
      </c>
      <c r="AS30" s="803" t="str">
        <f t="shared" si="58"/>
        <v/>
      </c>
      <c r="AT30" s="803" t="str">
        <f>IF(X30="DESL",'Fuel Density'!$C$12,IF(X30="PROP",'Fuel Density'!$C$16,IF(X30="GAS",'Fuel Density'!$C$11,IF(X30="CNG",'Fuel Density'!$C$13,IF(X30="LNG",'Fuel Density'!$C$14,IF(X30="LPG",'Fuel Density'!$C$15,IF(X30="","","")))))))</f>
        <v/>
      </c>
      <c r="AU30" s="804" t="str">
        <f>IFERROR(IF(X30="ELEC",AO30*AN30*(1/'Fuel-Specific GHG'!$C$15)*(1/IF(H30="GAS",3.4,IF(H30="DESL",2.7,3))),((AF30*(IF(ISBLANK(AH30),Defaults!$B$19,AH30))*AJ30*AS30)/AT30)),"")</f>
        <v/>
      </c>
      <c r="AV30" s="805" t="str">
        <f t="shared" si="20"/>
        <v/>
      </c>
      <c r="AW30" s="805" t="str">
        <f>IF(X30="DESL",'Fuel-Specific GHG'!$E$14,IF(X30="PROP",'Fuel-Specific GHG'!$E$19,IF(X30="GAS",'Fuel-Specific GHG'!$E$16,IF(X30="CNG",'Fuel-Specific GHG'!$E$13,IF(X30="LNG",'Fuel-Specific GHG'!$E$18,IF(X30="LPG",'Fuel-Specific GHG'!$E$19,IF(X30="ELEC",'Fuel-Specific GHG'!$E$15,"")))))))</f>
        <v/>
      </c>
      <c r="AX30" s="805" t="str">
        <f t="shared" si="21"/>
        <v/>
      </c>
      <c r="AY30" s="806" t="str">
        <f t="shared" si="22"/>
        <v/>
      </c>
      <c r="AZ30" s="806" t="str">
        <f t="shared" si="68"/>
        <v/>
      </c>
      <c r="BA30" s="806" t="str">
        <f t="shared" si="59"/>
        <v/>
      </c>
      <c r="BB30" s="804" t="str">
        <f t="shared" si="23"/>
        <v/>
      </c>
      <c r="BC30" s="807" t="str">
        <f t="shared" si="24"/>
        <v/>
      </c>
      <c r="BD30" s="807"/>
      <c r="BE30" s="808" t="str">
        <f t="shared" si="25"/>
        <v/>
      </c>
      <c r="BF30" s="809" t="str">
        <f t="shared" si="26"/>
        <v/>
      </c>
      <c r="BG30" s="808" t="str">
        <f t="shared" si="60"/>
        <v/>
      </c>
      <c r="BH30" s="810">
        <f t="shared" si="61"/>
        <v>0</v>
      </c>
      <c r="BI30" s="803" t="str">
        <f>IFERROR(VLOOKUP(BH30,'Pump Emission Factors'!$B$11:$J$88,4,FALSE),"")</f>
        <v/>
      </c>
      <c r="BJ30" s="803" t="str">
        <f>IFERROR(VLOOKUP(BH30,'Pump Emission Factors'!$B$11:$J$88,6,FALSE),"")</f>
        <v/>
      </c>
      <c r="BK30" s="803" t="str">
        <f>IFERROR(VLOOKUP(BH30,'Pump Emission Factors'!$B$11:$J$88,8,FALSE),"")</f>
        <v/>
      </c>
      <c r="BL30" s="803" t="str">
        <f>IFERROR(VLOOKUP(BH30,'Pump Emission Factors'!$B$11:$J$88,5,FALSE),"")</f>
        <v/>
      </c>
      <c r="BM30" s="803" t="str">
        <f>IFERROR(VLOOKUP(BH30,'Pump Emission Factors'!$B$11:$J$88,7,FALSE),"")</f>
        <v/>
      </c>
      <c r="BN30" s="803" t="str">
        <f>IFERROR(VLOOKUP(BH30,'Pump Emission Factors'!$B$11:$J$88,9,FALSE),"")</f>
        <v/>
      </c>
      <c r="BO30" s="811" t="str">
        <f t="shared" si="27"/>
        <v/>
      </c>
      <c r="BP30" s="811" t="str">
        <f t="shared" si="28"/>
        <v/>
      </c>
      <c r="BQ30" s="803">
        <f>IFERROR(((BI30+(BL30*BP30))*(IF(ISBLANK(R30),Defaults!$B$19,R30))*P30*T30)*F30*(1/454),0)</f>
        <v>0</v>
      </c>
      <c r="BR30" s="803">
        <f>IFERROR(((BJ30+(BM30*BP30))*(IF(ISBLANK(R30),Defaults!$B$19,R30))*P30*T30)*F30*(1/454),0)</f>
        <v>0</v>
      </c>
      <c r="BS30" s="803">
        <f>IFERROR(((BK30+(BN30*BP30))*(IF(ISBLANK(R30),Defaults!$B$19,R30))*P30*T30)*F30*(1/454),0)</f>
        <v>0</v>
      </c>
      <c r="BT30" s="803">
        <f t="shared" si="29"/>
        <v>0</v>
      </c>
      <c r="BU30" s="803">
        <f t="shared" si="62"/>
        <v>0</v>
      </c>
      <c r="BV30" s="812" t="str">
        <f t="shared" si="30"/>
        <v/>
      </c>
      <c r="BW30" s="808" t="str">
        <f t="shared" si="31"/>
        <v/>
      </c>
      <c r="BX30" s="809" t="str">
        <f t="shared" si="32"/>
        <v/>
      </c>
      <c r="BY30" s="808" t="str">
        <f t="shared" si="63"/>
        <v/>
      </c>
      <c r="BZ30" s="810">
        <f t="shared" si="64"/>
        <v>0</v>
      </c>
      <c r="CA30" s="813" t="str">
        <f>IFERROR(VLOOKUP(BZ30,'Pump Emission Factors'!$B$11:$J$88,4,FALSE),"")</f>
        <v/>
      </c>
      <c r="CB30" s="813" t="str">
        <f>IFERROR(VLOOKUP(BZ30,'Pump Emission Factors'!$B$11:$J$88,6,FALSE),"")</f>
        <v/>
      </c>
      <c r="CC30" s="813" t="str">
        <f>IFERROR(VLOOKUP(BZ30,'Pump Emission Factors'!$B$11:$J$88,8,FALSE),"")</f>
        <v/>
      </c>
      <c r="CD30" s="813" t="str">
        <f>IFERROR(VLOOKUP(BZ30,'Pump Emission Factors'!$B$11:$J$88,5,FALSE),"")</f>
        <v/>
      </c>
      <c r="CE30" s="813" t="str">
        <f>IFERROR(VLOOKUP(BZ30,'Pump Emission Factors'!$B$11:$J$88,7,FALSE),"")</f>
        <v/>
      </c>
      <c r="CF30" s="813" t="str">
        <f>IFERROR(VLOOKUP(BZ30,'Pump Emission Factors'!$B$11:$J$88,9,FALSE),"")</f>
        <v/>
      </c>
      <c r="CG30" s="814" t="str">
        <f t="shared" si="33"/>
        <v/>
      </c>
      <c r="CH30" s="814" t="str">
        <f t="shared" si="34"/>
        <v/>
      </c>
      <c r="CI30" s="813">
        <f>IFERROR(IF($X30="ELEC",((($AU30*(IF($H30="DESL",'Fuel-Specific GHG'!$C$14,IF($H30="GAS",'Fuel-Specific GHG'!$C$16,IF($H30="CNG",'Fuel-Specific GHG'!$C$13,IF(OR($H30="LPG",$H30="PROP"),'Fuel-Specific GHG'!$C$19,"")))))*(1/'Fuel-Specific GHG'!$C$15)*(1/3.4)*$F30)*'Grid Electricity'!$D$39)/454),((CA30+(CD30*CH30))*(IF(ISBLANK(AH30),Defaults!$B$19,AH30))*$AF30*$AJ30*$F30)),0)</f>
        <v>0</v>
      </c>
      <c r="CJ30" s="813">
        <f>IFERROR(IF($X30="ELEC",((($AU30*(IF($H30="DESL",'Fuel-Specific GHG'!$C$14,IF($H30="GAS",'Fuel-Specific GHG'!$C$16,IF($H30="CNG",'Fuel-Specific GHG'!$C$13,IF(OR($H30="LPG",$H30="PROP"),'Fuel-Specific GHG'!$C$19,"")))))*(1/'Fuel-Specific GHG'!$C$15)*(1/3.4)*$F30)*'Grid Electricity'!$C$39)/454),((CB30+(CE30*CH30))*(IF(ISBLANK(AH30),Defaults!$B$19,AH30))*$AF30*$AJ30*$F30)),0)</f>
        <v>0</v>
      </c>
      <c r="CK30" s="813">
        <f>IFERROR(IF($X30="ELEC",((($AU30*(IF($H30="DESL",'Fuel-Specific GHG'!$C$14,IF($H30="GAS",'Fuel-Specific GHG'!$C$16,IF($H30="CNG",'Fuel-Specific GHG'!$C$13,IF(OR($H30="LPG",$H30="PROP"),'Fuel-Specific GHG'!$C$19,"")))))*(1/'Fuel-Specific GHG'!$C$15)*(1/3.4)*$F30)*'Grid Electricity'!$F$39)/454),((CC30+(CF30*CH30))*(IF(ISBLANK(AH30),Defaults!$B$19,AH30))*$AF30*$AJ30*$F30)),0)</f>
        <v>0</v>
      </c>
      <c r="CL30" s="813">
        <f t="shared" si="35"/>
        <v>0</v>
      </c>
      <c r="CM30" s="813">
        <f t="shared" si="36"/>
        <v>0</v>
      </c>
      <c r="CN30" s="814" t="str">
        <f t="shared" si="37"/>
        <v/>
      </c>
      <c r="CO30" s="814" t="str">
        <f t="shared" si="38"/>
        <v/>
      </c>
      <c r="CP30" s="814" t="str">
        <f t="shared" si="39"/>
        <v/>
      </c>
      <c r="CQ30" s="814" t="str">
        <f t="shared" si="40"/>
        <v/>
      </c>
      <c r="CR30" s="815" t="str">
        <f>IF(AND(V30="Yes, Booster Pump VFD",AF30&lt;=75),('Pump Emission Factors'!$F$95*F30),(IF(AND(V30="Yes, Booster Pump VFD",AF30&gt;75),('Pump Emission Factors'!$F$96*F30),(IF(AND(V30="Yes, Well Pump VFD",AF30&lt;=75),('Pump Emission Factors'!$F$97*F30),(IF(AND(V30="Yes, Well Pump VFD",AF30&gt;75),('Pump Emission Factors'!$F$98*F30),"")))))))</f>
        <v/>
      </c>
      <c r="CS30" s="815" t="str">
        <f>IF(AND(V30="Yes, Booster Pump VFD",AF30&lt;=75),('Pump Emission Factors'!$G$95*F30),(IF(AND(V30="Yes, Booster Pump VFD",AF30&gt;75),('Pump Emission Factors'!$G$96*F30),(IF(AND(V30="Yes, Well Pump VFD",AF30&lt;=75),('Pump Emission Factors'!$G$97*F30),(IF(AND(V30="Yes, Well Pump VFD",AF30&gt;75),('Pump Emission Factors'!$G$98*F30),"")))))))</f>
        <v/>
      </c>
      <c r="CT30" s="815" t="str">
        <f>IF(AND(V30="Yes, Booster Pump VFD",AF30&lt;=75),('Pump Emission Factors'!$H$95*F30),(IF(AND(V30="Yes, Booster Pump VFD",AF30&gt;75),('Pump Emission Factors'!$H$96*F30),(IF(AND(V30="Yes, Well Pump VFD",AF30&lt;=75),('Pump Emission Factors'!$H$97*F30),(IF(AND(V30="Yes, Well Pump VFD",AF30&gt;75),('Pump Emission Factors'!$H$98*F30),"")))))))</f>
        <v/>
      </c>
      <c r="CU30" s="815" t="str">
        <f>IF(AND(V30="Yes, Booster Pump VFD",AF30&lt;=75),('Pump Emission Factors'!$J$95*F30),(IF(AND(V30="Yes, Booster Pump VFD",AF30&gt;75),('Pump Emission Factors'!$J$96*F30),(IF(AND(V30="Yes, Well Pump VFD",AF30&lt;=75),('Pump Emission Factors'!$J$97*F30),(IF(AND(V30="Yes, Well Pump VFD",AF30&gt;75),('Pump Emission Factors'!$J$98*F30),"")))))))</f>
        <v/>
      </c>
      <c r="CV30" s="815" t="str">
        <f>IF(AND(V30="Yes, Booster Pump VFD",AF30&lt;=75),('Pump Emission Factors'!$I$95*F30),(IF(AND(V30="Yes, Booster Pump VFD",AF30&gt;75),('Pump Emission Factors'!$I$96*F30),(IF(AND(V30="Yes, Well Pump VFD",AF30&lt;=75),('Pump Emission Factors'!$I$97*F30),(IF(AND(V30="Yes, Well Pump VFD",AF30&gt;75),('Pump Emission Factors'!$I$98*F30),"")))))))</f>
        <v/>
      </c>
      <c r="CW30" s="806">
        <f t="shared" si="41"/>
        <v>0</v>
      </c>
      <c r="CX30" s="806">
        <f t="shared" si="42"/>
        <v>0</v>
      </c>
      <c r="CY30" s="806">
        <f t="shared" si="43"/>
        <v>0</v>
      </c>
      <c r="CZ30" s="806">
        <f t="shared" si="44"/>
        <v>0</v>
      </c>
      <c r="DA30" s="806">
        <f t="shared" si="45"/>
        <v>0</v>
      </c>
      <c r="DB30" s="816" t="str">
        <f t="shared" si="65"/>
        <v/>
      </c>
      <c r="DC30" s="816" t="str">
        <f t="shared" si="46"/>
        <v/>
      </c>
      <c r="DD30" s="816" t="str">
        <f t="shared" si="46"/>
        <v/>
      </c>
      <c r="DE30" s="817" t="str">
        <f t="shared" si="47"/>
        <v/>
      </c>
      <c r="DF30" s="817" t="str">
        <f t="shared" si="48"/>
        <v/>
      </c>
      <c r="DG30" s="804" t="str">
        <f t="shared" si="49"/>
        <v/>
      </c>
      <c r="DH30" s="804" t="str">
        <f t="shared" si="50"/>
        <v/>
      </c>
      <c r="DI30" s="818" t="str">
        <f>IF(AO30="","",IF(H30="DESL",AO30*F30*'Fuel Prices'!$C$12,IF(H30="GAS",AO30*F30*'Fuel Prices'!$C$11,IF(H30="CNG",AO30*F30*'Fuel Prices'!$C$13,IF(H30="LNG",AO30*F30*'Fuel Prices'!$C$14,IF(H30="LPG",AO30*F30*'Fuel Prices'!$C$16,IF(H30="PROP",AO30*F30*'Fuel Prices'!$C$16,"0")))))))</f>
        <v/>
      </c>
      <c r="DJ30" s="818" t="str">
        <f>IF(AU30="","",IF(X30="DESL",AU30*F30*'Fuel Prices'!$C$12,IF(X30="GAS",AU30*F30*'Fuel Prices'!$C$11,IF(X30="CNG",AU30*F30*'Fuel Prices'!$C$13,IF(X30="LNG",AU30*F30*'Fuel Prices'!$C$14,IF(X30="LPG",AU30*F30*'Fuel Prices'!$C$16,IF(X30="PROP",AU30*F30*'Fuel Prices'!$C$16,IF(X30="ELEC",AU30*F30*'Fuel Prices'!$C$35,"0"))))))))</f>
        <v/>
      </c>
      <c r="DK30" s="818" t="str">
        <f t="shared" si="51"/>
        <v/>
      </c>
      <c r="DL30" s="818" t="str">
        <f t="shared" si="52"/>
        <v/>
      </c>
      <c r="DM30" s="804" t="str">
        <f t="shared" si="53"/>
        <v/>
      </c>
      <c r="DN30" s="804" t="str">
        <f t="shared" si="54"/>
        <v/>
      </c>
      <c r="DO30" s="804" t="str">
        <f>IFERROR(ROUND(CZ30*IF(COUNTIF($B$20:B30,B30)=1,1,"")/IF(B30="",0,1),0),"")</f>
        <v/>
      </c>
      <c r="DP30" s="804" t="str">
        <f>IFERROR(ROUND(CW30*IF(COUNTIF($B$20:B30,B30)=1,1,"")/IF(B30="",0,1),0),"")</f>
        <v/>
      </c>
      <c r="DQ30" s="804" t="str">
        <f>IFERROR(ROUND(DA30*IF(COUNTIF($B$20:B30,B30)=1,1,"")/IF(B30="",0,1),0),"")</f>
        <v/>
      </c>
      <c r="DR30" s="804" t="str">
        <f>IFERROR(ROUND(CX30*IF(COUNTIF($B$20:B30,B30)=1,1,"")/IF(B30="",0,1),0),"")</f>
        <v/>
      </c>
      <c r="DS30" s="804">
        <f t="shared" si="55"/>
        <v>0</v>
      </c>
      <c r="DT30" s="804">
        <f t="shared" si="56"/>
        <v>0</v>
      </c>
      <c r="DU30" s="804">
        <f t="shared" si="57"/>
        <v>0</v>
      </c>
      <c r="DV30" s="818" t="str">
        <f t="shared" si="66"/>
        <v/>
      </c>
      <c r="DW30" s="819" t="str">
        <f t="shared" si="67"/>
        <v/>
      </c>
    </row>
    <row r="31" spans="1:128" ht="18" customHeight="1" x14ac:dyDescent="0.35">
      <c r="A31" s="696"/>
      <c r="B31" s="820"/>
      <c r="C31" s="825" t="str">
        <f t="shared" si="0"/>
        <v>(Required)</v>
      </c>
      <c r="D31" s="821"/>
      <c r="E31" s="825" t="str">
        <f t="shared" si="0"/>
        <v>(Required)</v>
      </c>
      <c r="F31" s="821"/>
      <c r="G31" s="825" t="str">
        <f t="shared" si="1"/>
        <v>(Required)</v>
      </c>
      <c r="H31" s="822"/>
      <c r="I31" s="825" t="str">
        <f t="shared" si="2"/>
        <v>(Required)</v>
      </c>
      <c r="J31" s="821"/>
      <c r="K31" s="825" t="str">
        <f t="shared" si="3"/>
        <v>(Required)</v>
      </c>
      <c r="L31" s="821"/>
      <c r="M31" s="825" t="str">
        <f t="shared" si="4"/>
        <v>(Required)</v>
      </c>
      <c r="N31" s="821"/>
      <c r="O31" s="825" t="str">
        <f t="shared" si="5"/>
        <v>(Required)</v>
      </c>
      <c r="P31" s="821"/>
      <c r="Q31" s="825" t="str">
        <f t="shared" si="6"/>
        <v>(Required)</v>
      </c>
      <c r="R31" s="823"/>
      <c r="S31" s="826" t="str">
        <f t="shared" si="7"/>
        <v>(Optional)</v>
      </c>
      <c r="T31" s="821"/>
      <c r="U31" s="827" t="str">
        <f t="shared" si="8"/>
        <v>(Required)</v>
      </c>
      <c r="V31" s="828"/>
      <c r="W31" s="799" t="str">
        <f t="shared" si="9"/>
        <v>(Optional)</v>
      </c>
      <c r="X31" s="822"/>
      <c r="Y31" s="825" t="str">
        <f t="shared" si="10"/>
        <v>(Required)</v>
      </c>
      <c r="Z31" s="821"/>
      <c r="AA31" s="825" t="str">
        <f t="shared" si="11"/>
        <v>(Required)</v>
      </c>
      <c r="AB31" s="821"/>
      <c r="AC31" s="825" t="str">
        <f t="shared" si="12"/>
        <v>(Required)</v>
      </c>
      <c r="AD31" s="821"/>
      <c r="AE31" s="825" t="str">
        <f t="shared" si="13"/>
        <v>(Required)</v>
      </c>
      <c r="AF31" s="821"/>
      <c r="AG31" s="825" t="str">
        <f t="shared" si="14"/>
        <v>(Required)</v>
      </c>
      <c r="AH31" s="823"/>
      <c r="AI31" s="826" t="str">
        <f t="shared" si="15"/>
        <v>(Optional)</v>
      </c>
      <c r="AJ31" s="821"/>
      <c r="AK31" s="825" t="str">
        <f t="shared" si="16"/>
        <v>(Required)</v>
      </c>
      <c r="AL31" s="803" t="str">
        <f t="shared" si="17"/>
        <v/>
      </c>
      <c r="AM31" s="803" t="str">
        <f>IF(H31="DESL",'Fuel Density'!$C$12,IF(H31="GAS",'Fuel Density'!$C$11,IF(H31="CNG",'Fuel Density'!$C$13,IF(H31="LNG",'Fuel Density'!$C$14,IF(H31="LPG",'Fuel Density'!$C$15,IF(H31="PROP",'Fuel Density'!$C$16,IF(H31="","","")))))))</f>
        <v/>
      </c>
      <c r="AN31" s="803" t="str">
        <f>IF(H31="DESL",'Fuel-Specific GHG'!$C$14,IF(H31="GAS",'Fuel-Specific GHG'!$C$16,IF(H31="CNG",'Fuel-Specific GHG'!$C$13,IF(H31="LNG",'Fuel-Specific GHG'!$C$18,IF(OR(H31="LPG",H31="PROP"),'Fuel-Specific GHG'!$C$19,IF(H31="","",""))))))</f>
        <v/>
      </c>
      <c r="AO31" s="804" t="str">
        <f>IFERROR(((P31*(IF(ISBLANK(R31),Defaults!$B$19,R31))*T31*AL31)/AM31),"")</f>
        <v/>
      </c>
      <c r="AP31" s="805" t="str">
        <f t="shared" si="18"/>
        <v/>
      </c>
      <c r="AQ31" s="805" t="str">
        <f>IF(H31="DESL",'Fuel-Specific GHG'!$E$14,IF(H31="GAS",'Fuel-Specific GHG'!$E$16,IF(H31="CNG",'Fuel-Specific GHG'!$E$13,IF(H31="LNG",'Fuel-Specific GHG'!$E$18,IF(OR(H31="LPG",H31="PROP"),'Fuel-Specific GHG'!$E$19,"")))))</f>
        <v/>
      </c>
      <c r="AR31" s="805" t="str">
        <f t="shared" si="19"/>
        <v/>
      </c>
      <c r="AS31" s="803" t="str">
        <f t="shared" si="58"/>
        <v/>
      </c>
      <c r="AT31" s="803" t="str">
        <f>IF(X31="DESL",'Fuel Density'!$C$12,IF(X31="PROP",'Fuel Density'!$C$16,IF(X31="GAS",'Fuel Density'!$C$11,IF(X31="CNG",'Fuel Density'!$C$13,IF(X31="LNG",'Fuel Density'!$C$14,IF(X31="LPG",'Fuel Density'!$C$15,IF(X31="","","")))))))</f>
        <v/>
      </c>
      <c r="AU31" s="804" t="str">
        <f>IFERROR(IF(X31="ELEC",AO31*AN31*(1/'Fuel-Specific GHG'!$C$15)*(1/IF(H31="GAS",3.4,IF(H31="DESL",2.7,3))),((AF31*(IF(ISBLANK(AH31),Defaults!$B$19,AH31))*AJ31*AS31)/AT31)),"")</f>
        <v/>
      </c>
      <c r="AV31" s="805" t="str">
        <f t="shared" si="20"/>
        <v/>
      </c>
      <c r="AW31" s="805" t="str">
        <f>IF(X31="DESL",'Fuel-Specific GHG'!$E$14,IF(X31="PROP",'Fuel-Specific GHG'!$E$19,IF(X31="GAS",'Fuel-Specific GHG'!$E$16,IF(X31="CNG",'Fuel-Specific GHG'!$E$13,IF(X31="LNG",'Fuel-Specific GHG'!$E$18,IF(X31="LPG",'Fuel-Specific GHG'!$E$19,IF(X31="ELEC",'Fuel-Specific GHG'!$E$15,"")))))))</f>
        <v/>
      </c>
      <c r="AX31" s="805" t="str">
        <f t="shared" si="21"/>
        <v/>
      </c>
      <c r="AY31" s="806" t="str">
        <f t="shared" si="22"/>
        <v/>
      </c>
      <c r="AZ31" s="806" t="str">
        <f t="shared" si="68"/>
        <v/>
      </c>
      <c r="BA31" s="806" t="str">
        <f t="shared" si="59"/>
        <v/>
      </c>
      <c r="BB31" s="804" t="str">
        <f t="shared" si="23"/>
        <v/>
      </c>
      <c r="BC31" s="807" t="str">
        <f t="shared" si="24"/>
        <v/>
      </c>
      <c r="BD31" s="807"/>
      <c r="BE31" s="808" t="str">
        <f t="shared" si="25"/>
        <v/>
      </c>
      <c r="BF31" s="809" t="str">
        <f t="shared" si="26"/>
        <v/>
      </c>
      <c r="BG31" s="808" t="str">
        <f t="shared" si="60"/>
        <v/>
      </c>
      <c r="BH31" s="810">
        <f t="shared" si="61"/>
        <v>0</v>
      </c>
      <c r="BI31" s="803" t="str">
        <f>IFERROR(VLOOKUP(BH31,'Pump Emission Factors'!$B$11:$J$88,4,FALSE),"")</f>
        <v/>
      </c>
      <c r="BJ31" s="803" t="str">
        <f>IFERROR(VLOOKUP(BH31,'Pump Emission Factors'!$B$11:$J$88,6,FALSE),"")</f>
        <v/>
      </c>
      <c r="BK31" s="803" t="str">
        <f>IFERROR(VLOOKUP(BH31,'Pump Emission Factors'!$B$11:$J$88,8,FALSE),"")</f>
        <v/>
      </c>
      <c r="BL31" s="803" t="str">
        <f>IFERROR(VLOOKUP(BH31,'Pump Emission Factors'!$B$11:$J$88,5,FALSE),"")</f>
        <v/>
      </c>
      <c r="BM31" s="803" t="str">
        <f>IFERROR(VLOOKUP(BH31,'Pump Emission Factors'!$B$11:$J$88,7,FALSE),"")</f>
        <v/>
      </c>
      <c r="BN31" s="803" t="str">
        <f>IFERROR(VLOOKUP(BH31,'Pump Emission Factors'!$B$11:$J$88,9,FALSE),"")</f>
        <v/>
      </c>
      <c r="BO31" s="811" t="str">
        <f t="shared" si="27"/>
        <v/>
      </c>
      <c r="BP31" s="811" t="str">
        <f t="shared" si="28"/>
        <v/>
      </c>
      <c r="BQ31" s="803">
        <f>IFERROR(((BI31+(BL31*BP31))*(IF(ISBLANK(R31),Defaults!$B$19,R31))*P31*T31)*F31*(1/454),0)</f>
        <v>0</v>
      </c>
      <c r="BR31" s="803">
        <f>IFERROR(((BJ31+(BM31*BP31))*(IF(ISBLANK(R31),Defaults!$B$19,R31))*P31*T31)*F31*(1/454),0)</f>
        <v>0</v>
      </c>
      <c r="BS31" s="803">
        <f>IFERROR(((BK31+(BN31*BP31))*(IF(ISBLANK(R31),Defaults!$B$19,R31))*P31*T31)*F31*(1/454),0)</f>
        <v>0</v>
      </c>
      <c r="BT31" s="803">
        <f t="shared" si="29"/>
        <v>0</v>
      </c>
      <c r="BU31" s="803">
        <f t="shared" si="62"/>
        <v>0</v>
      </c>
      <c r="BV31" s="812" t="str">
        <f t="shared" si="30"/>
        <v/>
      </c>
      <c r="BW31" s="808" t="str">
        <f t="shared" si="31"/>
        <v/>
      </c>
      <c r="BX31" s="809" t="str">
        <f t="shared" si="32"/>
        <v/>
      </c>
      <c r="BY31" s="808" t="str">
        <f t="shared" si="63"/>
        <v/>
      </c>
      <c r="BZ31" s="810">
        <f t="shared" si="64"/>
        <v>0</v>
      </c>
      <c r="CA31" s="813" t="str">
        <f>IFERROR(VLOOKUP(BZ31,'Pump Emission Factors'!$B$11:$J$88,4,FALSE),"")</f>
        <v/>
      </c>
      <c r="CB31" s="813" t="str">
        <f>IFERROR(VLOOKUP(BZ31,'Pump Emission Factors'!$B$11:$J$88,6,FALSE),"")</f>
        <v/>
      </c>
      <c r="CC31" s="813" t="str">
        <f>IFERROR(VLOOKUP(BZ31,'Pump Emission Factors'!$B$11:$J$88,8,FALSE),"")</f>
        <v/>
      </c>
      <c r="CD31" s="813" t="str">
        <f>IFERROR(VLOOKUP(BZ31,'Pump Emission Factors'!$B$11:$J$88,5,FALSE),"")</f>
        <v/>
      </c>
      <c r="CE31" s="813" t="str">
        <f>IFERROR(VLOOKUP(BZ31,'Pump Emission Factors'!$B$11:$J$88,7,FALSE),"")</f>
        <v/>
      </c>
      <c r="CF31" s="813" t="str">
        <f>IFERROR(VLOOKUP(BZ31,'Pump Emission Factors'!$B$11:$J$88,9,FALSE),"")</f>
        <v/>
      </c>
      <c r="CG31" s="814" t="str">
        <f t="shared" si="33"/>
        <v/>
      </c>
      <c r="CH31" s="814" t="str">
        <f t="shared" si="34"/>
        <v/>
      </c>
      <c r="CI31" s="813">
        <f>IFERROR(IF($X31="ELEC",((($AU31*(IF($H31="DESL",'Fuel-Specific GHG'!$C$14,IF($H31="GAS",'Fuel-Specific GHG'!$C$16,IF($H31="CNG",'Fuel-Specific GHG'!$C$13,IF(OR($H31="LPG",$H31="PROP"),'Fuel-Specific GHG'!$C$19,"")))))*(1/'Fuel-Specific GHG'!$C$15)*(1/3.4)*$F31)*'Grid Electricity'!$D$39)/454),((CA31+(CD31*CH31))*(IF(ISBLANK(AH31),Defaults!$B$19,AH31))*$AF31*$AJ31*$F31)),0)</f>
        <v>0</v>
      </c>
      <c r="CJ31" s="813">
        <f>IFERROR(IF($X31="ELEC",((($AU31*(IF($H31="DESL",'Fuel-Specific GHG'!$C$14,IF($H31="GAS",'Fuel-Specific GHG'!$C$16,IF($H31="CNG",'Fuel-Specific GHG'!$C$13,IF(OR($H31="LPG",$H31="PROP"),'Fuel-Specific GHG'!$C$19,"")))))*(1/'Fuel-Specific GHG'!$C$15)*(1/3.4)*$F31)*'Grid Electricity'!$C$39)/454),((CB31+(CE31*CH31))*(IF(ISBLANK(AH31),Defaults!$B$19,AH31))*$AF31*$AJ31*$F31)),0)</f>
        <v>0</v>
      </c>
      <c r="CK31" s="813">
        <f>IFERROR(IF($X31="ELEC",((($AU31*(IF($H31="DESL",'Fuel-Specific GHG'!$C$14,IF($H31="GAS",'Fuel-Specific GHG'!$C$16,IF($H31="CNG",'Fuel-Specific GHG'!$C$13,IF(OR($H31="LPG",$H31="PROP"),'Fuel-Specific GHG'!$C$19,"")))))*(1/'Fuel-Specific GHG'!$C$15)*(1/3.4)*$F31)*'Grid Electricity'!$F$39)/454),((CC31+(CF31*CH31))*(IF(ISBLANK(AH31),Defaults!$B$19,AH31))*$AF31*$AJ31*$F31)),0)</f>
        <v>0</v>
      </c>
      <c r="CL31" s="813">
        <f t="shared" si="35"/>
        <v>0</v>
      </c>
      <c r="CM31" s="813">
        <f t="shared" si="36"/>
        <v>0</v>
      </c>
      <c r="CN31" s="814" t="str">
        <f t="shared" si="37"/>
        <v/>
      </c>
      <c r="CO31" s="814" t="str">
        <f t="shared" si="38"/>
        <v/>
      </c>
      <c r="CP31" s="814" t="str">
        <f t="shared" si="39"/>
        <v/>
      </c>
      <c r="CQ31" s="814" t="str">
        <f t="shared" si="40"/>
        <v/>
      </c>
      <c r="CR31" s="815" t="str">
        <f>IF(AND(V31="Yes, Booster Pump VFD",AF31&lt;=75),('Pump Emission Factors'!$F$95*F31),(IF(AND(V31="Yes, Booster Pump VFD",AF31&gt;75),('Pump Emission Factors'!$F$96*F31),(IF(AND(V31="Yes, Well Pump VFD",AF31&lt;=75),('Pump Emission Factors'!$F$97*F31),(IF(AND(V31="Yes, Well Pump VFD",AF31&gt;75),('Pump Emission Factors'!$F$98*F31),"")))))))</f>
        <v/>
      </c>
      <c r="CS31" s="815" t="str">
        <f>IF(AND(V31="Yes, Booster Pump VFD",AF31&lt;=75),('Pump Emission Factors'!$G$95*F31),(IF(AND(V31="Yes, Booster Pump VFD",AF31&gt;75),('Pump Emission Factors'!$G$96*F31),(IF(AND(V31="Yes, Well Pump VFD",AF31&lt;=75),('Pump Emission Factors'!$G$97*F31),(IF(AND(V31="Yes, Well Pump VFD",AF31&gt;75),('Pump Emission Factors'!$G$98*F31),"")))))))</f>
        <v/>
      </c>
      <c r="CT31" s="815" t="str">
        <f>IF(AND(V31="Yes, Booster Pump VFD",AF31&lt;=75),('Pump Emission Factors'!$H$95*F31),(IF(AND(V31="Yes, Booster Pump VFD",AF31&gt;75),('Pump Emission Factors'!$H$96*F31),(IF(AND(V31="Yes, Well Pump VFD",AF31&lt;=75),('Pump Emission Factors'!$H$97*F31),(IF(AND(V31="Yes, Well Pump VFD",AF31&gt;75),('Pump Emission Factors'!$H$98*F31),"")))))))</f>
        <v/>
      </c>
      <c r="CU31" s="815" t="str">
        <f>IF(AND(V31="Yes, Booster Pump VFD",AF31&lt;=75),('Pump Emission Factors'!$J$95*F31),(IF(AND(V31="Yes, Booster Pump VFD",AF31&gt;75),('Pump Emission Factors'!$J$96*F31),(IF(AND(V31="Yes, Well Pump VFD",AF31&lt;=75),('Pump Emission Factors'!$J$97*F31),(IF(AND(V31="Yes, Well Pump VFD",AF31&gt;75),('Pump Emission Factors'!$J$98*F31),"")))))))</f>
        <v/>
      </c>
      <c r="CV31" s="815" t="str">
        <f>IF(AND(V31="Yes, Booster Pump VFD",AF31&lt;=75),('Pump Emission Factors'!$I$95*F31),(IF(AND(V31="Yes, Booster Pump VFD",AF31&gt;75),('Pump Emission Factors'!$I$96*F31),(IF(AND(V31="Yes, Well Pump VFD",AF31&lt;=75),('Pump Emission Factors'!$I$97*F31),(IF(AND(V31="Yes, Well Pump VFD",AF31&gt;75),('Pump Emission Factors'!$I$98*F31),"")))))))</f>
        <v/>
      </c>
      <c r="CW31" s="806">
        <f t="shared" si="41"/>
        <v>0</v>
      </c>
      <c r="CX31" s="806">
        <f t="shared" si="42"/>
        <v>0</v>
      </c>
      <c r="CY31" s="806">
        <f t="shared" si="43"/>
        <v>0</v>
      </c>
      <c r="CZ31" s="806">
        <f t="shared" si="44"/>
        <v>0</v>
      </c>
      <c r="DA31" s="806">
        <f t="shared" si="45"/>
        <v>0</v>
      </c>
      <c r="DB31" s="816" t="str">
        <f t="shared" si="65"/>
        <v/>
      </c>
      <c r="DC31" s="816" t="str">
        <f t="shared" si="46"/>
        <v/>
      </c>
      <c r="DD31" s="816" t="str">
        <f t="shared" si="46"/>
        <v/>
      </c>
      <c r="DE31" s="817" t="str">
        <f t="shared" si="47"/>
        <v/>
      </c>
      <c r="DF31" s="817" t="str">
        <f t="shared" si="48"/>
        <v/>
      </c>
      <c r="DG31" s="804" t="str">
        <f t="shared" si="49"/>
        <v/>
      </c>
      <c r="DH31" s="804" t="str">
        <f t="shared" si="50"/>
        <v/>
      </c>
      <c r="DI31" s="818" t="str">
        <f>IF(AO31="","",IF(H31="DESL",AO31*F31*'Fuel Prices'!$C$12,IF(H31="GAS",AO31*F31*'Fuel Prices'!$C$11,IF(H31="CNG",AO31*F31*'Fuel Prices'!$C$13,IF(H31="LNG",AO31*F31*'Fuel Prices'!$C$14,IF(H31="LPG",AO31*F31*'Fuel Prices'!$C$16,IF(H31="PROP",AO31*F31*'Fuel Prices'!$C$16,"0")))))))</f>
        <v/>
      </c>
      <c r="DJ31" s="818" t="str">
        <f>IF(AU31="","",IF(X31="DESL",AU31*F31*'Fuel Prices'!$C$12,IF(X31="GAS",AU31*F31*'Fuel Prices'!$C$11,IF(X31="CNG",AU31*F31*'Fuel Prices'!$C$13,IF(X31="LNG",AU31*F31*'Fuel Prices'!$C$14,IF(X31="LPG",AU31*F31*'Fuel Prices'!$C$16,IF(X31="PROP",AU31*F31*'Fuel Prices'!$C$16,IF(X31="ELEC",AU31*F31*'Fuel Prices'!$C$35,"0"))))))))</f>
        <v/>
      </c>
      <c r="DK31" s="818" t="str">
        <f t="shared" si="51"/>
        <v/>
      </c>
      <c r="DL31" s="818" t="str">
        <f t="shared" si="52"/>
        <v/>
      </c>
      <c r="DM31" s="804" t="str">
        <f t="shared" si="53"/>
        <v/>
      </c>
      <c r="DN31" s="804" t="str">
        <f t="shared" si="54"/>
        <v/>
      </c>
      <c r="DO31" s="804" t="str">
        <f>IFERROR(ROUND(CZ31*IF(COUNTIF($B$20:B31,B31)=1,1,"")/IF(B31="",0,1),0),"")</f>
        <v/>
      </c>
      <c r="DP31" s="804" t="str">
        <f>IFERROR(ROUND(CW31*IF(COUNTIF($B$20:B31,B31)=1,1,"")/IF(B31="",0,1),0),"")</f>
        <v/>
      </c>
      <c r="DQ31" s="804" t="str">
        <f>IFERROR(ROUND(DA31*IF(COUNTIF($B$20:B31,B31)=1,1,"")/IF(B31="",0,1),0),"")</f>
        <v/>
      </c>
      <c r="DR31" s="804" t="str">
        <f>IFERROR(ROUND(CX31*IF(COUNTIF($B$20:B31,B31)=1,1,"")/IF(B31="",0,1),0),"")</f>
        <v/>
      </c>
      <c r="DS31" s="804">
        <f t="shared" si="55"/>
        <v>0</v>
      </c>
      <c r="DT31" s="804">
        <f t="shared" si="56"/>
        <v>0</v>
      </c>
      <c r="DU31" s="804">
        <f t="shared" si="57"/>
        <v>0</v>
      </c>
      <c r="DV31" s="818" t="str">
        <f t="shared" si="66"/>
        <v/>
      </c>
      <c r="DW31" s="819" t="str">
        <f t="shared" si="67"/>
        <v/>
      </c>
    </row>
    <row r="32" spans="1:128" s="699" customFormat="1" ht="18" customHeight="1" x14ac:dyDescent="0.35">
      <c r="A32" s="635"/>
      <c r="B32" s="820"/>
      <c r="C32" s="825" t="str">
        <f t="shared" si="0"/>
        <v>(Required)</v>
      </c>
      <c r="D32" s="821"/>
      <c r="E32" s="825" t="str">
        <f t="shared" si="0"/>
        <v>(Required)</v>
      </c>
      <c r="F32" s="821"/>
      <c r="G32" s="825" t="str">
        <f t="shared" si="1"/>
        <v>(Required)</v>
      </c>
      <c r="H32" s="822"/>
      <c r="I32" s="825" t="str">
        <f t="shared" si="2"/>
        <v>(Required)</v>
      </c>
      <c r="J32" s="821"/>
      <c r="K32" s="825" t="str">
        <f t="shared" si="3"/>
        <v>(Required)</v>
      </c>
      <c r="L32" s="821"/>
      <c r="M32" s="825" t="str">
        <f t="shared" si="4"/>
        <v>(Required)</v>
      </c>
      <c r="N32" s="821"/>
      <c r="O32" s="825" t="str">
        <f t="shared" si="5"/>
        <v>(Required)</v>
      </c>
      <c r="P32" s="821"/>
      <c r="Q32" s="825" t="str">
        <f t="shared" si="6"/>
        <v>(Required)</v>
      </c>
      <c r="R32" s="823"/>
      <c r="S32" s="826" t="str">
        <f t="shared" si="7"/>
        <v>(Optional)</v>
      </c>
      <c r="T32" s="821"/>
      <c r="U32" s="827" t="str">
        <f t="shared" si="8"/>
        <v>(Required)</v>
      </c>
      <c r="V32" s="828"/>
      <c r="W32" s="799" t="str">
        <f t="shared" si="9"/>
        <v>(Optional)</v>
      </c>
      <c r="X32" s="822"/>
      <c r="Y32" s="825" t="str">
        <f t="shared" si="10"/>
        <v>(Required)</v>
      </c>
      <c r="Z32" s="821"/>
      <c r="AA32" s="825" t="str">
        <f t="shared" si="11"/>
        <v>(Required)</v>
      </c>
      <c r="AB32" s="821"/>
      <c r="AC32" s="825" t="str">
        <f t="shared" si="12"/>
        <v>(Required)</v>
      </c>
      <c r="AD32" s="821"/>
      <c r="AE32" s="825" t="str">
        <f t="shared" si="13"/>
        <v>(Required)</v>
      </c>
      <c r="AF32" s="821"/>
      <c r="AG32" s="825" t="str">
        <f t="shared" si="14"/>
        <v>(Required)</v>
      </c>
      <c r="AH32" s="823"/>
      <c r="AI32" s="826" t="str">
        <f t="shared" si="15"/>
        <v>(Optional)</v>
      </c>
      <c r="AJ32" s="821"/>
      <c r="AK32" s="825" t="str">
        <f t="shared" si="16"/>
        <v>(Required)</v>
      </c>
      <c r="AL32" s="803" t="str">
        <f t="shared" si="17"/>
        <v/>
      </c>
      <c r="AM32" s="803" t="str">
        <f>IF(H32="DESL",'Fuel Density'!$C$12,IF(H32="GAS",'Fuel Density'!$C$11,IF(H32="CNG",'Fuel Density'!$C$13,IF(H32="LNG",'Fuel Density'!$C$14,IF(H32="LPG",'Fuel Density'!$C$15,IF(H32="PROP",'Fuel Density'!$C$16,IF(H32="","","")))))))</f>
        <v/>
      </c>
      <c r="AN32" s="803" t="str">
        <f>IF(H32="DESL",'Fuel-Specific GHG'!$C$14,IF(H32="GAS",'Fuel-Specific GHG'!$C$16,IF(H32="CNG",'Fuel-Specific GHG'!$C$13,IF(H32="LNG",'Fuel-Specific GHG'!$C$18,IF(OR(H32="LPG",H32="PROP"),'Fuel-Specific GHG'!$C$19,IF(H32="","",""))))))</f>
        <v/>
      </c>
      <c r="AO32" s="804" t="str">
        <f>IFERROR(((P32*(IF(ISBLANK(R32),Defaults!$B$19,R32))*T32*AL32)/AM32),"")</f>
        <v/>
      </c>
      <c r="AP32" s="805" t="str">
        <f t="shared" si="18"/>
        <v/>
      </c>
      <c r="AQ32" s="805" t="str">
        <f>IF(H32="DESL",'Fuel-Specific GHG'!$E$14,IF(H32="GAS",'Fuel-Specific GHG'!$E$16,IF(H32="CNG",'Fuel-Specific GHG'!$E$13,IF(H32="LNG",'Fuel-Specific GHG'!$E$18,IF(OR(H32="LPG",H32="PROP"),'Fuel-Specific GHG'!$E$19,"")))))</f>
        <v/>
      </c>
      <c r="AR32" s="805" t="str">
        <f t="shared" si="19"/>
        <v/>
      </c>
      <c r="AS32" s="803" t="str">
        <f t="shared" si="58"/>
        <v/>
      </c>
      <c r="AT32" s="803" t="str">
        <f>IF(X32="DESL",'Fuel Density'!$C$12,IF(X32="PROP",'Fuel Density'!$C$16,IF(X32="GAS",'Fuel Density'!$C$11,IF(X32="CNG",'Fuel Density'!$C$13,IF(X32="LNG",'Fuel Density'!$C$14,IF(X32="LPG",'Fuel Density'!$C$15,IF(X32="","","")))))))</f>
        <v/>
      </c>
      <c r="AU32" s="804" t="str">
        <f>IFERROR(IF(X32="ELEC",AO32*AN32*(1/'Fuel-Specific GHG'!$C$15)*(1/IF(H32="GAS",3.4,IF(H32="DESL",2.7,3))),((AF32*(IF(ISBLANK(AH32),Defaults!$B$19,AH32))*AJ32*AS32)/AT32)),"")</f>
        <v/>
      </c>
      <c r="AV32" s="805" t="str">
        <f t="shared" si="20"/>
        <v/>
      </c>
      <c r="AW32" s="805" t="str">
        <f>IF(X32="DESL",'Fuel-Specific GHG'!$E$14,IF(X32="PROP",'Fuel-Specific GHG'!$E$19,IF(X32="GAS",'Fuel-Specific GHG'!$E$16,IF(X32="CNG",'Fuel-Specific GHG'!$E$13,IF(X32="LNG",'Fuel-Specific GHG'!$E$18,IF(X32="LPG",'Fuel-Specific GHG'!$E$19,IF(X32="ELEC",'Fuel-Specific GHG'!$E$15,"")))))))</f>
        <v/>
      </c>
      <c r="AX32" s="805" t="str">
        <f t="shared" si="21"/>
        <v/>
      </c>
      <c r="AY32" s="806" t="str">
        <f t="shared" si="22"/>
        <v/>
      </c>
      <c r="AZ32" s="806" t="str">
        <f t="shared" si="68"/>
        <v/>
      </c>
      <c r="BA32" s="806" t="str">
        <f t="shared" si="59"/>
        <v/>
      </c>
      <c r="BB32" s="804" t="str">
        <f t="shared" si="23"/>
        <v/>
      </c>
      <c r="BC32" s="807" t="str">
        <f t="shared" si="24"/>
        <v/>
      </c>
      <c r="BD32" s="807"/>
      <c r="BE32" s="808" t="str">
        <f t="shared" si="25"/>
        <v/>
      </c>
      <c r="BF32" s="809" t="str">
        <f t="shared" si="26"/>
        <v/>
      </c>
      <c r="BG32" s="808" t="str">
        <f t="shared" si="60"/>
        <v/>
      </c>
      <c r="BH32" s="810">
        <f t="shared" si="61"/>
        <v>0</v>
      </c>
      <c r="BI32" s="803" t="str">
        <f>IFERROR(VLOOKUP(BH32,'Pump Emission Factors'!$B$11:$J$88,4,FALSE),"")</f>
        <v/>
      </c>
      <c r="BJ32" s="803" t="str">
        <f>IFERROR(VLOOKUP(BH32,'Pump Emission Factors'!$B$11:$J$88,6,FALSE),"")</f>
        <v/>
      </c>
      <c r="BK32" s="803" t="str">
        <f>IFERROR(VLOOKUP(BH32,'Pump Emission Factors'!$B$11:$J$88,8,FALSE),"")</f>
        <v/>
      </c>
      <c r="BL32" s="803" t="str">
        <f>IFERROR(VLOOKUP(BH32,'Pump Emission Factors'!$B$11:$J$88,5,FALSE),"")</f>
        <v/>
      </c>
      <c r="BM32" s="803" t="str">
        <f>IFERROR(VLOOKUP(BH32,'Pump Emission Factors'!$B$11:$J$88,7,FALSE),"")</f>
        <v/>
      </c>
      <c r="BN32" s="803" t="str">
        <f>IFERROR(VLOOKUP(BH32,'Pump Emission Factors'!$B$11:$J$88,9,FALSE),"")</f>
        <v/>
      </c>
      <c r="BO32" s="811" t="str">
        <f t="shared" si="27"/>
        <v/>
      </c>
      <c r="BP32" s="811" t="str">
        <f t="shared" si="28"/>
        <v/>
      </c>
      <c r="BQ32" s="803">
        <f>IFERROR(((BI32+(BL32*BP32))*(IF(ISBLANK(R32),Defaults!$B$19,R32))*P32*T32)*F32*(1/454),0)</f>
        <v>0</v>
      </c>
      <c r="BR32" s="803">
        <f>IFERROR(((BJ32+(BM32*BP32))*(IF(ISBLANK(R32),Defaults!$B$19,R32))*P32*T32)*F32*(1/454),0)</f>
        <v>0</v>
      </c>
      <c r="BS32" s="803">
        <f>IFERROR(((BK32+(BN32*BP32))*(IF(ISBLANK(R32),Defaults!$B$19,R32))*P32*T32)*F32*(1/454),0)</f>
        <v>0</v>
      </c>
      <c r="BT32" s="803">
        <f t="shared" si="29"/>
        <v>0</v>
      </c>
      <c r="BU32" s="803">
        <f t="shared" si="62"/>
        <v>0</v>
      </c>
      <c r="BV32" s="812" t="str">
        <f t="shared" si="30"/>
        <v/>
      </c>
      <c r="BW32" s="808" t="str">
        <f t="shared" si="31"/>
        <v/>
      </c>
      <c r="BX32" s="809" t="str">
        <f t="shared" si="32"/>
        <v/>
      </c>
      <c r="BY32" s="808" t="str">
        <f t="shared" si="63"/>
        <v/>
      </c>
      <c r="BZ32" s="810">
        <f t="shared" si="64"/>
        <v>0</v>
      </c>
      <c r="CA32" s="813" t="str">
        <f>IFERROR(VLOOKUP(BZ32,'Pump Emission Factors'!$B$11:$J$88,4,FALSE),"")</f>
        <v/>
      </c>
      <c r="CB32" s="813" t="str">
        <f>IFERROR(VLOOKUP(BZ32,'Pump Emission Factors'!$B$11:$J$88,6,FALSE),"")</f>
        <v/>
      </c>
      <c r="CC32" s="813" t="str">
        <f>IFERROR(VLOOKUP(BZ32,'Pump Emission Factors'!$B$11:$J$88,8,FALSE),"")</f>
        <v/>
      </c>
      <c r="CD32" s="813" t="str">
        <f>IFERROR(VLOOKUP(BZ32,'Pump Emission Factors'!$B$11:$J$88,5,FALSE),"")</f>
        <v/>
      </c>
      <c r="CE32" s="813" t="str">
        <f>IFERROR(VLOOKUP(BZ32,'Pump Emission Factors'!$B$11:$J$88,7,FALSE),"")</f>
        <v/>
      </c>
      <c r="CF32" s="813" t="str">
        <f>IFERROR(VLOOKUP(BZ32,'Pump Emission Factors'!$B$11:$J$88,9,FALSE),"")</f>
        <v/>
      </c>
      <c r="CG32" s="814" t="str">
        <f t="shared" si="33"/>
        <v/>
      </c>
      <c r="CH32" s="814" t="str">
        <f t="shared" si="34"/>
        <v/>
      </c>
      <c r="CI32" s="813">
        <f>IFERROR(IF($X32="ELEC",((($AU32*(IF($H32="DESL",'Fuel-Specific GHG'!$C$14,IF($H32="GAS",'Fuel-Specific GHG'!$C$16,IF($H32="CNG",'Fuel-Specific GHG'!$C$13,IF(OR($H32="LPG",$H32="PROP"),'Fuel-Specific GHG'!$C$19,"")))))*(1/'Fuel-Specific GHG'!$C$15)*(1/3.4)*$F32)*'Grid Electricity'!$D$39)/454),((CA32+(CD32*CH32))*(IF(ISBLANK(AH32),Defaults!$B$19,AH32))*$AF32*$AJ32*$F32)),0)</f>
        <v>0</v>
      </c>
      <c r="CJ32" s="813">
        <f>IFERROR(IF($X32="ELEC",((($AU32*(IF($H32="DESL",'Fuel-Specific GHG'!$C$14,IF($H32="GAS",'Fuel-Specific GHG'!$C$16,IF($H32="CNG",'Fuel-Specific GHG'!$C$13,IF(OR($H32="LPG",$H32="PROP"),'Fuel-Specific GHG'!$C$19,"")))))*(1/'Fuel-Specific GHG'!$C$15)*(1/3.4)*$F32)*'Grid Electricity'!$C$39)/454),((CB32+(CE32*CH32))*(IF(ISBLANK(AH32),Defaults!$B$19,AH32))*$AF32*$AJ32*$F32)),0)</f>
        <v>0</v>
      </c>
      <c r="CK32" s="813">
        <f>IFERROR(IF($X32="ELEC",((($AU32*(IF($H32="DESL",'Fuel-Specific GHG'!$C$14,IF($H32="GAS",'Fuel-Specific GHG'!$C$16,IF($H32="CNG",'Fuel-Specific GHG'!$C$13,IF(OR($H32="LPG",$H32="PROP"),'Fuel-Specific GHG'!$C$19,"")))))*(1/'Fuel-Specific GHG'!$C$15)*(1/3.4)*$F32)*'Grid Electricity'!$F$39)/454),((CC32+(CF32*CH32))*(IF(ISBLANK(AH32),Defaults!$B$19,AH32))*$AF32*$AJ32*$F32)),0)</f>
        <v>0</v>
      </c>
      <c r="CL32" s="813">
        <f t="shared" si="35"/>
        <v>0</v>
      </c>
      <c r="CM32" s="813">
        <f t="shared" si="36"/>
        <v>0</v>
      </c>
      <c r="CN32" s="814" t="str">
        <f t="shared" si="37"/>
        <v/>
      </c>
      <c r="CO32" s="814" t="str">
        <f t="shared" si="38"/>
        <v/>
      </c>
      <c r="CP32" s="814" t="str">
        <f t="shared" si="39"/>
        <v/>
      </c>
      <c r="CQ32" s="814" t="str">
        <f t="shared" si="40"/>
        <v/>
      </c>
      <c r="CR32" s="815" t="str">
        <f>IF(AND(V32="Yes, Booster Pump VFD",AF32&lt;=75),('Pump Emission Factors'!$F$95*F32),(IF(AND(V32="Yes, Booster Pump VFD",AF32&gt;75),('Pump Emission Factors'!$F$96*F32),(IF(AND(V32="Yes, Well Pump VFD",AF32&lt;=75),('Pump Emission Factors'!$F$97*F32),(IF(AND(V32="Yes, Well Pump VFD",AF32&gt;75),('Pump Emission Factors'!$F$98*F32),"")))))))</f>
        <v/>
      </c>
      <c r="CS32" s="815" t="str">
        <f>IF(AND(V32="Yes, Booster Pump VFD",AF32&lt;=75),('Pump Emission Factors'!$G$95*F32),(IF(AND(V32="Yes, Booster Pump VFD",AF32&gt;75),('Pump Emission Factors'!$G$96*F32),(IF(AND(V32="Yes, Well Pump VFD",AF32&lt;=75),('Pump Emission Factors'!$G$97*F32),(IF(AND(V32="Yes, Well Pump VFD",AF32&gt;75),('Pump Emission Factors'!$G$98*F32),"")))))))</f>
        <v/>
      </c>
      <c r="CT32" s="815" t="str">
        <f>IF(AND(V32="Yes, Booster Pump VFD",AF32&lt;=75),('Pump Emission Factors'!$H$95*F32),(IF(AND(V32="Yes, Booster Pump VFD",AF32&gt;75),('Pump Emission Factors'!$H$96*F32),(IF(AND(V32="Yes, Well Pump VFD",AF32&lt;=75),('Pump Emission Factors'!$H$97*F32),(IF(AND(V32="Yes, Well Pump VFD",AF32&gt;75),('Pump Emission Factors'!$H$98*F32),"")))))))</f>
        <v/>
      </c>
      <c r="CU32" s="815" t="str">
        <f>IF(AND(V32="Yes, Booster Pump VFD",AF32&lt;=75),('Pump Emission Factors'!$J$95*F32),(IF(AND(V32="Yes, Booster Pump VFD",AF32&gt;75),('Pump Emission Factors'!$J$96*F32),(IF(AND(V32="Yes, Well Pump VFD",AF32&lt;=75),('Pump Emission Factors'!$J$97*F32),(IF(AND(V32="Yes, Well Pump VFD",AF32&gt;75),('Pump Emission Factors'!$J$98*F32),"")))))))</f>
        <v/>
      </c>
      <c r="CV32" s="815" t="str">
        <f>IF(AND(V32="Yes, Booster Pump VFD",AF32&lt;=75),('Pump Emission Factors'!$I$95*F32),(IF(AND(V32="Yes, Booster Pump VFD",AF32&gt;75),('Pump Emission Factors'!$I$96*F32),(IF(AND(V32="Yes, Well Pump VFD",AF32&lt;=75),('Pump Emission Factors'!$I$97*F32),(IF(AND(V32="Yes, Well Pump VFD",AF32&gt;75),('Pump Emission Factors'!$I$98*F32),"")))))))</f>
        <v/>
      </c>
      <c r="CW32" s="806">
        <f t="shared" si="41"/>
        <v>0</v>
      </c>
      <c r="CX32" s="806">
        <f t="shared" si="42"/>
        <v>0</v>
      </c>
      <c r="CY32" s="806">
        <f t="shared" si="43"/>
        <v>0</v>
      </c>
      <c r="CZ32" s="806">
        <f t="shared" si="44"/>
        <v>0</v>
      </c>
      <c r="DA32" s="806">
        <f t="shared" si="45"/>
        <v>0</v>
      </c>
      <c r="DB32" s="816" t="str">
        <f t="shared" si="65"/>
        <v/>
      </c>
      <c r="DC32" s="816" t="str">
        <f t="shared" si="46"/>
        <v/>
      </c>
      <c r="DD32" s="816" t="str">
        <f t="shared" si="46"/>
        <v/>
      </c>
      <c r="DE32" s="817" t="str">
        <f t="shared" si="47"/>
        <v/>
      </c>
      <c r="DF32" s="817" t="str">
        <f t="shared" si="48"/>
        <v/>
      </c>
      <c r="DG32" s="804" t="str">
        <f t="shared" si="49"/>
        <v/>
      </c>
      <c r="DH32" s="804" t="str">
        <f t="shared" si="50"/>
        <v/>
      </c>
      <c r="DI32" s="818" t="str">
        <f>IF(AO32="","",IF(H32="DESL",AO32*F32*'Fuel Prices'!$C$12,IF(H32="GAS",AO32*F32*'Fuel Prices'!$C$11,IF(H32="CNG",AO32*F32*'Fuel Prices'!$C$13,IF(H32="LNG",AO32*F32*'Fuel Prices'!$C$14,IF(H32="LPG",AO32*F32*'Fuel Prices'!$C$16,IF(H32="PROP",AO32*F32*'Fuel Prices'!$C$16,"0")))))))</f>
        <v/>
      </c>
      <c r="DJ32" s="818" t="str">
        <f>IF(AU32="","",IF(X32="DESL",AU32*F32*'Fuel Prices'!$C$12,IF(X32="GAS",AU32*F32*'Fuel Prices'!$C$11,IF(X32="CNG",AU32*F32*'Fuel Prices'!$C$13,IF(X32="LNG",AU32*F32*'Fuel Prices'!$C$14,IF(X32="LPG",AU32*F32*'Fuel Prices'!$C$16,IF(X32="PROP",AU32*F32*'Fuel Prices'!$C$16,IF(X32="ELEC",AU32*F32*'Fuel Prices'!$C$35,"0"))))))))</f>
        <v/>
      </c>
      <c r="DK32" s="818" t="str">
        <f t="shared" si="51"/>
        <v/>
      </c>
      <c r="DL32" s="818" t="str">
        <f t="shared" si="52"/>
        <v/>
      </c>
      <c r="DM32" s="804" t="str">
        <f t="shared" si="53"/>
        <v/>
      </c>
      <c r="DN32" s="804" t="str">
        <f t="shared" si="54"/>
        <v/>
      </c>
      <c r="DO32" s="804" t="str">
        <f>IFERROR(ROUND(CZ32*IF(COUNTIF($B$20:B32,B32)=1,1,"")/IF(B32="",0,1),0),"")</f>
        <v/>
      </c>
      <c r="DP32" s="804" t="str">
        <f>IFERROR(ROUND(CW32*IF(COUNTIF($B$20:B32,B32)=1,1,"")/IF(B32="",0,1),0),"")</f>
        <v/>
      </c>
      <c r="DQ32" s="804" t="str">
        <f>IFERROR(ROUND(DA32*IF(COUNTIF($B$20:B32,B32)=1,1,"")/IF(B32="",0,1),0),"")</f>
        <v/>
      </c>
      <c r="DR32" s="804" t="str">
        <f>IFERROR(ROUND(CX32*IF(COUNTIF($B$20:B32,B32)=1,1,"")/IF(B32="",0,1),0),"")</f>
        <v/>
      </c>
      <c r="DS32" s="804">
        <f t="shared" si="55"/>
        <v>0</v>
      </c>
      <c r="DT32" s="804">
        <f t="shared" si="56"/>
        <v>0</v>
      </c>
      <c r="DU32" s="804">
        <f t="shared" si="57"/>
        <v>0</v>
      </c>
      <c r="DV32" s="818" t="str">
        <f t="shared" si="66"/>
        <v/>
      </c>
      <c r="DW32" s="819" t="str">
        <f t="shared" si="67"/>
        <v/>
      </c>
    </row>
    <row r="33" spans="1:127" s="699" customFormat="1" ht="18" customHeight="1" x14ac:dyDescent="0.35">
      <c r="A33" s="696"/>
      <c r="B33" s="820"/>
      <c r="C33" s="825" t="str">
        <f t="shared" si="0"/>
        <v>(Required)</v>
      </c>
      <c r="D33" s="821"/>
      <c r="E33" s="825" t="str">
        <f t="shared" si="0"/>
        <v>(Required)</v>
      </c>
      <c r="F33" s="821"/>
      <c r="G33" s="825" t="str">
        <f t="shared" si="1"/>
        <v>(Required)</v>
      </c>
      <c r="H33" s="822"/>
      <c r="I33" s="825" t="str">
        <f t="shared" si="2"/>
        <v>(Required)</v>
      </c>
      <c r="J33" s="821"/>
      <c r="K33" s="825" t="str">
        <f t="shared" si="3"/>
        <v>(Required)</v>
      </c>
      <c r="L33" s="821"/>
      <c r="M33" s="825" t="str">
        <f t="shared" si="4"/>
        <v>(Required)</v>
      </c>
      <c r="N33" s="821"/>
      <c r="O33" s="825" t="str">
        <f t="shared" si="5"/>
        <v>(Required)</v>
      </c>
      <c r="P33" s="821"/>
      <c r="Q33" s="825" t="str">
        <f t="shared" si="6"/>
        <v>(Required)</v>
      </c>
      <c r="R33" s="823"/>
      <c r="S33" s="826" t="str">
        <f t="shared" si="7"/>
        <v>(Optional)</v>
      </c>
      <c r="T33" s="821"/>
      <c r="U33" s="827" t="str">
        <f t="shared" si="8"/>
        <v>(Required)</v>
      </c>
      <c r="V33" s="828"/>
      <c r="W33" s="799" t="str">
        <f t="shared" si="9"/>
        <v>(Optional)</v>
      </c>
      <c r="X33" s="822"/>
      <c r="Y33" s="825" t="str">
        <f t="shared" si="10"/>
        <v>(Required)</v>
      </c>
      <c r="Z33" s="821"/>
      <c r="AA33" s="825" t="str">
        <f t="shared" si="11"/>
        <v>(Required)</v>
      </c>
      <c r="AB33" s="821"/>
      <c r="AC33" s="825" t="str">
        <f t="shared" si="12"/>
        <v>(Required)</v>
      </c>
      <c r="AD33" s="821"/>
      <c r="AE33" s="825" t="str">
        <f t="shared" si="13"/>
        <v>(Required)</v>
      </c>
      <c r="AF33" s="821"/>
      <c r="AG33" s="825" t="str">
        <f t="shared" si="14"/>
        <v>(Required)</v>
      </c>
      <c r="AH33" s="823"/>
      <c r="AI33" s="826" t="str">
        <f t="shared" si="15"/>
        <v>(Optional)</v>
      </c>
      <c r="AJ33" s="821"/>
      <c r="AK33" s="825" t="str">
        <f t="shared" si="16"/>
        <v>(Required)</v>
      </c>
      <c r="AL33" s="803" t="str">
        <f t="shared" si="17"/>
        <v/>
      </c>
      <c r="AM33" s="803" t="str">
        <f>IF(H33="DESL",'Fuel Density'!$C$12,IF(H33="GAS",'Fuel Density'!$C$11,IF(H33="CNG",'Fuel Density'!$C$13,IF(H33="LNG",'Fuel Density'!$C$14,IF(H33="LPG",'Fuel Density'!$C$15,IF(H33="PROP",'Fuel Density'!$C$16,IF(H33="","","")))))))</f>
        <v/>
      </c>
      <c r="AN33" s="803" t="str">
        <f>IF(H33="DESL",'Fuel-Specific GHG'!$C$14,IF(H33="GAS",'Fuel-Specific GHG'!$C$16,IF(H33="CNG",'Fuel-Specific GHG'!$C$13,IF(H33="LNG",'Fuel-Specific GHG'!$C$18,IF(OR(H33="LPG",H33="PROP"),'Fuel-Specific GHG'!$C$19,IF(H33="","",""))))))</f>
        <v/>
      </c>
      <c r="AO33" s="804" t="str">
        <f>IFERROR(((P33*(IF(ISBLANK(R33),Defaults!$B$19,R33))*T33*AL33)/AM33),"")</f>
        <v/>
      </c>
      <c r="AP33" s="805" t="str">
        <f t="shared" si="18"/>
        <v/>
      </c>
      <c r="AQ33" s="805" t="str">
        <f>IF(H33="DESL",'Fuel-Specific GHG'!$E$14,IF(H33="GAS",'Fuel-Specific GHG'!$E$16,IF(H33="CNG",'Fuel-Specific GHG'!$E$13,IF(H33="LNG",'Fuel-Specific GHG'!$E$18,IF(OR(H33="LPG",H33="PROP"),'Fuel-Specific GHG'!$E$19,"")))))</f>
        <v/>
      </c>
      <c r="AR33" s="805" t="str">
        <f t="shared" si="19"/>
        <v/>
      </c>
      <c r="AS33" s="803" t="str">
        <f t="shared" si="58"/>
        <v/>
      </c>
      <c r="AT33" s="803" t="str">
        <f>IF(X33="DESL",'Fuel Density'!$C$12,IF(X33="PROP",'Fuel Density'!$C$16,IF(X33="GAS",'Fuel Density'!$C$11,IF(X33="CNG",'Fuel Density'!$C$13,IF(X33="LNG",'Fuel Density'!$C$14,IF(X33="LPG",'Fuel Density'!$C$15,IF(X33="","","")))))))</f>
        <v/>
      </c>
      <c r="AU33" s="804" t="str">
        <f>IFERROR(IF(X33="ELEC",AO33*AN33*(1/'Fuel-Specific GHG'!$C$15)*(1/IF(H33="GAS",3.4,IF(H33="DESL",2.7,3))),((AF33*(IF(ISBLANK(AH33),Defaults!$B$19,AH33))*AJ33*AS33)/AT33)),"")</f>
        <v/>
      </c>
      <c r="AV33" s="805" t="str">
        <f t="shared" si="20"/>
        <v/>
      </c>
      <c r="AW33" s="805" t="str">
        <f>IF(X33="DESL",'Fuel-Specific GHG'!$E$14,IF(X33="PROP",'Fuel-Specific GHG'!$E$19,IF(X33="GAS",'Fuel-Specific GHG'!$E$16,IF(X33="CNG",'Fuel-Specific GHG'!$E$13,IF(X33="LNG",'Fuel-Specific GHG'!$E$18,IF(X33="LPG",'Fuel-Specific GHG'!$E$19,IF(X33="ELEC",'Fuel-Specific GHG'!$E$15,"")))))))</f>
        <v/>
      </c>
      <c r="AX33" s="805" t="str">
        <f t="shared" si="21"/>
        <v/>
      </c>
      <c r="AY33" s="806" t="str">
        <f t="shared" si="22"/>
        <v/>
      </c>
      <c r="AZ33" s="806" t="str">
        <f t="shared" si="68"/>
        <v/>
      </c>
      <c r="BA33" s="806" t="str">
        <f t="shared" si="59"/>
        <v/>
      </c>
      <c r="BB33" s="804" t="str">
        <f t="shared" si="23"/>
        <v/>
      </c>
      <c r="BC33" s="807" t="str">
        <f t="shared" si="24"/>
        <v/>
      </c>
      <c r="BD33" s="807"/>
      <c r="BE33" s="808" t="str">
        <f t="shared" si="25"/>
        <v/>
      </c>
      <c r="BF33" s="809" t="str">
        <f t="shared" si="26"/>
        <v/>
      </c>
      <c r="BG33" s="808" t="str">
        <f t="shared" si="60"/>
        <v/>
      </c>
      <c r="BH33" s="810">
        <f t="shared" si="61"/>
        <v>0</v>
      </c>
      <c r="BI33" s="803" t="str">
        <f>IFERROR(VLOOKUP(BH33,'Pump Emission Factors'!$B$11:$J$88,4,FALSE),"")</f>
        <v/>
      </c>
      <c r="BJ33" s="803" t="str">
        <f>IFERROR(VLOOKUP(BH33,'Pump Emission Factors'!$B$11:$J$88,6,FALSE),"")</f>
        <v/>
      </c>
      <c r="BK33" s="803" t="str">
        <f>IFERROR(VLOOKUP(BH33,'Pump Emission Factors'!$B$11:$J$88,8,FALSE),"")</f>
        <v/>
      </c>
      <c r="BL33" s="803" t="str">
        <f>IFERROR(VLOOKUP(BH33,'Pump Emission Factors'!$B$11:$J$88,5,FALSE),"")</f>
        <v/>
      </c>
      <c r="BM33" s="803" t="str">
        <f>IFERROR(VLOOKUP(BH33,'Pump Emission Factors'!$B$11:$J$88,7,FALSE),"")</f>
        <v/>
      </c>
      <c r="BN33" s="803" t="str">
        <f>IFERROR(VLOOKUP(BH33,'Pump Emission Factors'!$B$11:$J$88,9,FALSE),"")</f>
        <v/>
      </c>
      <c r="BO33" s="811" t="str">
        <f t="shared" si="27"/>
        <v/>
      </c>
      <c r="BP33" s="811" t="str">
        <f t="shared" si="28"/>
        <v/>
      </c>
      <c r="BQ33" s="803">
        <f>IFERROR(((BI33+(BL33*BP33))*(IF(ISBLANK(R33),Defaults!$B$19,R33))*P33*T33)*F33*(1/454),0)</f>
        <v>0</v>
      </c>
      <c r="BR33" s="803">
        <f>IFERROR(((BJ33+(BM33*BP33))*(IF(ISBLANK(R33),Defaults!$B$19,R33))*P33*T33)*F33*(1/454),0)</f>
        <v>0</v>
      </c>
      <c r="BS33" s="803">
        <f>IFERROR(((BK33+(BN33*BP33))*(IF(ISBLANK(R33),Defaults!$B$19,R33))*P33*T33)*F33*(1/454),0)</f>
        <v>0</v>
      </c>
      <c r="BT33" s="803">
        <f t="shared" si="29"/>
        <v>0</v>
      </c>
      <c r="BU33" s="803">
        <f t="shared" si="62"/>
        <v>0</v>
      </c>
      <c r="BV33" s="812" t="str">
        <f t="shared" si="30"/>
        <v/>
      </c>
      <c r="BW33" s="808" t="str">
        <f t="shared" si="31"/>
        <v/>
      </c>
      <c r="BX33" s="809" t="str">
        <f t="shared" si="32"/>
        <v/>
      </c>
      <c r="BY33" s="808" t="str">
        <f t="shared" si="63"/>
        <v/>
      </c>
      <c r="BZ33" s="810">
        <f t="shared" si="64"/>
        <v>0</v>
      </c>
      <c r="CA33" s="813" t="str">
        <f>IFERROR(VLOOKUP(BZ33,'Pump Emission Factors'!$B$11:$J$88,4,FALSE),"")</f>
        <v/>
      </c>
      <c r="CB33" s="813" t="str">
        <f>IFERROR(VLOOKUP(BZ33,'Pump Emission Factors'!$B$11:$J$88,6,FALSE),"")</f>
        <v/>
      </c>
      <c r="CC33" s="813" t="str">
        <f>IFERROR(VLOOKUP(BZ33,'Pump Emission Factors'!$B$11:$J$88,8,FALSE),"")</f>
        <v/>
      </c>
      <c r="CD33" s="813" t="str">
        <f>IFERROR(VLOOKUP(BZ33,'Pump Emission Factors'!$B$11:$J$88,5,FALSE),"")</f>
        <v/>
      </c>
      <c r="CE33" s="813" t="str">
        <f>IFERROR(VLOOKUP(BZ33,'Pump Emission Factors'!$B$11:$J$88,7,FALSE),"")</f>
        <v/>
      </c>
      <c r="CF33" s="813" t="str">
        <f>IFERROR(VLOOKUP(BZ33,'Pump Emission Factors'!$B$11:$J$88,9,FALSE),"")</f>
        <v/>
      </c>
      <c r="CG33" s="814" t="str">
        <f t="shared" si="33"/>
        <v/>
      </c>
      <c r="CH33" s="814" t="str">
        <f t="shared" si="34"/>
        <v/>
      </c>
      <c r="CI33" s="813">
        <f>IFERROR(IF($X33="ELEC",((($AU33*(IF($H33="DESL",'Fuel-Specific GHG'!$C$14,IF($H33="GAS",'Fuel-Specific GHG'!$C$16,IF($H33="CNG",'Fuel-Specific GHG'!$C$13,IF(OR($H33="LPG",$H33="PROP"),'Fuel-Specific GHG'!$C$19,"")))))*(1/'Fuel-Specific GHG'!$C$15)*(1/3.4)*$F33)*'Grid Electricity'!$D$39)/454),((CA33+(CD33*CH33))*(IF(ISBLANK(AH33),Defaults!$B$19,AH33))*$AF33*$AJ33*$F33)),0)</f>
        <v>0</v>
      </c>
      <c r="CJ33" s="813">
        <f>IFERROR(IF($X33="ELEC",((($AU33*(IF($H33="DESL",'Fuel-Specific GHG'!$C$14,IF($H33="GAS",'Fuel-Specific GHG'!$C$16,IF($H33="CNG",'Fuel-Specific GHG'!$C$13,IF(OR($H33="LPG",$H33="PROP"),'Fuel-Specific GHG'!$C$19,"")))))*(1/'Fuel-Specific GHG'!$C$15)*(1/3.4)*$F33)*'Grid Electricity'!$C$39)/454),((CB33+(CE33*CH33))*(IF(ISBLANK(AH33),Defaults!$B$19,AH33))*$AF33*$AJ33*$F33)),0)</f>
        <v>0</v>
      </c>
      <c r="CK33" s="813">
        <f>IFERROR(IF($X33="ELEC",((($AU33*(IF($H33="DESL",'Fuel-Specific GHG'!$C$14,IF($H33="GAS",'Fuel-Specific GHG'!$C$16,IF($H33="CNG",'Fuel-Specific GHG'!$C$13,IF(OR($H33="LPG",$H33="PROP"),'Fuel-Specific GHG'!$C$19,"")))))*(1/'Fuel-Specific GHG'!$C$15)*(1/3.4)*$F33)*'Grid Electricity'!$F$39)/454),((CC33+(CF33*CH33))*(IF(ISBLANK(AH33),Defaults!$B$19,AH33))*$AF33*$AJ33*$F33)),0)</f>
        <v>0</v>
      </c>
      <c r="CL33" s="813">
        <f t="shared" si="35"/>
        <v>0</v>
      </c>
      <c r="CM33" s="813">
        <f t="shared" si="36"/>
        <v>0</v>
      </c>
      <c r="CN33" s="814" t="str">
        <f t="shared" si="37"/>
        <v/>
      </c>
      <c r="CO33" s="814" t="str">
        <f t="shared" si="38"/>
        <v/>
      </c>
      <c r="CP33" s="814" t="str">
        <f t="shared" si="39"/>
        <v/>
      </c>
      <c r="CQ33" s="814" t="str">
        <f t="shared" si="40"/>
        <v/>
      </c>
      <c r="CR33" s="815" t="str">
        <f>IF(AND(V33="Yes, Booster Pump VFD",AF33&lt;=75),('Pump Emission Factors'!$F$95*F33),(IF(AND(V33="Yes, Booster Pump VFD",AF33&gt;75),('Pump Emission Factors'!$F$96*F33),(IF(AND(V33="Yes, Well Pump VFD",AF33&lt;=75),('Pump Emission Factors'!$F$97*F33),(IF(AND(V33="Yes, Well Pump VFD",AF33&gt;75),('Pump Emission Factors'!$F$98*F33),"")))))))</f>
        <v/>
      </c>
      <c r="CS33" s="815" t="str">
        <f>IF(AND(V33="Yes, Booster Pump VFD",AF33&lt;=75),('Pump Emission Factors'!$G$95*F33),(IF(AND(V33="Yes, Booster Pump VFD",AF33&gt;75),('Pump Emission Factors'!$G$96*F33),(IF(AND(V33="Yes, Well Pump VFD",AF33&lt;=75),('Pump Emission Factors'!$G$97*F33),(IF(AND(V33="Yes, Well Pump VFD",AF33&gt;75),('Pump Emission Factors'!$G$98*F33),"")))))))</f>
        <v/>
      </c>
      <c r="CT33" s="815" t="str">
        <f>IF(AND(V33="Yes, Booster Pump VFD",AF33&lt;=75),('Pump Emission Factors'!$H$95*F33),(IF(AND(V33="Yes, Booster Pump VFD",AF33&gt;75),('Pump Emission Factors'!$H$96*F33),(IF(AND(V33="Yes, Well Pump VFD",AF33&lt;=75),('Pump Emission Factors'!$H$97*F33),(IF(AND(V33="Yes, Well Pump VFD",AF33&gt;75),('Pump Emission Factors'!$H$98*F33),"")))))))</f>
        <v/>
      </c>
      <c r="CU33" s="815" t="str">
        <f>IF(AND(V33="Yes, Booster Pump VFD",AF33&lt;=75),('Pump Emission Factors'!$J$95*F33),(IF(AND(V33="Yes, Booster Pump VFD",AF33&gt;75),('Pump Emission Factors'!$J$96*F33),(IF(AND(V33="Yes, Well Pump VFD",AF33&lt;=75),('Pump Emission Factors'!$J$97*F33),(IF(AND(V33="Yes, Well Pump VFD",AF33&gt;75),('Pump Emission Factors'!$J$98*F33),"")))))))</f>
        <v/>
      </c>
      <c r="CV33" s="815" t="str">
        <f>IF(AND(V33="Yes, Booster Pump VFD",AF33&lt;=75),('Pump Emission Factors'!$I$95*F33),(IF(AND(V33="Yes, Booster Pump VFD",AF33&gt;75),('Pump Emission Factors'!$I$96*F33),(IF(AND(V33="Yes, Well Pump VFD",AF33&lt;=75),('Pump Emission Factors'!$I$97*F33),(IF(AND(V33="Yes, Well Pump VFD",AF33&gt;75),('Pump Emission Factors'!$I$98*F33),"")))))))</f>
        <v/>
      </c>
      <c r="CW33" s="806">
        <f t="shared" si="41"/>
        <v>0</v>
      </c>
      <c r="CX33" s="806">
        <f t="shared" si="42"/>
        <v>0</v>
      </c>
      <c r="CY33" s="806">
        <f t="shared" si="43"/>
        <v>0</v>
      </c>
      <c r="CZ33" s="806">
        <f t="shared" si="44"/>
        <v>0</v>
      </c>
      <c r="DA33" s="806">
        <f t="shared" si="45"/>
        <v>0</v>
      </c>
      <c r="DB33" s="816" t="str">
        <f t="shared" si="65"/>
        <v/>
      </c>
      <c r="DC33" s="816" t="str">
        <f t="shared" si="46"/>
        <v/>
      </c>
      <c r="DD33" s="816" t="str">
        <f t="shared" si="46"/>
        <v/>
      </c>
      <c r="DE33" s="817" t="str">
        <f t="shared" si="47"/>
        <v/>
      </c>
      <c r="DF33" s="817" t="str">
        <f t="shared" si="48"/>
        <v/>
      </c>
      <c r="DG33" s="804" t="str">
        <f t="shared" si="49"/>
        <v/>
      </c>
      <c r="DH33" s="804" t="str">
        <f t="shared" si="50"/>
        <v/>
      </c>
      <c r="DI33" s="818" t="str">
        <f>IF(AO33="","",IF(H33="DESL",AO33*F33*'Fuel Prices'!$C$12,IF(H33="GAS",AO33*F33*'Fuel Prices'!$C$11,IF(H33="CNG",AO33*F33*'Fuel Prices'!$C$13,IF(H33="LNG",AO33*F33*'Fuel Prices'!$C$14,IF(H33="LPG",AO33*F33*'Fuel Prices'!$C$16,IF(H33="PROP",AO33*F33*'Fuel Prices'!$C$16,"0")))))))</f>
        <v/>
      </c>
      <c r="DJ33" s="818" t="str">
        <f>IF(AU33="","",IF(X33="DESL",AU33*F33*'Fuel Prices'!$C$12,IF(X33="GAS",AU33*F33*'Fuel Prices'!$C$11,IF(X33="CNG",AU33*F33*'Fuel Prices'!$C$13,IF(X33="LNG",AU33*F33*'Fuel Prices'!$C$14,IF(X33="LPG",AU33*F33*'Fuel Prices'!$C$16,IF(X33="PROP",AU33*F33*'Fuel Prices'!$C$16,IF(X33="ELEC",AU33*F33*'Fuel Prices'!$C$35,"0"))))))))</f>
        <v/>
      </c>
      <c r="DK33" s="818" t="str">
        <f t="shared" si="51"/>
        <v/>
      </c>
      <c r="DL33" s="818" t="str">
        <f t="shared" si="52"/>
        <v/>
      </c>
      <c r="DM33" s="804" t="str">
        <f t="shared" si="53"/>
        <v/>
      </c>
      <c r="DN33" s="804" t="str">
        <f t="shared" si="54"/>
        <v/>
      </c>
      <c r="DO33" s="804" t="str">
        <f>IFERROR(ROUND(CZ33*IF(COUNTIF($B$20:B33,B33)=1,1,"")/IF(B33="",0,1),0),"")</f>
        <v/>
      </c>
      <c r="DP33" s="804" t="str">
        <f>IFERROR(ROUND(CW33*IF(COUNTIF($B$20:B33,B33)=1,1,"")/IF(B33="",0,1),0),"")</f>
        <v/>
      </c>
      <c r="DQ33" s="804" t="str">
        <f>IFERROR(ROUND(DA33*IF(COUNTIF($B$20:B33,B33)=1,1,"")/IF(B33="",0,1),0),"")</f>
        <v/>
      </c>
      <c r="DR33" s="804" t="str">
        <f>IFERROR(ROUND(CX33*IF(COUNTIF($B$20:B33,B33)=1,1,"")/IF(B33="",0,1),0),"")</f>
        <v/>
      </c>
      <c r="DS33" s="804">
        <f t="shared" si="55"/>
        <v>0</v>
      </c>
      <c r="DT33" s="804">
        <f t="shared" si="56"/>
        <v>0</v>
      </c>
      <c r="DU33" s="804">
        <f t="shared" si="57"/>
        <v>0</v>
      </c>
      <c r="DV33" s="818" t="str">
        <f t="shared" si="66"/>
        <v/>
      </c>
      <c r="DW33" s="819" t="str">
        <f t="shared" si="67"/>
        <v/>
      </c>
    </row>
    <row r="34" spans="1:127" s="699" customFormat="1" ht="18" customHeight="1" x14ac:dyDescent="0.35">
      <c r="A34" s="635"/>
      <c r="B34" s="820"/>
      <c r="C34" s="825" t="str">
        <f t="shared" si="0"/>
        <v>(Required)</v>
      </c>
      <c r="D34" s="821"/>
      <c r="E34" s="825" t="str">
        <f t="shared" si="0"/>
        <v>(Required)</v>
      </c>
      <c r="F34" s="821"/>
      <c r="G34" s="825" t="str">
        <f t="shared" si="1"/>
        <v>(Required)</v>
      </c>
      <c r="H34" s="822"/>
      <c r="I34" s="825" t="str">
        <f t="shared" si="2"/>
        <v>(Required)</v>
      </c>
      <c r="J34" s="821"/>
      <c r="K34" s="825" t="str">
        <f t="shared" si="3"/>
        <v>(Required)</v>
      </c>
      <c r="L34" s="821"/>
      <c r="M34" s="825" t="str">
        <f t="shared" si="4"/>
        <v>(Required)</v>
      </c>
      <c r="N34" s="821"/>
      <c r="O34" s="825" t="str">
        <f t="shared" si="5"/>
        <v>(Required)</v>
      </c>
      <c r="P34" s="821"/>
      <c r="Q34" s="825" t="str">
        <f t="shared" si="6"/>
        <v>(Required)</v>
      </c>
      <c r="R34" s="823"/>
      <c r="S34" s="826" t="str">
        <f t="shared" si="7"/>
        <v>(Optional)</v>
      </c>
      <c r="T34" s="821"/>
      <c r="U34" s="827" t="str">
        <f t="shared" si="8"/>
        <v>(Required)</v>
      </c>
      <c r="V34" s="828"/>
      <c r="W34" s="799" t="str">
        <f t="shared" si="9"/>
        <v>(Optional)</v>
      </c>
      <c r="X34" s="822"/>
      <c r="Y34" s="825" t="str">
        <f t="shared" si="10"/>
        <v>(Required)</v>
      </c>
      <c r="Z34" s="821"/>
      <c r="AA34" s="825" t="str">
        <f t="shared" si="11"/>
        <v>(Required)</v>
      </c>
      <c r="AB34" s="821"/>
      <c r="AC34" s="825" t="str">
        <f t="shared" si="12"/>
        <v>(Required)</v>
      </c>
      <c r="AD34" s="821"/>
      <c r="AE34" s="825" t="str">
        <f t="shared" si="13"/>
        <v>(Required)</v>
      </c>
      <c r="AF34" s="821"/>
      <c r="AG34" s="825" t="str">
        <f t="shared" si="14"/>
        <v>(Required)</v>
      </c>
      <c r="AH34" s="823"/>
      <c r="AI34" s="826" t="str">
        <f t="shared" si="15"/>
        <v>(Optional)</v>
      </c>
      <c r="AJ34" s="821"/>
      <c r="AK34" s="825" t="str">
        <f t="shared" si="16"/>
        <v>(Required)</v>
      </c>
      <c r="AL34" s="803" t="str">
        <f t="shared" si="17"/>
        <v/>
      </c>
      <c r="AM34" s="803" t="str">
        <f>IF(H34="DESL",'Fuel Density'!$C$12,IF(H34="GAS",'Fuel Density'!$C$11,IF(H34="CNG",'Fuel Density'!$C$13,IF(H34="LNG",'Fuel Density'!$C$14,IF(H34="LPG",'Fuel Density'!$C$15,IF(H34="PROP",'Fuel Density'!$C$16,IF(H34="","","")))))))</f>
        <v/>
      </c>
      <c r="AN34" s="803" t="str">
        <f>IF(H34="DESL",'Fuel-Specific GHG'!$C$14,IF(H34="GAS",'Fuel-Specific GHG'!$C$16,IF(H34="CNG",'Fuel-Specific GHG'!$C$13,IF(H34="LNG",'Fuel-Specific GHG'!$C$18,IF(OR(H34="LPG",H34="PROP"),'Fuel-Specific GHG'!$C$19,IF(H34="","",""))))))</f>
        <v/>
      </c>
      <c r="AO34" s="804" t="str">
        <f>IFERROR(((P34*(IF(ISBLANK(R34),Defaults!$B$19,R34))*T34*AL34)/AM34),"")</f>
        <v/>
      </c>
      <c r="AP34" s="805" t="str">
        <f t="shared" si="18"/>
        <v/>
      </c>
      <c r="AQ34" s="805" t="str">
        <f>IF(H34="DESL",'Fuel-Specific GHG'!$E$14,IF(H34="GAS",'Fuel-Specific GHG'!$E$16,IF(H34="CNG",'Fuel-Specific GHG'!$E$13,IF(H34="LNG",'Fuel-Specific GHG'!$E$18,IF(OR(H34="LPG",H34="PROP"),'Fuel-Specific GHG'!$E$19,"")))))</f>
        <v/>
      </c>
      <c r="AR34" s="805" t="str">
        <f t="shared" si="19"/>
        <v/>
      </c>
      <c r="AS34" s="803" t="str">
        <f t="shared" si="58"/>
        <v/>
      </c>
      <c r="AT34" s="803" t="str">
        <f>IF(X34="DESL",'Fuel Density'!$C$12,IF(X34="PROP",'Fuel Density'!$C$16,IF(X34="GAS",'Fuel Density'!$C$11,IF(X34="CNG",'Fuel Density'!$C$13,IF(X34="LNG",'Fuel Density'!$C$14,IF(X34="LPG",'Fuel Density'!$C$15,IF(X34="","","")))))))</f>
        <v/>
      </c>
      <c r="AU34" s="804" t="str">
        <f>IFERROR(IF(X34="ELEC",AO34*AN34*(1/'Fuel-Specific GHG'!$C$15)*(1/IF(H34="GAS",3.4,IF(H34="DESL",2.7,3))),((AF34*(IF(ISBLANK(AH34),Defaults!$B$19,AH34))*AJ34*AS34)/AT34)),"")</f>
        <v/>
      </c>
      <c r="AV34" s="805" t="str">
        <f t="shared" si="20"/>
        <v/>
      </c>
      <c r="AW34" s="805" t="str">
        <f>IF(X34="DESL",'Fuel-Specific GHG'!$E$14,IF(X34="PROP",'Fuel-Specific GHG'!$E$19,IF(X34="GAS",'Fuel-Specific GHG'!$E$16,IF(X34="CNG",'Fuel-Specific GHG'!$E$13,IF(X34="LNG",'Fuel-Specific GHG'!$E$18,IF(X34="LPG",'Fuel-Specific GHG'!$E$19,IF(X34="ELEC",'Fuel-Specific GHG'!$E$15,"")))))))</f>
        <v/>
      </c>
      <c r="AX34" s="805" t="str">
        <f t="shared" si="21"/>
        <v/>
      </c>
      <c r="AY34" s="806" t="str">
        <f t="shared" si="22"/>
        <v/>
      </c>
      <c r="AZ34" s="806" t="str">
        <f t="shared" si="68"/>
        <v/>
      </c>
      <c r="BA34" s="806" t="str">
        <f t="shared" si="59"/>
        <v/>
      </c>
      <c r="BB34" s="804" t="str">
        <f t="shared" si="23"/>
        <v/>
      </c>
      <c r="BC34" s="807" t="str">
        <f t="shared" si="24"/>
        <v/>
      </c>
      <c r="BD34" s="807"/>
      <c r="BE34" s="808" t="str">
        <f t="shared" si="25"/>
        <v/>
      </c>
      <c r="BF34" s="809" t="str">
        <f t="shared" si="26"/>
        <v/>
      </c>
      <c r="BG34" s="808" t="str">
        <f t="shared" si="60"/>
        <v/>
      </c>
      <c r="BH34" s="810">
        <f t="shared" si="61"/>
        <v>0</v>
      </c>
      <c r="BI34" s="803" t="str">
        <f>IFERROR(VLOOKUP(BH34,'Pump Emission Factors'!$B$11:$J$88,4,FALSE),"")</f>
        <v/>
      </c>
      <c r="BJ34" s="803" t="str">
        <f>IFERROR(VLOOKUP(BH34,'Pump Emission Factors'!$B$11:$J$88,6,FALSE),"")</f>
        <v/>
      </c>
      <c r="BK34" s="803" t="str">
        <f>IFERROR(VLOOKUP(BH34,'Pump Emission Factors'!$B$11:$J$88,8,FALSE),"")</f>
        <v/>
      </c>
      <c r="BL34" s="803" t="str">
        <f>IFERROR(VLOOKUP(BH34,'Pump Emission Factors'!$B$11:$J$88,5,FALSE),"")</f>
        <v/>
      </c>
      <c r="BM34" s="803" t="str">
        <f>IFERROR(VLOOKUP(BH34,'Pump Emission Factors'!$B$11:$J$88,7,FALSE),"")</f>
        <v/>
      </c>
      <c r="BN34" s="803" t="str">
        <f>IFERROR(VLOOKUP(BH34,'Pump Emission Factors'!$B$11:$J$88,9,FALSE),"")</f>
        <v/>
      </c>
      <c r="BO34" s="811" t="str">
        <f t="shared" si="27"/>
        <v/>
      </c>
      <c r="BP34" s="811" t="str">
        <f t="shared" si="28"/>
        <v/>
      </c>
      <c r="BQ34" s="803">
        <f>IFERROR(((BI34+(BL34*BP34))*(IF(ISBLANK(R34),Defaults!$B$19,R34))*P34*T34)*F34*(1/454),0)</f>
        <v>0</v>
      </c>
      <c r="BR34" s="803">
        <f>IFERROR(((BJ34+(BM34*BP34))*(IF(ISBLANK(R34),Defaults!$B$19,R34))*P34*T34)*F34*(1/454),0)</f>
        <v>0</v>
      </c>
      <c r="BS34" s="803">
        <f>IFERROR(((BK34+(BN34*BP34))*(IF(ISBLANK(R34),Defaults!$B$19,R34))*P34*T34)*F34*(1/454),0)</f>
        <v>0</v>
      </c>
      <c r="BT34" s="803">
        <f t="shared" si="29"/>
        <v>0</v>
      </c>
      <c r="BU34" s="803">
        <f t="shared" si="62"/>
        <v>0</v>
      </c>
      <c r="BV34" s="812" t="str">
        <f t="shared" si="30"/>
        <v/>
      </c>
      <c r="BW34" s="808" t="str">
        <f t="shared" si="31"/>
        <v/>
      </c>
      <c r="BX34" s="809" t="str">
        <f t="shared" si="32"/>
        <v/>
      </c>
      <c r="BY34" s="808" t="str">
        <f t="shared" si="63"/>
        <v/>
      </c>
      <c r="BZ34" s="810">
        <f t="shared" si="64"/>
        <v>0</v>
      </c>
      <c r="CA34" s="813" t="str">
        <f>IFERROR(VLOOKUP(BZ34,'Pump Emission Factors'!$B$11:$J$88,4,FALSE),"")</f>
        <v/>
      </c>
      <c r="CB34" s="813" t="str">
        <f>IFERROR(VLOOKUP(BZ34,'Pump Emission Factors'!$B$11:$J$88,6,FALSE),"")</f>
        <v/>
      </c>
      <c r="CC34" s="813" t="str">
        <f>IFERROR(VLOOKUP(BZ34,'Pump Emission Factors'!$B$11:$J$88,8,FALSE),"")</f>
        <v/>
      </c>
      <c r="CD34" s="813" t="str">
        <f>IFERROR(VLOOKUP(BZ34,'Pump Emission Factors'!$B$11:$J$88,5,FALSE),"")</f>
        <v/>
      </c>
      <c r="CE34" s="813" t="str">
        <f>IFERROR(VLOOKUP(BZ34,'Pump Emission Factors'!$B$11:$J$88,7,FALSE),"")</f>
        <v/>
      </c>
      <c r="CF34" s="813" t="str">
        <f>IFERROR(VLOOKUP(BZ34,'Pump Emission Factors'!$B$11:$J$88,9,FALSE),"")</f>
        <v/>
      </c>
      <c r="CG34" s="814" t="str">
        <f t="shared" si="33"/>
        <v/>
      </c>
      <c r="CH34" s="814" t="str">
        <f t="shared" si="34"/>
        <v/>
      </c>
      <c r="CI34" s="813">
        <f>IFERROR(IF($X34="ELEC",((($AU34*(IF($H34="DESL",'Fuel-Specific GHG'!$C$14,IF($H34="GAS",'Fuel-Specific GHG'!$C$16,IF($H34="CNG",'Fuel-Specific GHG'!$C$13,IF(OR($H34="LPG",$H34="PROP"),'Fuel-Specific GHG'!$C$19,"")))))*(1/'Fuel-Specific GHG'!$C$15)*(1/3.4)*$F34)*'Grid Electricity'!$D$39)/454),((CA34+(CD34*CH34))*(IF(ISBLANK(AH34),Defaults!$B$19,AH34))*$AF34*$AJ34*$F34)),0)</f>
        <v>0</v>
      </c>
      <c r="CJ34" s="813">
        <f>IFERROR(IF($X34="ELEC",((($AU34*(IF($H34="DESL",'Fuel-Specific GHG'!$C$14,IF($H34="GAS",'Fuel-Specific GHG'!$C$16,IF($H34="CNG",'Fuel-Specific GHG'!$C$13,IF(OR($H34="LPG",$H34="PROP"),'Fuel-Specific GHG'!$C$19,"")))))*(1/'Fuel-Specific GHG'!$C$15)*(1/3.4)*$F34)*'Grid Electricity'!$C$39)/454),((CB34+(CE34*CH34))*(IF(ISBLANK(AH34),Defaults!$B$19,AH34))*$AF34*$AJ34*$F34)),0)</f>
        <v>0</v>
      </c>
      <c r="CK34" s="813">
        <f>IFERROR(IF($X34="ELEC",((($AU34*(IF($H34="DESL",'Fuel-Specific GHG'!$C$14,IF($H34="GAS",'Fuel-Specific GHG'!$C$16,IF($H34="CNG",'Fuel-Specific GHG'!$C$13,IF(OR($H34="LPG",$H34="PROP"),'Fuel-Specific GHG'!$C$19,"")))))*(1/'Fuel-Specific GHG'!$C$15)*(1/3.4)*$F34)*'Grid Electricity'!$F$39)/454),((CC34+(CF34*CH34))*(IF(ISBLANK(AH34),Defaults!$B$19,AH34))*$AF34*$AJ34*$F34)),0)</f>
        <v>0</v>
      </c>
      <c r="CL34" s="813">
        <f t="shared" si="35"/>
        <v>0</v>
      </c>
      <c r="CM34" s="813">
        <f t="shared" si="36"/>
        <v>0</v>
      </c>
      <c r="CN34" s="814" t="str">
        <f t="shared" si="37"/>
        <v/>
      </c>
      <c r="CO34" s="814" t="str">
        <f t="shared" si="38"/>
        <v/>
      </c>
      <c r="CP34" s="814" t="str">
        <f t="shared" si="39"/>
        <v/>
      </c>
      <c r="CQ34" s="814" t="str">
        <f t="shared" si="40"/>
        <v/>
      </c>
      <c r="CR34" s="815" t="str">
        <f>IF(AND(V34="Yes, Booster Pump VFD",AF34&lt;=75),('Pump Emission Factors'!$F$95*F34),(IF(AND(V34="Yes, Booster Pump VFD",AF34&gt;75),('Pump Emission Factors'!$F$96*F34),(IF(AND(V34="Yes, Well Pump VFD",AF34&lt;=75),('Pump Emission Factors'!$F$97*F34),(IF(AND(V34="Yes, Well Pump VFD",AF34&gt;75),('Pump Emission Factors'!$F$98*F34),"")))))))</f>
        <v/>
      </c>
      <c r="CS34" s="815" t="str">
        <f>IF(AND(V34="Yes, Booster Pump VFD",AF34&lt;=75),('Pump Emission Factors'!$G$95*F34),(IF(AND(V34="Yes, Booster Pump VFD",AF34&gt;75),('Pump Emission Factors'!$G$96*F34),(IF(AND(V34="Yes, Well Pump VFD",AF34&lt;=75),('Pump Emission Factors'!$G$97*F34),(IF(AND(V34="Yes, Well Pump VFD",AF34&gt;75),('Pump Emission Factors'!$G$98*F34),"")))))))</f>
        <v/>
      </c>
      <c r="CT34" s="815" t="str">
        <f>IF(AND(V34="Yes, Booster Pump VFD",AF34&lt;=75),('Pump Emission Factors'!$H$95*F34),(IF(AND(V34="Yes, Booster Pump VFD",AF34&gt;75),('Pump Emission Factors'!$H$96*F34),(IF(AND(V34="Yes, Well Pump VFD",AF34&lt;=75),('Pump Emission Factors'!$H$97*F34),(IF(AND(V34="Yes, Well Pump VFD",AF34&gt;75),('Pump Emission Factors'!$H$98*F34),"")))))))</f>
        <v/>
      </c>
      <c r="CU34" s="815" t="str">
        <f>IF(AND(V34="Yes, Booster Pump VFD",AF34&lt;=75),('Pump Emission Factors'!$J$95*F34),(IF(AND(V34="Yes, Booster Pump VFD",AF34&gt;75),('Pump Emission Factors'!$J$96*F34),(IF(AND(V34="Yes, Well Pump VFD",AF34&lt;=75),('Pump Emission Factors'!$J$97*F34),(IF(AND(V34="Yes, Well Pump VFD",AF34&gt;75),('Pump Emission Factors'!$J$98*F34),"")))))))</f>
        <v/>
      </c>
      <c r="CV34" s="815" t="str">
        <f>IF(AND(V34="Yes, Booster Pump VFD",AF34&lt;=75),('Pump Emission Factors'!$I$95*F34),(IF(AND(V34="Yes, Booster Pump VFD",AF34&gt;75),('Pump Emission Factors'!$I$96*F34),(IF(AND(V34="Yes, Well Pump VFD",AF34&lt;=75),('Pump Emission Factors'!$I$97*F34),(IF(AND(V34="Yes, Well Pump VFD",AF34&gt;75),('Pump Emission Factors'!$I$98*F34),"")))))))</f>
        <v/>
      </c>
      <c r="CW34" s="806">
        <f t="shared" si="41"/>
        <v>0</v>
      </c>
      <c r="CX34" s="806">
        <f t="shared" si="42"/>
        <v>0</v>
      </c>
      <c r="CY34" s="806">
        <f t="shared" si="43"/>
        <v>0</v>
      </c>
      <c r="CZ34" s="806">
        <f t="shared" si="44"/>
        <v>0</v>
      </c>
      <c r="DA34" s="806">
        <f t="shared" si="45"/>
        <v>0</v>
      </c>
      <c r="DB34" s="816" t="str">
        <f t="shared" si="65"/>
        <v/>
      </c>
      <c r="DC34" s="816" t="str">
        <f t="shared" si="46"/>
        <v/>
      </c>
      <c r="DD34" s="816" t="str">
        <f t="shared" si="46"/>
        <v/>
      </c>
      <c r="DE34" s="817" t="str">
        <f t="shared" si="47"/>
        <v/>
      </c>
      <c r="DF34" s="817" t="str">
        <f t="shared" si="48"/>
        <v/>
      </c>
      <c r="DG34" s="804" t="str">
        <f t="shared" si="49"/>
        <v/>
      </c>
      <c r="DH34" s="804" t="str">
        <f t="shared" si="50"/>
        <v/>
      </c>
      <c r="DI34" s="818" t="str">
        <f>IF(AO34="","",IF(H34="DESL",AO34*F34*'Fuel Prices'!$C$12,IF(H34="GAS",AO34*F34*'Fuel Prices'!$C$11,IF(H34="CNG",AO34*F34*'Fuel Prices'!$C$13,IF(H34="LNG",AO34*F34*'Fuel Prices'!$C$14,IF(H34="LPG",AO34*F34*'Fuel Prices'!$C$16,IF(H34="PROP",AO34*F34*'Fuel Prices'!$C$16,"0")))))))</f>
        <v/>
      </c>
      <c r="DJ34" s="818" t="str">
        <f>IF(AU34="","",IF(X34="DESL",AU34*F34*'Fuel Prices'!$C$12,IF(X34="GAS",AU34*F34*'Fuel Prices'!$C$11,IF(X34="CNG",AU34*F34*'Fuel Prices'!$C$13,IF(X34="LNG",AU34*F34*'Fuel Prices'!$C$14,IF(X34="LPG",AU34*F34*'Fuel Prices'!$C$16,IF(X34="PROP",AU34*F34*'Fuel Prices'!$C$16,IF(X34="ELEC",AU34*F34*'Fuel Prices'!$C$35,"0"))))))))</f>
        <v/>
      </c>
      <c r="DK34" s="818" t="str">
        <f t="shared" si="51"/>
        <v/>
      </c>
      <c r="DL34" s="818" t="str">
        <f t="shared" si="52"/>
        <v/>
      </c>
      <c r="DM34" s="804" t="str">
        <f t="shared" si="53"/>
        <v/>
      </c>
      <c r="DN34" s="804" t="str">
        <f t="shared" si="54"/>
        <v/>
      </c>
      <c r="DO34" s="804" t="str">
        <f>IFERROR(ROUND(CZ34*IF(COUNTIF($B$20:B34,B34)=1,1,"")/IF(B34="",0,1),0),"")</f>
        <v/>
      </c>
      <c r="DP34" s="804" t="str">
        <f>IFERROR(ROUND(CW34*IF(COUNTIF($B$20:B34,B34)=1,1,"")/IF(B34="",0,1),0),"")</f>
        <v/>
      </c>
      <c r="DQ34" s="804" t="str">
        <f>IFERROR(ROUND(DA34*IF(COUNTIF($B$20:B34,B34)=1,1,"")/IF(B34="",0,1),0),"")</f>
        <v/>
      </c>
      <c r="DR34" s="804" t="str">
        <f>IFERROR(ROUND(CX34*IF(COUNTIF($B$20:B34,B34)=1,1,"")/IF(B34="",0,1),0),"")</f>
        <v/>
      </c>
      <c r="DS34" s="804">
        <f t="shared" si="55"/>
        <v>0</v>
      </c>
      <c r="DT34" s="804">
        <f t="shared" si="56"/>
        <v>0</v>
      </c>
      <c r="DU34" s="804">
        <f t="shared" si="57"/>
        <v>0</v>
      </c>
      <c r="DV34" s="818" t="str">
        <f t="shared" si="66"/>
        <v/>
      </c>
      <c r="DW34" s="819" t="str">
        <f t="shared" si="67"/>
        <v/>
      </c>
    </row>
    <row r="35" spans="1:127" s="699" customFormat="1" ht="18" customHeight="1" x14ac:dyDescent="0.35">
      <c r="A35" s="696"/>
      <c r="B35" s="820"/>
      <c r="C35" s="825" t="str">
        <f t="shared" si="0"/>
        <v>(Required)</v>
      </c>
      <c r="D35" s="821"/>
      <c r="E35" s="825" t="str">
        <f t="shared" si="0"/>
        <v>(Required)</v>
      </c>
      <c r="F35" s="821"/>
      <c r="G35" s="825" t="str">
        <f t="shared" si="1"/>
        <v>(Required)</v>
      </c>
      <c r="H35" s="822"/>
      <c r="I35" s="825" t="str">
        <f t="shared" si="2"/>
        <v>(Required)</v>
      </c>
      <c r="J35" s="821"/>
      <c r="K35" s="825" t="str">
        <f t="shared" si="3"/>
        <v>(Required)</v>
      </c>
      <c r="L35" s="821"/>
      <c r="M35" s="825" t="str">
        <f t="shared" si="4"/>
        <v>(Required)</v>
      </c>
      <c r="N35" s="821"/>
      <c r="O35" s="825" t="str">
        <f t="shared" si="5"/>
        <v>(Required)</v>
      </c>
      <c r="P35" s="821"/>
      <c r="Q35" s="825" t="str">
        <f t="shared" si="6"/>
        <v>(Required)</v>
      </c>
      <c r="R35" s="823"/>
      <c r="S35" s="826" t="str">
        <f t="shared" si="7"/>
        <v>(Optional)</v>
      </c>
      <c r="T35" s="821"/>
      <c r="U35" s="827" t="str">
        <f t="shared" si="8"/>
        <v>(Required)</v>
      </c>
      <c r="V35" s="828"/>
      <c r="W35" s="799" t="str">
        <f t="shared" si="9"/>
        <v>(Optional)</v>
      </c>
      <c r="X35" s="822"/>
      <c r="Y35" s="825" t="str">
        <f t="shared" si="10"/>
        <v>(Required)</v>
      </c>
      <c r="Z35" s="821"/>
      <c r="AA35" s="825" t="str">
        <f t="shared" si="11"/>
        <v>(Required)</v>
      </c>
      <c r="AB35" s="821"/>
      <c r="AC35" s="825" t="str">
        <f t="shared" si="12"/>
        <v>(Required)</v>
      </c>
      <c r="AD35" s="821"/>
      <c r="AE35" s="825" t="str">
        <f t="shared" si="13"/>
        <v>(Required)</v>
      </c>
      <c r="AF35" s="821"/>
      <c r="AG35" s="825" t="str">
        <f t="shared" si="14"/>
        <v>(Required)</v>
      </c>
      <c r="AH35" s="823"/>
      <c r="AI35" s="826" t="str">
        <f t="shared" si="15"/>
        <v>(Optional)</v>
      </c>
      <c r="AJ35" s="821"/>
      <c r="AK35" s="825" t="str">
        <f t="shared" si="16"/>
        <v>(Required)</v>
      </c>
      <c r="AL35" s="803" t="str">
        <f t="shared" si="17"/>
        <v/>
      </c>
      <c r="AM35" s="803" t="str">
        <f>IF(H35="DESL",'Fuel Density'!$C$12,IF(H35="GAS",'Fuel Density'!$C$11,IF(H35="CNG",'Fuel Density'!$C$13,IF(H35="LNG",'Fuel Density'!$C$14,IF(H35="LPG",'Fuel Density'!$C$15,IF(H35="PROP",'Fuel Density'!$C$16,IF(H35="","","")))))))</f>
        <v/>
      </c>
      <c r="AN35" s="803" t="str">
        <f>IF(H35="DESL",'Fuel-Specific GHG'!$C$14,IF(H35="GAS",'Fuel-Specific GHG'!$C$16,IF(H35="CNG",'Fuel-Specific GHG'!$C$13,IF(H35="LNG",'Fuel-Specific GHG'!$C$18,IF(OR(H35="LPG",H35="PROP"),'Fuel-Specific GHG'!$C$19,IF(H35="","",""))))))</f>
        <v/>
      </c>
      <c r="AO35" s="804" t="str">
        <f>IFERROR(((P35*(IF(ISBLANK(R35),Defaults!$B$19,R35))*T35*AL35)/AM35),"")</f>
        <v/>
      </c>
      <c r="AP35" s="805" t="str">
        <f t="shared" si="18"/>
        <v/>
      </c>
      <c r="AQ35" s="805" t="str">
        <f>IF(H35="DESL",'Fuel-Specific GHG'!$E$14,IF(H35="GAS",'Fuel-Specific GHG'!$E$16,IF(H35="CNG",'Fuel-Specific GHG'!$E$13,IF(H35="LNG",'Fuel-Specific GHG'!$E$18,IF(OR(H35="LPG",H35="PROP"),'Fuel-Specific GHG'!$E$19,"")))))</f>
        <v/>
      </c>
      <c r="AR35" s="805" t="str">
        <f t="shared" si="19"/>
        <v/>
      </c>
      <c r="AS35" s="803" t="str">
        <f t="shared" si="58"/>
        <v/>
      </c>
      <c r="AT35" s="803" t="str">
        <f>IF(X35="DESL",'Fuel Density'!$C$12,IF(X35="PROP",'Fuel Density'!$C$16,IF(X35="GAS",'Fuel Density'!$C$11,IF(X35="CNG",'Fuel Density'!$C$13,IF(X35="LNG",'Fuel Density'!$C$14,IF(X35="LPG",'Fuel Density'!$C$15,IF(X35="","","")))))))</f>
        <v/>
      </c>
      <c r="AU35" s="804" t="str">
        <f>IFERROR(IF(X35="ELEC",AO35*AN35*(1/'Fuel-Specific GHG'!$C$15)*(1/IF(H35="GAS",3.4,IF(H35="DESL",2.7,3))),((AF35*(IF(ISBLANK(AH35),Defaults!$B$19,AH35))*AJ35*AS35)/AT35)),"")</f>
        <v/>
      </c>
      <c r="AV35" s="805" t="str">
        <f t="shared" si="20"/>
        <v/>
      </c>
      <c r="AW35" s="805" t="str">
        <f>IF(X35="DESL",'Fuel-Specific GHG'!$E$14,IF(X35="PROP",'Fuel-Specific GHG'!$E$19,IF(X35="GAS",'Fuel-Specific GHG'!$E$16,IF(X35="CNG",'Fuel-Specific GHG'!$E$13,IF(X35="LNG",'Fuel-Specific GHG'!$E$18,IF(X35="LPG",'Fuel-Specific GHG'!$E$19,IF(X35="ELEC",'Fuel-Specific GHG'!$E$15,"")))))))</f>
        <v/>
      </c>
      <c r="AX35" s="805" t="str">
        <f t="shared" si="21"/>
        <v/>
      </c>
      <c r="AY35" s="806" t="str">
        <f t="shared" si="22"/>
        <v/>
      </c>
      <c r="AZ35" s="806" t="str">
        <f t="shared" si="68"/>
        <v/>
      </c>
      <c r="BA35" s="806" t="str">
        <f t="shared" si="59"/>
        <v/>
      </c>
      <c r="BB35" s="804" t="str">
        <f t="shared" si="23"/>
        <v/>
      </c>
      <c r="BC35" s="807" t="str">
        <f t="shared" si="24"/>
        <v/>
      </c>
      <c r="BD35" s="807"/>
      <c r="BE35" s="808" t="str">
        <f t="shared" si="25"/>
        <v/>
      </c>
      <c r="BF35" s="809" t="str">
        <f t="shared" si="26"/>
        <v/>
      </c>
      <c r="BG35" s="808" t="str">
        <f t="shared" si="60"/>
        <v/>
      </c>
      <c r="BH35" s="810">
        <f t="shared" si="61"/>
        <v>0</v>
      </c>
      <c r="BI35" s="803" t="str">
        <f>IFERROR(VLOOKUP(BH35,'Pump Emission Factors'!$B$11:$J$88,4,FALSE),"")</f>
        <v/>
      </c>
      <c r="BJ35" s="803" t="str">
        <f>IFERROR(VLOOKUP(BH35,'Pump Emission Factors'!$B$11:$J$88,6,FALSE),"")</f>
        <v/>
      </c>
      <c r="BK35" s="803" t="str">
        <f>IFERROR(VLOOKUP(BH35,'Pump Emission Factors'!$B$11:$J$88,8,FALSE),"")</f>
        <v/>
      </c>
      <c r="BL35" s="803" t="str">
        <f>IFERROR(VLOOKUP(BH35,'Pump Emission Factors'!$B$11:$J$88,5,FALSE),"")</f>
        <v/>
      </c>
      <c r="BM35" s="803" t="str">
        <f>IFERROR(VLOOKUP(BH35,'Pump Emission Factors'!$B$11:$J$88,7,FALSE),"")</f>
        <v/>
      </c>
      <c r="BN35" s="803" t="str">
        <f>IFERROR(VLOOKUP(BH35,'Pump Emission Factors'!$B$11:$J$88,9,FALSE),"")</f>
        <v/>
      </c>
      <c r="BO35" s="811" t="str">
        <f t="shared" si="27"/>
        <v/>
      </c>
      <c r="BP35" s="811" t="str">
        <f t="shared" si="28"/>
        <v/>
      </c>
      <c r="BQ35" s="803">
        <f>IFERROR(((BI35+(BL35*BP35))*(IF(ISBLANK(R35),Defaults!$B$19,R35))*P35*T35)*F35*(1/454),0)</f>
        <v>0</v>
      </c>
      <c r="BR35" s="803">
        <f>IFERROR(((BJ35+(BM35*BP35))*(IF(ISBLANK(R35),Defaults!$B$19,R35))*P35*T35)*F35*(1/454),0)</f>
        <v>0</v>
      </c>
      <c r="BS35" s="803">
        <f>IFERROR(((BK35+(BN35*BP35))*(IF(ISBLANK(R35),Defaults!$B$19,R35))*P35*T35)*F35*(1/454),0)</f>
        <v>0</v>
      </c>
      <c r="BT35" s="803">
        <f t="shared" si="29"/>
        <v>0</v>
      </c>
      <c r="BU35" s="803">
        <f t="shared" si="62"/>
        <v>0</v>
      </c>
      <c r="BV35" s="812" t="str">
        <f t="shared" si="30"/>
        <v/>
      </c>
      <c r="BW35" s="808" t="str">
        <f t="shared" si="31"/>
        <v/>
      </c>
      <c r="BX35" s="809" t="str">
        <f t="shared" si="32"/>
        <v/>
      </c>
      <c r="BY35" s="808" t="str">
        <f t="shared" si="63"/>
        <v/>
      </c>
      <c r="BZ35" s="810">
        <f t="shared" si="64"/>
        <v>0</v>
      </c>
      <c r="CA35" s="813" t="str">
        <f>IFERROR(VLOOKUP(BZ35,'Pump Emission Factors'!$B$11:$J$88,4,FALSE),"")</f>
        <v/>
      </c>
      <c r="CB35" s="813" t="str">
        <f>IFERROR(VLOOKUP(BZ35,'Pump Emission Factors'!$B$11:$J$88,6,FALSE),"")</f>
        <v/>
      </c>
      <c r="CC35" s="813" t="str">
        <f>IFERROR(VLOOKUP(BZ35,'Pump Emission Factors'!$B$11:$J$88,8,FALSE),"")</f>
        <v/>
      </c>
      <c r="CD35" s="813" t="str">
        <f>IFERROR(VLOOKUP(BZ35,'Pump Emission Factors'!$B$11:$J$88,5,FALSE),"")</f>
        <v/>
      </c>
      <c r="CE35" s="813" t="str">
        <f>IFERROR(VLOOKUP(BZ35,'Pump Emission Factors'!$B$11:$J$88,7,FALSE),"")</f>
        <v/>
      </c>
      <c r="CF35" s="813" t="str">
        <f>IFERROR(VLOOKUP(BZ35,'Pump Emission Factors'!$B$11:$J$88,9,FALSE),"")</f>
        <v/>
      </c>
      <c r="CG35" s="814" t="str">
        <f t="shared" si="33"/>
        <v/>
      </c>
      <c r="CH35" s="814" t="str">
        <f t="shared" si="34"/>
        <v/>
      </c>
      <c r="CI35" s="813">
        <f>IFERROR(IF($X35="ELEC",((($AU35*(IF($H35="DESL",'Fuel-Specific GHG'!$C$14,IF($H35="GAS",'Fuel-Specific GHG'!$C$16,IF($H35="CNG",'Fuel-Specific GHG'!$C$13,IF(OR($H35="LPG",$H35="PROP"),'Fuel-Specific GHG'!$C$19,"")))))*(1/'Fuel-Specific GHG'!$C$15)*(1/3.4)*$F35)*'Grid Electricity'!$D$39)/454),((CA35+(CD35*CH35))*(IF(ISBLANK(AH35),Defaults!$B$19,AH35))*$AF35*$AJ35*$F35)),0)</f>
        <v>0</v>
      </c>
      <c r="CJ35" s="813">
        <f>IFERROR(IF($X35="ELEC",((($AU35*(IF($H35="DESL",'Fuel-Specific GHG'!$C$14,IF($H35="GAS",'Fuel-Specific GHG'!$C$16,IF($H35="CNG",'Fuel-Specific GHG'!$C$13,IF(OR($H35="LPG",$H35="PROP"),'Fuel-Specific GHG'!$C$19,"")))))*(1/'Fuel-Specific GHG'!$C$15)*(1/3.4)*$F35)*'Grid Electricity'!$C$39)/454),((CB35+(CE35*CH35))*(IF(ISBLANK(AH35),Defaults!$B$19,AH35))*$AF35*$AJ35*$F35)),0)</f>
        <v>0</v>
      </c>
      <c r="CK35" s="813">
        <f>IFERROR(IF($X35="ELEC",((($AU35*(IF($H35="DESL",'Fuel-Specific GHG'!$C$14,IF($H35="GAS",'Fuel-Specific GHG'!$C$16,IF($H35="CNG",'Fuel-Specific GHG'!$C$13,IF(OR($H35="LPG",$H35="PROP"),'Fuel-Specific GHG'!$C$19,"")))))*(1/'Fuel-Specific GHG'!$C$15)*(1/3.4)*$F35)*'Grid Electricity'!$F$39)/454),((CC35+(CF35*CH35))*(IF(ISBLANK(AH35),Defaults!$B$19,AH35))*$AF35*$AJ35*$F35)),0)</f>
        <v>0</v>
      </c>
      <c r="CL35" s="813">
        <f t="shared" si="35"/>
        <v>0</v>
      </c>
      <c r="CM35" s="813">
        <f t="shared" si="36"/>
        <v>0</v>
      </c>
      <c r="CN35" s="814" t="str">
        <f t="shared" si="37"/>
        <v/>
      </c>
      <c r="CO35" s="814" t="str">
        <f t="shared" si="38"/>
        <v/>
      </c>
      <c r="CP35" s="814" t="str">
        <f t="shared" si="39"/>
        <v/>
      </c>
      <c r="CQ35" s="814" t="str">
        <f t="shared" si="40"/>
        <v/>
      </c>
      <c r="CR35" s="815" t="str">
        <f>IF(AND(V35="Yes, Booster Pump VFD",AF35&lt;=75),('Pump Emission Factors'!$F$95*F35),(IF(AND(V35="Yes, Booster Pump VFD",AF35&gt;75),('Pump Emission Factors'!$F$96*F35),(IF(AND(V35="Yes, Well Pump VFD",AF35&lt;=75),('Pump Emission Factors'!$F$97*F35),(IF(AND(V35="Yes, Well Pump VFD",AF35&gt;75),('Pump Emission Factors'!$F$98*F35),"")))))))</f>
        <v/>
      </c>
      <c r="CS35" s="815" t="str">
        <f>IF(AND(V35="Yes, Booster Pump VFD",AF35&lt;=75),('Pump Emission Factors'!$G$95*F35),(IF(AND(V35="Yes, Booster Pump VFD",AF35&gt;75),('Pump Emission Factors'!$G$96*F35),(IF(AND(V35="Yes, Well Pump VFD",AF35&lt;=75),('Pump Emission Factors'!$G$97*F35),(IF(AND(V35="Yes, Well Pump VFD",AF35&gt;75),('Pump Emission Factors'!$G$98*F35),"")))))))</f>
        <v/>
      </c>
      <c r="CT35" s="815" t="str">
        <f>IF(AND(V35="Yes, Booster Pump VFD",AF35&lt;=75),('Pump Emission Factors'!$H$95*F35),(IF(AND(V35="Yes, Booster Pump VFD",AF35&gt;75),('Pump Emission Factors'!$H$96*F35),(IF(AND(V35="Yes, Well Pump VFD",AF35&lt;=75),('Pump Emission Factors'!$H$97*F35),(IF(AND(V35="Yes, Well Pump VFD",AF35&gt;75),('Pump Emission Factors'!$H$98*F35),"")))))))</f>
        <v/>
      </c>
      <c r="CU35" s="815" t="str">
        <f>IF(AND(V35="Yes, Booster Pump VFD",AF35&lt;=75),('Pump Emission Factors'!$J$95*F35),(IF(AND(V35="Yes, Booster Pump VFD",AF35&gt;75),('Pump Emission Factors'!$J$96*F35),(IF(AND(V35="Yes, Well Pump VFD",AF35&lt;=75),('Pump Emission Factors'!$J$97*F35),(IF(AND(V35="Yes, Well Pump VFD",AF35&gt;75),('Pump Emission Factors'!$J$98*F35),"")))))))</f>
        <v/>
      </c>
      <c r="CV35" s="815" t="str">
        <f>IF(AND(V35="Yes, Booster Pump VFD",AF35&lt;=75),('Pump Emission Factors'!$I$95*F35),(IF(AND(V35="Yes, Booster Pump VFD",AF35&gt;75),('Pump Emission Factors'!$I$96*F35),(IF(AND(V35="Yes, Well Pump VFD",AF35&lt;=75),('Pump Emission Factors'!$I$97*F35),(IF(AND(V35="Yes, Well Pump VFD",AF35&gt;75),('Pump Emission Factors'!$I$98*F35),"")))))))</f>
        <v/>
      </c>
      <c r="CW35" s="806">
        <f t="shared" si="41"/>
        <v>0</v>
      </c>
      <c r="CX35" s="806">
        <f t="shared" si="42"/>
        <v>0</v>
      </c>
      <c r="CY35" s="806">
        <f t="shared" si="43"/>
        <v>0</v>
      </c>
      <c r="CZ35" s="806">
        <f t="shared" si="44"/>
        <v>0</v>
      </c>
      <c r="DA35" s="806">
        <f t="shared" si="45"/>
        <v>0</v>
      </c>
      <c r="DB35" s="816" t="str">
        <f t="shared" si="65"/>
        <v/>
      </c>
      <c r="DC35" s="816" t="str">
        <f t="shared" si="46"/>
        <v/>
      </c>
      <c r="DD35" s="816" t="str">
        <f t="shared" si="46"/>
        <v/>
      </c>
      <c r="DE35" s="817" t="str">
        <f t="shared" si="47"/>
        <v/>
      </c>
      <c r="DF35" s="817" t="str">
        <f t="shared" si="48"/>
        <v/>
      </c>
      <c r="DG35" s="804" t="str">
        <f t="shared" si="49"/>
        <v/>
      </c>
      <c r="DH35" s="804" t="str">
        <f t="shared" si="50"/>
        <v/>
      </c>
      <c r="DI35" s="818" t="str">
        <f>IF(AO35="","",IF(H35="DESL",AO35*F35*'Fuel Prices'!$C$12,IF(H35="GAS",AO35*F35*'Fuel Prices'!$C$11,IF(H35="CNG",AO35*F35*'Fuel Prices'!$C$13,IF(H35="LNG",AO35*F35*'Fuel Prices'!$C$14,IF(H35="LPG",AO35*F35*'Fuel Prices'!$C$16,IF(H35="PROP",AO35*F35*'Fuel Prices'!$C$16,"0")))))))</f>
        <v/>
      </c>
      <c r="DJ35" s="818" t="str">
        <f>IF(AU35="","",IF(X35="DESL",AU35*F35*'Fuel Prices'!$C$12,IF(X35="GAS",AU35*F35*'Fuel Prices'!$C$11,IF(X35="CNG",AU35*F35*'Fuel Prices'!$C$13,IF(X35="LNG",AU35*F35*'Fuel Prices'!$C$14,IF(X35="LPG",AU35*F35*'Fuel Prices'!$C$16,IF(X35="PROP",AU35*F35*'Fuel Prices'!$C$16,IF(X35="ELEC",AU35*F35*'Fuel Prices'!$C$35,"0"))))))))</f>
        <v/>
      </c>
      <c r="DK35" s="818" t="str">
        <f t="shared" si="51"/>
        <v/>
      </c>
      <c r="DL35" s="818" t="str">
        <f t="shared" si="52"/>
        <v/>
      </c>
      <c r="DM35" s="804" t="str">
        <f t="shared" si="53"/>
        <v/>
      </c>
      <c r="DN35" s="804" t="str">
        <f t="shared" si="54"/>
        <v/>
      </c>
      <c r="DO35" s="804" t="str">
        <f>IFERROR(ROUND(CZ35*IF(COUNTIF($B$20:B35,B35)=1,1,"")/IF(B35="",0,1),0),"")</f>
        <v/>
      </c>
      <c r="DP35" s="804" t="str">
        <f>IFERROR(ROUND(CW35*IF(COUNTIF($B$20:B35,B35)=1,1,"")/IF(B35="",0,1),0),"")</f>
        <v/>
      </c>
      <c r="DQ35" s="804" t="str">
        <f>IFERROR(ROUND(DA35*IF(COUNTIF($B$20:B35,B35)=1,1,"")/IF(B35="",0,1),0),"")</f>
        <v/>
      </c>
      <c r="DR35" s="804" t="str">
        <f>IFERROR(ROUND(CX35*IF(COUNTIF($B$20:B35,B35)=1,1,"")/IF(B35="",0,1),0),"")</f>
        <v/>
      </c>
      <c r="DS35" s="804">
        <f t="shared" si="55"/>
        <v>0</v>
      </c>
      <c r="DT35" s="804">
        <f t="shared" si="56"/>
        <v>0</v>
      </c>
      <c r="DU35" s="804">
        <f t="shared" si="57"/>
        <v>0</v>
      </c>
      <c r="DV35" s="818" t="str">
        <f t="shared" si="66"/>
        <v/>
      </c>
      <c r="DW35" s="819" t="str">
        <f t="shared" si="67"/>
        <v/>
      </c>
    </row>
    <row r="36" spans="1:127" s="699" customFormat="1" ht="18" customHeight="1" x14ac:dyDescent="0.35">
      <c r="A36" s="635"/>
      <c r="B36" s="820"/>
      <c r="C36" s="825" t="str">
        <f t="shared" si="0"/>
        <v>(Required)</v>
      </c>
      <c r="D36" s="821"/>
      <c r="E36" s="825" t="str">
        <f t="shared" si="0"/>
        <v>(Required)</v>
      </c>
      <c r="F36" s="821"/>
      <c r="G36" s="825" t="str">
        <f t="shared" si="1"/>
        <v>(Required)</v>
      </c>
      <c r="H36" s="822"/>
      <c r="I36" s="825" t="str">
        <f t="shared" si="2"/>
        <v>(Required)</v>
      </c>
      <c r="J36" s="821"/>
      <c r="K36" s="825" t="str">
        <f t="shared" si="3"/>
        <v>(Required)</v>
      </c>
      <c r="L36" s="821"/>
      <c r="M36" s="825" t="str">
        <f t="shared" si="4"/>
        <v>(Required)</v>
      </c>
      <c r="N36" s="821"/>
      <c r="O36" s="825" t="str">
        <f t="shared" si="5"/>
        <v>(Required)</v>
      </c>
      <c r="P36" s="821"/>
      <c r="Q36" s="825" t="str">
        <f t="shared" si="6"/>
        <v>(Required)</v>
      </c>
      <c r="R36" s="823"/>
      <c r="S36" s="826" t="str">
        <f t="shared" si="7"/>
        <v>(Optional)</v>
      </c>
      <c r="T36" s="821"/>
      <c r="U36" s="827" t="str">
        <f t="shared" si="8"/>
        <v>(Required)</v>
      </c>
      <c r="V36" s="828"/>
      <c r="W36" s="799" t="str">
        <f t="shared" si="9"/>
        <v>(Optional)</v>
      </c>
      <c r="X36" s="822"/>
      <c r="Y36" s="825" t="str">
        <f t="shared" si="10"/>
        <v>(Required)</v>
      </c>
      <c r="Z36" s="821"/>
      <c r="AA36" s="825" t="str">
        <f t="shared" si="11"/>
        <v>(Required)</v>
      </c>
      <c r="AB36" s="821"/>
      <c r="AC36" s="825" t="str">
        <f t="shared" si="12"/>
        <v>(Required)</v>
      </c>
      <c r="AD36" s="821"/>
      <c r="AE36" s="825" t="str">
        <f t="shared" si="13"/>
        <v>(Required)</v>
      </c>
      <c r="AF36" s="821"/>
      <c r="AG36" s="825" t="str">
        <f t="shared" si="14"/>
        <v>(Required)</v>
      </c>
      <c r="AH36" s="823"/>
      <c r="AI36" s="826" t="str">
        <f t="shared" si="15"/>
        <v>(Optional)</v>
      </c>
      <c r="AJ36" s="821"/>
      <c r="AK36" s="825" t="str">
        <f t="shared" si="16"/>
        <v>(Required)</v>
      </c>
      <c r="AL36" s="803" t="str">
        <f t="shared" si="17"/>
        <v/>
      </c>
      <c r="AM36" s="803" t="str">
        <f>IF(H36="DESL",'Fuel Density'!$C$12,IF(H36="GAS",'Fuel Density'!$C$11,IF(H36="CNG",'Fuel Density'!$C$13,IF(H36="LNG",'Fuel Density'!$C$14,IF(H36="LPG",'Fuel Density'!$C$15,IF(H36="PROP",'Fuel Density'!$C$16,IF(H36="","","")))))))</f>
        <v/>
      </c>
      <c r="AN36" s="803" t="str">
        <f>IF(H36="DESL",'Fuel-Specific GHG'!$C$14,IF(H36="GAS",'Fuel-Specific GHG'!$C$16,IF(H36="CNG",'Fuel-Specific GHG'!$C$13,IF(H36="LNG",'Fuel-Specific GHG'!$C$18,IF(OR(H36="LPG",H36="PROP"),'Fuel-Specific GHG'!$C$19,IF(H36="","",""))))))</f>
        <v/>
      </c>
      <c r="AO36" s="804" t="str">
        <f>IFERROR(((P36*(IF(ISBLANK(R36),Defaults!$B$19,R36))*T36*AL36)/AM36),"")</f>
        <v/>
      </c>
      <c r="AP36" s="805" t="str">
        <f t="shared" si="18"/>
        <v/>
      </c>
      <c r="AQ36" s="805" t="str">
        <f>IF(H36="DESL",'Fuel-Specific GHG'!$E$14,IF(H36="GAS",'Fuel-Specific GHG'!$E$16,IF(H36="CNG",'Fuel-Specific GHG'!$E$13,IF(H36="LNG",'Fuel-Specific GHG'!$E$18,IF(OR(H36="LPG",H36="PROP"),'Fuel-Specific GHG'!$E$19,"")))))</f>
        <v/>
      </c>
      <c r="AR36" s="805" t="str">
        <f t="shared" si="19"/>
        <v/>
      </c>
      <c r="AS36" s="803" t="str">
        <f t="shared" si="58"/>
        <v/>
      </c>
      <c r="AT36" s="803" t="str">
        <f>IF(X36="DESL",'Fuel Density'!$C$12,IF(X36="PROP",'Fuel Density'!$C$16,IF(X36="GAS",'Fuel Density'!$C$11,IF(X36="CNG",'Fuel Density'!$C$13,IF(X36="LNG",'Fuel Density'!$C$14,IF(X36="LPG",'Fuel Density'!$C$15,IF(X36="","","")))))))</f>
        <v/>
      </c>
      <c r="AU36" s="804" t="str">
        <f>IFERROR(IF(X36="ELEC",AO36*AN36*(1/'Fuel-Specific GHG'!$C$15)*(1/IF(H36="GAS",3.4,IF(H36="DESL",2.7,3))),((AF36*(IF(ISBLANK(AH36),Defaults!$B$19,AH36))*AJ36*AS36)/AT36)),"")</f>
        <v/>
      </c>
      <c r="AV36" s="805" t="str">
        <f t="shared" si="20"/>
        <v/>
      </c>
      <c r="AW36" s="805" t="str">
        <f>IF(X36="DESL",'Fuel-Specific GHG'!$E$14,IF(X36="PROP",'Fuel-Specific GHG'!$E$19,IF(X36="GAS",'Fuel-Specific GHG'!$E$16,IF(X36="CNG",'Fuel-Specific GHG'!$E$13,IF(X36="LNG",'Fuel-Specific GHG'!$E$18,IF(X36="LPG",'Fuel-Specific GHG'!$E$19,IF(X36="ELEC",'Fuel-Specific GHG'!$E$15,"")))))))</f>
        <v/>
      </c>
      <c r="AX36" s="805" t="str">
        <f t="shared" si="21"/>
        <v/>
      </c>
      <c r="AY36" s="806" t="str">
        <f t="shared" si="22"/>
        <v/>
      </c>
      <c r="AZ36" s="806" t="str">
        <f t="shared" si="68"/>
        <v/>
      </c>
      <c r="BA36" s="806" t="str">
        <f t="shared" si="59"/>
        <v/>
      </c>
      <c r="BB36" s="804" t="str">
        <f t="shared" si="23"/>
        <v/>
      </c>
      <c r="BC36" s="807" t="str">
        <f t="shared" si="24"/>
        <v/>
      </c>
      <c r="BD36" s="807"/>
      <c r="BE36" s="808" t="str">
        <f t="shared" si="25"/>
        <v/>
      </c>
      <c r="BF36" s="809" t="str">
        <f t="shared" si="26"/>
        <v/>
      </c>
      <c r="BG36" s="808" t="str">
        <f t="shared" si="60"/>
        <v/>
      </c>
      <c r="BH36" s="810">
        <f t="shared" si="61"/>
        <v>0</v>
      </c>
      <c r="BI36" s="803" t="str">
        <f>IFERROR(VLOOKUP(BH36,'Pump Emission Factors'!$B$11:$J$88,4,FALSE),"")</f>
        <v/>
      </c>
      <c r="BJ36" s="803" t="str">
        <f>IFERROR(VLOOKUP(BH36,'Pump Emission Factors'!$B$11:$J$88,6,FALSE),"")</f>
        <v/>
      </c>
      <c r="BK36" s="803" t="str">
        <f>IFERROR(VLOOKUP(BH36,'Pump Emission Factors'!$B$11:$J$88,8,FALSE),"")</f>
        <v/>
      </c>
      <c r="BL36" s="803" t="str">
        <f>IFERROR(VLOOKUP(BH36,'Pump Emission Factors'!$B$11:$J$88,5,FALSE),"")</f>
        <v/>
      </c>
      <c r="BM36" s="803" t="str">
        <f>IFERROR(VLOOKUP(BH36,'Pump Emission Factors'!$B$11:$J$88,7,FALSE),"")</f>
        <v/>
      </c>
      <c r="BN36" s="803" t="str">
        <f>IFERROR(VLOOKUP(BH36,'Pump Emission Factors'!$B$11:$J$88,9,FALSE),"")</f>
        <v/>
      </c>
      <c r="BO36" s="811" t="str">
        <f t="shared" si="27"/>
        <v/>
      </c>
      <c r="BP36" s="811" t="str">
        <f t="shared" si="28"/>
        <v/>
      </c>
      <c r="BQ36" s="803">
        <f>IFERROR(((BI36+(BL36*BP36))*(IF(ISBLANK(R36),Defaults!$B$19,R36))*P36*T36)*F36*(1/454),0)</f>
        <v>0</v>
      </c>
      <c r="BR36" s="803">
        <f>IFERROR(((BJ36+(BM36*BP36))*(IF(ISBLANK(R36),Defaults!$B$19,R36))*P36*T36)*F36*(1/454),0)</f>
        <v>0</v>
      </c>
      <c r="BS36" s="803">
        <f>IFERROR(((BK36+(BN36*BP36))*(IF(ISBLANK(R36),Defaults!$B$19,R36))*P36*T36)*F36*(1/454),0)</f>
        <v>0</v>
      </c>
      <c r="BT36" s="803">
        <f t="shared" si="29"/>
        <v>0</v>
      </c>
      <c r="BU36" s="803">
        <f t="shared" si="62"/>
        <v>0</v>
      </c>
      <c r="BV36" s="812" t="str">
        <f t="shared" si="30"/>
        <v/>
      </c>
      <c r="BW36" s="808" t="str">
        <f t="shared" si="31"/>
        <v/>
      </c>
      <c r="BX36" s="809" t="str">
        <f t="shared" si="32"/>
        <v/>
      </c>
      <c r="BY36" s="808" t="str">
        <f t="shared" si="63"/>
        <v/>
      </c>
      <c r="BZ36" s="810">
        <f t="shared" si="64"/>
        <v>0</v>
      </c>
      <c r="CA36" s="813" t="str">
        <f>IFERROR(VLOOKUP(BZ36,'Pump Emission Factors'!$B$11:$J$88,4,FALSE),"")</f>
        <v/>
      </c>
      <c r="CB36" s="813" t="str">
        <f>IFERROR(VLOOKUP(BZ36,'Pump Emission Factors'!$B$11:$J$88,6,FALSE),"")</f>
        <v/>
      </c>
      <c r="CC36" s="813" t="str">
        <f>IFERROR(VLOOKUP(BZ36,'Pump Emission Factors'!$B$11:$J$88,8,FALSE),"")</f>
        <v/>
      </c>
      <c r="CD36" s="813" t="str">
        <f>IFERROR(VLOOKUP(BZ36,'Pump Emission Factors'!$B$11:$J$88,5,FALSE),"")</f>
        <v/>
      </c>
      <c r="CE36" s="813" t="str">
        <f>IFERROR(VLOOKUP(BZ36,'Pump Emission Factors'!$B$11:$J$88,7,FALSE),"")</f>
        <v/>
      </c>
      <c r="CF36" s="813" t="str">
        <f>IFERROR(VLOOKUP(BZ36,'Pump Emission Factors'!$B$11:$J$88,9,FALSE),"")</f>
        <v/>
      </c>
      <c r="CG36" s="814" t="str">
        <f t="shared" si="33"/>
        <v/>
      </c>
      <c r="CH36" s="814" t="str">
        <f t="shared" si="34"/>
        <v/>
      </c>
      <c r="CI36" s="813">
        <f>IFERROR(IF($X36="ELEC",((($AU36*(IF($H36="DESL",'Fuel-Specific GHG'!$C$14,IF($H36="GAS",'Fuel-Specific GHG'!$C$16,IF($H36="CNG",'Fuel-Specific GHG'!$C$13,IF(OR($H36="LPG",$H36="PROP"),'Fuel-Specific GHG'!$C$19,"")))))*(1/'Fuel-Specific GHG'!$C$15)*(1/3.4)*$F36)*'Grid Electricity'!$D$39)/454),((CA36+(CD36*CH36))*(IF(ISBLANK(AH36),Defaults!$B$19,AH36))*$AF36*$AJ36*$F36)),0)</f>
        <v>0</v>
      </c>
      <c r="CJ36" s="813">
        <f>IFERROR(IF($X36="ELEC",((($AU36*(IF($H36="DESL",'Fuel-Specific GHG'!$C$14,IF($H36="GAS",'Fuel-Specific GHG'!$C$16,IF($H36="CNG",'Fuel-Specific GHG'!$C$13,IF(OR($H36="LPG",$H36="PROP"),'Fuel-Specific GHG'!$C$19,"")))))*(1/'Fuel-Specific GHG'!$C$15)*(1/3.4)*$F36)*'Grid Electricity'!$C$39)/454),((CB36+(CE36*CH36))*(IF(ISBLANK(AH36),Defaults!$B$19,AH36))*$AF36*$AJ36*$F36)),0)</f>
        <v>0</v>
      </c>
      <c r="CK36" s="813">
        <f>IFERROR(IF($X36="ELEC",((($AU36*(IF($H36="DESL",'Fuel-Specific GHG'!$C$14,IF($H36="GAS",'Fuel-Specific GHG'!$C$16,IF($H36="CNG",'Fuel-Specific GHG'!$C$13,IF(OR($H36="LPG",$H36="PROP"),'Fuel-Specific GHG'!$C$19,"")))))*(1/'Fuel-Specific GHG'!$C$15)*(1/3.4)*$F36)*'Grid Electricity'!$F$39)/454),((CC36+(CF36*CH36))*(IF(ISBLANK(AH36),Defaults!$B$19,AH36))*$AF36*$AJ36*$F36)),0)</f>
        <v>0</v>
      </c>
      <c r="CL36" s="813">
        <f t="shared" si="35"/>
        <v>0</v>
      </c>
      <c r="CM36" s="813">
        <f t="shared" si="36"/>
        <v>0</v>
      </c>
      <c r="CN36" s="814" t="str">
        <f t="shared" si="37"/>
        <v/>
      </c>
      <c r="CO36" s="814" t="str">
        <f t="shared" si="38"/>
        <v/>
      </c>
      <c r="CP36" s="814" t="str">
        <f t="shared" si="39"/>
        <v/>
      </c>
      <c r="CQ36" s="814" t="str">
        <f t="shared" si="40"/>
        <v/>
      </c>
      <c r="CR36" s="815" t="str">
        <f>IF(AND(V36="Yes, Booster Pump VFD",AF36&lt;=75),('Pump Emission Factors'!$F$95*F36),(IF(AND(V36="Yes, Booster Pump VFD",AF36&gt;75),('Pump Emission Factors'!$F$96*F36),(IF(AND(V36="Yes, Well Pump VFD",AF36&lt;=75),('Pump Emission Factors'!$F$97*F36),(IF(AND(V36="Yes, Well Pump VFD",AF36&gt;75),('Pump Emission Factors'!$F$98*F36),"")))))))</f>
        <v/>
      </c>
      <c r="CS36" s="815" t="str">
        <f>IF(AND(V36="Yes, Booster Pump VFD",AF36&lt;=75),('Pump Emission Factors'!$G$95*F36),(IF(AND(V36="Yes, Booster Pump VFD",AF36&gt;75),('Pump Emission Factors'!$G$96*F36),(IF(AND(V36="Yes, Well Pump VFD",AF36&lt;=75),('Pump Emission Factors'!$G$97*F36),(IF(AND(V36="Yes, Well Pump VFD",AF36&gt;75),('Pump Emission Factors'!$G$98*F36),"")))))))</f>
        <v/>
      </c>
      <c r="CT36" s="815" t="str">
        <f>IF(AND(V36="Yes, Booster Pump VFD",AF36&lt;=75),('Pump Emission Factors'!$H$95*F36),(IF(AND(V36="Yes, Booster Pump VFD",AF36&gt;75),('Pump Emission Factors'!$H$96*F36),(IF(AND(V36="Yes, Well Pump VFD",AF36&lt;=75),('Pump Emission Factors'!$H$97*F36),(IF(AND(V36="Yes, Well Pump VFD",AF36&gt;75),('Pump Emission Factors'!$H$98*F36),"")))))))</f>
        <v/>
      </c>
      <c r="CU36" s="815" t="str">
        <f>IF(AND(V36="Yes, Booster Pump VFD",AF36&lt;=75),('Pump Emission Factors'!$J$95*F36),(IF(AND(V36="Yes, Booster Pump VFD",AF36&gt;75),('Pump Emission Factors'!$J$96*F36),(IF(AND(V36="Yes, Well Pump VFD",AF36&lt;=75),('Pump Emission Factors'!$J$97*F36),(IF(AND(V36="Yes, Well Pump VFD",AF36&gt;75),('Pump Emission Factors'!$J$98*F36),"")))))))</f>
        <v/>
      </c>
      <c r="CV36" s="815" t="str">
        <f>IF(AND(V36="Yes, Booster Pump VFD",AF36&lt;=75),('Pump Emission Factors'!$I$95*F36),(IF(AND(V36="Yes, Booster Pump VFD",AF36&gt;75),('Pump Emission Factors'!$I$96*F36),(IF(AND(V36="Yes, Well Pump VFD",AF36&lt;=75),('Pump Emission Factors'!$I$97*F36),(IF(AND(V36="Yes, Well Pump VFD",AF36&gt;75),('Pump Emission Factors'!$I$98*F36),"")))))))</f>
        <v/>
      </c>
      <c r="CW36" s="806">
        <f t="shared" si="41"/>
        <v>0</v>
      </c>
      <c r="CX36" s="806">
        <f t="shared" si="42"/>
        <v>0</v>
      </c>
      <c r="CY36" s="806">
        <f t="shared" si="43"/>
        <v>0</v>
      </c>
      <c r="CZ36" s="806">
        <f t="shared" si="44"/>
        <v>0</v>
      </c>
      <c r="DA36" s="806">
        <f t="shared" si="45"/>
        <v>0</v>
      </c>
      <c r="DB36" s="816" t="str">
        <f t="shared" si="65"/>
        <v/>
      </c>
      <c r="DC36" s="816" t="str">
        <f t="shared" si="65"/>
        <v/>
      </c>
      <c r="DD36" s="816" t="str">
        <f t="shared" si="65"/>
        <v/>
      </c>
      <c r="DE36" s="817" t="str">
        <f t="shared" si="47"/>
        <v/>
      </c>
      <c r="DF36" s="817" t="str">
        <f t="shared" si="48"/>
        <v/>
      </c>
      <c r="DG36" s="804" t="str">
        <f t="shared" si="49"/>
        <v/>
      </c>
      <c r="DH36" s="804" t="str">
        <f t="shared" si="50"/>
        <v/>
      </c>
      <c r="DI36" s="818" t="str">
        <f>IF(AO36="","",IF(H36="DESL",AO36*F36*'Fuel Prices'!$C$12,IF(H36="GAS",AO36*F36*'Fuel Prices'!$C$11,IF(H36="CNG",AO36*F36*'Fuel Prices'!$C$13,IF(H36="LNG",AO36*F36*'Fuel Prices'!$C$14,IF(H36="LPG",AO36*F36*'Fuel Prices'!$C$16,IF(H36="PROP",AO36*F36*'Fuel Prices'!$C$16,"0")))))))</f>
        <v/>
      </c>
      <c r="DJ36" s="818" t="str">
        <f>IF(AU36="","",IF(X36="DESL",AU36*F36*'Fuel Prices'!$C$12,IF(X36="GAS",AU36*F36*'Fuel Prices'!$C$11,IF(X36="CNG",AU36*F36*'Fuel Prices'!$C$13,IF(X36="LNG",AU36*F36*'Fuel Prices'!$C$14,IF(X36="LPG",AU36*F36*'Fuel Prices'!$C$16,IF(X36="PROP",AU36*F36*'Fuel Prices'!$C$16,IF(X36="ELEC",AU36*F36*'Fuel Prices'!$C$35,"0"))))))))</f>
        <v/>
      </c>
      <c r="DK36" s="818" t="str">
        <f t="shared" si="51"/>
        <v/>
      </c>
      <c r="DL36" s="818" t="str">
        <f t="shared" si="52"/>
        <v/>
      </c>
      <c r="DM36" s="804" t="str">
        <f t="shared" si="53"/>
        <v/>
      </c>
      <c r="DN36" s="804" t="str">
        <f t="shared" si="54"/>
        <v/>
      </c>
      <c r="DO36" s="804" t="str">
        <f>IFERROR(ROUND(CZ36*IF(COUNTIF($B$20:B36,B36)=1,1,"")/IF(B36="",0,1),0),"")</f>
        <v/>
      </c>
      <c r="DP36" s="804" t="str">
        <f>IFERROR(ROUND(CW36*IF(COUNTIF($B$20:B36,B36)=1,1,"")/IF(B36="",0,1),0),"")</f>
        <v/>
      </c>
      <c r="DQ36" s="804" t="str">
        <f>IFERROR(ROUND(DA36*IF(COUNTIF($B$20:B36,B36)=1,1,"")/IF(B36="",0,1),0),"")</f>
        <v/>
      </c>
      <c r="DR36" s="804" t="str">
        <f>IFERROR(ROUND(CX36*IF(COUNTIF($B$20:B36,B36)=1,1,"")/IF(B36="",0,1),0),"")</f>
        <v/>
      </c>
      <c r="DS36" s="804">
        <f t="shared" si="55"/>
        <v>0</v>
      </c>
      <c r="DT36" s="804">
        <f t="shared" si="56"/>
        <v>0</v>
      </c>
      <c r="DU36" s="804">
        <f t="shared" si="57"/>
        <v>0</v>
      </c>
      <c r="DV36" s="818" t="str">
        <f t="shared" si="66"/>
        <v/>
      </c>
      <c r="DW36" s="819" t="str">
        <f t="shared" si="67"/>
        <v/>
      </c>
    </row>
    <row r="37" spans="1:127" s="699" customFormat="1" ht="18" customHeight="1" x14ac:dyDescent="0.35">
      <c r="A37" s="696"/>
      <c r="B37" s="820"/>
      <c r="C37" s="825" t="str">
        <f t="shared" si="0"/>
        <v>(Required)</v>
      </c>
      <c r="D37" s="821"/>
      <c r="E37" s="825" t="str">
        <f t="shared" si="0"/>
        <v>(Required)</v>
      </c>
      <c r="F37" s="821"/>
      <c r="G37" s="825" t="str">
        <f t="shared" si="1"/>
        <v>(Required)</v>
      </c>
      <c r="H37" s="822"/>
      <c r="I37" s="825" t="str">
        <f t="shared" si="2"/>
        <v>(Required)</v>
      </c>
      <c r="J37" s="821"/>
      <c r="K37" s="825" t="str">
        <f t="shared" si="3"/>
        <v>(Required)</v>
      </c>
      <c r="L37" s="821"/>
      <c r="M37" s="825" t="str">
        <f t="shared" si="4"/>
        <v>(Required)</v>
      </c>
      <c r="N37" s="821"/>
      <c r="O37" s="825" t="str">
        <f t="shared" si="5"/>
        <v>(Required)</v>
      </c>
      <c r="P37" s="821"/>
      <c r="Q37" s="825" t="str">
        <f t="shared" si="6"/>
        <v>(Required)</v>
      </c>
      <c r="R37" s="823"/>
      <c r="S37" s="826" t="str">
        <f t="shared" si="7"/>
        <v>(Optional)</v>
      </c>
      <c r="T37" s="821"/>
      <c r="U37" s="827" t="str">
        <f t="shared" si="8"/>
        <v>(Required)</v>
      </c>
      <c r="V37" s="828"/>
      <c r="W37" s="799" t="str">
        <f t="shared" si="9"/>
        <v>(Optional)</v>
      </c>
      <c r="X37" s="822"/>
      <c r="Y37" s="825" t="str">
        <f t="shared" si="10"/>
        <v>(Required)</v>
      </c>
      <c r="Z37" s="821"/>
      <c r="AA37" s="825" t="str">
        <f t="shared" si="11"/>
        <v>(Required)</v>
      </c>
      <c r="AB37" s="821"/>
      <c r="AC37" s="825" t="str">
        <f t="shared" si="12"/>
        <v>(Required)</v>
      </c>
      <c r="AD37" s="821"/>
      <c r="AE37" s="825" t="str">
        <f t="shared" si="13"/>
        <v>(Required)</v>
      </c>
      <c r="AF37" s="821"/>
      <c r="AG37" s="825" t="str">
        <f t="shared" si="14"/>
        <v>(Required)</v>
      </c>
      <c r="AH37" s="823"/>
      <c r="AI37" s="826" t="str">
        <f t="shared" si="15"/>
        <v>(Optional)</v>
      </c>
      <c r="AJ37" s="821"/>
      <c r="AK37" s="825" t="str">
        <f t="shared" si="16"/>
        <v>(Required)</v>
      </c>
      <c r="AL37" s="803" t="str">
        <f t="shared" si="17"/>
        <v/>
      </c>
      <c r="AM37" s="803" t="str">
        <f>IF(H37="DESL",'Fuel Density'!$C$12,IF(H37="GAS",'Fuel Density'!$C$11,IF(H37="CNG",'Fuel Density'!$C$13,IF(H37="LNG",'Fuel Density'!$C$14,IF(H37="LPG",'Fuel Density'!$C$15,IF(H37="PROP",'Fuel Density'!$C$16,IF(H37="","","")))))))</f>
        <v/>
      </c>
      <c r="AN37" s="803" t="str">
        <f>IF(H37="DESL",'Fuel-Specific GHG'!$C$14,IF(H37="GAS",'Fuel-Specific GHG'!$C$16,IF(H37="CNG",'Fuel-Specific GHG'!$C$13,IF(H37="LNG",'Fuel-Specific GHG'!$C$18,IF(OR(H37="LPG",H37="PROP"),'Fuel-Specific GHG'!$C$19,IF(H37="","",""))))))</f>
        <v/>
      </c>
      <c r="AO37" s="804" t="str">
        <f>IFERROR(((P37*(IF(ISBLANK(R37),Defaults!$B$19,R37))*T37*AL37)/AM37),"")</f>
        <v/>
      </c>
      <c r="AP37" s="805" t="str">
        <f t="shared" si="18"/>
        <v/>
      </c>
      <c r="AQ37" s="805" t="str">
        <f>IF(H37="DESL",'Fuel-Specific GHG'!$E$14,IF(H37="GAS",'Fuel-Specific GHG'!$E$16,IF(H37="CNG",'Fuel-Specific GHG'!$E$13,IF(H37="LNG",'Fuel-Specific GHG'!$E$18,IF(OR(H37="LPG",H37="PROP"),'Fuel-Specific GHG'!$E$19,"")))))</f>
        <v/>
      </c>
      <c r="AR37" s="805" t="str">
        <f t="shared" si="19"/>
        <v/>
      </c>
      <c r="AS37" s="803" t="str">
        <f t="shared" si="58"/>
        <v/>
      </c>
      <c r="AT37" s="803" t="str">
        <f>IF(X37="DESL",'Fuel Density'!$C$12,IF(X37="PROP",'Fuel Density'!$C$16,IF(X37="GAS",'Fuel Density'!$C$11,IF(X37="CNG",'Fuel Density'!$C$13,IF(X37="LNG",'Fuel Density'!$C$14,IF(X37="LPG",'Fuel Density'!$C$15,IF(X37="","","")))))))</f>
        <v/>
      </c>
      <c r="AU37" s="804" t="str">
        <f>IFERROR(IF(X37="ELEC",AO37*AN37*(1/'Fuel-Specific GHG'!$C$15)*(1/IF(H37="GAS",3.4,IF(H37="DESL",2.7,3))),((AF37*(IF(ISBLANK(AH37),Defaults!$B$19,AH37))*AJ37*AS37)/AT37)),"")</f>
        <v/>
      </c>
      <c r="AV37" s="805" t="str">
        <f t="shared" si="20"/>
        <v/>
      </c>
      <c r="AW37" s="805" t="str">
        <f>IF(X37="DESL",'Fuel-Specific GHG'!$E$14,IF(X37="PROP",'Fuel-Specific GHG'!$E$19,IF(X37="GAS",'Fuel-Specific GHG'!$E$16,IF(X37="CNG",'Fuel-Specific GHG'!$E$13,IF(X37="LNG",'Fuel-Specific GHG'!$E$18,IF(X37="LPG",'Fuel-Specific GHG'!$E$19,IF(X37="ELEC",'Fuel-Specific GHG'!$E$15,"")))))))</f>
        <v/>
      </c>
      <c r="AX37" s="805" t="str">
        <f t="shared" si="21"/>
        <v/>
      </c>
      <c r="AY37" s="806" t="str">
        <f t="shared" si="22"/>
        <v/>
      </c>
      <c r="AZ37" s="806" t="str">
        <f t="shared" si="68"/>
        <v/>
      </c>
      <c r="BA37" s="806" t="str">
        <f t="shared" si="59"/>
        <v/>
      </c>
      <c r="BB37" s="804" t="str">
        <f t="shared" si="23"/>
        <v/>
      </c>
      <c r="BC37" s="807" t="str">
        <f t="shared" si="24"/>
        <v/>
      </c>
      <c r="BD37" s="807"/>
      <c r="BE37" s="808" t="str">
        <f t="shared" si="25"/>
        <v/>
      </c>
      <c r="BF37" s="809" t="str">
        <f t="shared" si="26"/>
        <v/>
      </c>
      <c r="BG37" s="808" t="str">
        <f t="shared" si="60"/>
        <v/>
      </c>
      <c r="BH37" s="810">
        <f t="shared" si="61"/>
        <v>0</v>
      </c>
      <c r="BI37" s="803" t="str">
        <f>IFERROR(VLOOKUP(BH37,'Pump Emission Factors'!$B$11:$J$88,4,FALSE),"")</f>
        <v/>
      </c>
      <c r="BJ37" s="803" t="str">
        <f>IFERROR(VLOOKUP(BH37,'Pump Emission Factors'!$B$11:$J$88,6,FALSE),"")</f>
        <v/>
      </c>
      <c r="BK37" s="803" t="str">
        <f>IFERROR(VLOOKUP(BH37,'Pump Emission Factors'!$B$11:$J$88,8,FALSE),"")</f>
        <v/>
      </c>
      <c r="BL37" s="803" t="str">
        <f>IFERROR(VLOOKUP(BH37,'Pump Emission Factors'!$B$11:$J$88,5,FALSE),"")</f>
        <v/>
      </c>
      <c r="BM37" s="803" t="str">
        <f>IFERROR(VLOOKUP(BH37,'Pump Emission Factors'!$B$11:$J$88,7,FALSE),"")</f>
        <v/>
      </c>
      <c r="BN37" s="803" t="str">
        <f>IFERROR(VLOOKUP(BH37,'Pump Emission Factors'!$B$11:$J$88,9,FALSE),"")</f>
        <v/>
      </c>
      <c r="BO37" s="811" t="str">
        <f t="shared" si="27"/>
        <v/>
      </c>
      <c r="BP37" s="811" t="str">
        <f t="shared" si="28"/>
        <v/>
      </c>
      <c r="BQ37" s="803">
        <f>IFERROR(((BI37+(BL37*BP37))*(IF(ISBLANK(R37),Defaults!$B$19,R37))*P37*T37)*F37*(1/454),0)</f>
        <v>0</v>
      </c>
      <c r="BR37" s="803">
        <f>IFERROR(((BJ37+(BM37*BP37))*(IF(ISBLANK(R37),Defaults!$B$19,R37))*P37*T37)*F37*(1/454),0)</f>
        <v>0</v>
      </c>
      <c r="BS37" s="803">
        <f>IFERROR(((BK37+(BN37*BP37))*(IF(ISBLANK(R37),Defaults!$B$19,R37))*P37*T37)*F37*(1/454),0)</f>
        <v>0</v>
      </c>
      <c r="BT37" s="803">
        <f t="shared" si="29"/>
        <v>0</v>
      </c>
      <c r="BU37" s="803">
        <f t="shared" si="62"/>
        <v>0</v>
      </c>
      <c r="BV37" s="812" t="str">
        <f t="shared" si="30"/>
        <v/>
      </c>
      <c r="BW37" s="808" t="str">
        <f t="shared" si="31"/>
        <v/>
      </c>
      <c r="BX37" s="809" t="str">
        <f t="shared" si="32"/>
        <v/>
      </c>
      <c r="BY37" s="808" t="str">
        <f t="shared" si="63"/>
        <v/>
      </c>
      <c r="BZ37" s="810">
        <f t="shared" si="64"/>
        <v>0</v>
      </c>
      <c r="CA37" s="813" t="str">
        <f>IFERROR(VLOOKUP(BZ37,'Pump Emission Factors'!$B$11:$J$88,4,FALSE),"")</f>
        <v/>
      </c>
      <c r="CB37" s="813" t="str">
        <f>IFERROR(VLOOKUP(BZ37,'Pump Emission Factors'!$B$11:$J$88,6,FALSE),"")</f>
        <v/>
      </c>
      <c r="CC37" s="813" t="str">
        <f>IFERROR(VLOOKUP(BZ37,'Pump Emission Factors'!$B$11:$J$88,8,FALSE),"")</f>
        <v/>
      </c>
      <c r="CD37" s="813" t="str">
        <f>IFERROR(VLOOKUP(BZ37,'Pump Emission Factors'!$B$11:$J$88,5,FALSE),"")</f>
        <v/>
      </c>
      <c r="CE37" s="813" t="str">
        <f>IFERROR(VLOOKUP(BZ37,'Pump Emission Factors'!$B$11:$J$88,7,FALSE),"")</f>
        <v/>
      </c>
      <c r="CF37" s="813" t="str">
        <f>IFERROR(VLOOKUP(BZ37,'Pump Emission Factors'!$B$11:$J$88,9,FALSE),"")</f>
        <v/>
      </c>
      <c r="CG37" s="814" t="str">
        <f t="shared" si="33"/>
        <v/>
      </c>
      <c r="CH37" s="814" t="str">
        <f t="shared" si="34"/>
        <v/>
      </c>
      <c r="CI37" s="813">
        <f>IFERROR(IF($X37="ELEC",((($AU37*(IF($H37="DESL",'Fuel-Specific GHG'!$C$14,IF($H37="GAS",'Fuel-Specific GHG'!$C$16,IF($H37="CNG",'Fuel-Specific GHG'!$C$13,IF(OR($H37="LPG",$H37="PROP"),'Fuel-Specific GHG'!$C$19,"")))))*(1/'Fuel-Specific GHG'!$C$15)*(1/3.4)*$F37)*'Grid Electricity'!$D$39)/454),((CA37+(CD37*CH37))*(IF(ISBLANK(AH37),Defaults!$B$19,AH37))*$AF37*$AJ37*$F37)),0)</f>
        <v>0</v>
      </c>
      <c r="CJ37" s="813">
        <f>IFERROR(IF($X37="ELEC",((($AU37*(IF($H37="DESL",'Fuel-Specific GHG'!$C$14,IF($H37="GAS",'Fuel-Specific GHG'!$C$16,IF($H37="CNG",'Fuel-Specific GHG'!$C$13,IF(OR($H37="LPG",$H37="PROP"),'Fuel-Specific GHG'!$C$19,"")))))*(1/'Fuel-Specific GHG'!$C$15)*(1/3.4)*$F37)*'Grid Electricity'!$C$39)/454),((CB37+(CE37*CH37))*(IF(ISBLANK(AH37),Defaults!$B$19,AH37))*$AF37*$AJ37*$F37)),0)</f>
        <v>0</v>
      </c>
      <c r="CK37" s="813">
        <f>IFERROR(IF($X37="ELEC",((($AU37*(IF($H37="DESL",'Fuel-Specific GHG'!$C$14,IF($H37="GAS",'Fuel-Specific GHG'!$C$16,IF($H37="CNG",'Fuel-Specific GHG'!$C$13,IF(OR($H37="LPG",$H37="PROP"),'Fuel-Specific GHG'!$C$19,"")))))*(1/'Fuel-Specific GHG'!$C$15)*(1/3.4)*$F37)*'Grid Electricity'!$F$39)/454),((CC37+(CF37*CH37))*(IF(ISBLANK(AH37),Defaults!$B$19,AH37))*$AF37*$AJ37*$F37)),0)</f>
        <v>0</v>
      </c>
      <c r="CL37" s="813">
        <f t="shared" si="35"/>
        <v>0</v>
      </c>
      <c r="CM37" s="813">
        <f t="shared" si="36"/>
        <v>0</v>
      </c>
      <c r="CN37" s="814" t="str">
        <f t="shared" si="37"/>
        <v/>
      </c>
      <c r="CO37" s="814" t="str">
        <f t="shared" si="38"/>
        <v/>
      </c>
      <c r="CP37" s="814" t="str">
        <f t="shared" si="39"/>
        <v/>
      </c>
      <c r="CQ37" s="814" t="str">
        <f t="shared" si="40"/>
        <v/>
      </c>
      <c r="CR37" s="815" t="str">
        <f>IF(AND(V37="Yes, Booster Pump VFD",AF37&lt;=75),('Pump Emission Factors'!$F$95*F37),(IF(AND(V37="Yes, Booster Pump VFD",AF37&gt;75),('Pump Emission Factors'!$F$96*F37),(IF(AND(V37="Yes, Well Pump VFD",AF37&lt;=75),('Pump Emission Factors'!$F$97*F37),(IF(AND(V37="Yes, Well Pump VFD",AF37&gt;75),('Pump Emission Factors'!$F$98*F37),"")))))))</f>
        <v/>
      </c>
      <c r="CS37" s="815" t="str">
        <f>IF(AND(V37="Yes, Booster Pump VFD",AF37&lt;=75),('Pump Emission Factors'!$G$95*F37),(IF(AND(V37="Yes, Booster Pump VFD",AF37&gt;75),('Pump Emission Factors'!$G$96*F37),(IF(AND(V37="Yes, Well Pump VFD",AF37&lt;=75),('Pump Emission Factors'!$G$97*F37),(IF(AND(V37="Yes, Well Pump VFD",AF37&gt;75),('Pump Emission Factors'!$G$98*F37),"")))))))</f>
        <v/>
      </c>
      <c r="CT37" s="815" t="str">
        <f>IF(AND(V37="Yes, Booster Pump VFD",AF37&lt;=75),('Pump Emission Factors'!$H$95*F37),(IF(AND(V37="Yes, Booster Pump VFD",AF37&gt;75),('Pump Emission Factors'!$H$96*F37),(IF(AND(V37="Yes, Well Pump VFD",AF37&lt;=75),('Pump Emission Factors'!$H$97*F37),(IF(AND(V37="Yes, Well Pump VFD",AF37&gt;75),('Pump Emission Factors'!$H$98*F37),"")))))))</f>
        <v/>
      </c>
      <c r="CU37" s="815" t="str">
        <f>IF(AND(V37="Yes, Booster Pump VFD",AF37&lt;=75),('Pump Emission Factors'!$J$95*F37),(IF(AND(V37="Yes, Booster Pump VFD",AF37&gt;75),('Pump Emission Factors'!$J$96*F37),(IF(AND(V37="Yes, Well Pump VFD",AF37&lt;=75),('Pump Emission Factors'!$J$97*F37),(IF(AND(V37="Yes, Well Pump VFD",AF37&gt;75),('Pump Emission Factors'!$J$98*F37),"")))))))</f>
        <v/>
      </c>
      <c r="CV37" s="815" t="str">
        <f>IF(AND(V37="Yes, Booster Pump VFD",AF37&lt;=75),('Pump Emission Factors'!$I$95*F37),(IF(AND(V37="Yes, Booster Pump VFD",AF37&gt;75),('Pump Emission Factors'!$I$96*F37),(IF(AND(V37="Yes, Well Pump VFD",AF37&lt;=75),('Pump Emission Factors'!$I$97*F37),(IF(AND(V37="Yes, Well Pump VFD",AF37&gt;75),('Pump Emission Factors'!$I$98*F37),"")))))))</f>
        <v/>
      </c>
      <c r="CW37" s="806">
        <f t="shared" si="41"/>
        <v>0</v>
      </c>
      <c r="CX37" s="806">
        <f t="shared" si="42"/>
        <v>0</v>
      </c>
      <c r="CY37" s="806">
        <f t="shared" si="43"/>
        <v>0</v>
      </c>
      <c r="CZ37" s="806">
        <f t="shared" si="44"/>
        <v>0</v>
      </c>
      <c r="DA37" s="806">
        <f t="shared" si="45"/>
        <v>0</v>
      </c>
      <c r="DB37" s="816" t="str">
        <f t="shared" si="65"/>
        <v/>
      </c>
      <c r="DC37" s="816" t="str">
        <f t="shared" si="65"/>
        <v/>
      </c>
      <c r="DD37" s="816" t="str">
        <f t="shared" si="65"/>
        <v/>
      </c>
      <c r="DE37" s="817" t="str">
        <f t="shared" si="47"/>
        <v/>
      </c>
      <c r="DF37" s="817" t="str">
        <f t="shared" si="48"/>
        <v/>
      </c>
      <c r="DG37" s="804" t="str">
        <f t="shared" si="49"/>
        <v/>
      </c>
      <c r="DH37" s="804" t="str">
        <f t="shared" si="50"/>
        <v/>
      </c>
      <c r="DI37" s="818" t="str">
        <f>IF(AO37="","",IF(H37="DESL",AO37*F37*'Fuel Prices'!$C$12,IF(H37="GAS",AO37*F37*'Fuel Prices'!$C$11,IF(H37="CNG",AO37*F37*'Fuel Prices'!$C$13,IF(H37="LNG",AO37*F37*'Fuel Prices'!$C$14,IF(H37="LPG",AO37*F37*'Fuel Prices'!$C$16,IF(H37="PROP",AO37*F37*'Fuel Prices'!$C$16,"0")))))))</f>
        <v/>
      </c>
      <c r="DJ37" s="818" t="str">
        <f>IF(AU37="","",IF(X37="DESL",AU37*F37*'Fuel Prices'!$C$12,IF(X37="GAS",AU37*F37*'Fuel Prices'!$C$11,IF(X37="CNG",AU37*F37*'Fuel Prices'!$C$13,IF(X37="LNG",AU37*F37*'Fuel Prices'!$C$14,IF(X37="LPG",AU37*F37*'Fuel Prices'!$C$16,IF(X37="PROP",AU37*F37*'Fuel Prices'!$C$16,IF(X37="ELEC",AU37*F37*'Fuel Prices'!$C$35,"0"))))))))</f>
        <v/>
      </c>
      <c r="DK37" s="818" t="str">
        <f t="shared" si="51"/>
        <v/>
      </c>
      <c r="DL37" s="818" t="str">
        <f t="shared" si="52"/>
        <v/>
      </c>
      <c r="DM37" s="804" t="str">
        <f t="shared" si="53"/>
        <v/>
      </c>
      <c r="DN37" s="804" t="str">
        <f t="shared" si="54"/>
        <v/>
      </c>
      <c r="DO37" s="804" t="str">
        <f>IFERROR(ROUND(CZ37*IF(COUNTIF($B$20:B37,B37)=1,1,"")/IF(B37="",0,1),0),"")</f>
        <v/>
      </c>
      <c r="DP37" s="804" t="str">
        <f>IFERROR(ROUND(CW37*IF(COUNTIF($B$20:B37,B37)=1,1,"")/IF(B37="",0,1),0),"")</f>
        <v/>
      </c>
      <c r="DQ37" s="804" t="str">
        <f>IFERROR(ROUND(DA37*IF(COUNTIF($B$20:B37,B37)=1,1,"")/IF(B37="",0,1),0),"")</f>
        <v/>
      </c>
      <c r="DR37" s="804" t="str">
        <f>IFERROR(ROUND(CX37*IF(COUNTIF($B$20:B37,B37)=1,1,"")/IF(B37="",0,1),0),"")</f>
        <v/>
      </c>
      <c r="DS37" s="804">
        <f t="shared" si="55"/>
        <v>0</v>
      </c>
      <c r="DT37" s="804">
        <f t="shared" si="56"/>
        <v>0</v>
      </c>
      <c r="DU37" s="804">
        <f t="shared" si="57"/>
        <v>0</v>
      </c>
      <c r="DV37" s="818" t="str">
        <f t="shared" si="66"/>
        <v/>
      </c>
      <c r="DW37" s="819" t="str">
        <f t="shared" si="67"/>
        <v/>
      </c>
    </row>
    <row r="38" spans="1:127" s="699" customFormat="1" ht="18" customHeight="1" x14ac:dyDescent="0.35">
      <c r="A38" s="635"/>
      <c r="B38" s="820"/>
      <c r="C38" s="825" t="str">
        <f t="shared" si="0"/>
        <v>(Required)</v>
      </c>
      <c r="D38" s="821"/>
      <c r="E38" s="825" t="str">
        <f t="shared" si="0"/>
        <v>(Required)</v>
      </c>
      <c r="F38" s="821"/>
      <c r="G38" s="825" t="str">
        <f t="shared" si="1"/>
        <v>(Required)</v>
      </c>
      <c r="H38" s="822"/>
      <c r="I38" s="825" t="str">
        <f t="shared" si="2"/>
        <v>(Required)</v>
      </c>
      <c r="J38" s="821"/>
      <c r="K38" s="825" t="str">
        <f t="shared" si="3"/>
        <v>(Required)</v>
      </c>
      <c r="L38" s="821"/>
      <c r="M38" s="825" t="str">
        <f t="shared" si="4"/>
        <v>(Required)</v>
      </c>
      <c r="N38" s="821"/>
      <c r="O38" s="825" t="str">
        <f t="shared" si="5"/>
        <v>(Required)</v>
      </c>
      <c r="P38" s="821"/>
      <c r="Q38" s="825" t="str">
        <f t="shared" si="6"/>
        <v>(Required)</v>
      </c>
      <c r="R38" s="823"/>
      <c r="S38" s="826" t="str">
        <f t="shared" si="7"/>
        <v>(Optional)</v>
      </c>
      <c r="T38" s="821"/>
      <c r="U38" s="827" t="str">
        <f t="shared" si="8"/>
        <v>(Required)</v>
      </c>
      <c r="V38" s="828"/>
      <c r="W38" s="799" t="str">
        <f t="shared" si="9"/>
        <v>(Optional)</v>
      </c>
      <c r="X38" s="822"/>
      <c r="Y38" s="825" t="str">
        <f t="shared" si="10"/>
        <v>(Required)</v>
      </c>
      <c r="Z38" s="821"/>
      <c r="AA38" s="825" t="str">
        <f t="shared" si="11"/>
        <v>(Required)</v>
      </c>
      <c r="AB38" s="821"/>
      <c r="AC38" s="825" t="str">
        <f t="shared" si="12"/>
        <v>(Required)</v>
      </c>
      <c r="AD38" s="821"/>
      <c r="AE38" s="825" t="str">
        <f t="shared" si="13"/>
        <v>(Required)</v>
      </c>
      <c r="AF38" s="821"/>
      <c r="AG38" s="825" t="str">
        <f t="shared" si="14"/>
        <v>(Required)</v>
      </c>
      <c r="AH38" s="823"/>
      <c r="AI38" s="826" t="str">
        <f t="shared" si="15"/>
        <v>(Optional)</v>
      </c>
      <c r="AJ38" s="821"/>
      <c r="AK38" s="825" t="str">
        <f t="shared" si="16"/>
        <v>(Required)</v>
      </c>
      <c r="AL38" s="803" t="str">
        <f t="shared" si="17"/>
        <v/>
      </c>
      <c r="AM38" s="803" t="str">
        <f>IF(H38="DESL",'Fuel Density'!$C$12,IF(H38="GAS",'Fuel Density'!$C$11,IF(H38="CNG",'Fuel Density'!$C$13,IF(H38="LNG",'Fuel Density'!$C$14,IF(H38="LPG",'Fuel Density'!$C$15,IF(H38="PROP",'Fuel Density'!$C$16,IF(H38="","","")))))))</f>
        <v/>
      </c>
      <c r="AN38" s="803" t="str">
        <f>IF(H38="DESL",'Fuel-Specific GHG'!$C$14,IF(H38="GAS",'Fuel-Specific GHG'!$C$16,IF(H38="CNG",'Fuel-Specific GHG'!$C$13,IF(H38="LNG",'Fuel-Specific GHG'!$C$18,IF(OR(H38="LPG",H38="PROP"),'Fuel-Specific GHG'!$C$19,IF(H38="","",""))))))</f>
        <v/>
      </c>
      <c r="AO38" s="804" t="str">
        <f>IFERROR(((P38*(IF(ISBLANK(R38),Defaults!$B$19,R38))*T38*AL38)/AM38),"")</f>
        <v/>
      </c>
      <c r="AP38" s="805" t="str">
        <f t="shared" si="18"/>
        <v/>
      </c>
      <c r="AQ38" s="805" t="str">
        <f>IF(H38="DESL",'Fuel-Specific GHG'!$E$14,IF(H38="GAS",'Fuel-Specific GHG'!$E$16,IF(H38="CNG",'Fuel-Specific GHG'!$E$13,IF(H38="LNG",'Fuel-Specific GHG'!$E$18,IF(OR(H38="LPG",H38="PROP"),'Fuel-Specific GHG'!$E$19,"")))))</f>
        <v/>
      </c>
      <c r="AR38" s="805" t="str">
        <f t="shared" si="19"/>
        <v/>
      </c>
      <c r="AS38" s="803" t="str">
        <f t="shared" si="58"/>
        <v/>
      </c>
      <c r="AT38" s="803" t="str">
        <f>IF(X38="DESL",'Fuel Density'!$C$12,IF(X38="PROP",'Fuel Density'!$C$16,IF(X38="GAS",'Fuel Density'!$C$11,IF(X38="CNG",'Fuel Density'!$C$13,IF(X38="LNG",'Fuel Density'!$C$14,IF(X38="LPG",'Fuel Density'!$C$15,IF(X38="","","")))))))</f>
        <v/>
      </c>
      <c r="AU38" s="804" t="str">
        <f>IFERROR(IF(X38="ELEC",AO38*AN38*(1/'Fuel-Specific GHG'!$C$15)*(1/IF(H38="GAS",3.4,IF(H38="DESL",2.7,3))),((AF38*(IF(ISBLANK(AH38),Defaults!$B$19,AH38))*AJ38*AS38)/AT38)),"")</f>
        <v/>
      </c>
      <c r="AV38" s="805" t="str">
        <f t="shared" si="20"/>
        <v/>
      </c>
      <c r="AW38" s="805" t="str">
        <f>IF(X38="DESL",'Fuel-Specific GHG'!$E$14,IF(X38="PROP",'Fuel-Specific GHG'!$E$19,IF(X38="GAS",'Fuel-Specific GHG'!$E$16,IF(X38="CNG",'Fuel-Specific GHG'!$E$13,IF(X38="LNG",'Fuel-Specific GHG'!$E$18,IF(X38="LPG",'Fuel-Specific GHG'!$E$19,IF(X38="ELEC",'Fuel-Specific GHG'!$E$15,"")))))))</f>
        <v/>
      </c>
      <c r="AX38" s="805" t="str">
        <f t="shared" si="21"/>
        <v/>
      </c>
      <c r="AY38" s="806" t="str">
        <f t="shared" si="22"/>
        <v/>
      </c>
      <c r="AZ38" s="806" t="str">
        <f t="shared" si="68"/>
        <v/>
      </c>
      <c r="BA38" s="806" t="str">
        <f t="shared" si="59"/>
        <v/>
      </c>
      <c r="BB38" s="804" t="str">
        <f t="shared" si="23"/>
        <v/>
      </c>
      <c r="BC38" s="807" t="str">
        <f t="shared" si="24"/>
        <v/>
      </c>
      <c r="BD38" s="807"/>
      <c r="BE38" s="808" t="str">
        <f t="shared" si="25"/>
        <v/>
      </c>
      <c r="BF38" s="809" t="str">
        <f t="shared" si="26"/>
        <v/>
      </c>
      <c r="BG38" s="808" t="str">
        <f t="shared" si="60"/>
        <v/>
      </c>
      <c r="BH38" s="810">
        <f t="shared" si="61"/>
        <v>0</v>
      </c>
      <c r="BI38" s="803" t="str">
        <f>IFERROR(VLOOKUP(BH38,'Pump Emission Factors'!$B$11:$J$88,4,FALSE),"")</f>
        <v/>
      </c>
      <c r="BJ38" s="803" t="str">
        <f>IFERROR(VLOOKUP(BH38,'Pump Emission Factors'!$B$11:$J$88,6,FALSE),"")</f>
        <v/>
      </c>
      <c r="BK38" s="803" t="str">
        <f>IFERROR(VLOOKUP(BH38,'Pump Emission Factors'!$B$11:$J$88,8,FALSE),"")</f>
        <v/>
      </c>
      <c r="BL38" s="803" t="str">
        <f>IFERROR(VLOOKUP(BH38,'Pump Emission Factors'!$B$11:$J$88,5,FALSE),"")</f>
        <v/>
      </c>
      <c r="BM38" s="803" t="str">
        <f>IFERROR(VLOOKUP(BH38,'Pump Emission Factors'!$B$11:$J$88,7,FALSE),"")</f>
        <v/>
      </c>
      <c r="BN38" s="803" t="str">
        <f>IFERROR(VLOOKUP(BH38,'Pump Emission Factors'!$B$11:$J$88,9,FALSE),"")</f>
        <v/>
      </c>
      <c r="BO38" s="811" t="str">
        <f t="shared" si="27"/>
        <v/>
      </c>
      <c r="BP38" s="811" t="str">
        <f t="shared" si="28"/>
        <v/>
      </c>
      <c r="BQ38" s="803">
        <f>IFERROR(((BI38+(BL38*BP38))*(IF(ISBLANK(R38),Defaults!$B$19,R38))*P38*T38)*F38*(1/454),0)</f>
        <v>0</v>
      </c>
      <c r="BR38" s="803">
        <f>IFERROR(((BJ38+(BM38*BP38))*(IF(ISBLANK(R38),Defaults!$B$19,R38))*P38*T38)*F38*(1/454),0)</f>
        <v>0</v>
      </c>
      <c r="BS38" s="803">
        <f>IFERROR(((BK38+(BN38*BP38))*(IF(ISBLANK(R38),Defaults!$B$19,R38))*P38*T38)*F38*(1/454),0)</f>
        <v>0</v>
      </c>
      <c r="BT38" s="803">
        <f t="shared" si="29"/>
        <v>0</v>
      </c>
      <c r="BU38" s="803">
        <f t="shared" si="62"/>
        <v>0</v>
      </c>
      <c r="BV38" s="812" t="str">
        <f t="shared" si="30"/>
        <v/>
      </c>
      <c r="BW38" s="808" t="str">
        <f t="shared" si="31"/>
        <v/>
      </c>
      <c r="BX38" s="809" t="str">
        <f t="shared" si="32"/>
        <v/>
      </c>
      <c r="BY38" s="808" t="str">
        <f t="shared" si="63"/>
        <v/>
      </c>
      <c r="BZ38" s="810">
        <f t="shared" si="64"/>
        <v>0</v>
      </c>
      <c r="CA38" s="813" t="str">
        <f>IFERROR(VLOOKUP(BZ38,'Pump Emission Factors'!$B$11:$J$88,4,FALSE),"")</f>
        <v/>
      </c>
      <c r="CB38" s="813" t="str">
        <f>IFERROR(VLOOKUP(BZ38,'Pump Emission Factors'!$B$11:$J$88,6,FALSE),"")</f>
        <v/>
      </c>
      <c r="CC38" s="813" t="str">
        <f>IFERROR(VLOOKUP(BZ38,'Pump Emission Factors'!$B$11:$J$88,8,FALSE),"")</f>
        <v/>
      </c>
      <c r="CD38" s="813" t="str">
        <f>IFERROR(VLOOKUP(BZ38,'Pump Emission Factors'!$B$11:$J$88,5,FALSE),"")</f>
        <v/>
      </c>
      <c r="CE38" s="813" t="str">
        <f>IFERROR(VLOOKUP(BZ38,'Pump Emission Factors'!$B$11:$J$88,7,FALSE),"")</f>
        <v/>
      </c>
      <c r="CF38" s="813" t="str">
        <f>IFERROR(VLOOKUP(BZ38,'Pump Emission Factors'!$B$11:$J$88,9,FALSE),"")</f>
        <v/>
      </c>
      <c r="CG38" s="814" t="str">
        <f t="shared" si="33"/>
        <v/>
      </c>
      <c r="CH38" s="814" t="str">
        <f t="shared" si="34"/>
        <v/>
      </c>
      <c r="CI38" s="813">
        <f>IFERROR(IF($X38="ELEC",((($AU38*(IF($H38="DESL",'Fuel-Specific GHG'!$C$14,IF($H38="GAS",'Fuel-Specific GHG'!$C$16,IF($H38="CNG",'Fuel-Specific GHG'!$C$13,IF(OR($H38="LPG",$H38="PROP"),'Fuel-Specific GHG'!$C$19,"")))))*(1/'Fuel-Specific GHG'!$C$15)*(1/3.4)*$F38)*'Grid Electricity'!$D$39)/454),((CA38+(CD38*CH38))*(IF(ISBLANK(AH38),Defaults!$B$19,AH38))*$AF38*$AJ38*$F38)),0)</f>
        <v>0</v>
      </c>
      <c r="CJ38" s="813">
        <f>IFERROR(IF($X38="ELEC",((($AU38*(IF($H38="DESL",'Fuel-Specific GHG'!$C$14,IF($H38="GAS",'Fuel-Specific GHG'!$C$16,IF($H38="CNG",'Fuel-Specific GHG'!$C$13,IF(OR($H38="LPG",$H38="PROP"),'Fuel-Specific GHG'!$C$19,"")))))*(1/'Fuel-Specific GHG'!$C$15)*(1/3.4)*$F38)*'Grid Electricity'!$C$39)/454),((CB38+(CE38*CH38))*(IF(ISBLANK(AH38),Defaults!$B$19,AH38))*$AF38*$AJ38*$F38)),0)</f>
        <v>0</v>
      </c>
      <c r="CK38" s="813">
        <f>IFERROR(IF($X38="ELEC",((($AU38*(IF($H38="DESL",'Fuel-Specific GHG'!$C$14,IF($H38="GAS",'Fuel-Specific GHG'!$C$16,IF($H38="CNG",'Fuel-Specific GHG'!$C$13,IF(OR($H38="LPG",$H38="PROP"),'Fuel-Specific GHG'!$C$19,"")))))*(1/'Fuel-Specific GHG'!$C$15)*(1/3.4)*$F38)*'Grid Electricity'!$F$39)/454),((CC38+(CF38*CH38))*(IF(ISBLANK(AH38),Defaults!$B$19,AH38))*$AF38*$AJ38*$F38)),0)</f>
        <v>0</v>
      </c>
      <c r="CL38" s="813">
        <f t="shared" si="35"/>
        <v>0</v>
      </c>
      <c r="CM38" s="813">
        <f t="shared" si="36"/>
        <v>0</v>
      </c>
      <c r="CN38" s="814" t="str">
        <f t="shared" si="37"/>
        <v/>
      </c>
      <c r="CO38" s="814" t="str">
        <f t="shared" si="38"/>
        <v/>
      </c>
      <c r="CP38" s="814" t="str">
        <f t="shared" si="39"/>
        <v/>
      </c>
      <c r="CQ38" s="814" t="str">
        <f t="shared" si="40"/>
        <v/>
      </c>
      <c r="CR38" s="815" t="str">
        <f>IF(AND(V38="Yes, Booster Pump VFD",AF38&lt;=75),('Pump Emission Factors'!$F$95*F38),(IF(AND(V38="Yes, Booster Pump VFD",AF38&gt;75),('Pump Emission Factors'!$F$96*F38),(IF(AND(V38="Yes, Well Pump VFD",AF38&lt;=75),('Pump Emission Factors'!$F$97*F38),(IF(AND(V38="Yes, Well Pump VFD",AF38&gt;75),('Pump Emission Factors'!$F$98*F38),"")))))))</f>
        <v/>
      </c>
      <c r="CS38" s="815" t="str">
        <f>IF(AND(V38="Yes, Booster Pump VFD",AF38&lt;=75),('Pump Emission Factors'!$G$95*F38),(IF(AND(V38="Yes, Booster Pump VFD",AF38&gt;75),('Pump Emission Factors'!$G$96*F38),(IF(AND(V38="Yes, Well Pump VFD",AF38&lt;=75),('Pump Emission Factors'!$G$97*F38),(IF(AND(V38="Yes, Well Pump VFD",AF38&gt;75),('Pump Emission Factors'!$G$98*F38),"")))))))</f>
        <v/>
      </c>
      <c r="CT38" s="815" t="str">
        <f>IF(AND(V38="Yes, Booster Pump VFD",AF38&lt;=75),('Pump Emission Factors'!$H$95*F38),(IF(AND(V38="Yes, Booster Pump VFD",AF38&gt;75),('Pump Emission Factors'!$H$96*F38),(IF(AND(V38="Yes, Well Pump VFD",AF38&lt;=75),('Pump Emission Factors'!$H$97*F38),(IF(AND(V38="Yes, Well Pump VFD",AF38&gt;75),('Pump Emission Factors'!$H$98*F38),"")))))))</f>
        <v/>
      </c>
      <c r="CU38" s="815" t="str">
        <f>IF(AND(V38="Yes, Booster Pump VFD",AF38&lt;=75),('Pump Emission Factors'!$J$95*F38),(IF(AND(V38="Yes, Booster Pump VFD",AF38&gt;75),('Pump Emission Factors'!$J$96*F38),(IF(AND(V38="Yes, Well Pump VFD",AF38&lt;=75),('Pump Emission Factors'!$J$97*F38),(IF(AND(V38="Yes, Well Pump VFD",AF38&gt;75),('Pump Emission Factors'!$J$98*F38),"")))))))</f>
        <v/>
      </c>
      <c r="CV38" s="815" t="str">
        <f>IF(AND(V38="Yes, Booster Pump VFD",AF38&lt;=75),('Pump Emission Factors'!$I$95*F38),(IF(AND(V38="Yes, Booster Pump VFD",AF38&gt;75),('Pump Emission Factors'!$I$96*F38),(IF(AND(V38="Yes, Well Pump VFD",AF38&lt;=75),('Pump Emission Factors'!$I$97*F38),(IF(AND(V38="Yes, Well Pump VFD",AF38&gt;75),('Pump Emission Factors'!$I$98*F38),"")))))))</f>
        <v/>
      </c>
      <c r="CW38" s="806">
        <f t="shared" si="41"/>
        <v>0</v>
      </c>
      <c r="CX38" s="806">
        <f t="shared" si="42"/>
        <v>0</v>
      </c>
      <c r="CY38" s="806">
        <f t="shared" si="43"/>
        <v>0</v>
      </c>
      <c r="CZ38" s="806">
        <f t="shared" si="44"/>
        <v>0</v>
      </c>
      <c r="DA38" s="806">
        <f t="shared" si="45"/>
        <v>0</v>
      </c>
      <c r="DB38" s="816" t="str">
        <f t="shared" si="65"/>
        <v/>
      </c>
      <c r="DC38" s="816" t="str">
        <f t="shared" si="65"/>
        <v/>
      </c>
      <c r="DD38" s="816" t="str">
        <f t="shared" si="65"/>
        <v/>
      </c>
      <c r="DE38" s="817" t="str">
        <f t="shared" si="47"/>
        <v/>
      </c>
      <c r="DF38" s="817" t="str">
        <f t="shared" si="48"/>
        <v/>
      </c>
      <c r="DG38" s="804" t="str">
        <f t="shared" si="49"/>
        <v/>
      </c>
      <c r="DH38" s="804" t="str">
        <f t="shared" si="50"/>
        <v/>
      </c>
      <c r="DI38" s="818" t="str">
        <f>IF(AO38="","",IF(H38="DESL",AO38*F38*'Fuel Prices'!$C$12,IF(H38="GAS",AO38*F38*'Fuel Prices'!$C$11,IF(H38="CNG",AO38*F38*'Fuel Prices'!$C$13,IF(H38="LNG",AO38*F38*'Fuel Prices'!$C$14,IF(H38="LPG",AO38*F38*'Fuel Prices'!$C$16,IF(H38="PROP",AO38*F38*'Fuel Prices'!$C$16,"0")))))))</f>
        <v/>
      </c>
      <c r="DJ38" s="818" t="str">
        <f>IF(AU38="","",IF(X38="DESL",AU38*F38*'Fuel Prices'!$C$12,IF(X38="GAS",AU38*F38*'Fuel Prices'!$C$11,IF(X38="CNG",AU38*F38*'Fuel Prices'!$C$13,IF(X38="LNG",AU38*F38*'Fuel Prices'!$C$14,IF(X38="LPG",AU38*F38*'Fuel Prices'!$C$16,IF(X38="PROP",AU38*F38*'Fuel Prices'!$C$16,IF(X38="ELEC",AU38*F38*'Fuel Prices'!$C$35,"0"))))))))</f>
        <v/>
      </c>
      <c r="DK38" s="818" t="str">
        <f t="shared" si="51"/>
        <v/>
      </c>
      <c r="DL38" s="818" t="str">
        <f t="shared" si="52"/>
        <v/>
      </c>
      <c r="DM38" s="804" t="str">
        <f t="shared" si="53"/>
        <v/>
      </c>
      <c r="DN38" s="804" t="str">
        <f t="shared" si="54"/>
        <v/>
      </c>
      <c r="DO38" s="804" t="str">
        <f>IFERROR(ROUND(CZ38*IF(COUNTIF($B$20:B38,B38)=1,1,"")/IF(B38="",0,1),0),"")</f>
        <v/>
      </c>
      <c r="DP38" s="804" t="str">
        <f>IFERROR(ROUND(CW38*IF(COUNTIF($B$20:B38,B38)=1,1,"")/IF(B38="",0,1),0),"")</f>
        <v/>
      </c>
      <c r="DQ38" s="804" t="str">
        <f>IFERROR(ROUND(DA38*IF(COUNTIF($B$20:B38,B38)=1,1,"")/IF(B38="",0,1),0),"")</f>
        <v/>
      </c>
      <c r="DR38" s="804" t="str">
        <f>IFERROR(ROUND(CX38*IF(COUNTIF($B$20:B38,B38)=1,1,"")/IF(B38="",0,1),0),"")</f>
        <v/>
      </c>
      <c r="DS38" s="804">
        <f t="shared" si="55"/>
        <v>0</v>
      </c>
      <c r="DT38" s="804">
        <f t="shared" si="56"/>
        <v>0</v>
      </c>
      <c r="DU38" s="804">
        <f t="shared" si="57"/>
        <v>0</v>
      </c>
      <c r="DV38" s="818" t="str">
        <f t="shared" si="66"/>
        <v/>
      </c>
      <c r="DW38" s="819" t="str">
        <f t="shared" si="67"/>
        <v/>
      </c>
    </row>
    <row r="39" spans="1:127" s="699" customFormat="1" ht="18" customHeight="1" x14ac:dyDescent="0.35">
      <c r="A39" s="696"/>
      <c r="B39" s="820"/>
      <c r="C39" s="825" t="str">
        <f t="shared" si="0"/>
        <v>(Required)</v>
      </c>
      <c r="D39" s="821"/>
      <c r="E39" s="825" t="str">
        <f t="shared" si="0"/>
        <v>(Required)</v>
      </c>
      <c r="F39" s="821"/>
      <c r="G39" s="825" t="str">
        <f t="shared" si="1"/>
        <v>(Required)</v>
      </c>
      <c r="H39" s="822"/>
      <c r="I39" s="825" t="str">
        <f t="shared" si="2"/>
        <v>(Required)</v>
      </c>
      <c r="J39" s="821"/>
      <c r="K39" s="825" t="str">
        <f t="shared" si="3"/>
        <v>(Required)</v>
      </c>
      <c r="L39" s="821"/>
      <c r="M39" s="825" t="str">
        <f t="shared" si="4"/>
        <v>(Required)</v>
      </c>
      <c r="N39" s="821"/>
      <c r="O39" s="825" t="str">
        <f t="shared" si="5"/>
        <v>(Required)</v>
      </c>
      <c r="P39" s="821"/>
      <c r="Q39" s="825" t="str">
        <f t="shared" si="6"/>
        <v>(Required)</v>
      </c>
      <c r="R39" s="823"/>
      <c r="S39" s="826" t="str">
        <f t="shared" si="7"/>
        <v>(Optional)</v>
      </c>
      <c r="T39" s="821"/>
      <c r="U39" s="827" t="str">
        <f t="shared" si="8"/>
        <v>(Required)</v>
      </c>
      <c r="V39" s="828"/>
      <c r="W39" s="799" t="str">
        <f t="shared" si="9"/>
        <v>(Optional)</v>
      </c>
      <c r="X39" s="822"/>
      <c r="Y39" s="825" t="str">
        <f t="shared" si="10"/>
        <v>(Required)</v>
      </c>
      <c r="Z39" s="821"/>
      <c r="AA39" s="825" t="str">
        <f t="shared" si="11"/>
        <v>(Required)</v>
      </c>
      <c r="AB39" s="821"/>
      <c r="AC39" s="825" t="str">
        <f t="shared" si="12"/>
        <v>(Required)</v>
      </c>
      <c r="AD39" s="821"/>
      <c r="AE39" s="825" t="str">
        <f t="shared" si="13"/>
        <v>(Required)</v>
      </c>
      <c r="AF39" s="821"/>
      <c r="AG39" s="825" t="str">
        <f t="shared" si="14"/>
        <v>(Required)</v>
      </c>
      <c r="AH39" s="823"/>
      <c r="AI39" s="826" t="str">
        <f t="shared" si="15"/>
        <v>(Optional)</v>
      </c>
      <c r="AJ39" s="821"/>
      <c r="AK39" s="825" t="str">
        <f t="shared" si="16"/>
        <v>(Required)</v>
      </c>
      <c r="AL39" s="803" t="str">
        <f t="shared" si="17"/>
        <v/>
      </c>
      <c r="AM39" s="803" t="str">
        <f>IF(H39="DESL",'Fuel Density'!$C$12,IF(H39="GAS",'Fuel Density'!$C$11,IF(H39="CNG",'Fuel Density'!$C$13,IF(H39="LNG",'Fuel Density'!$C$14,IF(H39="LPG",'Fuel Density'!$C$15,IF(H39="PROP",'Fuel Density'!$C$16,IF(H39="","","")))))))</f>
        <v/>
      </c>
      <c r="AN39" s="803" t="str">
        <f>IF(H39="DESL",'Fuel-Specific GHG'!$C$14,IF(H39="GAS",'Fuel-Specific GHG'!$C$16,IF(H39="CNG",'Fuel-Specific GHG'!$C$13,IF(H39="LNG",'Fuel-Specific GHG'!$C$18,IF(OR(H39="LPG",H39="PROP"),'Fuel-Specific GHG'!$C$19,IF(H39="","",""))))))</f>
        <v/>
      </c>
      <c r="AO39" s="804" t="str">
        <f>IFERROR(((P39*(IF(ISBLANK(R39),Defaults!$B$19,R39))*T39*AL39)/AM39),"")</f>
        <v/>
      </c>
      <c r="AP39" s="805" t="str">
        <f t="shared" si="18"/>
        <v/>
      </c>
      <c r="AQ39" s="805" t="str">
        <f>IF(H39="DESL",'Fuel-Specific GHG'!$E$14,IF(H39="GAS",'Fuel-Specific GHG'!$E$16,IF(H39="CNG",'Fuel-Specific GHG'!$E$13,IF(H39="LNG",'Fuel-Specific GHG'!$E$18,IF(OR(H39="LPG",H39="PROP"),'Fuel-Specific GHG'!$E$19,"")))))</f>
        <v/>
      </c>
      <c r="AR39" s="805" t="str">
        <f t="shared" si="19"/>
        <v/>
      </c>
      <c r="AS39" s="803" t="str">
        <f t="shared" si="58"/>
        <v/>
      </c>
      <c r="AT39" s="803" t="str">
        <f>IF(X39="DESL",'Fuel Density'!$C$12,IF(X39="PROP",'Fuel Density'!$C$16,IF(X39="GAS",'Fuel Density'!$C$11,IF(X39="CNG",'Fuel Density'!$C$13,IF(X39="LNG",'Fuel Density'!$C$14,IF(X39="LPG",'Fuel Density'!$C$15,IF(X39="","","")))))))</f>
        <v/>
      </c>
      <c r="AU39" s="804" t="str">
        <f>IFERROR(IF(X39="ELEC",AO39*AN39*(1/'Fuel-Specific GHG'!$C$15)*(1/IF(H39="GAS",3.4,IF(H39="DESL",2.7,3))),((AF39*(IF(ISBLANK(AH39),Defaults!$B$19,AH39))*AJ39*AS39)/AT39)),"")</f>
        <v/>
      </c>
      <c r="AV39" s="805" t="str">
        <f t="shared" si="20"/>
        <v/>
      </c>
      <c r="AW39" s="805" t="str">
        <f>IF(X39="DESL",'Fuel-Specific GHG'!$E$14,IF(X39="PROP",'Fuel-Specific GHG'!$E$19,IF(X39="GAS",'Fuel-Specific GHG'!$E$16,IF(X39="CNG",'Fuel-Specific GHG'!$E$13,IF(X39="LNG",'Fuel-Specific GHG'!$E$18,IF(X39="LPG",'Fuel-Specific GHG'!$E$19,IF(X39="ELEC",'Fuel-Specific GHG'!$E$15,"")))))))</f>
        <v/>
      </c>
      <c r="AX39" s="805" t="str">
        <f t="shared" si="21"/>
        <v/>
      </c>
      <c r="AY39" s="806" t="str">
        <f t="shared" si="22"/>
        <v/>
      </c>
      <c r="AZ39" s="806" t="str">
        <f t="shared" si="68"/>
        <v/>
      </c>
      <c r="BA39" s="806" t="str">
        <f t="shared" si="59"/>
        <v/>
      </c>
      <c r="BB39" s="804" t="str">
        <f t="shared" si="23"/>
        <v/>
      </c>
      <c r="BC39" s="807" t="str">
        <f t="shared" si="24"/>
        <v/>
      </c>
      <c r="BD39" s="807"/>
      <c r="BE39" s="808" t="str">
        <f t="shared" si="25"/>
        <v/>
      </c>
      <c r="BF39" s="809" t="str">
        <f t="shared" si="26"/>
        <v/>
      </c>
      <c r="BG39" s="808" t="str">
        <f t="shared" si="60"/>
        <v/>
      </c>
      <c r="BH39" s="810">
        <f t="shared" si="61"/>
        <v>0</v>
      </c>
      <c r="BI39" s="803" t="str">
        <f>IFERROR(VLOOKUP(BH39,'Pump Emission Factors'!$B$11:$J$88,4,FALSE),"")</f>
        <v/>
      </c>
      <c r="BJ39" s="803" t="str">
        <f>IFERROR(VLOOKUP(BH39,'Pump Emission Factors'!$B$11:$J$88,6,FALSE),"")</f>
        <v/>
      </c>
      <c r="BK39" s="803" t="str">
        <f>IFERROR(VLOOKUP(BH39,'Pump Emission Factors'!$B$11:$J$88,8,FALSE),"")</f>
        <v/>
      </c>
      <c r="BL39" s="803" t="str">
        <f>IFERROR(VLOOKUP(BH39,'Pump Emission Factors'!$B$11:$J$88,5,FALSE),"")</f>
        <v/>
      </c>
      <c r="BM39" s="803" t="str">
        <f>IFERROR(VLOOKUP(BH39,'Pump Emission Factors'!$B$11:$J$88,7,FALSE),"")</f>
        <v/>
      </c>
      <c r="BN39" s="803" t="str">
        <f>IFERROR(VLOOKUP(BH39,'Pump Emission Factors'!$B$11:$J$88,9,FALSE),"")</f>
        <v/>
      </c>
      <c r="BO39" s="811" t="str">
        <f t="shared" si="27"/>
        <v/>
      </c>
      <c r="BP39" s="811" t="str">
        <f t="shared" si="28"/>
        <v/>
      </c>
      <c r="BQ39" s="803">
        <f>IFERROR(((BI39+(BL39*BP39))*(IF(ISBLANK(R39),Defaults!$B$19,R39))*P39*T39)*F39*(1/454),0)</f>
        <v>0</v>
      </c>
      <c r="BR39" s="803">
        <f>IFERROR(((BJ39+(BM39*BP39))*(IF(ISBLANK(R39),Defaults!$B$19,R39))*P39*T39)*F39*(1/454),0)</f>
        <v>0</v>
      </c>
      <c r="BS39" s="803">
        <f>IFERROR(((BK39+(BN39*BP39))*(IF(ISBLANK(R39),Defaults!$B$19,R39))*P39*T39)*F39*(1/454),0)</f>
        <v>0</v>
      </c>
      <c r="BT39" s="803">
        <f t="shared" si="29"/>
        <v>0</v>
      </c>
      <c r="BU39" s="803">
        <f t="shared" si="62"/>
        <v>0</v>
      </c>
      <c r="BV39" s="812" t="str">
        <f t="shared" si="30"/>
        <v/>
      </c>
      <c r="BW39" s="808" t="str">
        <f t="shared" si="31"/>
        <v/>
      </c>
      <c r="BX39" s="809" t="str">
        <f t="shared" si="32"/>
        <v/>
      </c>
      <c r="BY39" s="808" t="str">
        <f t="shared" si="63"/>
        <v/>
      </c>
      <c r="BZ39" s="810">
        <f t="shared" si="64"/>
        <v>0</v>
      </c>
      <c r="CA39" s="813" t="str">
        <f>IFERROR(VLOOKUP(BZ39,'Pump Emission Factors'!$B$11:$J$88,4,FALSE),"")</f>
        <v/>
      </c>
      <c r="CB39" s="813" t="str">
        <f>IFERROR(VLOOKUP(BZ39,'Pump Emission Factors'!$B$11:$J$88,6,FALSE),"")</f>
        <v/>
      </c>
      <c r="CC39" s="813" t="str">
        <f>IFERROR(VLOOKUP(BZ39,'Pump Emission Factors'!$B$11:$J$88,8,FALSE),"")</f>
        <v/>
      </c>
      <c r="CD39" s="813" t="str">
        <f>IFERROR(VLOOKUP(BZ39,'Pump Emission Factors'!$B$11:$J$88,5,FALSE),"")</f>
        <v/>
      </c>
      <c r="CE39" s="813" t="str">
        <f>IFERROR(VLOOKUP(BZ39,'Pump Emission Factors'!$B$11:$J$88,7,FALSE),"")</f>
        <v/>
      </c>
      <c r="CF39" s="813" t="str">
        <f>IFERROR(VLOOKUP(BZ39,'Pump Emission Factors'!$B$11:$J$88,9,FALSE),"")</f>
        <v/>
      </c>
      <c r="CG39" s="814" t="str">
        <f t="shared" si="33"/>
        <v/>
      </c>
      <c r="CH39" s="814" t="str">
        <f t="shared" si="34"/>
        <v/>
      </c>
      <c r="CI39" s="813">
        <f>IFERROR(IF($X39="ELEC",((($AU39*(IF($H39="DESL",'Fuel-Specific GHG'!$C$14,IF($H39="GAS",'Fuel-Specific GHG'!$C$16,IF($H39="CNG",'Fuel-Specific GHG'!$C$13,IF(OR($H39="LPG",$H39="PROP"),'Fuel-Specific GHG'!$C$19,"")))))*(1/'Fuel-Specific GHG'!$C$15)*(1/3.4)*$F39)*'Grid Electricity'!$D$39)/454),((CA39+(CD39*CH39))*(IF(ISBLANK(AH39),Defaults!$B$19,AH39))*$AF39*$AJ39*$F39)),0)</f>
        <v>0</v>
      </c>
      <c r="CJ39" s="813">
        <f>IFERROR(IF($X39="ELEC",((($AU39*(IF($H39="DESL",'Fuel-Specific GHG'!$C$14,IF($H39="GAS",'Fuel-Specific GHG'!$C$16,IF($H39="CNG",'Fuel-Specific GHG'!$C$13,IF(OR($H39="LPG",$H39="PROP"),'Fuel-Specific GHG'!$C$19,"")))))*(1/'Fuel-Specific GHG'!$C$15)*(1/3.4)*$F39)*'Grid Electricity'!$C$39)/454),((CB39+(CE39*CH39))*(IF(ISBLANK(AH39),Defaults!$B$19,AH39))*$AF39*$AJ39*$F39)),0)</f>
        <v>0</v>
      </c>
      <c r="CK39" s="813">
        <f>IFERROR(IF($X39="ELEC",((($AU39*(IF($H39="DESL",'Fuel-Specific GHG'!$C$14,IF($H39="GAS",'Fuel-Specific GHG'!$C$16,IF($H39="CNG",'Fuel-Specific GHG'!$C$13,IF(OR($H39="LPG",$H39="PROP"),'Fuel-Specific GHG'!$C$19,"")))))*(1/'Fuel-Specific GHG'!$C$15)*(1/3.4)*$F39)*'Grid Electricity'!$F$39)/454),((CC39+(CF39*CH39))*(IF(ISBLANK(AH39),Defaults!$B$19,AH39))*$AF39*$AJ39*$F39)),0)</f>
        <v>0</v>
      </c>
      <c r="CL39" s="813">
        <f t="shared" si="35"/>
        <v>0</v>
      </c>
      <c r="CM39" s="813">
        <f t="shared" si="36"/>
        <v>0</v>
      </c>
      <c r="CN39" s="814" t="str">
        <f t="shared" si="37"/>
        <v/>
      </c>
      <c r="CO39" s="814" t="str">
        <f t="shared" si="38"/>
        <v/>
      </c>
      <c r="CP39" s="814" t="str">
        <f t="shared" si="39"/>
        <v/>
      </c>
      <c r="CQ39" s="814" t="str">
        <f t="shared" si="40"/>
        <v/>
      </c>
      <c r="CR39" s="815" t="str">
        <f>IF(AND(V39="Yes, Booster Pump VFD",AF39&lt;=75),('Pump Emission Factors'!$F$95*F39),(IF(AND(V39="Yes, Booster Pump VFD",AF39&gt;75),('Pump Emission Factors'!$F$96*F39),(IF(AND(V39="Yes, Well Pump VFD",AF39&lt;=75),('Pump Emission Factors'!$F$97*F39),(IF(AND(V39="Yes, Well Pump VFD",AF39&gt;75),('Pump Emission Factors'!$F$98*F39),"")))))))</f>
        <v/>
      </c>
      <c r="CS39" s="815" t="str">
        <f>IF(AND(V39="Yes, Booster Pump VFD",AF39&lt;=75),('Pump Emission Factors'!$G$95*F39),(IF(AND(V39="Yes, Booster Pump VFD",AF39&gt;75),('Pump Emission Factors'!$G$96*F39),(IF(AND(V39="Yes, Well Pump VFD",AF39&lt;=75),('Pump Emission Factors'!$G$97*F39),(IF(AND(V39="Yes, Well Pump VFD",AF39&gt;75),('Pump Emission Factors'!$G$98*F39),"")))))))</f>
        <v/>
      </c>
      <c r="CT39" s="815" t="str">
        <f>IF(AND(V39="Yes, Booster Pump VFD",AF39&lt;=75),('Pump Emission Factors'!$H$95*F39),(IF(AND(V39="Yes, Booster Pump VFD",AF39&gt;75),('Pump Emission Factors'!$H$96*F39),(IF(AND(V39="Yes, Well Pump VFD",AF39&lt;=75),('Pump Emission Factors'!$H$97*F39),(IF(AND(V39="Yes, Well Pump VFD",AF39&gt;75),('Pump Emission Factors'!$H$98*F39),"")))))))</f>
        <v/>
      </c>
      <c r="CU39" s="815" t="str">
        <f>IF(AND(V39="Yes, Booster Pump VFD",AF39&lt;=75),('Pump Emission Factors'!$J$95*F39),(IF(AND(V39="Yes, Booster Pump VFD",AF39&gt;75),('Pump Emission Factors'!$J$96*F39),(IF(AND(V39="Yes, Well Pump VFD",AF39&lt;=75),('Pump Emission Factors'!$J$97*F39),(IF(AND(V39="Yes, Well Pump VFD",AF39&gt;75),('Pump Emission Factors'!$J$98*F39),"")))))))</f>
        <v/>
      </c>
      <c r="CV39" s="815" t="str">
        <f>IF(AND(V39="Yes, Booster Pump VFD",AF39&lt;=75),('Pump Emission Factors'!$I$95*F39),(IF(AND(V39="Yes, Booster Pump VFD",AF39&gt;75),('Pump Emission Factors'!$I$96*F39),(IF(AND(V39="Yes, Well Pump VFD",AF39&lt;=75),('Pump Emission Factors'!$I$97*F39),(IF(AND(V39="Yes, Well Pump VFD",AF39&gt;75),('Pump Emission Factors'!$I$98*F39),"")))))))</f>
        <v/>
      </c>
      <c r="CW39" s="806">
        <f t="shared" si="41"/>
        <v>0</v>
      </c>
      <c r="CX39" s="806">
        <f t="shared" si="42"/>
        <v>0</v>
      </c>
      <c r="CY39" s="806">
        <f t="shared" si="43"/>
        <v>0</v>
      </c>
      <c r="CZ39" s="806">
        <f t="shared" si="44"/>
        <v>0</v>
      </c>
      <c r="DA39" s="806">
        <f t="shared" si="45"/>
        <v>0</v>
      </c>
      <c r="DB39" s="816" t="str">
        <f t="shared" si="65"/>
        <v/>
      </c>
      <c r="DC39" s="816" t="str">
        <f t="shared" si="65"/>
        <v/>
      </c>
      <c r="DD39" s="816" t="str">
        <f t="shared" si="65"/>
        <v/>
      </c>
      <c r="DE39" s="817" t="str">
        <f t="shared" si="47"/>
        <v/>
      </c>
      <c r="DF39" s="817" t="str">
        <f t="shared" si="48"/>
        <v/>
      </c>
      <c r="DG39" s="804" t="str">
        <f t="shared" si="49"/>
        <v/>
      </c>
      <c r="DH39" s="804" t="str">
        <f t="shared" si="50"/>
        <v/>
      </c>
      <c r="DI39" s="818" t="str">
        <f>IF(AO39="","",IF(H39="DESL",AO39*F39*'Fuel Prices'!$C$12,IF(H39="GAS",AO39*F39*'Fuel Prices'!$C$11,IF(H39="CNG",AO39*F39*'Fuel Prices'!$C$13,IF(H39="LNG",AO39*F39*'Fuel Prices'!$C$14,IF(H39="LPG",AO39*F39*'Fuel Prices'!$C$16,IF(H39="PROP",AO39*F39*'Fuel Prices'!$C$16,"0")))))))</f>
        <v/>
      </c>
      <c r="DJ39" s="818" t="str">
        <f>IF(AU39="","",IF(X39="DESL",AU39*F39*'Fuel Prices'!$C$12,IF(X39="GAS",AU39*F39*'Fuel Prices'!$C$11,IF(X39="CNG",AU39*F39*'Fuel Prices'!$C$13,IF(X39="LNG",AU39*F39*'Fuel Prices'!$C$14,IF(X39="LPG",AU39*F39*'Fuel Prices'!$C$16,IF(X39="PROP",AU39*F39*'Fuel Prices'!$C$16,IF(X39="ELEC",AU39*F39*'Fuel Prices'!$C$35,"0"))))))))</f>
        <v/>
      </c>
      <c r="DK39" s="818" t="str">
        <f t="shared" si="51"/>
        <v/>
      </c>
      <c r="DL39" s="818" t="str">
        <f t="shared" si="52"/>
        <v/>
      </c>
      <c r="DM39" s="804" t="str">
        <f t="shared" si="53"/>
        <v/>
      </c>
      <c r="DN39" s="804" t="str">
        <f t="shared" si="54"/>
        <v/>
      </c>
      <c r="DO39" s="804" t="str">
        <f>IFERROR(ROUND(CZ39*IF(COUNTIF($B$20:B39,B39)=1,1,"")/IF(B39="",0,1),0),"")</f>
        <v/>
      </c>
      <c r="DP39" s="804" t="str">
        <f>IFERROR(ROUND(CW39*IF(COUNTIF($B$20:B39,B39)=1,1,"")/IF(B39="",0,1),0),"")</f>
        <v/>
      </c>
      <c r="DQ39" s="804" t="str">
        <f>IFERROR(ROUND(DA39*IF(COUNTIF($B$20:B39,B39)=1,1,"")/IF(B39="",0,1),0),"")</f>
        <v/>
      </c>
      <c r="DR39" s="804" t="str">
        <f>IFERROR(ROUND(CX39*IF(COUNTIF($B$20:B39,B39)=1,1,"")/IF(B39="",0,1),0),"")</f>
        <v/>
      </c>
      <c r="DS39" s="804">
        <f t="shared" si="55"/>
        <v>0</v>
      </c>
      <c r="DT39" s="804">
        <f t="shared" si="56"/>
        <v>0</v>
      </c>
      <c r="DU39" s="804">
        <f t="shared" si="57"/>
        <v>0</v>
      </c>
      <c r="DV39" s="818" t="str">
        <f t="shared" si="66"/>
        <v/>
      </c>
      <c r="DW39" s="819" t="str">
        <f t="shared" si="67"/>
        <v/>
      </c>
    </row>
    <row r="40" spans="1:127" s="699" customFormat="1" ht="18" customHeight="1" x14ac:dyDescent="0.35">
      <c r="A40" s="635"/>
      <c r="B40" s="820"/>
      <c r="C40" s="825" t="str">
        <f t="shared" si="0"/>
        <v>(Required)</v>
      </c>
      <c r="D40" s="821"/>
      <c r="E40" s="825" t="str">
        <f t="shared" si="0"/>
        <v>(Required)</v>
      </c>
      <c r="F40" s="821"/>
      <c r="G40" s="825" t="str">
        <f t="shared" si="1"/>
        <v>(Required)</v>
      </c>
      <c r="H40" s="822"/>
      <c r="I40" s="825" t="str">
        <f t="shared" si="2"/>
        <v>(Required)</v>
      </c>
      <c r="J40" s="821"/>
      <c r="K40" s="825" t="str">
        <f t="shared" si="3"/>
        <v>(Required)</v>
      </c>
      <c r="L40" s="821"/>
      <c r="M40" s="825" t="str">
        <f t="shared" si="4"/>
        <v>(Required)</v>
      </c>
      <c r="N40" s="821"/>
      <c r="O40" s="825" t="str">
        <f t="shared" si="5"/>
        <v>(Required)</v>
      </c>
      <c r="P40" s="821"/>
      <c r="Q40" s="825" t="str">
        <f t="shared" si="6"/>
        <v>(Required)</v>
      </c>
      <c r="R40" s="823"/>
      <c r="S40" s="826" t="str">
        <f t="shared" si="7"/>
        <v>(Optional)</v>
      </c>
      <c r="T40" s="821"/>
      <c r="U40" s="827" t="str">
        <f t="shared" si="8"/>
        <v>(Required)</v>
      </c>
      <c r="V40" s="828"/>
      <c r="W40" s="799" t="str">
        <f t="shared" si="9"/>
        <v>(Optional)</v>
      </c>
      <c r="X40" s="822"/>
      <c r="Y40" s="825" t="str">
        <f t="shared" si="10"/>
        <v>(Required)</v>
      </c>
      <c r="Z40" s="821"/>
      <c r="AA40" s="825" t="str">
        <f t="shared" si="11"/>
        <v>(Required)</v>
      </c>
      <c r="AB40" s="821"/>
      <c r="AC40" s="825" t="str">
        <f t="shared" si="12"/>
        <v>(Required)</v>
      </c>
      <c r="AD40" s="821"/>
      <c r="AE40" s="825" t="str">
        <f t="shared" si="13"/>
        <v>(Required)</v>
      </c>
      <c r="AF40" s="821"/>
      <c r="AG40" s="825" t="str">
        <f t="shared" si="14"/>
        <v>(Required)</v>
      </c>
      <c r="AH40" s="823"/>
      <c r="AI40" s="826" t="str">
        <f t="shared" si="15"/>
        <v>(Optional)</v>
      </c>
      <c r="AJ40" s="821"/>
      <c r="AK40" s="825" t="str">
        <f t="shared" si="16"/>
        <v>(Required)</v>
      </c>
      <c r="AL40" s="803" t="str">
        <f t="shared" si="17"/>
        <v/>
      </c>
      <c r="AM40" s="803" t="str">
        <f>IF(H40="DESL",'Fuel Density'!$C$12,IF(H40="GAS",'Fuel Density'!$C$11,IF(H40="CNG",'Fuel Density'!$C$13,IF(H40="LNG",'Fuel Density'!$C$14,IF(H40="LPG",'Fuel Density'!$C$15,IF(H40="PROP",'Fuel Density'!$C$16,IF(H40="","","")))))))</f>
        <v/>
      </c>
      <c r="AN40" s="803" t="str">
        <f>IF(H40="DESL",'Fuel-Specific GHG'!$C$14,IF(H40="GAS",'Fuel-Specific GHG'!$C$16,IF(H40="CNG",'Fuel-Specific GHG'!$C$13,IF(H40="LNG",'Fuel-Specific GHG'!$C$18,IF(OR(H40="LPG",H40="PROP"),'Fuel-Specific GHG'!$C$19,IF(H40="","",""))))))</f>
        <v/>
      </c>
      <c r="AO40" s="804" t="str">
        <f>IFERROR(((P40*(IF(ISBLANK(R40),Defaults!$B$19,R40))*T40*AL40)/AM40),"")</f>
        <v/>
      </c>
      <c r="AP40" s="805" t="str">
        <f t="shared" si="18"/>
        <v/>
      </c>
      <c r="AQ40" s="805" t="str">
        <f>IF(H40="DESL",'Fuel-Specific GHG'!$E$14,IF(H40="GAS",'Fuel-Specific GHG'!$E$16,IF(H40="CNG",'Fuel-Specific GHG'!$E$13,IF(H40="LNG",'Fuel-Specific GHG'!$E$18,IF(OR(H40="LPG",H40="PROP"),'Fuel-Specific GHG'!$E$19,"")))))</f>
        <v/>
      </c>
      <c r="AR40" s="805" t="str">
        <f t="shared" si="19"/>
        <v/>
      </c>
      <c r="AS40" s="803" t="str">
        <f t="shared" si="58"/>
        <v/>
      </c>
      <c r="AT40" s="803" t="str">
        <f>IF(X40="DESL",'Fuel Density'!$C$12,IF(X40="PROP",'Fuel Density'!$C$16,IF(X40="GAS",'Fuel Density'!$C$11,IF(X40="CNG",'Fuel Density'!$C$13,IF(X40="LNG",'Fuel Density'!$C$14,IF(X40="LPG",'Fuel Density'!$C$15,IF(X40="","","")))))))</f>
        <v/>
      </c>
      <c r="AU40" s="804" t="str">
        <f>IFERROR(IF(X40="ELEC",AO40*AN40*(1/'Fuel-Specific GHG'!$C$15)*(1/IF(H40="GAS",3.4,IF(H40="DESL",2.7,3))),((AF40*(IF(ISBLANK(AH40),Defaults!$B$19,AH40))*AJ40*AS40)/AT40)),"")</f>
        <v/>
      </c>
      <c r="AV40" s="805" t="str">
        <f t="shared" si="20"/>
        <v/>
      </c>
      <c r="AW40" s="805" t="str">
        <f>IF(X40="DESL",'Fuel-Specific GHG'!$E$14,IF(X40="PROP",'Fuel-Specific GHG'!$E$19,IF(X40="GAS",'Fuel-Specific GHG'!$E$16,IF(X40="CNG",'Fuel-Specific GHG'!$E$13,IF(X40="LNG",'Fuel-Specific GHG'!$E$18,IF(X40="LPG",'Fuel-Specific GHG'!$E$19,IF(X40="ELEC",'Fuel-Specific GHG'!$E$15,"")))))))</f>
        <v/>
      </c>
      <c r="AX40" s="805" t="str">
        <f t="shared" si="21"/>
        <v/>
      </c>
      <c r="AY40" s="806" t="str">
        <f t="shared" si="22"/>
        <v/>
      </c>
      <c r="AZ40" s="806" t="str">
        <f t="shared" si="68"/>
        <v/>
      </c>
      <c r="BA40" s="806" t="str">
        <f t="shared" si="59"/>
        <v/>
      </c>
      <c r="BB40" s="804" t="str">
        <f t="shared" si="23"/>
        <v/>
      </c>
      <c r="BC40" s="807" t="str">
        <f t="shared" si="24"/>
        <v/>
      </c>
      <c r="BD40" s="807"/>
      <c r="BE40" s="808" t="str">
        <f t="shared" si="25"/>
        <v/>
      </c>
      <c r="BF40" s="809" t="str">
        <f t="shared" si="26"/>
        <v/>
      </c>
      <c r="BG40" s="808" t="str">
        <f t="shared" si="60"/>
        <v/>
      </c>
      <c r="BH40" s="810">
        <f t="shared" si="61"/>
        <v>0</v>
      </c>
      <c r="BI40" s="803" t="str">
        <f>IFERROR(VLOOKUP(BH40,'Pump Emission Factors'!$B$11:$J$88,4,FALSE),"")</f>
        <v/>
      </c>
      <c r="BJ40" s="803" t="str">
        <f>IFERROR(VLOOKUP(BH40,'Pump Emission Factors'!$B$11:$J$88,6,FALSE),"")</f>
        <v/>
      </c>
      <c r="BK40" s="803" t="str">
        <f>IFERROR(VLOOKUP(BH40,'Pump Emission Factors'!$B$11:$J$88,8,FALSE),"")</f>
        <v/>
      </c>
      <c r="BL40" s="803" t="str">
        <f>IFERROR(VLOOKUP(BH40,'Pump Emission Factors'!$B$11:$J$88,5,FALSE),"")</f>
        <v/>
      </c>
      <c r="BM40" s="803" t="str">
        <f>IFERROR(VLOOKUP(BH40,'Pump Emission Factors'!$B$11:$J$88,7,FALSE),"")</f>
        <v/>
      </c>
      <c r="BN40" s="803" t="str">
        <f>IFERROR(VLOOKUP(BH40,'Pump Emission Factors'!$B$11:$J$88,9,FALSE),"")</f>
        <v/>
      </c>
      <c r="BO40" s="811" t="str">
        <f t="shared" si="27"/>
        <v/>
      </c>
      <c r="BP40" s="811" t="str">
        <f t="shared" si="28"/>
        <v/>
      </c>
      <c r="BQ40" s="803">
        <f>IFERROR(((BI40+(BL40*BP40))*(IF(ISBLANK(R40),Defaults!$B$19,R40))*P40*T40)*F40*(1/454),0)</f>
        <v>0</v>
      </c>
      <c r="BR40" s="803">
        <f>IFERROR(((BJ40+(BM40*BP40))*(IF(ISBLANK(R40),Defaults!$B$19,R40))*P40*T40)*F40*(1/454),0)</f>
        <v>0</v>
      </c>
      <c r="BS40" s="803">
        <f>IFERROR(((BK40+(BN40*BP40))*(IF(ISBLANK(R40),Defaults!$B$19,R40))*P40*T40)*F40*(1/454),0)</f>
        <v>0</v>
      </c>
      <c r="BT40" s="803">
        <f t="shared" si="29"/>
        <v>0</v>
      </c>
      <c r="BU40" s="803">
        <f t="shared" si="62"/>
        <v>0</v>
      </c>
      <c r="BV40" s="812" t="str">
        <f t="shared" si="30"/>
        <v/>
      </c>
      <c r="BW40" s="808" t="str">
        <f t="shared" si="31"/>
        <v/>
      </c>
      <c r="BX40" s="809" t="str">
        <f t="shared" si="32"/>
        <v/>
      </c>
      <c r="BY40" s="808" t="str">
        <f t="shared" si="63"/>
        <v/>
      </c>
      <c r="BZ40" s="810">
        <f t="shared" si="64"/>
        <v>0</v>
      </c>
      <c r="CA40" s="813" t="str">
        <f>IFERROR(VLOOKUP(BZ40,'Pump Emission Factors'!$B$11:$J$88,4,FALSE),"")</f>
        <v/>
      </c>
      <c r="CB40" s="813" t="str">
        <f>IFERROR(VLOOKUP(BZ40,'Pump Emission Factors'!$B$11:$J$88,6,FALSE),"")</f>
        <v/>
      </c>
      <c r="CC40" s="813" t="str">
        <f>IFERROR(VLOOKUP(BZ40,'Pump Emission Factors'!$B$11:$J$88,8,FALSE),"")</f>
        <v/>
      </c>
      <c r="CD40" s="813" t="str">
        <f>IFERROR(VLOOKUP(BZ40,'Pump Emission Factors'!$B$11:$J$88,5,FALSE),"")</f>
        <v/>
      </c>
      <c r="CE40" s="813" t="str">
        <f>IFERROR(VLOOKUP(BZ40,'Pump Emission Factors'!$B$11:$J$88,7,FALSE),"")</f>
        <v/>
      </c>
      <c r="CF40" s="813" t="str">
        <f>IFERROR(VLOOKUP(BZ40,'Pump Emission Factors'!$B$11:$J$88,9,FALSE),"")</f>
        <v/>
      </c>
      <c r="CG40" s="814" t="str">
        <f t="shared" si="33"/>
        <v/>
      </c>
      <c r="CH40" s="814" t="str">
        <f t="shared" si="34"/>
        <v/>
      </c>
      <c r="CI40" s="813">
        <f>IFERROR(IF($X40="ELEC",((($AU40*(IF($H40="DESL",'Fuel-Specific GHG'!$C$14,IF($H40="GAS",'Fuel-Specific GHG'!$C$16,IF($H40="CNG",'Fuel-Specific GHG'!$C$13,IF(OR($H40="LPG",$H40="PROP"),'Fuel-Specific GHG'!$C$19,"")))))*(1/'Fuel-Specific GHG'!$C$15)*(1/3.4)*$F40)*'Grid Electricity'!$D$39)/454),((CA40+(CD40*CH40))*(IF(ISBLANK(AH40),Defaults!$B$19,AH40))*$AF40*$AJ40*$F40)),0)</f>
        <v>0</v>
      </c>
      <c r="CJ40" s="813">
        <f>IFERROR(IF($X40="ELEC",((($AU40*(IF($H40="DESL",'Fuel-Specific GHG'!$C$14,IF($H40="GAS",'Fuel-Specific GHG'!$C$16,IF($H40="CNG",'Fuel-Specific GHG'!$C$13,IF(OR($H40="LPG",$H40="PROP"),'Fuel-Specific GHG'!$C$19,"")))))*(1/'Fuel-Specific GHG'!$C$15)*(1/3.4)*$F40)*'Grid Electricity'!$C$39)/454),((CB40+(CE40*CH40))*(IF(ISBLANK(AH40),Defaults!$B$19,AH40))*$AF40*$AJ40*$F40)),0)</f>
        <v>0</v>
      </c>
      <c r="CK40" s="813">
        <f>IFERROR(IF($X40="ELEC",((($AU40*(IF($H40="DESL",'Fuel-Specific GHG'!$C$14,IF($H40="GAS",'Fuel-Specific GHG'!$C$16,IF($H40="CNG",'Fuel-Specific GHG'!$C$13,IF(OR($H40="LPG",$H40="PROP"),'Fuel-Specific GHG'!$C$19,"")))))*(1/'Fuel-Specific GHG'!$C$15)*(1/3.4)*$F40)*'Grid Electricity'!$F$39)/454),((CC40+(CF40*CH40))*(IF(ISBLANK(AH40),Defaults!$B$19,AH40))*$AF40*$AJ40*$F40)),0)</f>
        <v>0</v>
      </c>
      <c r="CL40" s="813">
        <f t="shared" si="35"/>
        <v>0</v>
      </c>
      <c r="CM40" s="813">
        <f t="shared" si="36"/>
        <v>0</v>
      </c>
      <c r="CN40" s="814" t="str">
        <f t="shared" si="37"/>
        <v/>
      </c>
      <c r="CO40" s="814" t="str">
        <f t="shared" si="38"/>
        <v/>
      </c>
      <c r="CP40" s="814" t="str">
        <f t="shared" si="39"/>
        <v/>
      </c>
      <c r="CQ40" s="814" t="str">
        <f t="shared" si="40"/>
        <v/>
      </c>
      <c r="CR40" s="815" t="str">
        <f>IF(AND(V40="Yes, Booster Pump VFD",AF40&lt;=75),('Pump Emission Factors'!$F$95*F40),(IF(AND(V40="Yes, Booster Pump VFD",AF40&gt;75),('Pump Emission Factors'!$F$96*F40),(IF(AND(V40="Yes, Well Pump VFD",AF40&lt;=75),('Pump Emission Factors'!$F$97*F40),(IF(AND(V40="Yes, Well Pump VFD",AF40&gt;75),('Pump Emission Factors'!$F$98*F40),"")))))))</f>
        <v/>
      </c>
      <c r="CS40" s="815" t="str">
        <f>IF(AND(V40="Yes, Booster Pump VFD",AF40&lt;=75),('Pump Emission Factors'!$G$95*F40),(IF(AND(V40="Yes, Booster Pump VFD",AF40&gt;75),('Pump Emission Factors'!$G$96*F40),(IF(AND(V40="Yes, Well Pump VFD",AF40&lt;=75),('Pump Emission Factors'!$G$97*F40),(IF(AND(V40="Yes, Well Pump VFD",AF40&gt;75),('Pump Emission Factors'!$G$98*F40),"")))))))</f>
        <v/>
      </c>
      <c r="CT40" s="815" t="str">
        <f>IF(AND(V40="Yes, Booster Pump VFD",AF40&lt;=75),('Pump Emission Factors'!$H$95*F40),(IF(AND(V40="Yes, Booster Pump VFD",AF40&gt;75),('Pump Emission Factors'!$H$96*F40),(IF(AND(V40="Yes, Well Pump VFD",AF40&lt;=75),('Pump Emission Factors'!$H$97*F40),(IF(AND(V40="Yes, Well Pump VFD",AF40&gt;75),('Pump Emission Factors'!$H$98*F40),"")))))))</f>
        <v/>
      </c>
      <c r="CU40" s="815" t="str">
        <f>IF(AND(V40="Yes, Booster Pump VFD",AF40&lt;=75),('Pump Emission Factors'!$J$95*F40),(IF(AND(V40="Yes, Booster Pump VFD",AF40&gt;75),('Pump Emission Factors'!$J$96*F40),(IF(AND(V40="Yes, Well Pump VFD",AF40&lt;=75),('Pump Emission Factors'!$J$97*F40),(IF(AND(V40="Yes, Well Pump VFD",AF40&gt;75),('Pump Emission Factors'!$J$98*F40),"")))))))</f>
        <v/>
      </c>
      <c r="CV40" s="815" t="str">
        <f>IF(AND(V40="Yes, Booster Pump VFD",AF40&lt;=75),('Pump Emission Factors'!$I$95*F40),(IF(AND(V40="Yes, Booster Pump VFD",AF40&gt;75),('Pump Emission Factors'!$I$96*F40),(IF(AND(V40="Yes, Well Pump VFD",AF40&lt;=75),('Pump Emission Factors'!$I$97*F40),(IF(AND(V40="Yes, Well Pump VFD",AF40&gt;75),('Pump Emission Factors'!$I$98*F40),"")))))))</f>
        <v/>
      </c>
      <c r="CW40" s="806">
        <f t="shared" si="41"/>
        <v>0</v>
      </c>
      <c r="CX40" s="806">
        <f t="shared" si="42"/>
        <v>0</v>
      </c>
      <c r="CY40" s="806">
        <f t="shared" si="43"/>
        <v>0</v>
      </c>
      <c r="CZ40" s="806">
        <f t="shared" si="44"/>
        <v>0</v>
      </c>
      <c r="DA40" s="806">
        <f t="shared" si="45"/>
        <v>0</v>
      </c>
      <c r="DB40" s="816" t="str">
        <f t="shared" si="65"/>
        <v/>
      </c>
      <c r="DC40" s="816" t="str">
        <f t="shared" si="65"/>
        <v/>
      </c>
      <c r="DD40" s="816" t="str">
        <f t="shared" si="65"/>
        <v/>
      </c>
      <c r="DE40" s="817" t="str">
        <f t="shared" si="47"/>
        <v/>
      </c>
      <c r="DF40" s="817" t="str">
        <f t="shared" si="48"/>
        <v/>
      </c>
      <c r="DG40" s="804" t="str">
        <f t="shared" si="49"/>
        <v/>
      </c>
      <c r="DH40" s="804" t="str">
        <f t="shared" si="50"/>
        <v/>
      </c>
      <c r="DI40" s="818" t="str">
        <f>IF(AO40="","",IF(H40="DESL",AO40*F40*'Fuel Prices'!$C$12,IF(H40="GAS",AO40*F40*'Fuel Prices'!$C$11,IF(H40="CNG",AO40*F40*'Fuel Prices'!$C$13,IF(H40="LNG",AO40*F40*'Fuel Prices'!$C$14,IF(H40="LPG",AO40*F40*'Fuel Prices'!$C$16,IF(H40="PROP",AO40*F40*'Fuel Prices'!$C$16,"0")))))))</f>
        <v/>
      </c>
      <c r="DJ40" s="818" t="str">
        <f>IF(AU40="","",IF(X40="DESL",AU40*F40*'Fuel Prices'!$C$12,IF(X40="GAS",AU40*F40*'Fuel Prices'!$C$11,IF(X40="CNG",AU40*F40*'Fuel Prices'!$C$13,IF(X40="LNG",AU40*F40*'Fuel Prices'!$C$14,IF(X40="LPG",AU40*F40*'Fuel Prices'!$C$16,IF(X40="PROP",AU40*F40*'Fuel Prices'!$C$16,IF(X40="ELEC",AU40*F40*'Fuel Prices'!$C$35,"0"))))))))</f>
        <v/>
      </c>
      <c r="DK40" s="818" t="str">
        <f t="shared" si="51"/>
        <v/>
      </c>
      <c r="DL40" s="818" t="str">
        <f t="shared" si="52"/>
        <v/>
      </c>
      <c r="DM40" s="804" t="str">
        <f t="shared" si="53"/>
        <v/>
      </c>
      <c r="DN40" s="804" t="str">
        <f t="shared" si="54"/>
        <v/>
      </c>
      <c r="DO40" s="804" t="str">
        <f>IFERROR(ROUND(CZ40*IF(COUNTIF($B$20:B40,B40)=1,1,"")/IF(B40="",0,1),0),"")</f>
        <v/>
      </c>
      <c r="DP40" s="804" t="str">
        <f>IFERROR(ROUND(CW40*IF(COUNTIF($B$20:B40,B40)=1,1,"")/IF(B40="",0,1),0),"")</f>
        <v/>
      </c>
      <c r="DQ40" s="804" t="str">
        <f>IFERROR(ROUND(DA40*IF(COUNTIF($B$20:B40,B40)=1,1,"")/IF(B40="",0,1),0),"")</f>
        <v/>
      </c>
      <c r="DR40" s="804" t="str">
        <f>IFERROR(ROUND(CX40*IF(COUNTIF($B$20:B40,B40)=1,1,"")/IF(B40="",0,1),0),"")</f>
        <v/>
      </c>
      <c r="DS40" s="804">
        <f t="shared" si="55"/>
        <v>0</v>
      </c>
      <c r="DT40" s="804">
        <f t="shared" si="56"/>
        <v>0</v>
      </c>
      <c r="DU40" s="804">
        <f t="shared" si="57"/>
        <v>0</v>
      </c>
      <c r="DV40" s="818" t="str">
        <f t="shared" si="66"/>
        <v/>
      </c>
      <c r="DW40" s="819" t="str">
        <f t="shared" si="67"/>
        <v/>
      </c>
    </row>
    <row r="41" spans="1:127" s="699" customFormat="1" ht="18" customHeight="1" x14ac:dyDescent="0.35">
      <c r="A41" s="696"/>
      <c r="B41" s="820"/>
      <c r="C41" s="825" t="str">
        <f t="shared" si="0"/>
        <v>(Required)</v>
      </c>
      <c r="D41" s="821"/>
      <c r="E41" s="825" t="str">
        <f t="shared" si="0"/>
        <v>(Required)</v>
      </c>
      <c r="F41" s="821"/>
      <c r="G41" s="825" t="str">
        <f t="shared" si="1"/>
        <v>(Required)</v>
      </c>
      <c r="H41" s="822"/>
      <c r="I41" s="825" t="str">
        <f t="shared" si="2"/>
        <v>(Required)</v>
      </c>
      <c r="J41" s="821"/>
      <c r="K41" s="825" t="str">
        <f t="shared" si="3"/>
        <v>(Required)</v>
      </c>
      <c r="L41" s="821"/>
      <c r="M41" s="825" t="str">
        <f t="shared" si="4"/>
        <v>(Required)</v>
      </c>
      <c r="N41" s="821"/>
      <c r="O41" s="825" t="str">
        <f t="shared" si="5"/>
        <v>(Required)</v>
      </c>
      <c r="P41" s="821"/>
      <c r="Q41" s="825" t="str">
        <f t="shared" si="6"/>
        <v>(Required)</v>
      </c>
      <c r="R41" s="823"/>
      <c r="S41" s="826" t="str">
        <f t="shared" si="7"/>
        <v>(Optional)</v>
      </c>
      <c r="T41" s="821"/>
      <c r="U41" s="827" t="str">
        <f t="shared" si="8"/>
        <v>(Required)</v>
      </c>
      <c r="V41" s="828"/>
      <c r="W41" s="799" t="str">
        <f t="shared" si="9"/>
        <v>(Optional)</v>
      </c>
      <c r="X41" s="822"/>
      <c r="Y41" s="825" t="str">
        <f t="shared" si="10"/>
        <v>(Required)</v>
      </c>
      <c r="Z41" s="821"/>
      <c r="AA41" s="825" t="str">
        <f t="shared" si="11"/>
        <v>(Required)</v>
      </c>
      <c r="AB41" s="821"/>
      <c r="AC41" s="825" t="str">
        <f t="shared" si="12"/>
        <v>(Required)</v>
      </c>
      <c r="AD41" s="821"/>
      <c r="AE41" s="825" t="str">
        <f t="shared" si="13"/>
        <v>(Required)</v>
      </c>
      <c r="AF41" s="821"/>
      <c r="AG41" s="825" t="str">
        <f t="shared" si="14"/>
        <v>(Required)</v>
      </c>
      <c r="AH41" s="823"/>
      <c r="AI41" s="826" t="str">
        <f t="shared" si="15"/>
        <v>(Optional)</v>
      </c>
      <c r="AJ41" s="821"/>
      <c r="AK41" s="825" t="str">
        <f t="shared" si="16"/>
        <v>(Required)</v>
      </c>
      <c r="AL41" s="803" t="str">
        <f t="shared" si="17"/>
        <v/>
      </c>
      <c r="AM41" s="803" t="str">
        <f>IF(H41="DESL",'Fuel Density'!$C$12,IF(H41="GAS",'Fuel Density'!$C$11,IF(H41="CNG",'Fuel Density'!$C$13,IF(H41="LNG",'Fuel Density'!$C$14,IF(H41="LPG",'Fuel Density'!$C$15,IF(H41="PROP",'Fuel Density'!$C$16,IF(H41="","","")))))))</f>
        <v/>
      </c>
      <c r="AN41" s="803" t="str">
        <f>IF(H41="DESL",'Fuel-Specific GHG'!$C$14,IF(H41="GAS",'Fuel-Specific GHG'!$C$16,IF(H41="CNG",'Fuel-Specific GHG'!$C$13,IF(H41="LNG",'Fuel-Specific GHG'!$C$18,IF(OR(H41="LPG",H41="PROP"),'Fuel-Specific GHG'!$C$19,IF(H41="","",""))))))</f>
        <v/>
      </c>
      <c r="AO41" s="804" t="str">
        <f>IFERROR(((P41*(IF(ISBLANK(R41),Defaults!$B$19,R41))*T41*AL41)/AM41),"")</f>
        <v/>
      </c>
      <c r="AP41" s="805" t="str">
        <f t="shared" si="18"/>
        <v/>
      </c>
      <c r="AQ41" s="805" t="str">
        <f>IF(H41="DESL",'Fuel-Specific GHG'!$E$14,IF(H41="GAS",'Fuel-Specific GHG'!$E$16,IF(H41="CNG",'Fuel-Specific GHG'!$E$13,IF(H41="LNG",'Fuel-Specific GHG'!$E$18,IF(OR(H41="LPG",H41="PROP"),'Fuel-Specific GHG'!$E$19,"")))))</f>
        <v/>
      </c>
      <c r="AR41" s="805" t="str">
        <f t="shared" si="19"/>
        <v/>
      </c>
      <c r="AS41" s="803" t="str">
        <f t="shared" si="58"/>
        <v/>
      </c>
      <c r="AT41" s="803" t="str">
        <f>IF(X41="DESL",'Fuel Density'!$C$12,IF(X41="PROP",'Fuel Density'!$C$16,IF(X41="GAS",'Fuel Density'!$C$11,IF(X41="CNG",'Fuel Density'!$C$13,IF(X41="LNG",'Fuel Density'!$C$14,IF(X41="LPG",'Fuel Density'!$C$15,IF(X41="","","")))))))</f>
        <v/>
      </c>
      <c r="AU41" s="804" t="str">
        <f>IFERROR(IF(X41="ELEC",AO41*AN41*(1/'Fuel-Specific GHG'!$C$15)*(1/IF(H41="GAS",3.4,IF(H41="DESL",2.7,3))),((AF41*(IF(ISBLANK(AH41),Defaults!$B$19,AH41))*AJ41*AS41)/AT41)),"")</f>
        <v/>
      </c>
      <c r="AV41" s="805" t="str">
        <f t="shared" si="20"/>
        <v/>
      </c>
      <c r="AW41" s="805" t="str">
        <f>IF(X41="DESL",'Fuel-Specific GHG'!$E$14,IF(X41="PROP",'Fuel-Specific GHG'!$E$19,IF(X41="GAS",'Fuel-Specific GHG'!$E$16,IF(X41="CNG",'Fuel-Specific GHG'!$E$13,IF(X41="LNG",'Fuel-Specific GHG'!$E$18,IF(X41="LPG",'Fuel-Specific GHG'!$E$19,IF(X41="ELEC",'Fuel-Specific GHG'!$E$15,"")))))))</f>
        <v/>
      </c>
      <c r="AX41" s="805" t="str">
        <f t="shared" si="21"/>
        <v/>
      </c>
      <c r="AY41" s="806" t="str">
        <f t="shared" si="22"/>
        <v/>
      </c>
      <c r="AZ41" s="806" t="str">
        <f t="shared" si="68"/>
        <v/>
      </c>
      <c r="BA41" s="806" t="str">
        <f t="shared" si="59"/>
        <v/>
      </c>
      <c r="BB41" s="804" t="str">
        <f t="shared" si="23"/>
        <v/>
      </c>
      <c r="BC41" s="807" t="str">
        <f t="shared" si="24"/>
        <v/>
      </c>
      <c r="BD41" s="807"/>
      <c r="BE41" s="808" t="str">
        <f t="shared" si="25"/>
        <v/>
      </c>
      <c r="BF41" s="809" t="str">
        <f t="shared" si="26"/>
        <v/>
      </c>
      <c r="BG41" s="808" t="str">
        <f t="shared" si="60"/>
        <v/>
      </c>
      <c r="BH41" s="810">
        <f t="shared" si="61"/>
        <v>0</v>
      </c>
      <c r="BI41" s="803" t="str">
        <f>IFERROR(VLOOKUP(BH41,'Pump Emission Factors'!$B$11:$J$88,4,FALSE),"")</f>
        <v/>
      </c>
      <c r="BJ41" s="803" t="str">
        <f>IFERROR(VLOOKUP(BH41,'Pump Emission Factors'!$B$11:$J$88,6,FALSE),"")</f>
        <v/>
      </c>
      <c r="BK41" s="803" t="str">
        <f>IFERROR(VLOOKUP(BH41,'Pump Emission Factors'!$B$11:$J$88,8,FALSE),"")</f>
        <v/>
      </c>
      <c r="BL41" s="803" t="str">
        <f>IFERROR(VLOOKUP(BH41,'Pump Emission Factors'!$B$11:$J$88,5,FALSE),"")</f>
        <v/>
      </c>
      <c r="BM41" s="803" t="str">
        <f>IFERROR(VLOOKUP(BH41,'Pump Emission Factors'!$B$11:$J$88,7,FALSE),"")</f>
        <v/>
      </c>
      <c r="BN41" s="803" t="str">
        <f>IFERROR(VLOOKUP(BH41,'Pump Emission Factors'!$B$11:$J$88,9,FALSE),"")</f>
        <v/>
      </c>
      <c r="BO41" s="811" t="str">
        <f t="shared" si="27"/>
        <v/>
      </c>
      <c r="BP41" s="811" t="str">
        <f t="shared" si="28"/>
        <v/>
      </c>
      <c r="BQ41" s="803">
        <f>IFERROR(((BI41+(BL41*BP41))*(IF(ISBLANK(R41),Defaults!$B$19,R41))*P41*T41)*F41*(1/454),0)</f>
        <v>0</v>
      </c>
      <c r="BR41" s="803">
        <f>IFERROR(((BJ41+(BM41*BP41))*(IF(ISBLANK(R41),Defaults!$B$19,R41))*P41*T41)*F41*(1/454),0)</f>
        <v>0</v>
      </c>
      <c r="BS41" s="803">
        <f>IFERROR(((BK41+(BN41*BP41))*(IF(ISBLANK(R41),Defaults!$B$19,R41))*P41*T41)*F41*(1/454),0)</f>
        <v>0</v>
      </c>
      <c r="BT41" s="803">
        <f t="shared" si="29"/>
        <v>0</v>
      </c>
      <c r="BU41" s="803">
        <f t="shared" si="62"/>
        <v>0</v>
      </c>
      <c r="BV41" s="812" t="str">
        <f t="shared" si="30"/>
        <v/>
      </c>
      <c r="BW41" s="808" t="str">
        <f t="shared" si="31"/>
        <v/>
      </c>
      <c r="BX41" s="809" t="str">
        <f t="shared" si="32"/>
        <v/>
      </c>
      <c r="BY41" s="808" t="str">
        <f t="shared" si="63"/>
        <v/>
      </c>
      <c r="BZ41" s="810">
        <f t="shared" si="64"/>
        <v>0</v>
      </c>
      <c r="CA41" s="813" t="str">
        <f>IFERROR(VLOOKUP(BZ41,'Pump Emission Factors'!$B$11:$J$88,4,FALSE),"")</f>
        <v/>
      </c>
      <c r="CB41" s="813" t="str">
        <f>IFERROR(VLOOKUP(BZ41,'Pump Emission Factors'!$B$11:$J$88,6,FALSE),"")</f>
        <v/>
      </c>
      <c r="CC41" s="813" t="str">
        <f>IFERROR(VLOOKUP(BZ41,'Pump Emission Factors'!$B$11:$J$88,8,FALSE),"")</f>
        <v/>
      </c>
      <c r="CD41" s="813" t="str">
        <f>IFERROR(VLOOKUP(BZ41,'Pump Emission Factors'!$B$11:$J$88,5,FALSE),"")</f>
        <v/>
      </c>
      <c r="CE41" s="813" t="str">
        <f>IFERROR(VLOOKUP(BZ41,'Pump Emission Factors'!$B$11:$J$88,7,FALSE),"")</f>
        <v/>
      </c>
      <c r="CF41" s="813" t="str">
        <f>IFERROR(VLOOKUP(BZ41,'Pump Emission Factors'!$B$11:$J$88,9,FALSE),"")</f>
        <v/>
      </c>
      <c r="CG41" s="814" t="str">
        <f t="shared" si="33"/>
        <v/>
      </c>
      <c r="CH41" s="814" t="str">
        <f t="shared" si="34"/>
        <v/>
      </c>
      <c r="CI41" s="813">
        <f>IFERROR(IF($X41="ELEC",((($AU41*(IF($H41="DESL",'Fuel-Specific GHG'!$C$14,IF($H41="GAS",'Fuel-Specific GHG'!$C$16,IF($H41="CNG",'Fuel-Specific GHG'!$C$13,IF(OR($H41="LPG",$H41="PROP"),'Fuel-Specific GHG'!$C$19,"")))))*(1/'Fuel-Specific GHG'!$C$15)*(1/3.4)*$F41)*'Grid Electricity'!$D$39)/454),((CA41+(CD41*CH41))*(IF(ISBLANK(AH41),Defaults!$B$19,AH41))*$AF41*$AJ41*$F41)),0)</f>
        <v>0</v>
      </c>
      <c r="CJ41" s="813">
        <f>IFERROR(IF($X41="ELEC",((($AU41*(IF($H41="DESL",'Fuel-Specific GHG'!$C$14,IF($H41="GAS",'Fuel-Specific GHG'!$C$16,IF($H41="CNG",'Fuel-Specific GHG'!$C$13,IF(OR($H41="LPG",$H41="PROP"),'Fuel-Specific GHG'!$C$19,"")))))*(1/'Fuel-Specific GHG'!$C$15)*(1/3.4)*$F41)*'Grid Electricity'!$C$39)/454),((CB41+(CE41*CH41))*(IF(ISBLANK(AH41),Defaults!$B$19,AH41))*$AF41*$AJ41*$F41)),0)</f>
        <v>0</v>
      </c>
      <c r="CK41" s="813">
        <f>IFERROR(IF($X41="ELEC",((($AU41*(IF($H41="DESL",'Fuel-Specific GHG'!$C$14,IF($H41="GAS",'Fuel-Specific GHG'!$C$16,IF($H41="CNG",'Fuel-Specific GHG'!$C$13,IF(OR($H41="LPG",$H41="PROP"),'Fuel-Specific GHG'!$C$19,"")))))*(1/'Fuel-Specific GHG'!$C$15)*(1/3.4)*$F41)*'Grid Electricity'!$F$39)/454),((CC41+(CF41*CH41))*(IF(ISBLANK(AH41),Defaults!$B$19,AH41))*$AF41*$AJ41*$F41)),0)</f>
        <v>0</v>
      </c>
      <c r="CL41" s="813">
        <f t="shared" si="35"/>
        <v>0</v>
      </c>
      <c r="CM41" s="813">
        <f t="shared" si="36"/>
        <v>0</v>
      </c>
      <c r="CN41" s="814" t="str">
        <f t="shared" si="37"/>
        <v/>
      </c>
      <c r="CO41" s="814" t="str">
        <f t="shared" si="38"/>
        <v/>
      </c>
      <c r="CP41" s="814" t="str">
        <f t="shared" si="39"/>
        <v/>
      </c>
      <c r="CQ41" s="814" t="str">
        <f t="shared" si="40"/>
        <v/>
      </c>
      <c r="CR41" s="815" t="str">
        <f>IF(AND(V41="Yes, Booster Pump VFD",AF41&lt;=75),('Pump Emission Factors'!$F$95*F41),(IF(AND(V41="Yes, Booster Pump VFD",AF41&gt;75),('Pump Emission Factors'!$F$96*F41),(IF(AND(V41="Yes, Well Pump VFD",AF41&lt;=75),('Pump Emission Factors'!$F$97*F41),(IF(AND(V41="Yes, Well Pump VFD",AF41&gt;75),('Pump Emission Factors'!$F$98*F41),"")))))))</f>
        <v/>
      </c>
      <c r="CS41" s="815" t="str">
        <f>IF(AND(V41="Yes, Booster Pump VFD",AF41&lt;=75),('Pump Emission Factors'!$G$95*F41),(IF(AND(V41="Yes, Booster Pump VFD",AF41&gt;75),('Pump Emission Factors'!$G$96*F41),(IF(AND(V41="Yes, Well Pump VFD",AF41&lt;=75),('Pump Emission Factors'!$G$97*F41),(IF(AND(V41="Yes, Well Pump VFD",AF41&gt;75),('Pump Emission Factors'!$G$98*F41),"")))))))</f>
        <v/>
      </c>
      <c r="CT41" s="815" t="str">
        <f>IF(AND(V41="Yes, Booster Pump VFD",AF41&lt;=75),('Pump Emission Factors'!$H$95*F41),(IF(AND(V41="Yes, Booster Pump VFD",AF41&gt;75),('Pump Emission Factors'!$H$96*F41),(IF(AND(V41="Yes, Well Pump VFD",AF41&lt;=75),('Pump Emission Factors'!$H$97*F41),(IF(AND(V41="Yes, Well Pump VFD",AF41&gt;75),('Pump Emission Factors'!$H$98*F41),"")))))))</f>
        <v/>
      </c>
      <c r="CU41" s="815" t="str">
        <f>IF(AND(V41="Yes, Booster Pump VFD",AF41&lt;=75),('Pump Emission Factors'!$J$95*F41),(IF(AND(V41="Yes, Booster Pump VFD",AF41&gt;75),('Pump Emission Factors'!$J$96*F41),(IF(AND(V41="Yes, Well Pump VFD",AF41&lt;=75),('Pump Emission Factors'!$J$97*F41),(IF(AND(V41="Yes, Well Pump VFD",AF41&gt;75),('Pump Emission Factors'!$J$98*F41),"")))))))</f>
        <v/>
      </c>
      <c r="CV41" s="815" t="str">
        <f>IF(AND(V41="Yes, Booster Pump VFD",AF41&lt;=75),('Pump Emission Factors'!$I$95*F41),(IF(AND(V41="Yes, Booster Pump VFD",AF41&gt;75),('Pump Emission Factors'!$I$96*F41),(IF(AND(V41="Yes, Well Pump VFD",AF41&lt;=75),('Pump Emission Factors'!$I$97*F41),(IF(AND(V41="Yes, Well Pump VFD",AF41&gt;75),('Pump Emission Factors'!$I$98*F41),"")))))))</f>
        <v/>
      </c>
      <c r="CW41" s="806">
        <f t="shared" si="41"/>
        <v>0</v>
      </c>
      <c r="CX41" s="806">
        <f t="shared" si="42"/>
        <v>0</v>
      </c>
      <c r="CY41" s="806">
        <f t="shared" si="43"/>
        <v>0</v>
      </c>
      <c r="CZ41" s="806">
        <f t="shared" si="44"/>
        <v>0</v>
      </c>
      <c r="DA41" s="806">
        <f t="shared" si="45"/>
        <v>0</v>
      </c>
      <c r="DB41" s="816" t="str">
        <f t="shared" si="65"/>
        <v/>
      </c>
      <c r="DC41" s="816" t="str">
        <f t="shared" si="65"/>
        <v/>
      </c>
      <c r="DD41" s="816" t="str">
        <f t="shared" si="65"/>
        <v/>
      </c>
      <c r="DE41" s="817" t="str">
        <f t="shared" si="47"/>
        <v/>
      </c>
      <c r="DF41" s="817" t="str">
        <f t="shared" si="48"/>
        <v/>
      </c>
      <c r="DG41" s="804" t="str">
        <f t="shared" si="49"/>
        <v/>
      </c>
      <c r="DH41" s="804" t="str">
        <f t="shared" si="50"/>
        <v/>
      </c>
      <c r="DI41" s="818" t="str">
        <f>IF(AO41="","",IF(H41="DESL",AO41*F41*'Fuel Prices'!$C$12,IF(H41="GAS",AO41*F41*'Fuel Prices'!$C$11,IF(H41="CNG",AO41*F41*'Fuel Prices'!$C$13,IF(H41="LNG",AO41*F41*'Fuel Prices'!$C$14,IF(H41="LPG",AO41*F41*'Fuel Prices'!$C$16,IF(H41="PROP",AO41*F41*'Fuel Prices'!$C$16,"0")))))))</f>
        <v/>
      </c>
      <c r="DJ41" s="818" t="str">
        <f>IF(AU41="","",IF(X41="DESL",AU41*F41*'Fuel Prices'!$C$12,IF(X41="GAS",AU41*F41*'Fuel Prices'!$C$11,IF(X41="CNG",AU41*F41*'Fuel Prices'!$C$13,IF(X41="LNG",AU41*F41*'Fuel Prices'!$C$14,IF(X41="LPG",AU41*F41*'Fuel Prices'!$C$16,IF(X41="PROP",AU41*F41*'Fuel Prices'!$C$16,IF(X41="ELEC",AU41*F41*'Fuel Prices'!$C$35,"0"))))))))</f>
        <v/>
      </c>
      <c r="DK41" s="818" t="str">
        <f t="shared" si="51"/>
        <v/>
      </c>
      <c r="DL41" s="818" t="str">
        <f t="shared" si="52"/>
        <v/>
      </c>
      <c r="DM41" s="804" t="str">
        <f t="shared" si="53"/>
        <v/>
      </c>
      <c r="DN41" s="804" t="str">
        <f t="shared" si="54"/>
        <v/>
      </c>
      <c r="DO41" s="804" t="str">
        <f>IFERROR(ROUND(CZ41*IF(COUNTIF($B$20:B41,B41)=1,1,"")/IF(B41="",0,1),0),"")</f>
        <v/>
      </c>
      <c r="DP41" s="804" t="str">
        <f>IFERROR(ROUND(CW41*IF(COUNTIF($B$20:B41,B41)=1,1,"")/IF(B41="",0,1),0),"")</f>
        <v/>
      </c>
      <c r="DQ41" s="804" t="str">
        <f>IFERROR(ROUND(DA41*IF(COUNTIF($B$20:B41,B41)=1,1,"")/IF(B41="",0,1),0),"")</f>
        <v/>
      </c>
      <c r="DR41" s="804" t="str">
        <f>IFERROR(ROUND(CX41*IF(COUNTIF($B$20:B41,B41)=1,1,"")/IF(B41="",0,1),0),"")</f>
        <v/>
      </c>
      <c r="DS41" s="804">
        <f t="shared" si="55"/>
        <v>0</v>
      </c>
      <c r="DT41" s="804">
        <f t="shared" si="56"/>
        <v>0</v>
      </c>
      <c r="DU41" s="804">
        <f t="shared" si="57"/>
        <v>0</v>
      </c>
      <c r="DV41" s="818" t="str">
        <f t="shared" si="66"/>
        <v/>
      </c>
      <c r="DW41" s="819" t="str">
        <f t="shared" si="67"/>
        <v/>
      </c>
    </row>
    <row r="42" spans="1:127" s="699" customFormat="1" ht="18" customHeight="1" x14ac:dyDescent="0.35">
      <c r="A42" s="635"/>
      <c r="B42" s="820"/>
      <c r="C42" s="825" t="str">
        <f t="shared" si="0"/>
        <v>(Required)</v>
      </c>
      <c r="D42" s="821"/>
      <c r="E42" s="825" t="str">
        <f t="shared" si="0"/>
        <v>(Required)</v>
      </c>
      <c r="F42" s="821"/>
      <c r="G42" s="825" t="str">
        <f t="shared" si="1"/>
        <v>(Required)</v>
      </c>
      <c r="H42" s="822"/>
      <c r="I42" s="825" t="str">
        <f t="shared" si="2"/>
        <v>(Required)</v>
      </c>
      <c r="J42" s="821"/>
      <c r="K42" s="825" t="str">
        <f t="shared" si="3"/>
        <v>(Required)</v>
      </c>
      <c r="L42" s="821"/>
      <c r="M42" s="825" t="str">
        <f t="shared" si="4"/>
        <v>(Required)</v>
      </c>
      <c r="N42" s="821"/>
      <c r="O42" s="825" t="str">
        <f t="shared" si="5"/>
        <v>(Required)</v>
      </c>
      <c r="P42" s="821"/>
      <c r="Q42" s="825" t="str">
        <f t="shared" si="6"/>
        <v>(Required)</v>
      </c>
      <c r="R42" s="823"/>
      <c r="S42" s="826" t="str">
        <f t="shared" si="7"/>
        <v>(Optional)</v>
      </c>
      <c r="T42" s="821"/>
      <c r="U42" s="827" t="str">
        <f t="shared" si="8"/>
        <v>(Required)</v>
      </c>
      <c r="V42" s="828"/>
      <c r="W42" s="799" t="str">
        <f t="shared" si="9"/>
        <v>(Optional)</v>
      </c>
      <c r="X42" s="822"/>
      <c r="Y42" s="825" t="str">
        <f t="shared" si="10"/>
        <v>(Required)</v>
      </c>
      <c r="Z42" s="821"/>
      <c r="AA42" s="825" t="str">
        <f t="shared" si="11"/>
        <v>(Required)</v>
      </c>
      <c r="AB42" s="821"/>
      <c r="AC42" s="825" t="str">
        <f t="shared" si="12"/>
        <v>(Required)</v>
      </c>
      <c r="AD42" s="821"/>
      <c r="AE42" s="825" t="str">
        <f t="shared" si="13"/>
        <v>(Required)</v>
      </c>
      <c r="AF42" s="821"/>
      <c r="AG42" s="825" t="str">
        <f t="shared" si="14"/>
        <v>(Required)</v>
      </c>
      <c r="AH42" s="823"/>
      <c r="AI42" s="826" t="str">
        <f t="shared" si="15"/>
        <v>(Optional)</v>
      </c>
      <c r="AJ42" s="821"/>
      <c r="AK42" s="825" t="str">
        <f t="shared" si="16"/>
        <v>(Required)</v>
      </c>
      <c r="AL42" s="803" t="str">
        <f t="shared" si="17"/>
        <v/>
      </c>
      <c r="AM42" s="803" t="str">
        <f>IF(H42="DESL",'Fuel Density'!$C$12,IF(H42="GAS",'Fuel Density'!$C$11,IF(H42="CNG",'Fuel Density'!$C$13,IF(H42="LNG",'Fuel Density'!$C$14,IF(H42="LPG",'Fuel Density'!$C$15,IF(H42="PROP",'Fuel Density'!$C$16,IF(H42="","","")))))))</f>
        <v/>
      </c>
      <c r="AN42" s="803" t="str">
        <f>IF(H42="DESL",'Fuel-Specific GHG'!$C$14,IF(H42="GAS",'Fuel-Specific GHG'!$C$16,IF(H42="CNG",'Fuel-Specific GHG'!$C$13,IF(H42="LNG",'Fuel-Specific GHG'!$C$18,IF(OR(H42="LPG",H42="PROP"),'Fuel-Specific GHG'!$C$19,IF(H42="","",""))))))</f>
        <v/>
      </c>
      <c r="AO42" s="804" t="str">
        <f>IFERROR(((P42*(IF(ISBLANK(R42),Defaults!$B$19,R42))*T42*AL42)/AM42),"")</f>
        <v/>
      </c>
      <c r="AP42" s="805" t="str">
        <f t="shared" si="18"/>
        <v/>
      </c>
      <c r="AQ42" s="805" t="str">
        <f>IF(H42="DESL",'Fuel-Specific GHG'!$E$14,IF(H42="GAS",'Fuel-Specific GHG'!$E$16,IF(H42="CNG",'Fuel-Specific GHG'!$E$13,IF(H42="LNG",'Fuel-Specific GHG'!$E$18,IF(OR(H42="LPG",H42="PROP"),'Fuel-Specific GHG'!$E$19,"")))))</f>
        <v/>
      </c>
      <c r="AR42" s="805" t="str">
        <f t="shared" si="19"/>
        <v/>
      </c>
      <c r="AS42" s="803" t="str">
        <f t="shared" si="58"/>
        <v/>
      </c>
      <c r="AT42" s="803" t="str">
        <f>IF(X42="DESL",'Fuel Density'!$C$12,IF(X42="PROP",'Fuel Density'!$C$16,IF(X42="GAS",'Fuel Density'!$C$11,IF(X42="CNG",'Fuel Density'!$C$13,IF(X42="LNG",'Fuel Density'!$C$14,IF(X42="LPG",'Fuel Density'!$C$15,IF(X42="","","")))))))</f>
        <v/>
      </c>
      <c r="AU42" s="804" t="str">
        <f>IFERROR(IF(X42="ELEC",AO42*AN42*(1/'Fuel-Specific GHG'!$C$15)*(1/IF(H42="GAS",3.4,IF(H42="DESL",2.7,3))),((AF42*(IF(ISBLANK(AH42),Defaults!$B$19,AH42))*AJ42*AS42)/AT42)),"")</f>
        <v/>
      </c>
      <c r="AV42" s="805" t="str">
        <f t="shared" si="20"/>
        <v/>
      </c>
      <c r="AW42" s="805" t="str">
        <f>IF(X42="DESL",'Fuel-Specific GHG'!$E$14,IF(X42="PROP",'Fuel-Specific GHG'!$E$19,IF(X42="GAS",'Fuel-Specific GHG'!$E$16,IF(X42="CNG",'Fuel-Specific GHG'!$E$13,IF(X42="LNG",'Fuel-Specific GHG'!$E$18,IF(X42="LPG",'Fuel-Specific GHG'!$E$19,IF(X42="ELEC",'Fuel-Specific GHG'!$E$15,"")))))))</f>
        <v/>
      </c>
      <c r="AX42" s="805" t="str">
        <f t="shared" si="21"/>
        <v/>
      </c>
      <c r="AY42" s="806" t="str">
        <f t="shared" si="22"/>
        <v/>
      </c>
      <c r="AZ42" s="806" t="str">
        <f t="shared" si="68"/>
        <v/>
      </c>
      <c r="BA42" s="806" t="str">
        <f t="shared" si="59"/>
        <v/>
      </c>
      <c r="BB42" s="804" t="str">
        <f t="shared" si="23"/>
        <v/>
      </c>
      <c r="BC42" s="807" t="str">
        <f t="shared" si="24"/>
        <v/>
      </c>
      <c r="BD42" s="807"/>
      <c r="BE42" s="808" t="str">
        <f t="shared" si="25"/>
        <v/>
      </c>
      <c r="BF42" s="809" t="str">
        <f t="shared" si="26"/>
        <v/>
      </c>
      <c r="BG42" s="808" t="str">
        <f t="shared" si="60"/>
        <v/>
      </c>
      <c r="BH42" s="810">
        <f t="shared" si="61"/>
        <v>0</v>
      </c>
      <c r="BI42" s="803" t="str">
        <f>IFERROR(VLOOKUP(BH42,'Pump Emission Factors'!$B$11:$J$88,4,FALSE),"")</f>
        <v/>
      </c>
      <c r="BJ42" s="803" t="str">
        <f>IFERROR(VLOOKUP(BH42,'Pump Emission Factors'!$B$11:$J$88,6,FALSE),"")</f>
        <v/>
      </c>
      <c r="BK42" s="803" t="str">
        <f>IFERROR(VLOOKUP(BH42,'Pump Emission Factors'!$B$11:$J$88,8,FALSE),"")</f>
        <v/>
      </c>
      <c r="BL42" s="803" t="str">
        <f>IFERROR(VLOOKUP(BH42,'Pump Emission Factors'!$B$11:$J$88,5,FALSE),"")</f>
        <v/>
      </c>
      <c r="BM42" s="803" t="str">
        <f>IFERROR(VLOOKUP(BH42,'Pump Emission Factors'!$B$11:$J$88,7,FALSE),"")</f>
        <v/>
      </c>
      <c r="BN42" s="803" t="str">
        <f>IFERROR(VLOOKUP(BH42,'Pump Emission Factors'!$B$11:$J$88,9,FALSE),"")</f>
        <v/>
      </c>
      <c r="BO42" s="811" t="str">
        <f t="shared" si="27"/>
        <v/>
      </c>
      <c r="BP42" s="811" t="str">
        <f t="shared" si="28"/>
        <v/>
      </c>
      <c r="BQ42" s="803">
        <f>IFERROR(((BI42+(BL42*BP42))*(IF(ISBLANK(R42),Defaults!$B$19,R42))*P42*T42)*F42*(1/454),0)</f>
        <v>0</v>
      </c>
      <c r="BR42" s="803">
        <f>IFERROR(((BJ42+(BM42*BP42))*(IF(ISBLANK(R42),Defaults!$B$19,R42))*P42*T42)*F42*(1/454),0)</f>
        <v>0</v>
      </c>
      <c r="BS42" s="803">
        <f>IFERROR(((BK42+(BN42*BP42))*(IF(ISBLANK(R42),Defaults!$B$19,R42))*P42*T42)*F42*(1/454),0)</f>
        <v>0</v>
      </c>
      <c r="BT42" s="803">
        <f t="shared" si="29"/>
        <v>0</v>
      </c>
      <c r="BU42" s="803">
        <f t="shared" si="62"/>
        <v>0</v>
      </c>
      <c r="BV42" s="812" t="str">
        <f t="shared" si="30"/>
        <v/>
      </c>
      <c r="BW42" s="808" t="str">
        <f t="shared" si="31"/>
        <v/>
      </c>
      <c r="BX42" s="809" t="str">
        <f t="shared" si="32"/>
        <v/>
      </c>
      <c r="BY42" s="808" t="str">
        <f t="shared" si="63"/>
        <v/>
      </c>
      <c r="BZ42" s="810">
        <f t="shared" si="64"/>
        <v>0</v>
      </c>
      <c r="CA42" s="813" t="str">
        <f>IFERROR(VLOOKUP(BZ42,'Pump Emission Factors'!$B$11:$J$88,4,FALSE),"")</f>
        <v/>
      </c>
      <c r="CB42" s="813" t="str">
        <f>IFERROR(VLOOKUP(BZ42,'Pump Emission Factors'!$B$11:$J$88,6,FALSE),"")</f>
        <v/>
      </c>
      <c r="CC42" s="813" t="str">
        <f>IFERROR(VLOOKUP(BZ42,'Pump Emission Factors'!$B$11:$J$88,8,FALSE),"")</f>
        <v/>
      </c>
      <c r="CD42" s="813" t="str">
        <f>IFERROR(VLOOKUP(BZ42,'Pump Emission Factors'!$B$11:$J$88,5,FALSE),"")</f>
        <v/>
      </c>
      <c r="CE42" s="813" t="str">
        <f>IFERROR(VLOOKUP(BZ42,'Pump Emission Factors'!$B$11:$J$88,7,FALSE),"")</f>
        <v/>
      </c>
      <c r="CF42" s="813" t="str">
        <f>IFERROR(VLOOKUP(BZ42,'Pump Emission Factors'!$B$11:$J$88,9,FALSE),"")</f>
        <v/>
      </c>
      <c r="CG42" s="814" t="str">
        <f t="shared" si="33"/>
        <v/>
      </c>
      <c r="CH42" s="814" t="str">
        <f t="shared" si="34"/>
        <v/>
      </c>
      <c r="CI42" s="813">
        <f>IFERROR(IF($X42="ELEC",((($AU42*(IF($H42="DESL",'Fuel-Specific GHG'!$C$14,IF($H42="GAS",'Fuel-Specific GHG'!$C$16,IF($H42="CNG",'Fuel-Specific GHG'!$C$13,IF(OR($H42="LPG",$H42="PROP"),'Fuel-Specific GHG'!$C$19,"")))))*(1/'Fuel-Specific GHG'!$C$15)*(1/3.4)*$F42)*'Grid Electricity'!$D$39)/454),((CA42+(CD42*CH42))*(IF(ISBLANK(AH42),Defaults!$B$19,AH42))*$AF42*$AJ42*$F42)),0)</f>
        <v>0</v>
      </c>
      <c r="CJ42" s="813">
        <f>IFERROR(IF($X42="ELEC",((($AU42*(IF($H42="DESL",'Fuel-Specific GHG'!$C$14,IF($H42="GAS",'Fuel-Specific GHG'!$C$16,IF($H42="CNG",'Fuel-Specific GHG'!$C$13,IF(OR($H42="LPG",$H42="PROP"),'Fuel-Specific GHG'!$C$19,"")))))*(1/'Fuel-Specific GHG'!$C$15)*(1/3.4)*$F42)*'Grid Electricity'!$C$39)/454),((CB42+(CE42*CH42))*(IF(ISBLANK(AH42),Defaults!$B$19,AH42))*$AF42*$AJ42*$F42)),0)</f>
        <v>0</v>
      </c>
      <c r="CK42" s="813">
        <f>IFERROR(IF($X42="ELEC",((($AU42*(IF($H42="DESL",'Fuel-Specific GHG'!$C$14,IF($H42="GAS",'Fuel-Specific GHG'!$C$16,IF($H42="CNG",'Fuel-Specific GHG'!$C$13,IF(OR($H42="LPG",$H42="PROP"),'Fuel-Specific GHG'!$C$19,"")))))*(1/'Fuel-Specific GHG'!$C$15)*(1/3.4)*$F42)*'Grid Electricity'!$F$39)/454),((CC42+(CF42*CH42))*(IF(ISBLANK(AH42),Defaults!$B$19,AH42))*$AF42*$AJ42*$F42)),0)</f>
        <v>0</v>
      </c>
      <c r="CL42" s="813">
        <f t="shared" si="35"/>
        <v>0</v>
      </c>
      <c r="CM42" s="813">
        <f t="shared" si="36"/>
        <v>0</v>
      </c>
      <c r="CN42" s="814" t="str">
        <f t="shared" si="37"/>
        <v/>
      </c>
      <c r="CO42" s="814" t="str">
        <f t="shared" si="38"/>
        <v/>
      </c>
      <c r="CP42" s="814" t="str">
        <f t="shared" si="39"/>
        <v/>
      </c>
      <c r="CQ42" s="814" t="str">
        <f t="shared" si="40"/>
        <v/>
      </c>
      <c r="CR42" s="815" t="str">
        <f>IF(AND(V42="Yes, Booster Pump VFD",AF42&lt;=75),('Pump Emission Factors'!$F$95*F42),(IF(AND(V42="Yes, Booster Pump VFD",AF42&gt;75),('Pump Emission Factors'!$F$96*F42),(IF(AND(V42="Yes, Well Pump VFD",AF42&lt;=75),('Pump Emission Factors'!$F$97*F42),(IF(AND(V42="Yes, Well Pump VFD",AF42&gt;75),('Pump Emission Factors'!$F$98*F42),"")))))))</f>
        <v/>
      </c>
      <c r="CS42" s="815" t="str">
        <f>IF(AND(V42="Yes, Booster Pump VFD",AF42&lt;=75),('Pump Emission Factors'!$G$95*F42),(IF(AND(V42="Yes, Booster Pump VFD",AF42&gt;75),('Pump Emission Factors'!$G$96*F42),(IF(AND(V42="Yes, Well Pump VFD",AF42&lt;=75),('Pump Emission Factors'!$G$97*F42),(IF(AND(V42="Yes, Well Pump VFD",AF42&gt;75),('Pump Emission Factors'!$G$98*F42),"")))))))</f>
        <v/>
      </c>
      <c r="CT42" s="815" t="str">
        <f>IF(AND(V42="Yes, Booster Pump VFD",AF42&lt;=75),('Pump Emission Factors'!$H$95*F42),(IF(AND(V42="Yes, Booster Pump VFD",AF42&gt;75),('Pump Emission Factors'!$H$96*F42),(IF(AND(V42="Yes, Well Pump VFD",AF42&lt;=75),('Pump Emission Factors'!$H$97*F42),(IF(AND(V42="Yes, Well Pump VFD",AF42&gt;75),('Pump Emission Factors'!$H$98*F42),"")))))))</f>
        <v/>
      </c>
      <c r="CU42" s="815" t="str">
        <f>IF(AND(V42="Yes, Booster Pump VFD",AF42&lt;=75),('Pump Emission Factors'!$J$95*F42),(IF(AND(V42="Yes, Booster Pump VFD",AF42&gt;75),('Pump Emission Factors'!$J$96*F42),(IF(AND(V42="Yes, Well Pump VFD",AF42&lt;=75),('Pump Emission Factors'!$J$97*F42),(IF(AND(V42="Yes, Well Pump VFD",AF42&gt;75),('Pump Emission Factors'!$J$98*F42),"")))))))</f>
        <v/>
      </c>
      <c r="CV42" s="815" t="str">
        <f>IF(AND(V42="Yes, Booster Pump VFD",AF42&lt;=75),('Pump Emission Factors'!$I$95*F42),(IF(AND(V42="Yes, Booster Pump VFD",AF42&gt;75),('Pump Emission Factors'!$I$96*F42),(IF(AND(V42="Yes, Well Pump VFD",AF42&lt;=75),('Pump Emission Factors'!$I$97*F42),(IF(AND(V42="Yes, Well Pump VFD",AF42&gt;75),('Pump Emission Factors'!$I$98*F42),"")))))))</f>
        <v/>
      </c>
      <c r="CW42" s="806">
        <f t="shared" si="41"/>
        <v>0</v>
      </c>
      <c r="CX42" s="806">
        <f t="shared" si="42"/>
        <v>0</v>
      </c>
      <c r="CY42" s="806">
        <f t="shared" si="43"/>
        <v>0</v>
      </c>
      <c r="CZ42" s="806">
        <f t="shared" si="44"/>
        <v>0</v>
      </c>
      <c r="DA42" s="806">
        <f t="shared" si="45"/>
        <v>0</v>
      </c>
      <c r="DB42" s="816" t="str">
        <f t="shared" si="65"/>
        <v/>
      </c>
      <c r="DC42" s="816" t="str">
        <f t="shared" si="65"/>
        <v/>
      </c>
      <c r="DD42" s="816" t="str">
        <f t="shared" si="65"/>
        <v/>
      </c>
      <c r="DE42" s="817" t="str">
        <f t="shared" si="47"/>
        <v/>
      </c>
      <c r="DF42" s="817" t="str">
        <f t="shared" si="48"/>
        <v/>
      </c>
      <c r="DG42" s="804" t="str">
        <f t="shared" si="49"/>
        <v/>
      </c>
      <c r="DH42" s="804" t="str">
        <f t="shared" si="50"/>
        <v/>
      </c>
      <c r="DI42" s="818" t="str">
        <f>IF(AO42="","",IF(H42="DESL",AO42*F42*'Fuel Prices'!$C$12,IF(H42="GAS",AO42*F42*'Fuel Prices'!$C$11,IF(H42="CNG",AO42*F42*'Fuel Prices'!$C$13,IF(H42="LNG",AO42*F42*'Fuel Prices'!$C$14,IF(H42="LPG",AO42*F42*'Fuel Prices'!$C$16,IF(H42="PROP",AO42*F42*'Fuel Prices'!$C$16,"0")))))))</f>
        <v/>
      </c>
      <c r="DJ42" s="818" t="str">
        <f>IF(AU42="","",IF(X42="DESL",AU42*F42*'Fuel Prices'!$C$12,IF(X42="GAS",AU42*F42*'Fuel Prices'!$C$11,IF(X42="CNG",AU42*F42*'Fuel Prices'!$C$13,IF(X42="LNG",AU42*F42*'Fuel Prices'!$C$14,IF(X42="LPG",AU42*F42*'Fuel Prices'!$C$16,IF(X42="PROP",AU42*F42*'Fuel Prices'!$C$16,IF(X42="ELEC",AU42*F42*'Fuel Prices'!$C$35,"0"))))))))</f>
        <v/>
      </c>
      <c r="DK42" s="818" t="str">
        <f t="shared" si="51"/>
        <v/>
      </c>
      <c r="DL42" s="818" t="str">
        <f t="shared" si="52"/>
        <v/>
      </c>
      <c r="DM42" s="804" t="str">
        <f t="shared" si="53"/>
        <v/>
      </c>
      <c r="DN42" s="804" t="str">
        <f t="shared" si="54"/>
        <v/>
      </c>
      <c r="DO42" s="804" t="str">
        <f>IFERROR(ROUND(CZ42*IF(COUNTIF($B$20:B42,B42)=1,1,"")/IF(B42="",0,1),0),"")</f>
        <v/>
      </c>
      <c r="DP42" s="804" t="str">
        <f>IFERROR(ROUND(CW42*IF(COUNTIF($B$20:B42,B42)=1,1,"")/IF(B42="",0,1),0),"")</f>
        <v/>
      </c>
      <c r="DQ42" s="804" t="str">
        <f>IFERROR(ROUND(DA42*IF(COUNTIF($B$20:B42,B42)=1,1,"")/IF(B42="",0,1),0),"")</f>
        <v/>
      </c>
      <c r="DR42" s="804" t="str">
        <f>IFERROR(ROUND(CX42*IF(COUNTIF($B$20:B42,B42)=1,1,"")/IF(B42="",0,1),0),"")</f>
        <v/>
      </c>
      <c r="DS42" s="804">
        <f t="shared" si="55"/>
        <v>0</v>
      </c>
      <c r="DT42" s="804">
        <f t="shared" si="56"/>
        <v>0</v>
      </c>
      <c r="DU42" s="804">
        <f t="shared" si="57"/>
        <v>0</v>
      </c>
      <c r="DV42" s="818" t="str">
        <f t="shared" si="66"/>
        <v/>
      </c>
      <c r="DW42" s="819" t="str">
        <f t="shared" si="67"/>
        <v/>
      </c>
    </row>
    <row r="43" spans="1:127" s="699" customFormat="1" ht="18" customHeight="1" x14ac:dyDescent="0.35">
      <c r="A43" s="696"/>
      <c r="B43" s="820"/>
      <c r="C43" s="825" t="str">
        <f t="shared" si="0"/>
        <v>(Required)</v>
      </c>
      <c r="D43" s="821"/>
      <c r="E43" s="825" t="str">
        <f t="shared" si="0"/>
        <v>(Required)</v>
      </c>
      <c r="F43" s="821"/>
      <c r="G43" s="825" t="str">
        <f t="shared" si="1"/>
        <v>(Required)</v>
      </c>
      <c r="H43" s="822"/>
      <c r="I43" s="825" t="str">
        <f t="shared" si="2"/>
        <v>(Required)</v>
      </c>
      <c r="J43" s="821"/>
      <c r="K43" s="825" t="str">
        <f t="shared" si="3"/>
        <v>(Required)</v>
      </c>
      <c r="L43" s="821"/>
      <c r="M43" s="825" t="str">
        <f t="shared" si="4"/>
        <v>(Required)</v>
      </c>
      <c r="N43" s="821"/>
      <c r="O43" s="825" t="str">
        <f t="shared" si="5"/>
        <v>(Required)</v>
      </c>
      <c r="P43" s="821"/>
      <c r="Q43" s="825" t="str">
        <f t="shared" si="6"/>
        <v>(Required)</v>
      </c>
      <c r="R43" s="823"/>
      <c r="S43" s="826" t="str">
        <f t="shared" si="7"/>
        <v>(Optional)</v>
      </c>
      <c r="T43" s="821"/>
      <c r="U43" s="827" t="str">
        <f t="shared" si="8"/>
        <v>(Required)</v>
      </c>
      <c r="V43" s="828"/>
      <c r="W43" s="799" t="str">
        <f t="shared" si="9"/>
        <v>(Optional)</v>
      </c>
      <c r="X43" s="822"/>
      <c r="Y43" s="825" t="str">
        <f t="shared" si="10"/>
        <v>(Required)</v>
      </c>
      <c r="Z43" s="821"/>
      <c r="AA43" s="825" t="str">
        <f t="shared" si="11"/>
        <v>(Required)</v>
      </c>
      <c r="AB43" s="821"/>
      <c r="AC43" s="825" t="str">
        <f t="shared" si="12"/>
        <v>(Required)</v>
      </c>
      <c r="AD43" s="821"/>
      <c r="AE43" s="825" t="str">
        <f t="shared" si="13"/>
        <v>(Required)</v>
      </c>
      <c r="AF43" s="821"/>
      <c r="AG43" s="825" t="str">
        <f t="shared" si="14"/>
        <v>(Required)</v>
      </c>
      <c r="AH43" s="823"/>
      <c r="AI43" s="826" t="str">
        <f t="shared" si="15"/>
        <v>(Optional)</v>
      </c>
      <c r="AJ43" s="821"/>
      <c r="AK43" s="825" t="str">
        <f t="shared" si="16"/>
        <v>(Required)</v>
      </c>
      <c r="AL43" s="803" t="str">
        <f t="shared" si="17"/>
        <v/>
      </c>
      <c r="AM43" s="803" t="str">
        <f>IF(H43="DESL",'Fuel Density'!$C$12,IF(H43="GAS",'Fuel Density'!$C$11,IF(H43="CNG",'Fuel Density'!$C$13,IF(H43="LNG",'Fuel Density'!$C$14,IF(H43="LPG",'Fuel Density'!$C$15,IF(H43="PROP",'Fuel Density'!$C$16,IF(H43="","","")))))))</f>
        <v/>
      </c>
      <c r="AN43" s="803" t="str">
        <f>IF(H43="DESL",'Fuel-Specific GHG'!$C$14,IF(H43="GAS",'Fuel-Specific GHG'!$C$16,IF(H43="CNG",'Fuel-Specific GHG'!$C$13,IF(H43="LNG",'Fuel-Specific GHG'!$C$18,IF(OR(H43="LPG",H43="PROP"),'Fuel-Specific GHG'!$C$19,IF(H43="","",""))))))</f>
        <v/>
      </c>
      <c r="AO43" s="804" t="str">
        <f>IFERROR(((P43*(IF(ISBLANK(R43),Defaults!$B$19,R43))*T43*AL43)/AM43),"")</f>
        <v/>
      </c>
      <c r="AP43" s="805" t="str">
        <f t="shared" si="18"/>
        <v/>
      </c>
      <c r="AQ43" s="805" t="str">
        <f>IF(H43="DESL",'Fuel-Specific GHG'!$E$14,IF(H43="GAS",'Fuel-Specific GHG'!$E$16,IF(H43="CNG",'Fuel-Specific GHG'!$E$13,IF(H43="LNG",'Fuel-Specific GHG'!$E$18,IF(OR(H43="LPG",H43="PROP"),'Fuel-Specific GHG'!$E$19,"")))))</f>
        <v/>
      </c>
      <c r="AR43" s="805" t="str">
        <f t="shared" si="19"/>
        <v/>
      </c>
      <c r="AS43" s="803" t="str">
        <f t="shared" si="58"/>
        <v/>
      </c>
      <c r="AT43" s="803" t="str">
        <f>IF(X43="DESL",'Fuel Density'!$C$12,IF(X43="PROP",'Fuel Density'!$C$16,IF(X43="GAS",'Fuel Density'!$C$11,IF(X43="CNG",'Fuel Density'!$C$13,IF(X43="LNG",'Fuel Density'!$C$14,IF(X43="LPG",'Fuel Density'!$C$15,IF(X43="","","")))))))</f>
        <v/>
      </c>
      <c r="AU43" s="804" t="str">
        <f>IFERROR(IF(X43="ELEC",AO43*AN43*(1/'Fuel-Specific GHG'!$C$15)*(1/IF(H43="GAS",3.4,IF(H43="DESL",2.7,3))),((AF43*(IF(ISBLANK(AH43),Defaults!$B$19,AH43))*AJ43*AS43)/AT43)),"")</f>
        <v/>
      </c>
      <c r="AV43" s="805" t="str">
        <f t="shared" si="20"/>
        <v/>
      </c>
      <c r="AW43" s="805" t="str">
        <f>IF(X43="DESL",'Fuel-Specific GHG'!$E$14,IF(X43="PROP",'Fuel-Specific GHG'!$E$19,IF(X43="GAS",'Fuel-Specific GHG'!$E$16,IF(X43="CNG",'Fuel-Specific GHG'!$E$13,IF(X43="LNG",'Fuel-Specific GHG'!$E$18,IF(X43="LPG",'Fuel-Specific GHG'!$E$19,IF(X43="ELEC",'Fuel-Specific GHG'!$E$15,"")))))))</f>
        <v/>
      </c>
      <c r="AX43" s="805" t="str">
        <f t="shared" si="21"/>
        <v/>
      </c>
      <c r="AY43" s="806" t="str">
        <f t="shared" si="22"/>
        <v/>
      </c>
      <c r="AZ43" s="806" t="str">
        <f t="shared" si="68"/>
        <v/>
      </c>
      <c r="BA43" s="806" t="str">
        <f t="shared" si="59"/>
        <v/>
      </c>
      <c r="BB43" s="804" t="str">
        <f t="shared" si="23"/>
        <v/>
      </c>
      <c r="BC43" s="807" t="str">
        <f t="shared" si="24"/>
        <v/>
      </c>
      <c r="BD43" s="807"/>
      <c r="BE43" s="808" t="str">
        <f t="shared" si="25"/>
        <v/>
      </c>
      <c r="BF43" s="809" t="str">
        <f t="shared" si="26"/>
        <v/>
      </c>
      <c r="BG43" s="808" t="str">
        <f t="shared" si="60"/>
        <v/>
      </c>
      <c r="BH43" s="810">
        <f t="shared" si="61"/>
        <v>0</v>
      </c>
      <c r="BI43" s="803" t="str">
        <f>IFERROR(VLOOKUP(BH43,'Pump Emission Factors'!$B$11:$J$88,4,FALSE),"")</f>
        <v/>
      </c>
      <c r="BJ43" s="803" t="str">
        <f>IFERROR(VLOOKUP(BH43,'Pump Emission Factors'!$B$11:$J$88,6,FALSE),"")</f>
        <v/>
      </c>
      <c r="BK43" s="803" t="str">
        <f>IFERROR(VLOOKUP(BH43,'Pump Emission Factors'!$B$11:$J$88,8,FALSE),"")</f>
        <v/>
      </c>
      <c r="BL43" s="803" t="str">
        <f>IFERROR(VLOOKUP(BH43,'Pump Emission Factors'!$B$11:$J$88,5,FALSE),"")</f>
        <v/>
      </c>
      <c r="BM43" s="803" t="str">
        <f>IFERROR(VLOOKUP(BH43,'Pump Emission Factors'!$B$11:$J$88,7,FALSE),"")</f>
        <v/>
      </c>
      <c r="BN43" s="803" t="str">
        <f>IFERROR(VLOOKUP(BH43,'Pump Emission Factors'!$B$11:$J$88,9,FALSE),"")</f>
        <v/>
      </c>
      <c r="BO43" s="811" t="str">
        <f t="shared" si="27"/>
        <v/>
      </c>
      <c r="BP43" s="811" t="str">
        <f t="shared" si="28"/>
        <v/>
      </c>
      <c r="BQ43" s="803">
        <f>IFERROR(((BI43+(BL43*BP43))*(IF(ISBLANK(R43),Defaults!$B$19,R43))*P43*T43)*F43*(1/454),0)</f>
        <v>0</v>
      </c>
      <c r="BR43" s="803">
        <f>IFERROR(((BJ43+(BM43*BP43))*(IF(ISBLANK(R43),Defaults!$B$19,R43))*P43*T43)*F43*(1/454),0)</f>
        <v>0</v>
      </c>
      <c r="BS43" s="803">
        <f>IFERROR(((BK43+(BN43*BP43))*(IF(ISBLANK(R43),Defaults!$B$19,R43))*P43*T43)*F43*(1/454),0)</f>
        <v>0</v>
      </c>
      <c r="BT43" s="803">
        <f t="shared" si="29"/>
        <v>0</v>
      </c>
      <c r="BU43" s="803">
        <f t="shared" si="62"/>
        <v>0</v>
      </c>
      <c r="BV43" s="812" t="str">
        <f t="shared" si="30"/>
        <v/>
      </c>
      <c r="BW43" s="808" t="str">
        <f t="shared" si="31"/>
        <v/>
      </c>
      <c r="BX43" s="809" t="str">
        <f t="shared" si="32"/>
        <v/>
      </c>
      <c r="BY43" s="808" t="str">
        <f t="shared" si="63"/>
        <v/>
      </c>
      <c r="BZ43" s="810">
        <f t="shared" si="64"/>
        <v>0</v>
      </c>
      <c r="CA43" s="813" t="str">
        <f>IFERROR(VLOOKUP(BZ43,'Pump Emission Factors'!$B$11:$J$88,4,FALSE),"")</f>
        <v/>
      </c>
      <c r="CB43" s="813" t="str">
        <f>IFERROR(VLOOKUP(BZ43,'Pump Emission Factors'!$B$11:$J$88,6,FALSE),"")</f>
        <v/>
      </c>
      <c r="CC43" s="813" t="str">
        <f>IFERROR(VLOOKUP(BZ43,'Pump Emission Factors'!$B$11:$J$88,8,FALSE),"")</f>
        <v/>
      </c>
      <c r="CD43" s="813" t="str">
        <f>IFERROR(VLOOKUP(BZ43,'Pump Emission Factors'!$B$11:$J$88,5,FALSE),"")</f>
        <v/>
      </c>
      <c r="CE43" s="813" t="str">
        <f>IFERROR(VLOOKUP(BZ43,'Pump Emission Factors'!$B$11:$J$88,7,FALSE),"")</f>
        <v/>
      </c>
      <c r="CF43" s="813" t="str">
        <f>IFERROR(VLOOKUP(BZ43,'Pump Emission Factors'!$B$11:$J$88,9,FALSE),"")</f>
        <v/>
      </c>
      <c r="CG43" s="814" t="str">
        <f t="shared" si="33"/>
        <v/>
      </c>
      <c r="CH43" s="814" t="str">
        <f t="shared" si="34"/>
        <v/>
      </c>
      <c r="CI43" s="813">
        <f>IFERROR(IF($X43="ELEC",((($AU43*(IF($H43="DESL",'Fuel-Specific GHG'!$C$14,IF($H43="GAS",'Fuel-Specific GHG'!$C$16,IF($H43="CNG",'Fuel-Specific GHG'!$C$13,IF(OR($H43="LPG",$H43="PROP"),'Fuel-Specific GHG'!$C$19,"")))))*(1/'Fuel-Specific GHG'!$C$15)*(1/3.4)*$F43)*'Grid Electricity'!$D$39)/454),((CA43+(CD43*CH43))*(IF(ISBLANK(AH43),Defaults!$B$19,AH43))*$AF43*$AJ43*$F43)),0)</f>
        <v>0</v>
      </c>
      <c r="CJ43" s="813">
        <f>IFERROR(IF($X43="ELEC",((($AU43*(IF($H43="DESL",'Fuel-Specific GHG'!$C$14,IF($H43="GAS",'Fuel-Specific GHG'!$C$16,IF($H43="CNG",'Fuel-Specific GHG'!$C$13,IF(OR($H43="LPG",$H43="PROP"),'Fuel-Specific GHG'!$C$19,"")))))*(1/'Fuel-Specific GHG'!$C$15)*(1/3.4)*$F43)*'Grid Electricity'!$C$39)/454),((CB43+(CE43*CH43))*(IF(ISBLANK(AH43),Defaults!$B$19,AH43))*$AF43*$AJ43*$F43)),0)</f>
        <v>0</v>
      </c>
      <c r="CK43" s="813">
        <f>IFERROR(IF($X43="ELEC",((($AU43*(IF($H43="DESL",'Fuel-Specific GHG'!$C$14,IF($H43="GAS",'Fuel-Specific GHG'!$C$16,IF($H43="CNG",'Fuel-Specific GHG'!$C$13,IF(OR($H43="LPG",$H43="PROP"),'Fuel-Specific GHG'!$C$19,"")))))*(1/'Fuel-Specific GHG'!$C$15)*(1/3.4)*$F43)*'Grid Electricity'!$F$39)/454),((CC43+(CF43*CH43))*(IF(ISBLANK(AH43),Defaults!$B$19,AH43))*$AF43*$AJ43*$F43)),0)</f>
        <v>0</v>
      </c>
      <c r="CL43" s="813">
        <f t="shared" si="35"/>
        <v>0</v>
      </c>
      <c r="CM43" s="813">
        <f t="shared" si="36"/>
        <v>0</v>
      </c>
      <c r="CN43" s="814" t="str">
        <f t="shared" si="37"/>
        <v/>
      </c>
      <c r="CO43" s="814" t="str">
        <f t="shared" si="38"/>
        <v/>
      </c>
      <c r="CP43" s="814" t="str">
        <f t="shared" si="39"/>
        <v/>
      </c>
      <c r="CQ43" s="814" t="str">
        <f t="shared" si="40"/>
        <v/>
      </c>
      <c r="CR43" s="815" t="str">
        <f>IF(AND(V43="Yes, Booster Pump VFD",AF43&lt;=75),('Pump Emission Factors'!$F$95*F43),(IF(AND(V43="Yes, Booster Pump VFD",AF43&gt;75),('Pump Emission Factors'!$F$96*F43),(IF(AND(V43="Yes, Well Pump VFD",AF43&lt;=75),('Pump Emission Factors'!$F$97*F43),(IF(AND(V43="Yes, Well Pump VFD",AF43&gt;75),('Pump Emission Factors'!$F$98*F43),"")))))))</f>
        <v/>
      </c>
      <c r="CS43" s="815" t="str">
        <f>IF(AND(V43="Yes, Booster Pump VFD",AF43&lt;=75),('Pump Emission Factors'!$G$95*F43),(IF(AND(V43="Yes, Booster Pump VFD",AF43&gt;75),('Pump Emission Factors'!$G$96*F43),(IF(AND(V43="Yes, Well Pump VFD",AF43&lt;=75),('Pump Emission Factors'!$G$97*F43),(IF(AND(V43="Yes, Well Pump VFD",AF43&gt;75),('Pump Emission Factors'!$G$98*F43),"")))))))</f>
        <v/>
      </c>
      <c r="CT43" s="815" t="str">
        <f>IF(AND(V43="Yes, Booster Pump VFD",AF43&lt;=75),('Pump Emission Factors'!$H$95*F43),(IF(AND(V43="Yes, Booster Pump VFD",AF43&gt;75),('Pump Emission Factors'!$H$96*F43),(IF(AND(V43="Yes, Well Pump VFD",AF43&lt;=75),('Pump Emission Factors'!$H$97*F43),(IF(AND(V43="Yes, Well Pump VFD",AF43&gt;75),('Pump Emission Factors'!$H$98*F43),"")))))))</f>
        <v/>
      </c>
      <c r="CU43" s="815" t="str">
        <f>IF(AND(V43="Yes, Booster Pump VFD",AF43&lt;=75),('Pump Emission Factors'!$J$95*F43),(IF(AND(V43="Yes, Booster Pump VFD",AF43&gt;75),('Pump Emission Factors'!$J$96*F43),(IF(AND(V43="Yes, Well Pump VFD",AF43&lt;=75),('Pump Emission Factors'!$J$97*F43),(IF(AND(V43="Yes, Well Pump VFD",AF43&gt;75),('Pump Emission Factors'!$J$98*F43),"")))))))</f>
        <v/>
      </c>
      <c r="CV43" s="815" t="str">
        <f>IF(AND(V43="Yes, Booster Pump VFD",AF43&lt;=75),('Pump Emission Factors'!$I$95*F43),(IF(AND(V43="Yes, Booster Pump VFD",AF43&gt;75),('Pump Emission Factors'!$I$96*F43),(IF(AND(V43="Yes, Well Pump VFD",AF43&lt;=75),('Pump Emission Factors'!$I$97*F43),(IF(AND(V43="Yes, Well Pump VFD",AF43&gt;75),('Pump Emission Factors'!$I$98*F43),"")))))))</f>
        <v/>
      </c>
      <c r="CW43" s="806">
        <f t="shared" si="41"/>
        <v>0</v>
      </c>
      <c r="CX43" s="806">
        <f t="shared" si="42"/>
        <v>0</v>
      </c>
      <c r="CY43" s="806">
        <f t="shared" si="43"/>
        <v>0</v>
      </c>
      <c r="CZ43" s="806">
        <f t="shared" si="44"/>
        <v>0</v>
      </c>
      <c r="DA43" s="806">
        <f t="shared" si="45"/>
        <v>0</v>
      </c>
      <c r="DB43" s="816" t="str">
        <f t="shared" si="65"/>
        <v/>
      </c>
      <c r="DC43" s="816" t="str">
        <f t="shared" si="65"/>
        <v/>
      </c>
      <c r="DD43" s="816" t="str">
        <f t="shared" si="65"/>
        <v/>
      </c>
      <c r="DE43" s="817" t="str">
        <f t="shared" si="47"/>
        <v/>
      </c>
      <c r="DF43" s="817" t="str">
        <f t="shared" si="48"/>
        <v/>
      </c>
      <c r="DG43" s="804" t="str">
        <f t="shared" si="49"/>
        <v/>
      </c>
      <c r="DH43" s="804" t="str">
        <f t="shared" si="50"/>
        <v/>
      </c>
      <c r="DI43" s="818" t="str">
        <f>IF(AO43="","",IF(H43="DESL",AO43*F43*'Fuel Prices'!$C$12,IF(H43="GAS",AO43*F43*'Fuel Prices'!$C$11,IF(H43="CNG",AO43*F43*'Fuel Prices'!$C$13,IF(H43="LNG",AO43*F43*'Fuel Prices'!$C$14,IF(H43="LPG",AO43*F43*'Fuel Prices'!$C$16,IF(H43="PROP",AO43*F43*'Fuel Prices'!$C$16,"0")))))))</f>
        <v/>
      </c>
      <c r="DJ43" s="818" t="str">
        <f>IF(AU43="","",IF(X43="DESL",AU43*F43*'Fuel Prices'!$C$12,IF(X43="GAS",AU43*F43*'Fuel Prices'!$C$11,IF(X43="CNG",AU43*F43*'Fuel Prices'!$C$13,IF(X43="LNG",AU43*F43*'Fuel Prices'!$C$14,IF(X43="LPG",AU43*F43*'Fuel Prices'!$C$16,IF(X43="PROP",AU43*F43*'Fuel Prices'!$C$16,IF(X43="ELEC",AU43*F43*'Fuel Prices'!$C$35,"0"))))))))</f>
        <v/>
      </c>
      <c r="DK43" s="818" t="str">
        <f t="shared" si="51"/>
        <v/>
      </c>
      <c r="DL43" s="818" t="str">
        <f t="shared" si="52"/>
        <v/>
      </c>
      <c r="DM43" s="804" t="str">
        <f t="shared" si="53"/>
        <v/>
      </c>
      <c r="DN43" s="804" t="str">
        <f t="shared" si="54"/>
        <v/>
      </c>
      <c r="DO43" s="804" t="str">
        <f>IFERROR(ROUND(CZ43*IF(COUNTIF($B$20:B43,B43)=1,1,"")/IF(B43="",0,1),0),"")</f>
        <v/>
      </c>
      <c r="DP43" s="804" t="str">
        <f>IFERROR(ROUND(CW43*IF(COUNTIF($B$20:B43,B43)=1,1,"")/IF(B43="",0,1),0),"")</f>
        <v/>
      </c>
      <c r="DQ43" s="804" t="str">
        <f>IFERROR(ROUND(DA43*IF(COUNTIF($B$20:B43,B43)=1,1,"")/IF(B43="",0,1),0),"")</f>
        <v/>
      </c>
      <c r="DR43" s="804" t="str">
        <f>IFERROR(ROUND(CX43*IF(COUNTIF($B$20:B43,B43)=1,1,"")/IF(B43="",0,1),0),"")</f>
        <v/>
      </c>
      <c r="DS43" s="804">
        <f t="shared" si="55"/>
        <v>0</v>
      </c>
      <c r="DT43" s="804">
        <f t="shared" si="56"/>
        <v>0</v>
      </c>
      <c r="DU43" s="804">
        <f t="shared" si="57"/>
        <v>0</v>
      </c>
      <c r="DV43" s="818" t="str">
        <f t="shared" si="66"/>
        <v/>
      </c>
      <c r="DW43" s="819" t="str">
        <f t="shared" si="67"/>
        <v/>
      </c>
    </row>
    <row r="44" spans="1:127" ht="18" customHeight="1" x14ac:dyDescent="0.35">
      <c r="A44" s="635"/>
      <c r="B44" s="820"/>
      <c r="C44" s="825" t="str">
        <f t="shared" si="0"/>
        <v>(Required)</v>
      </c>
      <c r="D44" s="821"/>
      <c r="E44" s="825" t="str">
        <f t="shared" si="0"/>
        <v>(Required)</v>
      </c>
      <c r="F44" s="821"/>
      <c r="G44" s="825" t="str">
        <f t="shared" si="1"/>
        <v>(Required)</v>
      </c>
      <c r="H44" s="822"/>
      <c r="I44" s="825" t="str">
        <f t="shared" si="2"/>
        <v>(Required)</v>
      </c>
      <c r="J44" s="821"/>
      <c r="K44" s="825" t="str">
        <f t="shared" si="3"/>
        <v>(Required)</v>
      </c>
      <c r="L44" s="821"/>
      <c r="M44" s="825" t="str">
        <f t="shared" si="4"/>
        <v>(Required)</v>
      </c>
      <c r="N44" s="821"/>
      <c r="O44" s="825" t="str">
        <f t="shared" si="5"/>
        <v>(Required)</v>
      </c>
      <c r="P44" s="821"/>
      <c r="Q44" s="825" t="str">
        <f t="shared" si="6"/>
        <v>(Required)</v>
      </c>
      <c r="R44" s="823"/>
      <c r="S44" s="826" t="str">
        <f t="shared" si="7"/>
        <v>(Optional)</v>
      </c>
      <c r="T44" s="821"/>
      <c r="U44" s="827" t="str">
        <f t="shared" si="8"/>
        <v>(Required)</v>
      </c>
      <c r="V44" s="828"/>
      <c r="W44" s="799" t="str">
        <f t="shared" si="9"/>
        <v>(Optional)</v>
      </c>
      <c r="X44" s="822"/>
      <c r="Y44" s="825" t="str">
        <f t="shared" si="10"/>
        <v>(Required)</v>
      </c>
      <c r="Z44" s="821"/>
      <c r="AA44" s="825" t="str">
        <f t="shared" si="11"/>
        <v>(Required)</v>
      </c>
      <c r="AB44" s="821"/>
      <c r="AC44" s="825" t="str">
        <f t="shared" si="12"/>
        <v>(Required)</v>
      </c>
      <c r="AD44" s="821"/>
      <c r="AE44" s="825" t="str">
        <f t="shared" si="13"/>
        <v>(Required)</v>
      </c>
      <c r="AF44" s="821"/>
      <c r="AG44" s="825" t="str">
        <f t="shared" si="14"/>
        <v>(Required)</v>
      </c>
      <c r="AH44" s="823"/>
      <c r="AI44" s="826" t="str">
        <f t="shared" si="15"/>
        <v>(Optional)</v>
      </c>
      <c r="AJ44" s="821"/>
      <c r="AK44" s="825" t="str">
        <f t="shared" si="16"/>
        <v>(Required)</v>
      </c>
      <c r="AL44" s="803" t="str">
        <f t="shared" si="17"/>
        <v/>
      </c>
      <c r="AM44" s="803" t="str">
        <f>IF(H44="DESL",'Fuel Density'!$C$12,IF(H44="GAS",'Fuel Density'!$C$11,IF(H44="CNG",'Fuel Density'!$C$13,IF(H44="LNG",'Fuel Density'!$C$14,IF(H44="LPG",'Fuel Density'!$C$15,IF(H44="PROP",'Fuel Density'!$C$16,IF(H44="","","")))))))</f>
        <v/>
      </c>
      <c r="AN44" s="803" t="str">
        <f>IF(H44="DESL",'Fuel-Specific GHG'!$C$14,IF(H44="GAS",'Fuel-Specific GHG'!$C$16,IF(H44="CNG",'Fuel-Specific GHG'!$C$13,IF(H44="LNG",'Fuel-Specific GHG'!$C$18,IF(OR(H44="LPG",H44="PROP"),'Fuel-Specific GHG'!$C$19,IF(H44="","",""))))))</f>
        <v/>
      </c>
      <c r="AO44" s="804" t="str">
        <f>IFERROR(((P44*(IF(ISBLANK(R44),Defaults!$B$19,R44))*T44*AL44)/AM44),"")</f>
        <v/>
      </c>
      <c r="AP44" s="805" t="str">
        <f t="shared" si="18"/>
        <v/>
      </c>
      <c r="AQ44" s="805" t="str">
        <f>IF(H44="DESL",'Fuel-Specific GHG'!$E$14,IF(H44="GAS",'Fuel-Specific GHG'!$E$16,IF(H44="CNG",'Fuel-Specific GHG'!$E$13,IF(H44="LNG",'Fuel-Specific GHG'!$E$18,IF(OR(H44="LPG",H44="PROP"),'Fuel-Specific GHG'!$E$19,"")))))</f>
        <v/>
      </c>
      <c r="AR44" s="805" t="str">
        <f t="shared" si="19"/>
        <v/>
      </c>
      <c r="AS44" s="803" t="str">
        <f t="shared" si="58"/>
        <v/>
      </c>
      <c r="AT44" s="803" t="str">
        <f>IF(X44="DESL",'Fuel Density'!$C$12,IF(X44="PROP",'Fuel Density'!$C$16,IF(X44="GAS",'Fuel Density'!$C$11,IF(X44="CNG",'Fuel Density'!$C$13,IF(X44="LNG",'Fuel Density'!$C$14,IF(X44="LPG",'Fuel Density'!$C$15,IF(X44="","","")))))))</f>
        <v/>
      </c>
      <c r="AU44" s="804" t="str">
        <f>IFERROR(IF(X44="ELEC",AO44*AN44*(1/'Fuel-Specific GHG'!$C$15)*(1/IF(H44="GAS",3.4,IF(H44="DESL",2.7,3))),((AF44*(IF(ISBLANK(AH44),Defaults!$B$19,AH44))*AJ44*AS44)/AT44)),"")</f>
        <v/>
      </c>
      <c r="AV44" s="805" t="str">
        <f t="shared" si="20"/>
        <v/>
      </c>
      <c r="AW44" s="805" t="str">
        <f>IF(X44="DESL",'Fuel-Specific GHG'!$E$14,IF(X44="PROP",'Fuel-Specific GHG'!$E$19,IF(X44="GAS",'Fuel-Specific GHG'!$E$16,IF(X44="CNG",'Fuel-Specific GHG'!$E$13,IF(X44="LNG",'Fuel-Specific GHG'!$E$18,IF(X44="LPG",'Fuel-Specific GHG'!$E$19,IF(X44="ELEC",'Fuel-Specific GHG'!$E$15,"")))))))</f>
        <v/>
      </c>
      <c r="AX44" s="805" t="str">
        <f t="shared" si="21"/>
        <v/>
      </c>
      <c r="AY44" s="806" t="str">
        <f t="shared" si="22"/>
        <v/>
      </c>
      <c r="AZ44" s="806" t="str">
        <f t="shared" si="68"/>
        <v/>
      </c>
      <c r="BA44" s="806" t="str">
        <f t="shared" si="59"/>
        <v/>
      </c>
      <c r="BB44" s="804" t="str">
        <f t="shared" si="23"/>
        <v/>
      </c>
      <c r="BC44" s="807" t="str">
        <f t="shared" si="24"/>
        <v/>
      </c>
      <c r="BD44" s="807"/>
      <c r="BE44" s="808" t="str">
        <f t="shared" si="25"/>
        <v/>
      </c>
      <c r="BF44" s="809" t="str">
        <f t="shared" si="26"/>
        <v/>
      </c>
      <c r="BG44" s="808" t="str">
        <f t="shared" si="60"/>
        <v/>
      </c>
      <c r="BH44" s="810">
        <f t="shared" si="61"/>
        <v>0</v>
      </c>
      <c r="BI44" s="803" t="str">
        <f>IFERROR(VLOOKUP(BH44,'Pump Emission Factors'!$B$11:$J$88,4,FALSE),"")</f>
        <v/>
      </c>
      <c r="BJ44" s="803" t="str">
        <f>IFERROR(VLOOKUP(BH44,'Pump Emission Factors'!$B$11:$J$88,6,FALSE),"")</f>
        <v/>
      </c>
      <c r="BK44" s="803" t="str">
        <f>IFERROR(VLOOKUP(BH44,'Pump Emission Factors'!$B$11:$J$88,8,FALSE),"")</f>
        <v/>
      </c>
      <c r="BL44" s="803" t="str">
        <f>IFERROR(VLOOKUP(BH44,'Pump Emission Factors'!$B$11:$J$88,5,FALSE),"")</f>
        <v/>
      </c>
      <c r="BM44" s="803" t="str">
        <f>IFERROR(VLOOKUP(BH44,'Pump Emission Factors'!$B$11:$J$88,7,FALSE),"")</f>
        <v/>
      </c>
      <c r="BN44" s="803" t="str">
        <f>IFERROR(VLOOKUP(BH44,'Pump Emission Factors'!$B$11:$J$88,9,FALSE),"")</f>
        <v/>
      </c>
      <c r="BO44" s="811" t="str">
        <f t="shared" si="27"/>
        <v/>
      </c>
      <c r="BP44" s="811" t="str">
        <f t="shared" si="28"/>
        <v/>
      </c>
      <c r="BQ44" s="803">
        <f>IFERROR(((BI44+(BL44*BP44))*(IF(ISBLANK(R44),Defaults!$B$19,R44))*P44*T44)*F44*(1/454),0)</f>
        <v>0</v>
      </c>
      <c r="BR44" s="803">
        <f>IFERROR(((BJ44+(BM44*BP44))*(IF(ISBLANK(R44),Defaults!$B$19,R44))*P44*T44)*F44*(1/454),0)</f>
        <v>0</v>
      </c>
      <c r="BS44" s="803">
        <f>IFERROR(((BK44+(BN44*BP44))*(IF(ISBLANK(R44),Defaults!$B$19,R44))*P44*T44)*F44*(1/454),0)</f>
        <v>0</v>
      </c>
      <c r="BT44" s="803">
        <f t="shared" si="29"/>
        <v>0</v>
      </c>
      <c r="BU44" s="803">
        <f t="shared" si="62"/>
        <v>0</v>
      </c>
      <c r="BV44" s="812" t="str">
        <f t="shared" si="30"/>
        <v/>
      </c>
      <c r="BW44" s="808" t="str">
        <f t="shared" si="31"/>
        <v/>
      </c>
      <c r="BX44" s="809" t="str">
        <f t="shared" si="32"/>
        <v/>
      </c>
      <c r="BY44" s="808" t="str">
        <f t="shared" si="63"/>
        <v/>
      </c>
      <c r="BZ44" s="810">
        <f t="shared" si="64"/>
        <v>0</v>
      </c>
      <c r="CA44" s="813" t="str">
        <f>IFERROR(VLOOKUP(BZ44,'Pump Emission Factors'!$B$11:$J$88,4,FALSE),"")</f>
        <v/>
      </c>
      <c r="CB44" s="813" t="str">
        <f>IFERROR(VLOOKUP(BZ44,'Pump Emission Factors'!$B$11:$J$88,6,FALSE),"")</f>
        <v/>
      </c>
      <c r="CC44" s="813" t="str">
        <f>IFERROR(VLOOKUP(BZ44,'Pump Emission Factors'!$B$11:$J$88,8,FALSE),"")</f>
        <v/>
      </c>
      <c r="CD44" s="813" t="str">
        <f>IFERROR(VLOOKUP(BZ44,'Pump Emission Factors'!$B$11:$J$88,5,FALSE),"")</f>
        <v/>
      </c>
      <c r="CE44" s="813" t="str">
        <f>IFERROR(VLOOKUP(BZ44,'Pump Emission Factors'!$B$11:$J$88,7,FALSE),"")</f>
        <v/>
      </c>
      <c r="CF44" s="813" t="str">
        <f>IFERROR(VLOOKUP(BZ44,'Pump Emission Factors'!$B$11:$J$88,9,FALSE),"")</f>
        <v/>
      </c>
      <c r="CG44" s="814" t="str">
        <f t="shared" si="33"/>
        <v/>
      </c>
      <c r="CH44" s="814" t="str">
        <f t="shared" si="34"/>
        <v/>
      </c>
      <c r="CI44" s="813">
        <f>IFERROR(IF($X44="ELEC",((($AU44*(IF($H44="DESL",'Fuel-Specific GHG'!$C$14,IF($H44="GAS",'Fuel-Specific GHG'!$C$16,IF($H44="CNG",'Fuel-Specific GHG'!$C$13,IF(OR($H44="LPG",$H44="PROP"),'Fuel-Specific GHG'!$C$19,"")))))*(1/'Fuel-Specific GHG'!$C$15)*(1/3.4)*$F44)*'Grid Electricity'!$D$39)/454),((CA44+(CD44*CH44))*(IF(ISBLANK(AH44),Defaults!$B$19,AH44))*$AF44*$AJ44*$F44)),0)</f>
        <v>0</v>
      </c>
      <c r="CJ44" s="813">
        <f>IFERROR(IF($X44="ELEC",((($AU44*(IF($H44="DESL",'Fuel-Specific GHG'!$C$14,IF($H44="GAS",'Fuel-Specific GHG'!$C$16,IF($H44="CNG",'Fuel-Specific GHG'!$C$13,IF(OR($H44="LPG",$H44="PROP"),'Fuel-Specific GHG'!$C$19,"")))))*(1/'Fuel-Specific GHG'!$C$15)*(1/3.4)*$F44)*'Grid Electricity'!$C$39)/454),((CB44+(CE44*CH44))*(IF(ISBLANK(AH44),Defaults!$B$19,AH44))*$AF44*$AJ44*$F44)),0)</f>
        <v>0</v>
      </c>
      <c r="CK44" s="813">
        <f>IFERROR(IF($X44="ELEC",((($AU44*(IF($H44="DESL",'Fuel-Specific GHG'!$C$14,IF($H44="GAS",'Fuel-Specific GHG'!$C$16,IF($H44="CNG",'Fuel-Specific GHG'!$C$13,IF(OR($H44="LPG",$H44="PROP"),'Fuel-Specific GHG'!$C$19,"")))))*(1/'Fuel-Specific GHG'!$C$15)*(1/3.4)*$F44)*'Grid Electricity'!$F$39)/454),((CC44+(CF44*CH44))*(IF(ISBLANK(AH44),Defaults!$B$19,AH44))*$AF44*$AJ44*$F44)),0)</f>
        <v>0</v>
      </c>
      <c r="CL44" s="813">
        <f t="shared" si="35"/>
        <v>0</v>
      </c>
      <c r="CM44" s="813">
        <f t="shared" si="36"/>
        <v>0</v>
      </c>
      <c r="CN44" s="814" t="str">
        <f t="shared" si="37"/>
        <v/>
      </c>
      <c r="CO44" s="814" t="str">
        <f t="shared" si="38"/>
        <v/>
      </c>
      <c r="CP44" s="814" t="str">
        <f t="shared" si="39"/>
        <v/>
      </c>
      <c r="CQ44" s="814" t="str">
        <f t="shared" si="40"/>
        <v/>
      </c>
      <c r="CR44" s="815" t="str">
        <f>IF(AND(V44="Yes, Booster Pump VFD",AF44&lt;=75),('Pump Emission Factors'!$F$95*F44),(IF(AND(V44="Yes, Booster Pump VFD",AF44&gt;75),('Pump Emission Factors'!$F$96*F44),(IF(AND(V44="Yes, Well Pump VFD",AF44&lt;=75),('Pump Emission Factors'!$F$97*F44),(IF(AND(V44="Yes, Well Pump VFD",AF44&gt;75),('Pump Emission Factors'!$F$98*F44),"")))))))</f>
        <v/>
      </c>
      <c r="CS44" s="815" t="str">
        <f>IF(AND(V44="Yes, Booster Pump VFD",AF44&lt;=75),('Pump Emission Factors'!$G$95*F44),(IF(AND(V44="Yes, Booster Pump VFD",AF44&gt;75),('Pump Emission Factors'!$G$96*F44),(IF(AND(V44="Yes, Well Pump VFD",AF44&lt;=75),('Pump Emission Factors'!$G$97*F44),(IF(AND(V44="Yes, Well Pump VFD",AF44&gt;75),('Pump Emission Factors'!$G$98*F44),"")))))))</f>
        <v/>
      </c>
      <c r="CT44" s="815" t="str">
        <f>IF(AND(V44="Yes, Booster Pump VFD",AF44&lt;=75),('Pump Emission Factors'!$H$95*F44),(IF(AND(V44="Yes, Booster Pump VFD",AF44&gt;75),('Pump Emission Factors'!$H$96*F44),(IF(AND(V44="Yes, Well Pump VFD",AF44&lt;=75),('Pump Emission Factors'!$H$97*F44),(IF(AND(V44="Yes, Well Pump VFD",AF44&gt;75),('Pump Emission Factors'!$H$98*F44),"")))))))</f>
        <v/>
      </c>
      <c r="CU44" s="815" t="str">
        <f>IF(AND(V44="Yes, Booster Pump VFD",AF44&lt;=75),('Pump Emission Factors'!$J$95*F44),(IF(AND(V44="Yes, Booster Pump VFD",AF44&gt;75),('Pump Emission Factors'!$J$96*F44),(IF(AND(V44="Yes, Well Pump VFD",AF44&lt;=75),('Pump Emission Factors'!$J$97*F44),(IF(AND(V44="Yes, Well Pump VFD",AF44&gt;75),('Pump Emission Factors'!$J$98*F44),"")))))))</f>
        <v/>
      </c>
      <c r="CV44" s="815" t="str">
        <f>IF(AND(V44="Yes, Booster Pump VFD",AF44&lt;=75),('Pump Emission Factors'!$I$95*F44),(IF(AND(V44="Yes, Booster Pump VFD",AF44&gt;75),('Pump Emission Factors'!$I$96*F44),(IF(AND(V44="Yes, Well Pump VFD",AF44&lt;=75),('Pump Emission Factors'!$I$97*F44),(IF(AND(V44="Yes, Well Pump VFD",AF44&gt;75),('Pump Emission Factors'!$I$98*F44),"")))))))</f>
        <v/>
      </c>
      <c r="CW44" s="806">
        <f t="shared" si="41"/>
        <v>0</v>
      </c>
      <c r="CX44" s="806">
        <f t="shared" si="42"/>
        <v>0</v>
      </c>
      <c r="CY44" s="806">
        <f t="shared" si="43"/>
        <v>0</v>
      </c>
      <c r="CZ44" s="806">
        <f t="shared" si="44"/>
        <v>0</v>
      </c>
      <c r="DA44" s="806">
        <f t="shared" si="45"/>
        <v>0</v>
      </c>
      <c r="DB44" s="816" t="str">
        <f t="shared" si="65"/>
        <v/>
      </c>
      <c r="DC44" s="816" t="str">
        <f t="shared" si="65"/>
        <v/>
      </c>
      <c r="DD44" s="816" t="str">
        <f t="shared" si="65"/>
        <v/>
      </c>
      <c r="DE44" s="817" t="str">
        <f t="shared" si="47"/>
        <v/>
      </c>
      <c r="DF44" s="817" t="str">
        <f t="shared" si="48"/>
        <v/>
      </c>
      <c r="DG44" s="804" t="str">
        <f t="shared" si="49"/>
        <v/>
      </c>
      <c r="DH44" s="804" t="str">
        <f t="shared" si="50"/>
        <v/>
      </c>
      <c r="DI44" s="818" t="str">
        <f>IF(AO44="","",IF(H44="DESL",AO44*F44*'Fuel Prices'!$C$12,IF(H44="GAS",AO44*F44*'Fuel Prices'!$C$11,IF(H44="CNG",AO44*F44*'Fuel Prices'!$C$13,IF(H44="LNG",AO44*F44*'Fuel Prices'!$C$14,IF(H44="LPG",AO44*F44*'Fuel Prices'!$C$16,IF(H44="PROP",AO44*F44*'Fuel Prices'!$C$16,"0")))))))</f>
        <v/>
      </c>
      <c r="DJ44" s="818" t="str">
        <f>IF(AU44="","",IF(X44="DESL",AU44*F44*'Fuel Prices'!$C$12,IF(X44="GAS",AU44*F44*'Fuel Prices'!$C$11,IF(X44="CNG",AU44*F44*'Fuel Prices'!$C$13,IF(X44="LNG",AU44*F44*'Fuel Prices'!$C$14,IF(X44="LPG",AU44*F44*'Fuel Prices'!$C$16,IF(X44="PROP",AU44*F44*'Fuel Prices'!$C$16,IF(X44="ELEC",AU44*F44*'Fuel Prices'!$C$35,"0"))))))))</f>
        <v/>
      </c>
      <c r="DK44" s="818" t="str">
        <f t="shared" si="51"/>
        <v/>
      </c>
      <c r="DL44" s="818" t="str">
        <f t="shared" si="52"/>
        <v/>
      </c>
      <c r="DM44" s="804" t="str">
        <f t="shared" si="53"/>
        <v/>
      </c>
      <c r="DN44" s="804" t="str">
        <f t="shared" si="54"/>
        <v/>
      </c>
      <c r="DO44" s="804" t="str">
        <f>IFERROR(ROUND(CZ44*IF(COUNTIF($B$20:B44,B44)=1,1,"")/IF(B44="",0,1),0),"")</f>
        <v/>
      </c>
      <c r="DP44" s="804" t="str">
        <f>IFERROR(ROUND(CW44*IF(COUNTIF($B$20:B44,B44)=1,1,"")/IF(B44="",0,1),0),"")</f>
        <v/>
      </c>
      <c r="DQ44" s="804" t="str">
        <f>IFERROR(ROUND(DA44*IF(COUNTIF($B$20:B44,B44)=1,1,"")/IF(B44="",0,1),0),"")</f>
        <v/>
      </c>
      <c r="DR44" s="804" t="str">
        <f>IFERROR(ROUND(CX44*IF(COUNTIF($B$20:B44,B44)=1,1,"")/IF(B44="",0,1),0),"")</f>
        <v/>
      </c>
      <c r="DS44" s="804">
        <f t="shared" si="55"/>
        <v>0</v>
      </c>
      <c r="DT44" s="804">
        <f t="shared" si="56"/>
        <v>0</v>
      </c>
      <c r="DU44" s="804">
        <f t="shared" si="57"/>
        <v>0</v>
      </c>
      <c r="DV44" s="818" t="str">
        <f t="shared" si="66"/>
        <v/>
      </c>
      <c r="DW44" s="819" t="str">
        <f t="shared" si="67"/>
        <v/>
      </c>
    </row>
    <row r="45" spans="1:127" ht="18" customHeight="1" x14ac:dyDescent="0.35">
      <c r="A45" s="696"/>
      <c r="B45" s="820"/>
      <c r="C45" s="825" t="str">
        <f t="shared" si="0"/>
        <v>(Required)</v>
      </c>
      <c r="D45" s="821"/>
      <c r="E45" s="825" t="str">
        <f t="shared" si="0"/>
        <v>(Required)</v>
      </c>
      <c r="F45" s="821"/>
      <c r="G45" s="825" t="str">
        <f t="shared" si="1"/>
        <v>(Required)</v>
      </c>
      <c r="H45" s="822"/>
      <c r="I45" s="825" t="str">
        <f t="shared" si="2"/>
        <v>(Required)</v>
      </c>
      <c r="J45" s="821"/>
      <c r="K45" s="825" t="str">
        <f t="shared" si="3"/>
        <v>(Required)</v>
      </c>
      <c r="L45" s="821"/>
      <c r="M45" s="825" t="str">
        <f t="shared" si="4"/>
        <v>(Required)</v>
      </c>
      <c r="N45" s="821"/>
      <c r="O45" s="825" t="str">
        <f t="shared" si="5"/>
        <v>(Required)</v>
      </c>
      <c r="P45" s="821"/>
      <c r="Q45" s="825" t="str">
        <f t="shared" si="6"/>
        <v>(Required)</v>
      </c>
      <c r="R45" s="823"/>
      <c r="S45" s="826" t="str">
        <f t="shared" si="7"/>
        <v>(Optional)</v>
      </c>
      <c r="T45" s="821"/>
      <c r="U45" s="827" t="str">
        <f t="shared" si="8"/>
        <v>(Required)</v>
      </c>
      <c r="V45" s="828"/>
      <c r="W45" s="799" t="str">
        <f t="shared" si="9"/>
        <v>(Optional)</v>
      </c>
      <c r="X45" s="822"/>
      <c r="Y45" s="825" t="str">
        <f t="shared" si="10"/>
        <v>(Required)</v>
      </c>
      <c r="Z45" s="821"/>
      <c r="AA45" s="825" t="str">
        <f t="shared" si="11"/>
        <v>(Required)</v>
      </c>
      <c r="AB45" s="821"/>
      <c r="AC45" s="825" t="str">
        <f t="shared" si="12"/>
        <v>(Required)</v>
      </c>
      <c r="AD45" s="821"/>
      <c r="AE45" s="825" t="str">
        <f t="shared" si="13"/>
        <v>(Required)</v>
      </c>
      <c r="AF45" s="821"/>
      <c r="AG45" s="825" t="str">
        <f t="shared" si="14"/>
        <v>(Required)</v>
      </c>
      <c r="AH45" s="823"/>
      <c r="AI45" s="826" t="str">
        <f t="shared" si="15"/>
        <v>(Optional)</v>
      </c>
      <c r="AJ45" s="821"/>
      <c r="AK45" s="825" t="str">
        <f t="shared" si="16"/>
        <v>(Required)</v>
      </c>
      <c r="AL45" s="803" t="str">
        <f t="shared" si="17"/>
        <v/>
      </c>
      <c r="AM45" s="803" t="str">
        <f>IF(H45="DESL",'Fuel Density'!$C$12,IF(H45="GAS",'Fuel Density'!$C$11,IF(H45="CNG",'Fuel Density'!$C$13,IF(H45="LNG",'Fuel Density'!$C$14,IF(H45="LPG",'Fuel Density'!$C$15,IF(H45="PROP",'Fuel Density'!$C$16,IF(H45="","","")))))))</f>
        <v/>
      </c>
      <c r="AN45" s="803" t="str">
        <f>IF(H45="DESL",'Fuel-Specific GHG'!$C$14,IF(H45="GAS",'Fuel-Specific GHG'!$C$16,IF(H45="CNG",'Fuel-Specific GHG'!$C$13,IF(H45="LNG",'Fuel-Specific GHG'!$C$18,IF(OR(H45="LPG",H45="PROP"),'Fuel-Specific GHG'!$C$19,IF(H45="","",""))))))</f>
        <v/>
      </c>
      <c r="AO45" s="804" t="str">
        <f>IFERROR(((P45*(IF(ISBLANK(R45),Defaults!$B$19,R45))*T45*AL45)/AM45),"")</f>
        <v/>
      </c>
      <c r="AP45" s="805" t="str">
        <f t="shared" si="18"/>
        <v/>
      </c>
      <c r="AQ45" s="805" t="str">
        <f>IF(H45="DESL",'Fuel-Specific GHG'!$E$14,IF(H45="GAS",'Fuel-Specific GHG'!$E$16,IF(H45="CNG",'Fuel-Specific GHG'!$E$13,IF(H45="LNG",'Fuel-Specific GHG'!$E$18,IF(OR(H45="LPG",H45="PROP"),'Fuel-Specific GHG'!$E$19,"")))))</f>
        <v/>
      </c>
      <c r="AR45" s="805" t="str">
        <f t="shared" si="19"/>
        <v/>
      </c>
      <c r="AS45" s="803" t="str">
        <f t="shared" si="58"/>
        <v/>
      </c>
      <c r="AT45" s="803" t="str">
        <f>IF(X45="DESL",'Fuel Density'!$C$12,IF(X45="PROP",'Fuel Density'!$C$16,IF(X45="GAS",'Fuel Density'!$C$11,IF(X45="CNG",'Fuel Density'!$C$13,IF(X45="LNG",'Fuel Density'!$C$14,IF(X45="LPG",'Fuel Density'!$C$15,IF(X45="","","")))))))</f>
        <v/>
      </c>
      <c r="AU45" s="804" t="str">
        <f>IFERROR(IF(X45="ELEC",AO45*AN45*(1/'Fuel-Specific GHG'!$C$15)*(1/IF(H45="GAS",3.4,IF(H45="DESL",2.7,3))),((AF45*(IF(ISBLANK(AH45),Defaults!$B$19,AH45))*AJ45*AS45)/AT45)),"")</f>
        <v/>
      </c>
      <c r="AV45" s="805" t="str">
        <f t="shared" si="20"/>
        <v/>
      </c>
      <c r="AW45" s="805" t="str">
        <f>IF(X45="DESL",'Fuel-Specific GHG'!$E$14,IF(X45="PROP",'Fuel-Specific GHG'!$E$19,IF(X45="GAS",'Fuel-Specific GHG'!$E$16,IF(X45="CNG",'Fuel-Specific GHG'!$E$13,IF(X45="LNG",'Fuel-Specific GHG'!$E$18,IF(X45="LPG",'Fuel-Specific GHG'!$E$19,IF(X45="ELEC",'Fuel-Specific GHG'!$E$15,"")))))))</f>
        <v/>
      </c>
      <c r="AX45" s="805" t="str">
        <f t="shared" si="21"/>
        <v/>
      </c>
      <c r="AY45" s="806" t="str">
        <f t="shared" si="22"/>
        <v/>
      </c>
      <c r="AZ45" s="806" t="str">
        <f t="shared" si="68"/>
        <v/>
      </c>
      <c r="BA45" s="806" t="str">
        <f t="shared" si="59"/>
        <v/>
      </c>
      <c r="BB45" s="804" t="str">
        <f t="shared" si="23"/>
        <v/>
      </c>
      <c r="BC45" s="807" t="str">
        <f t="shared" si="24"/>
        <v/>
      </c>
      <c r="BD45" s="807"/>
      <c r="BE45" s="808" t="str">
        <f t="shared" si="25"/>
        <v/>
      </c>
      <c r="BF45" s="809" t="str">
        <f t="shared" si="26"/>
        <v/>
      </c>
      <c r="BG45" s="808" t="str">
        <f t="shared" si="60"/>
        <v/>
      </c>
      <c r="BH45" s="810">
        <f t="shared" si="61"/>
        <v>0</v>
      </c>
      <c r="BI45" s="803" t="str">
        <f>IFERROR(VLOOKUP(BH45,'Pump Emission Factors'!$B$11:$J$88,4,FALSE),"")</f>
        <v/>
      </c>
      <c r="BJ45" s="803" t="str">
        <f>IFERROR(VLOOKUP(BH45,'Pump Emission Factors'!$B$11:$J$88,6,FALSE),"")</f>
        <v/>
      </c>
      <c r="BK45" s="803" t="str">
        <f>IFERROR(VLOOKUP(BH45,'Pump Emission Factors'!$B$11:$J$88,8,FALSE),"")</f>
        <v/>
      </c>
      <c r="BL45" s="803" t="str">
        <f>IFERROR(VLOOKUP(BH45,'Pump Emission Factors'!$B$11:$J$88,5,FALSE),"")</f>
        <v/>
      </c>
      <c r="BM45" s="803" t="str">
        <f>IFERROR(VLOOKUP(BH45,'Pump Emission Factors'!$B$11:$J$88,7,FALSE),"")</f>
        <v/>
      </c>
      <c r="BN45" s="803" t="str">
        <f>IFERROR(VLOOKUP(BH45,'Pump Emission Factors'!$B$11:$J$88,9,FALSE),"")</f>
        <v/>
      </c>
      <c r="BO45" s="811" t="str">
        <f t="shared" si="27"/>
        <v/>
      </c>
      <c r="BP45" s="811" t="str">
        <f t="shared" si="28"/>
        <v/>
      </c>
      <c r="BQ45" s="803">
        <f>IFERROR(((BI45+(BL45*BP45))*(IF(ISBLANK(R45),Defaults!$B$19,R45))*P45*T45)*F45*(1/454),0)</f>
        <v>0</v>
      </c>
      <c r="BR45" s="803">
        <f>IFERROR(((BJ45+(BM45*BP45))*(IF(ISBLANK(R45),Defaults!$B$19,R45))*P45*T45)*F45*(1/454),0)</f>
        <v>0</v>
      </c>
      <c r="BS45" s="803">
        <f>IFERROR(((BK45+(BN45*BP45))*(IF(ISBLANK(R45),Defaults!$B$19,R45))*P45*T45)*F45*(1/454),0)</f>
        <v>0</v>
      </c>
      <c r="BT45" s="803">
        <f t="shared" si="29"/>
        <v>0</v>
      </c>
      <c r="BU45" s="803">
        <f t="shared" si="62"/>
        <v>0</v>
      </c>
      <c r="BV45" s="812" t="str">
        <f t="shared" si="30"/>
        <v/>
      </c>
      <c r="BW45" s="808" t="str">
        <f t="shared" si="31"/>
        <v/>
      </c>
      <c r="BX45" s="809" t="str">
        <f t="shared" si="32"/>
        <v/>
      </c>
      <c r="BY45" s="808" t="str">
        <f t="shared" si="63"/>
        <v/>
      </c>
      <c r="BZ45" s="810">
        <f t="shared" si="64"/>
        <v>0</v>
      </c>
      <c r="CA45" s="813" t="str">
        <f>IFERROR(VLOOKUP(BZ45,'Pump Emission Factors'!$B$11:$J$88,4,FALSE),"")</f>
        <v/>
      </c>
      <c r="CB45" s="813" t="str">
        <f>IFERROR(VLOOKUP(BZ45,'Pump Emission Factors'!$B$11:$J$88,6,FALSE),"")</f>
        <v/>
      </c>
      <c r="CC45" s="813" t="str">
        <f>IFERROR(VLOOKUP(BZ45,'Pump Emission Factors'!$B$11:$J$88,8,FALSE),"")</f>
        <v/>
      </c>
      <c r="CD45" s="813" t="str">
        <f>IFERROR(VLOOKUP(BZ45,'Pump Emission Factors'!$B$11:$J$88,5,FALSE),"")</f>
        <v/>
      </c>
      <c r="CE45" s="813" t="str">
        <f>IFERROR(VLOOKUP(BZ45,'Pump Emission Factors'!$B$11:$J$88,7,FALSE),"")</f>
        <v/>
      </c>
      <c r="CF45" s="813" t="str">
        <f>IFERROR(VLOOKUP(BZ45,'Pump Emission Factors'!$B$11:$J$88,9,FALSE),"")</f>
        <v/>
      </c>
      <c r="CG45" s="814" t="str">
        <f t="shared" si="33"/>
        <v/>
      </c>
      <c r="CH45" s="814" t="str">
        <f t="shared" si="34"/>
        <v/>
      </c>
      <c r="CI45" s="813">
        <f>IFERROR(IF($X45="ELEC",((($AU45*(IF($H45="DESL",'Fuel-Specific GHG'!$C$14,IF($H45="GAS",'Fuel-Specific GHG'!$C$16,IF($H45="CNG",'Fuel-Specific GHG'!$C$13,IF(OR($H45="LPG",$H45="PROP"),'Fuel-Specific GHG'!$C$19,"")))))*(1/'Fuel-Specific GHG'!$C$15)*(1/3.4)*$F45)*'Grid Electricity'!$D$39)/454),((CA45+(CD45*CH45))*(IF(ISBLANK(AH45),Defaults!$B$19,AH45))*$AF45*$AJ45*$F45)),0)</f>
        <v>0</v>
      </c>
      <c r="CJ45" s="813">
        <f>IFERROR(IF($X45="ELEC",((($AU45*(IF($H45="DESL",'Fuel-Specific GHG'!$C$14,IF($H45="GAS",'Fuel-Specific GHG'!$C$16,IF($H45="CNG",'Fuel-Specific GHG'!$C$13,IF(OR($H45="LPG",$H45="PROP"),'Fuel-Specific GHG'!$C$19,"")))))*(1/'Fuel-Specific GHG'!$C$15)*(1/3.4)*$F45)*'Grid Electricity'!$C$39)/454),((CB45+(CE45*CH45))*(IF(ISBLANK(AH45),Defaults!$B$19,AH45))*$AF45*$AJ45*$F45)),0)</f>
        <v>0</v>
      </c>
      <c r="CK45" s="813">
        <f>IFERROR(IF($X45="ELEC",((($AU45*(IF($H45="DESL",'Fuel-Specific GHG'!$C$14,IF($H45="GAS",'Fuel-Specific GHG'!$C$16,IF($H45="CNG",'Fuel-Specific GHG'!$C$13,IF(OR($H45="LPG",$H45="PROP"),'Fuel-Specific GHG'!$C$19,"")))))*(1/'Fuel-Specific GHG'!$C$15)*(1/3.4)*$F45)*'Grid Electricity'!$F$39)/454),((CC45+(CF45*CH45))*(IF(ISBLANK(AH45),Defaults!$B$19,AH45))*$AF45*$AJ45*$F45)),0)</f>
        <v>0</v>
      </c>
      <c r="CL45" s="813">
        <f t="shared" si="35"/>
        <v>0</v>
      </c>
      <c r="CM45" s="813">
        <f t="shared" si="36"/>
        <v>0</v>
      </c>
      <c r="CN45" s="814" t="str">
        <f t="shared" si="37"/>
        <v/>
      </c>
      <c r="CO45" s="814" t="str">
        <f t="shared" si="38"/>
        <v/>
      </c>
      <c r="CP45" s="814" t="str">
        <f t="shared" si="39"/>
        <v/>
      </c>
      <c r="CQ45" s="814" t="str">
        <f t="shared" si="40"/>
        <v/>
      </c>
      <c r="CR45" s="815" t="str">
        <f>IF(AND(V45="Yes, Booster Pump VFD",AF45&lt;=75),('Pump Emission Factors'!$F$95*F45),(IF(AND(V45="Yes, Booster Pump VFD",AF45&gt;75),('Pump Emission Factors'!$F$96*F45),(IF(AND(V45="Yes, Well Pump VFD",AF45&lt;=75),('Pump Emission Factors'!$F$97*F45),(IF(AND(V45="Yes, Well Pump VFD",AF45&gt;75),('Pump Emission Factors'!$F$98*F45),"")))))))</f>
        <v/>
      </c>
      <c r="CS45" s="815" t="str">
        <f>IF(AND(V45="Yes, Booster Pump VFD",AF45&lt;=75),('Pump Emission Factors'!$G$95*F45),(IF(AND(V45="Yes, Booster Pump VFD",AF45&gt;75),('Pump Emission Factors'!$G$96*F45),(IF(AND(V45="Yes, Well Pump VFD",AF45&lt;=75),('Pump Emission Factors'!$G$97*F45),(IF(AND(V45="Yes, Well Pump VFD",AF45&gt;75),('Pump Emission Factors'!$G$98*F45),"")))))))</f>
        <v/>
      </c>
      <c r="CT45" s="815" t="str">
        <f>IF(AND(V45="Yes, Booster Pump VFD",AF45&lt;=75),('Pump Emission Factors'!$H$95*F45),(IF(AND(V45="Yes, Booster Pump VFD",AF45&gt;75),('Pump Emission Factors'!$H$96*F45),(IF(AND(V45="Yes, Well Pump VFD",AF45&lt;=75),('Pump Emission Factors'!$H$97*F45),(IF(AND(V45="Yes, Well Pump VFD",AF45&gt;75),('Pump Emission Factors'!$H$98*F45),"")))))))</f>
        <v/>
      </c>
      <c r="CU45" s="815" t="str">
        <f>IF(AND(V45="Yes, Booster Pump VFD",AF45&lt;=75),('Pump Emission Factors'!$J$95*F45),(IF(AND(V45="Yes, Booster Pump VFD",AF45&gt;75),('Pump Emission Factors'!$J$96*F45),(IF(AND(V45="Yes, Well Pump VFD",AF45&lt;=75),('Pump Emission Factors'!$J$97*F45),(IF(AND(V45="Yes, Well Pump VFD",AF45&gt;75),('Pump Emission Factors'!$J$98*F45),"")))))))</f>
        <v/>
      </c>
      <c r="CV45" s="815" t="str">
        <f>IF(AND(V45="Yes, Booster Pump VFD",AF45&lt;=75),('Pump Emission Factors'!$I$95*F45),(IF(AND(V45="Yes, Booster Pump VFD",AF45&gt;75),('Pump Emission Factors'!$I$96*F45),(IF(AND(V45="Yes, Well Pump VFD",AF45&lt;=75),('Pump Emission Factors'!$I$97*F45),(IF(AND(V45="Yes, Well Pump VFD",AF45&gt;75),('Pump Emission Factors'!$I$98*F45),"")))))))</f>
        <v/>
      </c>
      <c r="CW45" s="806">
        <f t="shared" si="41"/>
        <v>0</v>
      </c>
      <c r="CX45" s="806">
        <f t="shared" si="42"/>
        <v>0</v>
      </c>
      <c r="CY45" s="806">
        <f t="shared" si="43"/>
        <v>0</v>
      </c>
      <c r="CZ45" s="806">
        <f t="shared" si="44"/>
        <v>0</v>
      </c>
      <c r="DA45" s="806">
        <f t="shared" si="45"/>
        <v>0</v>
      </c>
      <c r="DB45" s="816" t="str">
        <f t="shared" si="65"/>
        <v/>
      </c>
      <c r="DC45" s="816" t="str">
        <f t="shared" si="65"/>
        <v/>
      </c>
      <c r="DD45" s="816" t="str">
        <f t="shared" si="65"/>
        <v/>
      </c>
      <c r="DE45" s="817" t="str">
        <f t="shared" si="47"/>
        <v/>
      </c>
      <c r="DF45" s="817" t="str">
        <f t="shared" si="48"/>
        <v/>
      </c>
      <c r="DG45" s="804" t="str">
        <f t="shared" si="49"/>
        <v/>
      </c>
      <c r="DH45" s="804" t="str">
        <f t="shared" si="50"/>
        <v/>
      </c>
      <c r="DI45" s="818" t="str">
        <f>IF(AO45="","",IF(H45="DESL",AO45*F45*'Fuel Prices'!$C$12,IF(H45="GAS",AO45*F45*'Fuel Prices'!$C$11,IF(H45="CNG",AO45*F45*'Fuel Prices'!$C$13,IF(H45="LNG",AO45*F45*'Fuel Prices'!$C$14,IF(H45="LPG",AO45*F45*'Fuel Prices'!$C$16,IF(H45="PROP",AO45*F45*'Fuel Prices'!$C$16,"0")))))))</f>
        <v/>
      </c>
      <c r="DJ45" s="818" t="str">
        <f>IF(AU45="","",IF(X45="DESL",AU45*F45*'Fuel Prices'!$C$12,IF(X45="GAS",AU45*F45*'Fuel Prices'!$C$11,IF(X45="CNG",AU45*F45*'Fuel Prices'!$C$13,IF(X45="LNG",AU45*F45*'Fuel Prices'!$C$14,IF(X45="LPG",AU45*F45*'Fuel Prices'!$C$16,IF(X45="PROP",AU45*F45*'Fuel Prices'!$C$16,IF(X45="ELEC",AU45*F45*'Fuel Prices'!$C$35,"0"))))))))</f>
        <v/>
      </c>
      <c r="DK45" s="818" t="str">
        <f t="shared" si="51"/>
        <v/>
      </c>
      <c r="DL45" s="818" t="str">
        <f t="shared" si="52"/>
        <v/>
      </c>
      <c r="DM45" s="804" t="str">
        <f t="shared" si="53"/>
        <v/>
      </c>
      <c r="DN45" s="804" t="str">
        <f t="shared" si="54"/>
        <v/>
      </c>
      <c r="DO45" s="804" t="str">
        <f>IFERROR(ROUND(CZ45*IF(COUNTIF($B$20:B45,B45)=1,1,"")/IF(B45="",0,1),0),"")</f>
        <v/>
      </c>
      <c r="DP45" s="804" t="str">
        <f>IFERROR(ROUND(CW45*IF(COUNTIF($B$20:B45,B45)=1,1,"")/IF(B45="",0,1),0),"")</f>
        <v/>
      </c>
      <c r="DQ45" s="804" t="str">
        <f>IFERROR(ROUND(DA45*IF(COUNTIF($B$20:B45,B45)=1,1,"")/IF(B45="",0,1),0),"")</f>
        <v/>
      </c>
      <c r="DR45" s="804" t="str">
        <f>IFERROR(ROUND(CX45*IF(COUNTIF($B$20:B45,B45)=1,1,"")/IF(B45="",0,1),0),"")</f>
        <v/>
      </c>
      <c r="DS45" s="804">
        <f t="shared" si="55"/>
        <v>0</v>
      </c>
      <c r="DT45" s="804">
        <f t="shared" si="56"/>
        <v>0</v>
      </c>
      <c r="DU45" s="804">
        <f t="shared" si="57"/>
        <v>0</v>
      </c>
      <c r="DV45" s="818" t="str">
        <f t="shared" si="66"/>
        <v/>
      </c>
      <c r="DW45" s="819" t="str">
        <f t="shared" si="67"/>
        <v/>
      </c>
    </row>
    <row r="46" spans="1:127" ht="18" customHeight="1" x14ac:dyDescent="0.35">
      <c r="A46" s="635"/>
      <c r="B46" s="820"/>
      <c r="C46" s="825" t="str">
        <f t="shared" si="0"/>
        <v>(Required)</v>
      </c>
      <c r="D46" s="821"/>
      <c r="E46" s="825" t="str">
        <f t="shared" si="0"/>
        <v>(Required)</v>
      </c>
      <c r="F46" s="821"/>
      <c r="G46" s="825" t="str">
        <f t="shared" si="1"/>
        <v>(Required)</v>
      </c>
      <c r="H46" s="822"/>
      <c r="I46" s="825" t="str">
        <f t="shared" si="2"/>
        <v>(Required)</v>
      </c>
      <c r="J46" s="821"/>
      <c r="K46" s="825" t="str">
        <f t="shared" si="3"/>
        <v>(Required)</v>
      </c>
      <c r="L46" s="821"/>
      <c r="M46" s="825" t="str">
        <f t="shared" si="4"/>
        <v>(Required)</v>
      </c>
      <c r="N46" s="821"/>
      <c r="O46" s="825" t="str">
        <f t="shared" si="5"/>
        <v>(Required)</v>
      </c>
      <c r="P46" s="821"/>
      <c r="Q46" s="825" t="str">
        <f t="shared" si="6"/>
        <v>(Required)</v>
      </c>
      <c r="R46" s="823"/>
      <c r="S46" s="826" t="str">
        <f t="shared" si="7"/>
        <v>(Optional)</v>
      </c>
      <c r="T46" s="821"/>
      <c r="U46" s="827" t="str">
        <f t="shared" si="8"/>
        <v>(Required)</v>
      </c>
      <c r="V46" s="828"/>
      <c r="W46" s="799" t="str">
        <f t="shared" si="9"/>
        <v>(Optional)</v>
      </c>
      <c r="X46" s="822"/>
      <c r="Y46" s="825" t="str">
        <f t="shared" si="10"/>
        <v>(Required)</v>
      </c>
      <c r="Z46" s="821"/>
      <c r="AA46" s="825" t="str">
        <f t="shared" si="11"/>
        <v>(Required)</v>
      </c>
      <c r="AB46" s="821"/>
      <c r="AC46" s="825" t="str">
        <f t="shared" si="12"/>
        <v>(Required)</v>
      </c>
      <c r="AD46" s="821"/>
      <c r="AE46" s="825" t="str">
        <f t="shared" si="13"/>
        <v>(Required)</v>
      </c>
      <c r="AF46" s="821"/>
      <c r="AG46" s="825" t="str">
        <f t="shared" si="14"/>
        <v>(Required)</v>
      </c>
      <c r="AH46" s="823"/>
      <c r="AI46" s="826" t="str">
        <f t="shared" si="15"/>
        <v>(Optional)</v>
      </c>
      <c r="AJ46" s="821"/>
      <c r="AK46" s="825" t="str">
        <f t="shared" si="16"/>
        <v>(Required)</v>
      </c>
      <c r="AL46" s="803" t="str">
        <f t="shared" si="17"/>
        <v/>
      </c>
      <c r="AM46" s="803" t="str">
        <f>IF(H46="DESL",'Fuel Density'!$C$12,IF(H46="GAS",'Fuel Density'!$C$11,IF(H46="CNG",'Fuel Density'!$C$13,IF(H46="LNG",'Fuel Density'!$C$14,IF(H46="LPG",'Fuel Density'!$C$15,IF(H46="PROP",'Fuel Density'!$C$16,IF(H46="","","")))))))</f>
        <v/>
      </c>
      <c r="AN46" s="803" t="str">
        <f>IF(H46="DESL",'Fuel-Specific GHG'!$C$14,IF(H46="GAS",'Fuel-Specific GHG'!$C$16,IF(H46="CNG",'Fuel-Specific GHG'!$C$13,IF(H46="LNG",'Fuel-Specific GHG'!$C$18,IF(OR(H46="LPG",H46="PROP"),'Fuel-Specific GHG'!$C$19,IF(H46="","",""))))))</f>
        <v/>
      </c>
      <c r="AO46" s="804" t="str">
        <f>IFERROR(((P46*(IF(ISBLANK(R46),Defaults!$B$19,R46))*T46*AL46)/AM46),"")</f>
        <v/>
      </c>
      <c r="AP46" s="805" t="str">
        <f t="shared" si="18"/>
        <v/>
      </c>
      <c r="AQ46" s="805" t="str">
        <f>IF(H46="DESL",'Fuel-Specific GHG'!$E$14,IF(H46="GAS",'Fuel-Specific GHG'!$E$16,IF(H46="CNG",'Fuel-Specific GHG'!$E$13,IF(H46="LNG",'Fuel-Specific GHG'!$E$18,IF(OR(H46="LPG",H46="PROP"),'Fuel-Specific GHG'!$E$19,"")))))</f>
        <v/>
      </c>
      <c r="AR46" s="805" t="str">
        <f t="shared" si="19"/>
        <v/>
      </c>
      <c r="AS46" s="803" t="str">
        <f t="shared" si="58"/>
        <v/>
      </c>
      <c r="AT46" s="803" t="str">
        <f>IF(X46="DESL",'Fuel Density'!$C$12,IF(X46="PROP",'Fuel Density'!$C$16,IF(X46="GAS",'Fuel Density'!$C$11,IF(X46="CNG",'Fuel Density'!$C$13,IF(X46="LNG",'Fuel Density'!$C$14,IF(X46="LPG",'Fuel Density'!$C$15,IF(X46="","","")))))))</f>
        <v/>
      </c>
      <c r="AU46" s="804" t="str">
        <f>IFERROR(IF(X46="ELEC",AO46*AN46*(1/'Fuel-Specific GHG'!$C$15)*(1/IF(H46="GAS",3.4,IF(H46="DESL",2.7,3))),((AF46*(IF(ISBLANK(AH46),Defaults!$B$19,AH46))*AJ46*AS46)/AT46)),"")</f>
        <v/>
      </c>
      <c r="AV46" s="805" t="str">
        <f t="shared" si="20"/>
        <v/>
      </c>
      <c r="AW46" s="805" t="str">
        <f>IF(X46="DESL",'Fuel-Specific GHG'!$E$14,IF(X46="PROP",'Fuel-Specific GHG'!$E$19,IF(X46="GAS",'Fuel-Specific GHG'!$E$16,IF(X46="CNG",'Fuel-Specific GHG'!$E$13,IF(X46="LNG",'Fuel-Specific GHG'!$E$18,IF(X46="LPG",'Fuel-Specific GHG'!$E$19,IF(X46="ELEC",'Fuel-Specific GHG'!$E$15,"")))))))</f>
        <v/>
      </c>
      <c r="AX46" s="805" t="str">
        <f t="shared" si="21"/>
        <v/>
      </c>
      <c r="AY46" s="806" t="str">
        <f t="shared" si="22"/>
        <v/>
      </c>
      <c r="AZ46" s="806" t="str">
        <f t="shared" si="68"/>
        <v/>
      </c>
      <c r="BA46" s="806" t="str">
        <f t="shared" si="59"/>
        <v/>
      </c>
      <c r="BB46" s="804" t="str">
        <f t="shared" si="23"/>
        <v/>
      </c>
      <c r="BC46" s="807" t="str">
        <f t="shared" si="24"/>
        <v/>
      </c>
      <c r="BD46" s="807"/>
      <c r="BE46" s="808" t="str">
        <f t="shared" si="25"/>
        <v/>
      </c>
      <c r="BF46" s="809" t="str">
        <f t="shared" si="26"/>
        <v/>
      </c>
      <c r="BG46" s="808" t="str">
        <f t="shared" si="60"/>
        <v/>
      </c>
      <c r="BH46" s="810">
        <f t="shared" si="61"/>
        <v>0</v>
      </c>
      <c r="BI46" s="803" t="str">
        <f>IFERROR(VLOOKUP(BH46,'Pump Emission Factors'!$B$11:$J$88,4,FALSE),"")</f>
        <v/>
      </c>
      <c r="BJ46" s="803" t="str">
        <f>IFERROR(VLOOKUP(BH46,'Pump Emission Factors'!$B$11:$J$88,6,FALSE),"")</f>
        <v/>
      </c>
      <c r="BK46" s="803" t="str">
        <f>IFERROR(VLOOKUP(BH46,'Pump Emission Factors'!$B$11:$J$88,8,FALSE),"")</f>
        <v/>
      </c>
      <c r="BL46" s="803" t="str">
        <f>IFERROR(VLOOKUP(BH46,'Pump Emission Factors'!$B$11:$J$88,5,FALSE),"")</f>
        <v/>
      </c>
      <c r="BM46" s="803" t="str">
        <f>IFERROR(VLOOKUP(BH46,'Pump Emission Factors'!$B$11:$J$88,7,FALSE),"")</f>
        <v/>
      </c>
      <c r="BN46" s="803" t="str">
        <f>IFERROR(VLOOKUP(BH46,'Pump Emission Factors'!$B$11:$J$88,9,FALSE),"")</f>
        <v/>
      </c>
      <c r="BO46" s="811" t="str">
        <f t="shared" si="27"/>
        <v/>
      </c>
      <c r="BP46" s="811" t="str">
        <f t="shared" si="28"/>
        <v/>
      </c>
      <c r="BQ46" s="803">
        <f>IFERROR(((BI46+(BL46*BP46))*(IF(ISBLANK(R46),Defaults!$B$19,R46))*P46*T46)*F46*(1/454),0)</f>
        <v>0</v>
      </c>
      <c r="BR46" s="803">
        <f>IFERROR(((BJ46+(BM46*BP46))*(IF(ISBLANK(R46),Defaults!$B$19,R46))*P46*T46)*F46*(1/454),0)</f>
        <v>0</v>
      </c>
      <c r="BS46" s="803">
        <f>IFERROR(((BK46+(BN46*BP46))*(IF(ISBLANK(R46),Defaults!$B$19,R46))*P46*T46)*F46*(1/454),0)</f>
        <v>0</v>
      </c>
      <c r="BT46" s="803">
        <f t="shared" si="29"/>
        <v>0</v>
      </c>
      <c r="BU46" s="803">
        <f t="shared" si="62"/>
        <v>0</v>
      </c>
      <c r="BV46" s="812" t="str">
        <f t="shared" si="30"/>
        <v/>
      </c>
      <c r="BW46" s="808" t="str">
        <f t="shared" si="31"/>
        <v/>
      </c>
      <c r="BX46" s="809" t="str">
        <f t="shared" si="32"/>
        <v/>
      </c>
      <c r="BY46" s="808" t="str">
        <f t="shared" si="63"/>
        <v/>
      </c>
      <c r="BZ46" s="810">
        <f t="shared" si="64"/>
        <v>0</v>
      </c>
      <c r="CA46" s="813" t="str">
        <f>IFERROR(VLOOKUP(BZ46,'Pump Emission Factors'!$B$11:$J$88,4,FALSE),"")</f>
        <v/>
      </c>
      <c r="CB46" s="813" t="str">
        <f>IFERROR(VLOOKUP(BZ46,'Pump Emission Factors'!$B$11:$J$88,6,FALSE),"")</f>
        <v/>
      </c>
      <c r="CC46" s="813" t="str">
        <f>IFERROR(VLOOKUP(BZ46,'Pump Emission Factors'!$B$11:$J$88,8,FALSE),"")</f>
        <v/>
      </c>
      <c r="CD46" s="813" t="str">
        <f>IFERROR(VLOOKUP(BZ46,'Pump Emission Factors'!$B$11:$J$88,5,FALSE),"")</f>
        <v/>
      </c>
      <c r="CE46" s="813" t="str">
        <f>IFERROR(VLOOKUP(BZ46,'Pump Emission Factors'!$B$11:$J$88,7,FALSE),"")</f>
        <v/>
      </c>
      <c r="CF46" s="813" t="str">
        <f>IFERROR(VLOOKUP(BZ46,'Pump Emission Factors'!$B$11:$J$88,9,FALSE),"")</f>
        <v/>
      </c>
      <c r="CG46" s="814" t="str">
        <f t="shared" si="33"/>
        <v/>
      </c>
      <c r="CH46" s="814" t="str">
        <f t="shared" si="34"/>
        <v/>
      </c>
      <c r="CI46" s="813">
        <f>IFERROR(IF($X46="ELEC",((($AU46*(IF($H46="DESL",'Fuel-Specific GHG'!$C$14,IF($H46="GAS",'Fuel-Specific GHG'!$C$16,IF($H46="CNG",'Fuel-Specific GHG'!$C$13,IF(OR($H46="LPG",$H46="PROP"),'Fuel-Specific GHG'!$C$19,"")))))*(1/'Fuel-Specific GHG'!$C$15)*(1/3.4)*$F46)*'Grid Electricity'!$D$39)/454),((CA46+(CD46*CH46))*(IF(ISBLANK(AH46),Defaults!$B$19,AH46))*$AF46*$AJ46*$F46)),0)</f>
        <v>0</v>
      </c>
      <c r="CJ46" s="813">
        <f>IFERROR(IF($X46="ELEC",((($AU46*(IF($H46="DESL",'Fuel-Specific GHG'!$C$14,IF($H46="GAS",'Fuel-Specific GHG'!$C$16,IF($H46="CNG",'Fuel-Specific GHG'!$C$13,IF(OR($H46="LPG",$H46="PROP"),'Fuel-Specific GHG'!$C$19,"")))))*(1/'Fuel-Specific GHG'!$C$15)*(1/3.4)*$F46)*'Grid Electricity'!$C$39)/454),((CB46+(CE46*CH46))*(IF(ISBLANK(AH46),Defaults!$B$19,AH46))*$AF46*$AJ46*$F46)),0)</f>
        <v>0</v>
      </c>
      <c r="CK46" s="813">
        <f>IFERROR(IF($X46="ELEC",((($AU46*(IF($H46="DESL",'Fuel-Specific GHG'!$C$14,IF($H46="GAS",'Fuel-Specific GHG'!$C$16,IF($H46="CNG",'Fuel-Specific GHG'!$C$13,IF(OR($H46="LPG",$H46="PROP"),'Fuel-Specific GHG'!$C$19,"")))))*(1/'Fuel-Specific GHG'!$C$15)*(1/3.4)*$F46)*'Grid Electricity'!$F$39)/454),((CC46+(CF46*CH46))*(IF(ISBLANK(AH46),Defaults!$B$19,AH46))*$AF46*$AJ46*$F46)),0)</f>
        <v>0</v>
      </c>
      <c r="CL46" s="813">
        <f t="shared" si="35"/>
        <v>0</v>
      </c>
      <c r="CM46" s="813">
        <f t="shared" si="36"/>
        <v>0</v>
      </c>
      <c r="CN46" s="814" t="str">
        <f t="shared" si="37"/>
        <v/>
      </c>
      <c r="CO46" s="814" t="str">
        <f t="shared" si="38"/>
        <v/>
      </c>
      <c r="CP46" s="814" t="str">
        <f t="shared" si="39"/>
        <v/>
      </c>
      <c r="CQ46" s="814" t="str">
        <f t="shared" si="40"/>
        <v/>
      </c>
      <c r="CR46" s="815" t="str">
        <f>IF(AND(V46="Yes, Booster Pump VFD",AF46&lt;=75),('Pump Emission Factors'!$F$95*F46),(IF(AND(V46="Yes, Booster Pump VFD",AF46&gt;75),('Pump Emission Factors'!$F$96*F46),(IF(AND(V46="Yes, Well Pump VFD",AF46&lt;=75),('Pump Emission Factors'!$F$97*F46),(IF(AND(V46="Yes, Well Pump VFD",AF46&gt;75),('Pump Emission Factors'!$F$98*F46),"")))))))</f>
        <v/>
      </c>
      <c r="CS46" s="815" t="str">
        <f>IF(AND(V46="Yes, Booster Pump VFD",AF46&lt;=75),('Pump Emission Factors'!$G$95*F46),(IF(AND(V46="Yes, Booster Pump VFD",AF46&gt;75),('Pump Emission Factors'!$G$96*F46),(IF(AND(V46="Yes, Well Pump VFD",AF46&lt;=75),('Pump Emission Factors'!$G$97*F46),(IF(AND(V46="Yes, Well Pump VFD",AF46&gt;75),('Pump Emission Factors'!$G$98*F46),"")))))))</f>
        <v/>
      </c>
      <c r="CT46" s="815" t="str">
        <f>IF(AND(V46="Yes, Booster Pump VFD",AF46&lt;=75),('Pump Emission Factors'!$H$95*F46),(IF(AND(V46="Yes, Booster Pump VFD",AF46&gt;75),('Pump Emission Factors'!$H$96*F46),(IF(AND(V46="Yes, Well Pump VFD",AF46&lt;=75),('Pump Emission Factors'!$H$97*F46),(IF(AND(V46="Yes, Well Pump VFD",AF46&gt;75),('Pump Emission Factors'!$H$98*F46),"")))))))</f>
        <v/>
      </c>
      <c r="CU46" s="815" t="str">
        <f>IF(AND(V46="Yes, Booster Pump VFD",AF46&lt;=75),('Pump Emission Factors'!$J$95*F46),(IF(AND(V46="Yes, Booster Pump VFD",AF46&gt;75),('Pump Emission Factors'!$J$96*F46),(IF(AND(V46="Yes, Well Pump VFD",AF46&lt;=75),('Pump Emission Factors'!$J$97*F46),(IF(AND(V46="Yes, Well Pump VFD",AF46&gt;75),('Pump Emission Factors'!$J$98*F46),"")))))))</f>
        <v/>
      </c>
      <c r="CV46" s="815" t="str">
        <f>IF(AND(V46="Yes, Booster Pump VFD",AF46&lt;=75),('Pump Emission Factors'!$I$95*F46),(IF(AND(V46="Yes, Booster Pump VFD",AF46&gt;75),('Pump Emission Factors'!$I$96*F46),(IF(AND(V46="Yes, Well Pump VFD",AF46&lt;=75),('Pump Emission Factors'!$I$97*F46),(IF(AND(V46="Yes, Well Pump VFD",AF46&gt;75),('Pump Emission Factors'!$I$98*F46),"")))))))</f>
        <v/>
      </c>
      <c r="CW46" s="806">
        <f t="shared" si="41"/>
        <v>0</v>
      </c>
      <c r="CX46" s="806">
        <f t="shared" si="42"/>
        <v>0</v>
      </c>
      <c r="CY46" s="806">
        <f t="shared" si="43"/>
        <v>0</v>
      </c>
      <c r="CZ46" s="806">
        <f t="shared" si="44"/>
        <v>0</v>
      </c>
      <c r="DA46" s="806">
        <f t="shared" si="45"/>
        <v>0</v>
      </c>
      <c r="DB46" s="816" t="str">
        <f t="shared" si="65"/>
        <v/>
      </c>
      <c r="DC46" s="816" t="str">
        <f t="shared" si="65"/>
        <v/>
      </c>
      <c r="DD46" s="816" t="str">
        <f t="shared" si="65"/>
        <v/>
      </c>
      <c r="DE46" s="817" t="str">
        <f t="shared" si="47"/>
        <v/>
      </c>
      <c r="DF46" s="817" t="str">
        <f t="shared" si="48"/>
        <v/>
      </c>
      <c r="DG46" s="804" t="str">
        <f t="shared" si="49"/>
        <v/>
      </c>
      <c r="DH46" s="804" t="str">
        <f t="shared" si="50"/>
        <v/>
      </c>
      <c r="DI46" s="818" t="str">
        <f>IF(AO46="","",IF(H46="DESL",AO46*F46*'Fuel Prices'!$C$12,IF(H46="GAS",AO46*F46*'Fuel Prices'!$C$11,IF(H46="CNG",AO46*F46*'Fuel Prices'!$C$13,IF(H46="LNG",AO46*F46*'Fuel Prices'!$C$14,IF(H46="LPG",AO46*F46*'Fuel Prices'!$C$16,IF(H46="PROP",AO46*F46*'Fuel Prices'!$C$16,"0")))))))</f>
        <v/>
      </c>
      <c r="DJ46" s="818" t="str">
        <f>IF(AU46="","",IF(X46="DESL",AU46*F46*'Fuel Prices'!$C$12,IF(X46="GAS",AU46*F46*'Fuel Prices'!$C$11,IF(X46="CNG",AU46*F46*'Fuel Prices'!$C$13,IF(X46="LNG",AU46*F46*'Fuel Prices'!$C$14,IF(X46="LPG",AU46*F46*'Fuel Prices'!$C$16,IF(X46="PROP",AU46*F46*'Fuel Prices'!$C$16,IF(X46="ELEC",AU46*F46*'Fuel Prices'!$C$35,"0"))))))))</f>
        <v/>
      </c>
      <c r="DK46" s="818" t="str">
        <f t="shared" si="51"/>
        <v/>
      </c>
      <c r="DL46" s="818" t="str">
        <f t="shared" si="52"/>
        <v/>
      </c>
      <c r="DM46" s="804" t="str">
        <f t="shared" si="53"/>
        <v/>
      </c>
      <c r="DN46" s="804" t="str">
        <f t="shared" si="54"/>
        <v/>
      </c>
      <c r="DO46" s="804" t="str">
        <f>IFERROR(ROUND(CZ46*IF(COUNTIF($B$20:B46,B46)=1,1,"")/IF(B46="",0,1),0),"")</f>
        <v/>
      </c>
      <c r="DP46" s="804" t="str">
        <f>IFERROR(ROUND(CW46*IF(COUNTIF($B$20:B46,B46)=1,1,"")/IF(B46="",0,1),0),"")</f>
        <v/>
      </c>
      <c r="DQ46" s="804" t="str">
        <f>IFERROR(ROUND(DA46*IF(COUNTIF($B$20:B46,B46)=1,1,"")/IF(B46="",0,1),0),"")</f>
        <v/>
      </c>
      <c r="DR46" s="804" t="str">
        <f>IFERROR(ROUND(CX46*IF(COUNTIF($B$20:B46,B46)=1,1,"")/IF(B46="",0,1),0),"")</f>
        <v/>
      </c>
      <c r="DS46" s="804">
        <f t="shared" si="55"/>
        <v>0</v>
      </c>
      <c r="DT46" s="804">
        <f t="shared" si="56"/>
        <v>0</v>
      </c>
      <c r="DU46" s="804">
        <f t="shared" si="57"/>
        <v>0</v>
      </c>
      <c r="DV46" s="818" t="str">
        <f t="shared" si="66"/>
        <v/>
      </c>
      <c r="DW46" s="819" t="str">
        <f t="shared" si="67"/>
        <v/>
      </c>
    </row>
    <row r="47" spans="1:127" ht="18" customHeight="1" x14ac:dyDescent="0.35">
      <c r="A47" s="696"/>
      <c r="B47" s="820"/>
      <c r="C47" s="825" t="str">
        <f t="shared" si="0"/>
        <v>(Required)</v>
      </c>
      <c r="D47" s="821"/>
      <c r="E47" s="825" t="str">
        <f t="shared" si="0"/>
        <v>(Required)</v>
      </c>
      <c r="F47" s="821"/>
      <c r="G47" s="825" t="str">
        <f t="shared" si="1"/>
        <v>(Required)</v>
      </c>
      <c r="H47" s="822"/>
      <c r="I47" s="825" t="str">
        <f t="shared" si="2"/>
        <v>(Required)</v>
      </c>
      <c r="J47" s="821"/>
      <c r="K47" s="825" t="str">
        <f t="shared" si="3"/>
        <v>(Required)</v>
      </c>
      <c r="L47" s="821"/>
      <c r="M47" s="825" t="str">
        <f t="shared" si="4"/>
        <v>(Required)</v>
      </c>
      <c r="N47" s="821"/>
      <c r="O47" s="825" t="str">
        <f t="shared" si="5"/>
        <v>(Required)</v>
      </c>
      <c r="P47" s="821"/>
      <c r="Q47" s="825" t="str">
        <f t="shared" si="6"/>
        <v>(Required)</v>
      </c>
      <c r="R47" s="823"/>
      <c r="S47" s="826" t="str">
        <f t="shared" si="7"/>
        <v>(Optional)</v>
      </c>
      <c r="T47" s="821"/>
      <c r="U47" s="827" t="str">
        <f t="shared" si="8"/>
        <v>(Required)</v>
      </c>
      <c r="V47" s="828"/>
      <c r="W47" s="799" t="str">
        <f t="shared" si="9"/>
        <v>(Optional)</v>
      </c>
      <c r="X47" s="822"/>
      <c r="Y47" s="825" t="str">
        <f t="shared" si="10"/>
        <v>(Required)</v>
      </c>
      <c r="Z47" s="821"/>
      <c r="AA47" s="825" t="str">
        <f t="shared" si="11"/>
        <v>(Required)</v>
      </c>
      <c r="AB47" s="821"/>
      <c r="AC47" s="825" t="str">
        <f t="shared" si="12"/>
        <v>(Required)</v>
      </c>
      <c r="AD47" s="821"/>
      <c r="AE47" s="825" t="str">
        <f t="shared" si="13"/>
        <v>(Required)</v>
      </c>
      <c r="AF47" s="821"/>
      <c r="AG47" s="825" t="str">
        <f t="shared" si="14"/>
        <v>(Required)</v>
      </c>
      <c r="AH47" s="823"/>
      <c r="AI47" s="826" t="str">
        <f t="shared" si="15"/>
        <v>(Optional)</v>
      </c>
      <c r="AJ47" s="821"/>
      <c r="AK47" s="825" t="str">
        <f t="shared" si="16"/>
        <v>(Required)</v>
      </c>
      <c r="AL47" s="803" t="str">
        <f t="shared" si="17"/>
        <v/>
      </c>
      <c r="AM47" s="803" t="str">
        <f>IF(H47="DESL",'Fuel Density'!$C$12,IF(H47="GAS",'Fuel Density'!$C$11,IF(H47="CNG",'Fuel Density'!$C$13,IF(H47="LNG",'Fuel Density'!$C$14,IF(H47="LPG",'Fuel Density'!$C$15,IF(H47="PROP",'Fuel Density'!$C$16,IF(H47="","","")))))))</f>
        <v/>
      </c>
      <c r="AN47" s="803" t="str">
        <f>IF(H47="DESL",'Fuel-Specific GHG'!$C$14,IF(H47="GAS",'Fuel-Specific GHG'!$C$16,IF(H47="CNG",'Fuel-Specific GHG'!$C$13,IF(H47="LNG",'Fuel-Specific GHG'!$C$18,IF(OR(H47="LPG",H47="PROP"),'Fuel-Specific GHG'!$C$19,IF(H47="","",""))))))</f>
        <v/>
      </c>
      <c r="AO47" s="804" t="str">
        <f>IFERROR(((P47*(IF(ISBLANK(R47),Defaults!$B$19,R47))*T47*AL47)/AM47),"")</f>
        <v/>
      </c>
      <c r="AP47" s="805" t="str">
        <f t="shared" si="18"/>
        <v/>
      </c>
      <c r="AQ47" s="805" t="str">
        <f>IF(H47="DESL",'Fuel-Specific GHG'!$E$14,IF(H47="GAS",'Fuel-Specific GHG'!$E$16,IF(H47="CNG",'Fuel-Specific GHG'!$E$13,IF(H47="LNG",'Fuel-Specific GHG'!$E$18,IF(OR(H47="LPG",H47="PROP"),'Fuel-Specific GHG'!$E$19,"")))))</f>
        <v/>
      </c>
      <c r="AR47" s="805" t="str">
        <f t="shared" si="19"/>
        <v/>
      </c>
      <c r="AS47" s="803" t="str">
        <f t="shared" si="58"/>
        <v/>
      </c>
      <c r="AT47" s="803" t="str">
        <f>IF(X47="DESL",'Fuel Density'!$C$12,IF(X47="PROP",'Fuel Density'!$C$16,IF(X47="GAS",'Fuel Density'!$C$11,IF(X47="CNG",'Fuel Density'!$C$13,IF(X47="LNG",'Fuel Density'!$C$14,IF(X47="LPG",'Fuel Density'!$C$15,IF(X47="","","")))))))</f>
        <v/>
      </c>
      <c r="AU47" s="804" t="str">
        <f>IFERROR(IF(X47="ELEC",AO47*AN47*(1/'Fuel-Specific GHG'!$C$15)*(1/IF(H47="GAS",3.4,IF(H47="DESL",2.7,3))),((AF47*(IF(ISBLANK(AH47),Defaults!$B$19,AH47))*AJ47*AS47)/AT47)),"")</f>
        <v/>
      </c>
      <c r="AV47" s="805" t="str">
        <f t="shared" si="20"/>
        <v/>
      </c>
      <c r="AW47" s="805" t="str">
        <f>IF(X47="DESL",'Fuel-Specific GHG'!$E$14,IF(X47="PROP",'Fuel-Specific GHG'!$E$19,IF(X47="GAS",'Fuel-Specific GHG'!$E$16,IF(X47="CNG",'Fuel-Specific GHG'!$E$13,IF(X47="LNG",'Fuel-Specific GHG'!$E$18,IF(X47="LPG",'Fuel-Specific GHG'!$E$19,IF(X47="ELEC",'Fuel-Specific GHG'!$E$15,"")))))))</f>
        <v/>
      </c>
      <c r="AX47" s="805" t="str">
        <f t="shared" si="21"/>
        <v/>
      </c>
      <c r="AY47" s="806" t="str">
        <f t="shared" si="22"/>
        <v/>
      </c>
      <c r="AZ47" s="806" t="str">
        <f t="shared" si="68"/>
        <v/>
      </c>
      <c r="BA47" s="806" t="str">
        <f t="shared" si="59"/>
        <v/>
      </c>
      <c r="BB47" s="804" t="str">
        <f t="shared" si="23"/>
        <v/>
      </c>
      <c r="BC47" s="807" t="str">
        <f t="shared" si="24"/>
        <v/>
      </c>
      <c r="BD47" s="807"/>
      <c r="BE47" s="808" t="str">
        <f t="shared" si="25"/>
        <v/>
      </c>
      <c r="BF47" s="809" t="str">
        <f t="shared" si="26"/>
        <v/>
      </c>
      <c r="BG47" s="808" t="str">
        <f t="shared" si="60"/>
        <v/>
      </c>
      <c r="BH47" s="810">
        <f t="shared" si="61"/>
        <v>0</v>
      </c>
      <c r="BI47" s="803" t="str">
        <f>IFERROR(VLOOKUP(BH47,'Pump Emission Factors'!$B$11:$J$88,4,FALSE),"")</f>
        <v/>
      </c>
      <c r="BJ47" s="803" t="str">
        <f>IFERROR(VLOOKUP(BH47,'Pump Emission Factors'!$B$11:$J$88,6,FALSE),"")</f>
        <v/>
      </c>
      <c r="BK47" s="803" t="str">
        <f>IFERROR(VLOOKUP(BH47,'Pump Emission Factors'!$B$11:$J$88,8,FALSE),"")</f>
        <v/>
      </c>
      <c r="BL47" s="803" t="str">
        <f>IFERROR(VLOOKUP(BH47,'Pump Emission Factors'!$B$11:$J$88,5,FALSE),"")</f>
        <v/>
      </c>
      <c r="BM47" s="803" t="str">
        <f>IFERROR(VLOOKUP(BH47,'Pump Emission Factors'!$B$11:$J$88,7,FALSE),"")</f>
        <v/>
      </c>
      <c r="BN47" s="803" t="str">
        <f>IFERROR(VLOOKUP(BH47,'Pump Emission Factors'!$B$11:$J$88,9,FALSE),"")</f>
        <v/>
      </c>
      <c r="BO47" s="811" t="str">
        <f t="shared" si="27"/>
        <v/>
      </c>
      <c r="BP47" s="811" t="str">
        <f t="shared" si="28"/>
        <v/>
      </c>
      <c r="BQ47" s="803">
        <f>IFERROR(((BI47+(BL47*BP47))*(IF(ISBLANK(R47),Defaults!$B$19,R47))*P47*T47)*F47*(1/454),0)</f>
        <v>0</v>
      </c>
      <c r="BR47" s="803">
        <f>IFERROR(((BJ47+(BM47*BP47))*(IF(ISBLANK(R47),Defaults!$B$19,R47))*P47*T47)*F47*(1/454),0)</f>
        <v>0</v>
      </c>
      <c r="BS47" s="803">
        <f>IFERROR(((BK47+(BN47*BP47))*(IF(ISBLANK(R47),Defaults!$B$19,R47))*P47*T47)*F47*(1/454),0)</f>
        <v>0</v>
      </c>
      <c r="BT47" s="803">
        <f t="shared" si="29"/>
        <v>0</v>
      </c>
      <c r="BU47" s="803">
        <f t="shared" si="62"/>
        <v>0</v>
      </c>
      <c r="BV47" s="812" t="str">
        <f t="shared" si="30"/>
        <v/>
      </c>
      <c r="BW47" s="808" t="str">
        <f t="shared" si="31"/>
        <v/>
      </c>
      <c r="BX47" s="809" t="str">
        <f t="shared" si="32"/>
        <v/>
      </c>
      <c r="BY47" s="808" t="str">
        <f t="shared" si="63"/>
        <v/>
      </c>
      <c r="BZ47" s="810">
        <f t="shared" si="64"/>
        <v>0</v>
      </c>
      <c r="CA47" s="813" t="str">
        <f>IFERROR(VLOOKUP(BZ47,'Pump Emission Factors'!$B$11:$J$88,4,FALSE),"")</f>
        <v/>
      </c>
      <c r="CB47" s="813" t="str">
        <f>IFERROR(VLOOKUP(BZ47,'Pump Emission Factors'!$B$11:$J$88,6,FALSE),"")</f>
        <v/>
      </c>
      <c r="CC47" s="813" t="str">
        <f>IFERROR(VLOOKUP(BZ47,'Pump Emission Factors'!$B$11:$J$88,8,FALSE),"")</f>
        <v/>
      </c>
      <c r="CD47" s="813" t="str">
        <f>IFERROR(VLOOKUP(BZ47,'Pump Emission Factors'!$B$11:$J$88,5,FALSE),"")</f>
        <v/>
      </c>
      <c r="CE47" s="813" t="str">
        <f>IFERROR(VLOOKUP(BZ47,'Pump Emission Factors'!$B$11:$J$88,7,FALSE),"")</f>
        <v/>
      </c>
      <c r="CF47" s="813" t="str">
        <f>IFERROR(VLOOKUP(BZ47,'Pump Emission Factors'!$B$11:$J$88,9,FALSE),"")</f>
        <v/>
      </c>
      <c r="CG47" s="814" t="str">
        <f t="shared" si="33"/>
        <v/>
      </c>
      <c r="CH47" s="814" t="str">
        <f t="shared" si="34"/>
        <v/>
      </c>
      <c r="CI47" s="813">
        <f>IFERROR(IF($X47="ELEC",((($AU47*(IF($H47="DESL",'Fuel-Specific GHG'!$C$14,IF($H47="GAS",'Fuel-Specific GHG'!$C$16,IF($H47="CNG",'Fuel-Specific GHG'!$C$13,IF(OR($H47="LPG",$H47="PROP"),'Fuel-Specific GHG'!$C$19,"")))))*(1/'Fuel-Specific GHG'!$C$15)*(1/3.4)*$F47)*'Grid Electricity'!$D$39)/454),((CA47+(CD47*CH47))*(IF(ISBLANK(AH47),Defaults!$B$19,AH47))*$AF47*$AJ47*$F47)),0)</f>
        <v>0</v>
      </c>
      <c r="CJ47" s="813">
        <f>IFERROR(IF($X47="ELEC",((($AU47*(IF($H47="DESL",'Fuel-Specific GHG'!$C$14,IF($H47="GAS",'Fuel-Specific GHG'!$C$16,IF($H47="CNG",'Fuel-Specific GHG'!$C$13,IF(OR($H47="LPG",$H47="PROP"),'Fuel-Specific GHG'!$C$19,"")))))*(1/'Fuel-Specific GHG'!$C$15)*(1/3.4)*$F47)*'Grid Electricity'!$C$39)/454),((CB47+(CE47*CH47))*(IF(ISBLANK(AH47),Defaults!$B$19,AH47))*$AF47*$AJ47*$F47)),0)</f>
        <v>0</v>
      </c>
      <c r="CK47" s="813">
        <f>IFERROR(IF($X47="ELEC",((($AU47*(IF($H47="DESL",'Fuel-Specific GHG'!$C$14,IF($H47="GAS",'Fuel-Specific GHG'!$C$16,IF($H47="CNG",'Fuel-Specific GHG'!$C$13,IF(OR($H47="LPG",$H47="PROP"),'Fuel-Specific GHG'!$C$19,"")))))*(1/'Fuel-Specific GHG'!$C$15)*(1/3.4)*$F47)*'Grid Electricity'!$F$39)/454),((CC47+(CF47*CH47))*(IF(ISBLANK(AH47),Defaults!$B$19,AH47))*$AF47*$AJ47*$F47)),0)</f>
        <v>0</v>
      </c>
      <c r="CL47" s="813">
        <f t="shared" si="35"/>
        <v>0</v>
      </c>
      <c r="CM47" s="813">
        <f t="shared" si="36"/>
        <v>0</v>
      </c>
      <c r="CN47" s="814" t="str">
        <f t="shared" si="37"/>
        <v/>
      </c>
      <c r="CO47" s="814" t="str">
        <f t="shared" si="38"/>
        <v/>
      </c>
      <c r="CP47" s="814" t="str">
        <f t="shared" si="39"/>
        <v/>
      </c>
      <c r="CQ47" s="814" t="str">
        <f t="shared" si="40"/>
        <v/>
      </c>
      <c r="CR47" s="815" t="str">
        <f>IF(AND(V47="Yes, Booster Pump VFD",AF47&lt;=75),('Pump Emission Factors'!$F$95*F47),(IF(AND(V47="Yes, Booster Pump VFD",AF47&gt;75),('Pump Emission Factors'!$F$96*F47),(IF(AND(V47="Yes, Well Pump VFD",AF47&lt;=75),('Pump Emission Factors'!$F$97*F47),(IF(AND(V47="Yes, Well Pump VFD",AF47&gt;75),('Pump Emission Factors'!$F$98*F47),"")))))))</f>
        <v/>
      </c>
      <c r="CS47" s="815" t="str">
        <f>IF(AND(V47="Yes, Booster Pump VFD",AF47&lt;=75),('Pump Emission Factors'!$G$95*F47),(IF(AND(V47="Yes, Booster Pump VFD",AF47&gt;75),('Pump Emission Factors'!$G$96*F47),(IF(AND(V47="Yes, Well Pump VFD",AF47&lt;=75),('Pump Emission Factors'!$G$97*F47),(IF(AND(V47="Yes, Well Pump VFD",AF47&gt;75),('Pump Emission Factors'!$G$98*F47),"")))))))</f>
        <v/>
      </c>
      <c r="CT47" s="815" t="str">
        <f>IF(AND(V47="Yes, Booster Pump VFD",AF47&lt;=75),('Pump Emission Factors'!$H$95*F47),(IF(AND(V47="Yes, Booster Pump VFD",AF47&gt;75),('Pump Emission Factors'!$H$96*F47),(IF(AND(V47="Yes, Well Pump VFD",AF47&lt;=75),('Pump Emission Factors'!$H$97*F47),(IF(AND(V47="Yes, Well Pump VFD",AF47&gt;75),('Pump Emission Factors'!$H$98*F47),"")))))))</f>
        <v/>
      </c>
      <c r="CU47" s="815" t="str">
        <f>IF(AND(V47="Yes, Booster Pump VFD",AF47&lt;=75),('Pump Emission Factors'!$J$95*F47),(IF(AND(V47="Yes, Booster Pump VFD",AF47&gt;75),('Pump Emission Factors'!$J$96*F47),(IF(AND(V47="Yes, Well Pump VFD",AF47&lt;=75),('Pump Emission Factors'!$J$97*F47),(IF(AND(V47="Yes, Well Pump VFD",AF47&gt;75),('Pump Emission Factors'!$J$98*F47),"")))))))</f>
        <v/>
      </c>
      <c r="CV47" s="815" t="str">
        <f>IF(AND(V47="Yes, Booster Pump VFD",AF47&lt;=75),('Pump Emission Factors'!$I$95*F47),(IF(AND(V47="Yes, Booster Pump VFD",AF47&gt;75),('Pump Emission Factors'!$I$96*F47),(IF(AND(V47="Yes, Well Pump VFD",AF47&lt;=75),('Pump Emission Factors'!$I$97*F47),(IF(AND(V47="Yes, Well Pump VFD",AF47&gt;75),('Pump Emission Factors'!$I$98*F47),"")))))))</f>
        <v/>
      </c>
      <c r="CW47" s="806">
        <f t="shared" si="41"/>
        <v>0</v>
      </c>
      <c r="CX47" s="806">
        <f t="shared" si="42"/>
        <v>0</v>
      </c>
      <c r="CY47" s="806">
        <f t="shared" si="43"/>
        <v>0</v>
      </c>
      <c r="CZ47" s="806">
        <f t="shared" si="44"/>
        <v>0</v>
      </c>
      <c r="DA47" s="806">
        <f t="shared" si="45"/>
        <v>0</v>
      </c>
      <c r="DB47" s="816" t="str">
        <f t="shared" si="65"/>
        <v/>
      </c>
      <c r="DC47" s="816" t="str">
        <f t="shared" si="65"/>
        <v/>
      </c>
      <c r="DD47" s="816" t="str">
        <f t="shared" si="65"/>
        <v/>
      </c>
      <c r="DE47" s="817" t="str">
        <f t="shared" si="47"/>
        <v/>
      </c>
      <c r="DF47" s="817" t="str">
        <f t="shared" si="48"/>
        <v/>
      </c>
      <c r="DG47" s="804" t="str">
        <f t="shared" si="49"/>
        <v/>
      </c>
      <c r="DH47" s="804" t="str">
        <f t="shared" si="50"/>
        <v/>
      </c>
      <c r="DI47" s="818" t="str">
        <f>IF(AO47="","",IF(H47="DESL",AO47*F47*'Fuel Prices'!$C$12,IF(H47="GAS",AO47*F47*'Fuel Prices'!$C$11,IF(H47="CNG",AO47*F47*'Fuel Prices'!$C$13,IF(H47="LNG",AO47*F47*'Fuel Prices'!$C$14,IF(H47="LPG",AO47*F47*'Fuel Prices'!$C$16,IF(H47="PROP",AO47*F47*'Fuel Prices'!$C$16,"0")))))))</f>
        <v/>
      </c>
      <c r="DJ47" s="818" t="str">
        <f>IF(AU47="","",IF(X47="DESL",AU47*F47*'Fuel Prices'!$C$12,IF(X47="GAS",AU47*F47*'Fuel Prices'!$C$11,IF(X47="CNG",AU47*F47*'Fuel Prices'!$C$13,IF(X47="LNG",AU47*F47*'Fuel Prices'!$C$14,IF(X47="LPG",AU47*F47*'Fuel Prices'!$C$16,IF(X47="PROP",AU47*F47*'Fuel Prices'!$C$16,IF(X47="ELEC",AU47*F47*'Fuel Prices'!$C$35,"0"))))))))</f>
        <v/>
      </c>
      <c r="DK47" s="818" t="str">
        <f t="shared" si="51"/>
        <v/>
      </c>
      <c r="DL47" s="818" t="str">
        <f t="shared" si="52"/>
        <v/>
      </c>
      <c r="DM47" s="804" t="str">
        <f t="shared" si="53"/>
        <v/>
      </c>
      <c r="DN47" s="804" t="str">
        <f t="shared" si="54"/>
        <v/>
      </c>
      <c r="DO47" s="804" t="str">
        <f>IFERROR(ROUND(CZ47*IF(COUNTIF($B$20:B47,B47)=1,1,"")/IF(B47="",0,1),0),"")</f>
        <v/>
      </c>
      <c r="DP47" s="804" t="str">
        <f>IFERROR(ROUND(CW47*IF(COUNTIF($B$20:B47,B47)=1,1,"")/IF(B47="",0,1),0),"")</f>
        <v/>
      </c>
      <c r="DQ47" s="804" t="str">
        <f>IFERROR(ROUND(DA47*IF(COUNTIF($B$20:B47,B47)=1,1,"")/IF(B47="",0,1),0),"")</f>
        <v/>
      </c>
      <c r="DR47" s="804" t="str">
        <f>IFERROR(ROUND(CX47*IF(COUNTIF($B$20:B47,B47)=1,1,"")/IF(B47="",0,1),0),"")</f>
        <v/>
      </c>
      <c r="DS47" s="804">
        <f t="shared" si="55"/>
        <v>0</v>
      </c>
      <c r="DT47" s="804">
        <f t="shared" si="56"/>
        <v>0</v>
      </c>
      <c r="DU47" s="804">
        <f t="shared" si="57"/>
        <v>0</v>
      </c>
      <c r="DV47" s="818" t="str">
        <f t="shared" si="66"/>
        <v/>
      </c>
      <c r="DW47" s="819" t="str">
        <f t="shared" si="67"/>
        <v/>
      </c>
    </row>
    <row r="48" spans="1:127" ht="18" customHeight="1" x14ac:dyDescent="0.35">
      <c r="A48" s="635"/>
      <c r="B48" s="820"/>
      <c r="C48" s="825" t="str">
        <f t="shared" si="0"/>
        <v>(Required)</v>
      </c>
      <c r="D48" s="821"/>
      <c r="E48" s="825" t="str">
        <f t="shared" si="0"/>
        <v>(Required)</v>
      </c>
      <c r="F48" s="821"/>
      <c r="G48" s="825" t="str">
        <f t="shared" si="1"/>
        <v>(Required)</v>
      </c>
      <c r="H48" s="822"/>
      <c r="I48" s="825" t="str">
        <f t="shared" si="2"/>
        <v>(Required)</v>
      </c>
      <c r="J48" s="821"/>
      <c r="K48" s="825" t="str">
        <f t="shared" si="3"/>
        <v>(Required)</v>
      </c>
      <c r="L48" s="821"/>
      <c r="M48" s="825" t="str">
        <f t="shared" si="4"/>
        <v>(Required)</v>
      </c>
      <c r="N48" s="821"/>
      <c r="O48" s="825" t="str">
        <f t="shared" si="5"/>
        <v>(Required)</v>
      </c>
      <c r="P48" s="821"/>
      <c r="Q48" s="825" t="str">
        <f t="shared" si="6"/>
        <v>(Required)</v>
      </c>
      <c r="R48" s="823"/>
      <c r="S48" s="826" t="str">
        <f t="shared" si="7"/>
        <v>(Optional)</v>
      </c>
      <c r="T48" s="821"/>
      <c r="U48" s="827" t="str">
        <f t="shared" si="8"/>
        <v>(Required)</v>
      </c>
      <c r="V48" s="828"/>
      <c r="W48" s="799" t="str">
        <f t="shared" si="9"/>
        <v>(Optional)</v>
      </c>
      <c r="X48" s="822"/>
      <c r="Y48" s="825" t="str">
        <f t="shared" si="10"/>
        <v>(Required)</v>
      </c>
      <c r="Z48" s="821"/>
      <c r="AA48" s="825" t="str">
        <f t="shared" si="11"/>
        <v>(Required)</v>
      </c>
      <c r="AB48" s="821"/>
      <c r="AC48" s="825" t="str">
        <f t="shared" si="12"/>
        <v>(Required)</v>
      </c>
      <c r="AD48" s="821"/>
      <c r="AE48" s="825" t="str">
        <f t="shared" si="13"/>
        <v>(Required)</v>
      </c>
      <c r="AF48" s="821"/>
      <c r="AG48" s="825" t="str">
        <f t="shared" si="14"/>
        <v>(Required)</v>
      </c>
      <c r="AH48" s="823"/>
      <c r="AI48" s="826" t="str">
        <f t="shared" si="15"/>
        <v>(Optional)</v>
      </c>
      <c r="AJ48" s="821"/>
      <c r="AK48" s="825" t="str">
        <f t="shared" si="16"/>
        <v>(Required)</v>
      </c>
      <c r="AL48" s="803" t="str">
        <f t="shared" si="17"/>
        <v/>
      </c>
      <c r="AM48" s="803" t="str">
        <f>IF(H48="DESL",'Fuel Density'!$C$12,IF(H48="GAS",'Fuel Density'!$C$11,IF(H48="CNG",'Fuel Density'!$C$13,IF(H48="LNG",'Fuel Density'!$C$14,IF(H48="LPG",'Fuel Density'!$C$15,IF(H48="PROP",'Fuel Density'!$C$16,IF(H48="","","")))))))</f>
        <v/>
      </c>
      <c r="AN48" s="803" t="str">
        <f>IF(H48="DESL",'Fuel-Specific GHG'!$C$14,IF(H48="GAS",'Fuel-Specific GHG'!$C$16,IF(H48="CNG",'Fuel-Specific GHG'!$C$13,IF(H48="LNG",'Fuel-Specific GHG'!$C$18,IF(OR(H48="LPG",H48="PROP"),'Fuel-Specific GHG'!$C$19,IF(H48="","",""))))))</f>
        <v/>
      </c>
      <c r="AO48" s="804" t="str">
        <f>IFERROR(((P48*(IF(ISBLANK(R48),Defaults!$B$19,R48))*T48*AL48)/AM48),"")</f>
        <v/>
      </c>
      <c r="AP48" s="805" t="str">
        <f t="shared" si="18"/>
        <v/>
      </c>
      <c r="AQ48" s="805" t="str">
        <f>IF(H48="DESL",'Fuel-Specific GHG'!$E$14,IF(H48="GAS",'Fuel-Specific GHG'!$E$16,IF(H48="CNG",'Fuel-Specific GHG'!$E$13,IF(H48="LNG",'Fuel-Specific GHG'!$E$18,IF(OR(H48="LPG",H48="PROP"),'Fuel-Specific GHG'!$E$19,"")))))</f>
        <v/>
      </c>
      <c r="AR48" s="805" t="str">
        <f t="shared" si="19"/>
        <v/>
      </c>
      <c r="AS48" s="803" t="str">
        <f t="shared" si="58"/>
        <v/>
      </c>
      <c r="AT48" s="803" t="str">
        <f>IF(X48="DESL",'Fuel Density'!$C$12,IF(X48="PROP",'Fuel Density'!$C$16,IF(X48="GAS",'Fuel Density'!$C$11,IF(X48="CNG",'Fuel Density'!$C$13,IF(X48="LNG",'Fuel Density'!$C$14,IF(X48="LPG",'Fuel Density'!$C$15,IF(X48="","","")))))))</f>
        <v/>
      </c>
      <c r="AU48" s="804" t="str">
        <f>IFERROR(IF(X48="ELEC",AO48*AN48*(1/'Fuel-Specific GHG'!$C$15)*(1/IF(H48="GAS",3.4,IF(H48="DESL",2.7,3))),((AF48*(IF(ISBLANK(AH48),Defaults!$B$19,AH48))*AJ48*AS48)/AT48)),"")</f>
        <v/>
      </c>
      <c r="AV48" s="805" t="str">
        <f t="shared" si="20"/>
        <v/>
      </c>
      <c r="AW48" s="805" t="str">
        <f>IF(X48="DESL",'Fuel-Specific GHG'!$E$14,IF(X48="PROP",'Fuel-Specific GHG'!$E$19,IF(X48="GAS",'Fuel-Specific GHG'!$E$16,IF(X48="CNG",'Fuel-Specific GHG'!$E$13,IF(X48="LNG",'Fuel-Specific GHG'!$E$18,IF(X48="LPG",'Fuel-Specific GHG'!$E$19,IF(X48="ELEC",'Fuel-Specific GHG'!$E$15,"")))))))</f>
        <v/>
      </c>
      <c r="AX48" s="805" t="str">
        <f t="shared" si="21"/>
        <v/>
      </c>
      <c r="AY48" s="806" t="str">
        <f t="shared" si="22"/>
        <v/>
      </c>
      <c r="AZ48" s="806" t="str">
        <f t="shared" si="68"/>
        <v/>
      </c>
      <c r="BA48" s="806" t="str">
        <f t="shared" si="59"/>
        <v/>
      </c>
      <c r="BB48" s="804" t="str">
        <f t="shared" si="23"/>
        <v/>
      </c>
      <c r="BC48" s="807" t="str">
        <f t="shared" si="24"/>
        <v/>
      </c>
      <c r="BD48" s="807"/>
      <c r="BE48" s="808" t="str">
        <f t="shared" si="25"/>
        <v/>
      </c>
      <c r="BF48" s="809" t="str">
        <f t="shared" si="26"/>
        <v/>
      </c>
      <c r="BG48" s="808" t="str">
        <f t="shared" si="60"/>
        <v/>
      </c>
      <c r="BH48" s="810">
        <f t="shared" si="61"/>
        <v>0</v>
      </c>
      <c r="BI48" s="803" t="str">
        <f>IFERROR(VLOOKUP(BH48,'Pump Emission Factors'!$B$11:$J$88,4,FALSE),"")</f>
        <v/>
      </c>
      <c r="BJ48" s="803" t="str">
        <f>IFERROR(VLOOKUP(BH48,'Pump Emission Factors'!$B$11:$J$88,6,FALSE),"")</f>
        <v/>
      </c>
      <c r="BK48" s="803" t="str">
        <f>IFERROR(VLOOKUP(BH48,'Pump Emission Factors'!$B$11:$J$88,8,FALSE),"")</f>
        <v/>
      </c>
      <c r="BL48" s="803" t="str">
        <f>IFERROR(VLOOKUP(BH48,'Pump Emission Factors'!$B$11:$J$88,5,FALSE),"")</f>
        <v/>
      </c>
      <c r="BM48" s="803" t="str">
        <f>IFERROR(VLOOKUP(BH48,'Pump Emission Factors'!$B$11:$J$88,7,FALSE),"")</f>
        <v/>
      </c>
      <c r="BN48" s="803" t="str">
        <f>IFERROR(VLOOKUP(BH48,'Pump Emission Factors'!$B$11:$J$88,9,FALSE),"")</f>
        <v/>
      </c>
      <c r="BO48" s="811" t="str">
        <f t="shared" si="27"/>
        <v/>
      </c>
      <c r="BP48" s="811" t="str">
        <f t="shared" si="28"/>
        <v/>
      </c>
      <c r="BQ48" s="803">
        <f>IFERROR(((BI48+(BL48*BP48))*(IF(ISBLANK(R48),Defaults!$B$19,R48))*P48*T48)*F48*(1/454),0)</f>
        <v>0</v>
      </c>
      <c r="BR48" s="803">
        <f>IFERROR(((BJ48+(BM48*BP48))*(IF(ISBLANK(R48),Defaults!$B$19,R48))*P48*T48)*F48*(1/454),0)</f>
        <v>0</v>
      </c>
      <c r="BS48" s="803">
        <f>IFERROR(((BK48+(BN48*BP48))*(IF(ISBLANK(R48),Defaults!$B$19,R48))*P48*T48)*F48*(1/454),0)</f>
        <v>0</v>
      </c>
      <c r="BT48" s="803">
        <f t="shared" si="29"/>
        <v>0</v>
      </c>
      <c r="BU48" s="803">
        <f t="shared" si="62"/>
        <v>0</v>
      </c>
      <c r="BV48" s="812" t="str">
        <f t="shared" si="30"/>
        <v/>
      </c>
      <c r="BW48" s="808" t="str">
        <f t="shared" si="31"/>
        <v/>
      </c>
      <c r="BX48" s="809" t="str">
        <f t="shared" si="32"/>
        <v/>
      </c>
      <c r="BY48" s="808" t="str">
        <f t="shared" si="63"/>
        <v/>
      </c>
      <c r="BZ48" s="810">
        <f t="shared" si="64"/>
        <v>0</v>
      </c>
      <c r="CA48" s="813" t="str">
        <f>IFERROR(VLOOKUP(BZ48,'Pump Emission Factors'!$B$11:$J$88,4,FALSE),"")</f>
        <v/>
      </c>
      <c r="CB48" s="813" t="str">
        <f>IFERROR(VLOOKUP(BZ48,'Pump Emission Factors'!$B$11:$J$88,6,FALSE),"")</f>
        <v/>
      </c>
      <c r="CC48" s="813" t="str">
        <f>IFERROR(VLOOKUP(BZ48,'Pump Emission Factors'!$B$11:$J$88,8,FALSE),"")</f>
        <v/>
      </c>
      <c r="CD48" s="813" t="str">
        <f>IFERROR(VLOOKUP(BZ48,'Pump Emission Factors'!$B$11:$J$88,5,FALSE),"")</f>
        <v/>
      </c>
      <c r="CE48" s="813" t="str">
        <f>IFERROR(VLOOKUP(BZ48,'Pump Emission Factors'!$B$11:$J$88,7,FALSE),"")</f>
        <v/>
      </c>
      <c r="CF48" s="813" t="str">
        <f>IFERROR(VLOOKUP(BZ48,'Pump Emission Factors'!$B$11:$J$88,9,FALSE),"")</f>
        <v/>
      </c>
      <c r="CG48" s="814" t="str">
        <f t="shared" si="33"/>
        <v/>
      </c>
      <c r="CH48" s="814" t="str">
        <f t="shared" si="34"/>
        <v/>
      </c>
      <c r="CI48" s="813">
        <f>IFERROR(IF($X48="ELEC",((($AU48*(IF($H48="DESL",'Fuel-Specific GHG'!$C$14,IF($H48="GAS",'Fuel-Specific GHG'!$C$16,IF($H48="CNG",'Fuel-Specific GHG'!$C$13,IF(OR($H48="LPG",$H48="PROP"),'Fuel-Specific GHG'!$C$19,"")))))*(1/'Fuel-Specific GHG'!$C$15)*(1/3.4)*$F48)*'Grid Electricity'!$D$39)/454),((CA48+(CD48*CH48))*(IF(ISBLANK(AH48),Defaults!$B$19,AH48))*$AF48*$AJ48*$F48)),0)</f>
        <v>0</v>
      </c>
      <c r="CJ48" s="813">
        <f>IFERROR(IF($X48="ELEC",((($AU48*(IF($H48="DESL",'Fuel-Specific GHG'!$C$14,IF($H48="GAS",'Fuel-Specific GHG'!$C$16,IF($H48="CNG",'Fuel-Specific GHG'!$C$13,IF(OR($H48="LPG",$H48="PROP"),'Fuel-Specific GHG'!$C$19,"")))))*(1/'Fuel-Specific GHG'!$C$15)*(1/3.4)*$F48)*'Grid Electricity'!$C$39)/454),((CB48+(CE48*CH48))*(IF(ISBLANK(AH48),Defaults!$B$19,AH48))*$AF48*$AJ48*$F48)),0)</f>
        <v>0</v>
      </c>
      <c r="CK48" s="813">
        <f>IFERROR(IF($X48="ELEC",((($AU48*(IF($H48="DESL",'Fuel-Specific GHG'!$C$14,IF($H48="GAS",'Fuel-Specific GHG'!$C$16,IF($H48="CNG",'Fuel-Specific GHG'!$C$13,IF(OR($H48="LPG",$H48="PROP"),'Fuel-Specific GHG'!$C$19,"")))))*(1/'Fuel-Specific GHG'!$C$15)*(1/3.4)*$F48)*'Grid Electricity'!$F$39)/454),((CC48+(CF48*CH48))*(IF(ISBLANK(AH48),Defaults!$B$19,AH48))*$AF48*$AJ48*$F48)),0)</f>
        <v>0</v>
      </c>
      <c r="CL48" s="813">
        <f t="shared" si="35"/>
        <v>0</v>
      </c>
      <c r="CM48" s="813">
        <f t="shared" si="36"/>
        <v>0</v>
      </c>
      <c r="CN48" s="814" t="str">
        <f t="shared" si="37"/>
        <v/>
      </c>
      <c r="CO48" s="814" t="str">
        <f t="shared" si="38"/>
        <v/>
      </c>
      <c r="CP48" s="814" t="str">
        <f t="shared" si="39"/>
        <v/>
      </c>
      <c r="CQ48" s="814" t="str">
        <f t="shared" si="40"/>
        <v/>
      </c>
      <c r="CR48" s="815" t="str">
        <f>IF(AND(V48="Yes, Booster Pump VFD",AF48&lt;=75),('Pump Emission Factors'!$F$95*F48),(IF(AND(V48="Yes, Booster Pump VFD",AF48&gt;75),('Pump Emission Factors'!$F$96*F48),(IF(AND(V48="Yes, Well Pump VFD",AF48&lt;=75),('Pump Emission Factors'!$F$97*F48),(IF(AND(V48="Yes, Well Pump VFD",AF48&gt;75),('Pump Emission Factors'!$F$98*F48),"")))))))</f>
        <v/>
      </c>
      <c r="CS48" s="815" t="str">
        <f>IF(AND(V48="Yes, Booster Pump VFD",AF48&lt;=75),('Pump Emission Factors'!$G$95*F48),(IF(AND(V48="Yes, Booster Pump VFD",AF48&gt;75),('Pump Emission Factors'!$G$96*F48),(IF(AND(V48="Yes, Well Pump VFD",AF48&lt;=75),('Pump Emission Factors'!$G$97*F48),(IF(AND(V48="Yes, Well Pump VFD",AF48&gt;75),('Pump Emission Factors'!$G$98*F48),"")))))))</f>
        <v/>
      </c>
      <c r="CT48" s="815" t="str">
        <f>IF(AND(V48="Yes, Booster Pump VFD",AF48&lt;=75),('Pump Emission Factors'!$H$95*F48),(IF(AND(V48="Yes, Booster Pump VFD",AF48&gt;75),('Pump Emission Factors'!$H$96*F48),(IF(AND(V48="Yes, Well Pump VFD",AF48&lt;=75),('Pump Emission Factors'!$H$97*F48),(IF(AND(V48="Yes, Well Pump VFD",AF48&gt;75),('Pump Emission Factors'!$H$98*F48),"")))))))</f>
        <v/>
      </c>
      <c r="CU48" s="815" t="str">
        <f>IF(AND(V48="Yes, Booster Pump VFD",AF48&lt;=75),('Pump Emission Factors'!$J$95*F48),(IF(AND(V48="Yes, Booster Pump VFD",AF48&gt;75),('Pump Emission Factors'!$J$96*F48),(IF(AND(V48="Yes, Well Pump VFD",AF48&lt;=75),('Pump Emission Factors'!$J$97*F48),(IF(AND(V48="Yes, Well Pump VFD",AF48&gt;75),('Pump Emission Factors'!$J$98*F48),"")))))))</f>
        <v/>
      </c>
      <c r="CV48" s="815" t="str">
        <f>IF(AND(V48="Yes, Booster Pump VFD",AF48&lt;=75),('Pump Emission Factors'!$I$95*F48),(IF(AND(V48="Yes, Booster Pump VFD",AF48&gt;75),('Pump Emission Factors'!$I$96*F48),(IF(AND(V48="Yes, Well Pump VFD",AF48&lt;=75),('Pump Emission Factors'!$I$97*F48),(IF(AND(V48="Yes, Well Pump VFD",AF48&gt;75),('Pump Emission Factors'!$I$98*F48),"")))))))</f>
        <v/>
      </c>
      <c r="CW48" s="806">
        <f t="shared" si="41"/>
        <v>0</v>
      </c>
      <c r="CX48" s="806">
        <f t="shared" si="42"/>
        <v>0</v>
      </c>
      <c r="CY48" s="806">
        <f t="shared" si="43"/>
        <v>0</v>
      </c>
      <c r="CZ48" s="806">
        <f t="shared" si="44"/>
        <v>0</v>
      </c>
      <c r="DA48" s="806">
        <f t="shared" si="45"/>
        <v>0</v>
      </c>
      <c r="DB48" s="816" t="str">
        <f t="shared" si="65"/>
        <v/>
      </c>
      <c r="DC48" s="816" t="str">
        <f t="shared" si="65"/>
        <v/>
      </c>
      <c r="DD48" s="816" t="str">
        <f t="shared" si="65"/>
        <v/>
      </c>
      <c r="DE48" s="817" t="str">
        <f t="shared" si="47"/>
        <v/>
      </c>
      <c r="DF48" s="817" t="str">
        <f t="shared" si="48"/>
        <v/>
      </c>
      <c r="DG48" s="804" t="str">
        <f t="shared" si="49"/>
        <v/>
      </c>
      <c r="DH48" s="804" t="str">
        <f t="shared" si="50"/>
        <v/>
      </c>
      <c r="DI48" s="818" t="str">
        <f>IF(AO48="","",IF(H48="DESL",AO48*F48*'Fuel Prices'!$C$12,IF(H48="GAS",AO48*F48*'Fuel Prices'!$C$11,IF(H48="CNG",AO48*F48*'Fuel Prices'!$C$13,IF(H48="LNG",AO48*F48*'Fuel Prices'!$C$14,IF(H48="LPG",AO48*F48*'Fuel Prices'!$C$16,IF(H48="PROP",AO48*F48*'Fuel Prices'!$C$16,"0")))))))</f>
        <v/>
      </c>
      <c r="DJ48" s="818" t="str">
        <f>IF(AU48="","",IF(X48="DESL",AU48*F48*'Fuel Prices'!$C$12,IF(X48="GAS",AU48*F48*'Fuel Prices'!$C$11,IF(X48="CNG",AU48*F48*'Fuel Prices'!$C$13,IF(X48="LNG",AU48*F48*'Fuel Prices'!$C$14,IF(X48="LPG",AU48*F48*'Fuel Prices'!$C$16,IF(X48="PROP",AU48*F48*'Fuel Prices'!$C$16,IF(X48="ELEC",AU48*F48*'Fuel Prices'!$C$35,"0"))))))))</f>
        <v/>
      </c>
      <c r="DK48" s="818" t="str">
        <f t="shared" si="51"/>
        <v/>
      </c>
      <c r="DL48" s="818" t="str">
        <f t="shared" si="52"/>
        <v/>
      </c>
      <c r="DM48" s="804" t="str">
        <f t="shared" si="53"/>
        <v/>
      </c>
      <c r="DN48" s="804" t="str">
        <f t="shared" si="54"/>
        <v/>
      </c>
      <c r="DO48" s="804" t="str">
        <f>IFERROR(ROUND(CZ48*IF(COUNTIF($B$20:B48,B48)=1,1,"")/IF(B48="",0,1),0),"")</f>
        <v/>
      </c>
      <c r="DP48" s="804" t="str">
        <f>IFERROR(ROUND(CW48*IF(COUNTIF($B$20:B48,B48)=1,1,"")/IF(B48="",0,1),0),"")</f>
        <v/>
      </c>
      <c r="DQ48" s="804" t="str">
        <f>IFERROR(ROUND(DA48*IF(COUNTIF($B$20:B48,B48)=1,1,"")/IF(B48="",0,1),0),"")</f>
        <v/>
      </c>
      <c r="DR48" s="804" t="str">
        <f>IFERROR(ROUND(CX48*IF(COUNTIF($B$20:B48,B48)=1,1,"")/IF(B48="",0,1),0),"")</f>
        <v/>
      </c>
      <c r="DS48" s="804">
        <f t="shared" si="55"/>
        <v>0</v>
      </c>
      <c r="DT48" s="804">
        <f t="shared" si="56"/>
        <v>0</v>
      </c>
      <c r="DU48" s="804">
        <f t="shared" si="57"/>
        <v>0</v>
      </c>
      <c r="DV48" s="818" t="str">
        <f t="shared" si="66"/>
        <v/>
      </c>
      <c r="DW48" s="819" t="str">
        <f t="shared" si="67"/>
        <v/>
      </c>
    </row>
    <row r="49" spans="1:127" ht="18" customHeight="1" x14ac:dyDescent="0.35">
      <c r="A49" s="696"/>
      <c r="B49" s="820"/>
      <c r="C49" s="825" t="str">
        <f t="shared" si="0"/>
        <v>(Required)</v>
      </c>
      <c r="D49" s="821"/>
      <c r="E49" s="825" t="str">
        <f t="shared" si="0"/>
        <v>(Required)</v>
      </c>
      <c r="F49" s="821"/>
      <c r="G49" s="825" t="str">
        <f t="shared" si="1"/>
        <v>(Required)</v>
      </c>
      <c r="H49" s="822"/>
      <c r="I49" s="825" t="str">
        <f t="shared" si="2"/>
        <v>(Required)</v>
      </c>
      <c r="J49" s="821"/>
      <c r="K49" s="825" t="str">
        <f t="shared" si="3"/>
        <v>(Required)</v>
      </c>
      <c r="L49" s="821"/>
      <c r="M49" s="825" t="str">
        <f t="shared" si="4"/>
        <v>(Required)</v>
      </c>
      <c r="N49" s="821"/>
      <c r="O49" s="825" t="str">
        <f t="shared" si="5"/>
        <v>(Required)</v>
      </c>
      <c r="P49" s="821"/>
      <c r="Q49" s="825" t="str">
        <f t="shared" si="6"/>
        <v>(Required)</v>
      </c>
      <c r="R49" s="823"/>
      <c r="S49" s="826" t="str">
        <f t="shared" si="7"/>
        <v>(Optional)</v>
      </c>
      <c r="T49" s="821"/>
      <c r="U49" s="827" t="str">
        <f t="shared" si="8"/>
        <v>(Required)</v>
      </c>
      <c r="V49" s="828"/>
      <c r="W49" s="799" t="str">
        <f t="shared" si="9"/>
        <v>(Optional)</v>
      </c>
      <c r="X49" s="822"/>
      <c r="Y49" s="825" t="str">
        <f t="shared" si="10"/>
        <v>(Required)</v>
      </c>
      <c r="Z49" s="821"/>
      <c r="AA49" s="825" t="str">
        <f t="shared" si="11"/>
        <v>(Required)</v>
      </c>
      <c r="AB49" s="821"/>
      <c r="AC49" s="825" t="str">
        <f t="shared" si="12"/>
        <v>(Required)</v>
      </c>
      <c r="AD49" s="821"/>
      <c r="AE49" s="825" t="str">
        <f t="shared" si="13"/>
        <v>(Required)</v>
      </c>
      <c r="AF49" s="821"/>
      <c r="AG49" s="825" t="str">
        <f t="shared" si="14"/>
        <v>(Required)</v>
      </c>
      <c r="AH49" s="823"/>
      <c r="AI49" s="826" t="str">
        <f t="shared" si="15"/>
        <v>(Optional)</v>
      </c>
      <c r="AJ49" s="821"/>
      <c r="AK49" s="825" t="str">
        <f t="shared" si="16"/>
        <v>(Required)</v>
      </c>
      <c r="AL49" s="803" t="str">
        <f t="shared" si="17"/>
        <v/>
      </c>
      <c r="AM49" s="803" t="str">
        <f>IF(H49="DESL",'Fuel Density'!$C$12,IF(H49="GAS",'Fuel Density'!$C$11,IF(H49="CNG",'Fuel Density'!$C$13,IF(H49="LNG",'Fuel Density'!$C$14,IF(H49="LPG",'Fuel Density'!$C$15,IF(H49="PROP",'Fuel Density'!$C$16,IF(H49="","","")))))))</f>
        <v/>
      </c>
      <c r="AN49" s="803" t="str">
        <f>IF(H49="DESL",'Fuel-Specific GHG'!$C$14,IF(H49="GAS",'Fuel-Specific GHG'!$C$16,IF(H49="CNG",'Fuel-Specific GHG'!$C$13,IF(H49="LNG",'Fuel-Specific GHG'!$C$18,IF(OR(H49="LPG",H49="PROP"),'Fuel-Specific GHG'!$C$19,IF(H49="","",""))))))</f>
        <v/>
      </c>
      <c r="AO49" s="804" t="str">
        <f>IFERROR(((P49*(IF(ISBLANK(R49),Defaults!$B$19,R49))*T49*AL49)/AM49),"")</f>
        <v/>
      </c>
      <c r="AP49" s="805" t="str">
        <f t="shared" si="18"/>
        <v/>
      </c>
      <c r="AQ49" s="805" t="str">
        <f>IF(H49="DESL",'Fuel-Specific GHG'!$E$14,IF(H49="GAS",'Fuel-Specific GHG'!$E$16,IF(H49="CNG",'Fuel-Specific GHG'!$E$13,IF(H49="LNG",'Fuel-Specific GHG'!$E$18,IF(OR(H49="LPG",H49="PROP"),'Fuel-Specific GHG'!$E$19,"")))))</f>
        <v/>
      </c>
      <c r="AR49" s="805" t="str">
        <f t="shared" si="19"/>
        <v/>
      </c>
      <c r="AS49" s="803" t="str">
        <f t="shared" si="58"/>
        <v/>
      </c>
      <c r="AT49" s="803" t="str">
        <f>IF(X49="DESL",'Fuel Density'!$C$12,IF(X49="PROP",'Fuel Density'!$C$16,IF(X49="GAS",'Fuel Density'!$C$11,IF(X49="CNG",'Fuel Density'!$C$13,IF(X49="LNG",'Fuel Density'!$C$14,IF(X49="LPG",'Fuel Density'!$C$15,IF(X49="","","")))))))</f>
        <v/>
      </c>
      <c r="AU49" s="804" t="str">
        <f>IFERROR(IF(X49="ELEC",AO49*AN49*(1/'Fuel-Specific GHG'!$C$15)*(1/IF(H49="GAS",3.4,IF(H49="DESL",2.7,3))),((AF49*(IF(ISBLANK(AH49),Defaults!$B$19,AH49))*AJ49*AS49)/AT49)),"")</f>
        <v/>
      </c>
      <c r="AV49" s="805" t="str">
        <f t="shared" si="20"/>
        <v/>
      </c>
      <c r="AW49" s="805" t="str">
        <f>IF(X49="DESL",'Fuel-Specific GHG'!$E$14,IF(X49="PROP",'Fuel-Specific GHG'!$E$19,IF(X49="GAS",'Fuel-Specific GHG'!$E$16,IF(X49="CNG",'Fuel-Specific GHG'!$E$13,IF(X49="LNG",'Fuel-Specific GHG'!$E$18,IF(X49="LPG",'Fuel-Specific GHG'!$E$19,IF(X49="ELEC",'Fuel-Specific GHG'!$E$15,"")))))))</f>
        <v/>
      </c>
      <c r="AX49" s="805" t="str">
        <f t="shared" si="21"/>
        <v/>
      </c>
      <c r="AY49" s="806" t="str">
        <f t="shared" si="22"/>
        <v/>
      </c>
      <c r="AZ49" s="806" t="str">
        <f t="shared" si="68"/>
        <v/>
      </c>
      <c r="BA49" s="806" t="str">
        <f t="shared" si="59"/>
        <v/>
      </c>
      <c r="BB49" s="804" t="str">
        <f t="shared" si="23"/>
        <v/>
      </c>
      <c r="BC49" s="807" t="str">
        <f t="shared" si="24"/>
        <v/>
      </c>
      <c r="BD49" s="807"/>
      <c r="BE49" s="808" t="str">
        <f t="shared" si="25"/>
        <v/>
      </c>
      <c r="BF49" s="809" t="str">
        <f t="shared" si="26"/>
        <v/>
      </c>
      <c r="BG49" s="808" t="str">
        <f t="shared" si="60"/>
        <v/>
      </c>
      <c r="BH49" s="810">
        <f t="shared" si="61"/>
        <v>0</v>
      </c>
      <c r="BI49" s="803" t="str">
        <f>IFERROR(VLOOKUP(BH49,'Pump Emission Factors'!$B$11:$J$88,4,FALSE),"")</f>
        <v/>
      </c>
      <c r="BJ49" s="803" t="str">
        <f>IFERROR(VLOOKUP(BH49,'Pump Emission Factors'!$B$11:$J$88,6,FALSE),"")</f>
        <v/>
      </c>
      <c r="BK49" s="803" t="str">
        <f>IFERROR(VLOOKUP(BH49,'Pump Emission Factors'!$B$11:$J$88,8,FALSE),"")</f>
        <v/>
      </c>
      <c r="BL49" s="803" t="str">
        <f>IFERROR(VLOOKUP(BH49,'Pump Emission Factors'!$B$11:$J$88,5,FALSE),"")</f>
        <v/>
      </c>
      <c r="BM49" s="803" t="str">
        <f>IFERROR(VLOOKUP(BH49,'Pump Emission Factors'!$B$11:$J$88,7,FALSE),"")</f>
        <v/>
      </c>
      <c r="BN49" s="803" t="str">
        <f>IFERROR(VLOOKUP(BH49,'Pump Emission Factors'!$B$11:$J$88,9,FALSE),"")</f>
        <v/>
      </c>
      <c r="BO49" s="811" t="str">
        <f t="shared" si="27"/>
        <v/>
      </c>
      <c r="BP49" s="811" t="str">
        <f t="shared" si="28"/>
        <v/>
      </c>
      <c r="BQ49" s="803">
        <f>IFERROR(((BI49+(BL49*BP49))*(IF(ISBLANK(R49),Defaults!$B$19,R49))*P49*T49)*F49*(1/454),0)</f>
        <v>0</v>
      </c>
      <c r="BR49" s="803">
        <f>IFERROR(((BJ49+(BM49*BP49))*(IF(ISBLANK(R49),Defaults!$B$19,R49))*P49*T49)*F49*(1/454),0)</f>
        <v>0</v>
      </c>
      <c r="BS49" s="803">
        <f>IFERROR(((BK49+(BN49*BP49))*(IF(ISBLANK(R49),Defaults!$B$19,R49))*P49*T49)*F49*(1/454),0)</f>
        <v>0</v>
      </c>
      <c r="BT49" s="803">
        <f t="shared" si="29"/>
        <v>0</v>
      </c>
      <c r="BU49" s="803">
        <f t="shared" si="62"/>
        <v>0</v>
      </c>
      <c r="BV49" s="812" t="str">
        <f t="shared" si="30"/>
        <v/>
      </c>
      <c r="BW49" s="808" t="str">
        <f t="shared" si="31"/>
        <v/>
      </c>
      <c r="BX49" s="809" t="str">
        <f t="shared" si="32"/>
        <v/>
      </c>
      <c r="BY49" s="808" t="str">
        <f t="shared" si="63"/>
        <v/>
      </c>
      <c r="BZ49" s="810">
        <f t="shared" si="64"/>
        <v>0</v>
      </c>
      <c r="CA49" s="813" t="str">
        <f>IFERROR(VLOOKUP(BZ49,'Pump Emission Factors'!$B$11:$J$88,4,FALSE),"")</f>
        <v/>
      </c>
      <c r="CB49" s="813" t="str">
        <f>IFERROR(VLOOKUP(BZ49,'Pump Emission Factors'!$B$11:$J$88,6,FALSE),"")</f>
        <v/>
      </c>
      <c r="CC49" s="813" t="str">
        <f>IFERROR(VLOOKUP(BZ49,'Pump Emission Factors'!$B$11:$J$88,8,FALSE),"")</f>
        <v/>
      </c>
      <c r="CD49" s="813" t="str">
        <f>IFERROR(VLOOKUP(BZ49,'Pump Emission Factors'!$B$11:$J$88,5,FALSE),"")</f>
        <v/>
      </c>
      <c r="CE49" s="813" t="str">
        <f>IFERROR(VLOOKUP(BZ49,'Pump Emission Factors'!$B$11:$J$88,7,FALSE),"")</f>
        <v/>
      </c>
      <c r="CF49" s="813" t="str">
        <f>IFERROR(VLOOKUP(BZ49,'Pump Emission Factors'!$B$11:$J$88,9,FALSE),"")</f>
        <v/>
      </c>
      <c r="CG49" s="814" t="str">
        <f t="shared" si="33"/>
        <v/>
      </c>
      <c r="CH49" s="814" t="str">
        <f t="shared" si="34"/>
        <v/>
      </c>
      <c r="CI49" s="813">
        <f>IFERROR(IF($X49="ELEC",((($AU49*(IF($H49="DESL",'Fuel-Specific GHG'!$C$14,IF($H49="GAS",'Fuel-Specific GHG'!$C$16,IF($H49="CNG",'Fuel-Specific GHG'!$C$13,IF(OR($H49="LPG",$H49="PROP"),'Fuel-Specific GHG'!$C$19,"")))))*(1/'Fuel-Specific GHG'!$C$15)*(1/3.4)*$F49)*'Grid Electricity'!$D$39)/454),((CA49+(CD49*CH49))*(IF(ISBLANK(AH49),Defaults!$B$19,AH49))*$AF49*$AJ49*$F49)),0)</f>
        <v>0</v>
      </c>
      <c r="CJ49" s="813">
        <f>IFERROR(IF($X49="ELEC",((($AU49*(IF($H49="DESL",'Fuel-Specific GHG'!$C$14,IF($H49="GAS",'Fuel-Specific GHG'!$C$16,IF($H49="CNG",'Fuel-Specific GHG'!$C$13,IF(OR($H49="LPG",$H49="PROP"),'Fuel-Specific GHG'!$C$19,"")))))*(1/'Fuel-Specific GHG'!$C$15)*(1/3.4)*$F49)*'Grid Electricity'!$C$39)/454),((CB49+(CE49*CH49))*(IF(ISBLANK(AH49),Defaults!$B$19,AH49))*$AF49*$AJ49*$F49)),0)</f>
        <v>0</v>
      </c>
      <c r="CK49" s="813">
        <f>IFERROR(IF($X49="ELEC",((($AU49*(IF($H49="DESL",'Fuel-Specific GHG'!$C$14,IF($H49="GAS",'Fuel-Specific GHG'!$C$16,IF($H49="CNG",'Fuel-Specific GHG'!$C$13,IF(OR($H49="LPG",$H49="PROP"),'Fuel-Specific GHG'!$C$19,"")))))*(1/'Fuel-Specific GHG'!$C$15)*(1/3.4)*$F49)*'Grid Electricity'!$F$39)/454),((CC49+(CF49*CH49))*(IF(ISBLANK(AH49),Defaults!$B$19,AH49))*$AF49*$AJ49*$F49)),0)</f>
        <v>0</v>
      </c>
      <c r="CL49" s="813">
        <f t="shared" si="35"/>
        <v>0</v>
      </c>
      <c r="CM49" s="813">
        <f t="shared" si="36"/>
        <v>0</v>
      </c>
      <c r="CN49" s="814" t="str">
        <f t="shared" si="37"/>
        <v/>
      </c>
      <c r="CO49" s="814" t="str">
        <f t="shared" si="38"/>
        <v/>
      </c>
      <c r="CP49" s="814" t="str">
        <f t="shared" si="39"/>
        <v/>
      </c>
      <c r="CQ49" s="814" t="str">
        <f t="shared" si="40"/>
        <v/>
      </c>
      <c r="CR49" s="815" t="str">
        <f>IF(AND(V49="Yes, Booster Pump VFD",AF49&lt;=75),('Pump Emission Factors'!$F$95*F49),(IF(AND(V49="Yes, Booster Pump VFD",AF49&gt;75),('Pump Emission Factors'!$F$96*F49),(IF(AND(V49="Yes, Well Pump VFD",AF49&lt;=75),('Pump Emission Factors'!$F$97*F49),(IF(AND(V49="Yes, Well Pump VFD",AF49&gt;75),('Pump Emission Factors'!$F$98*F49),"")))))))</f>
        <v/>
      </c>
      <c r="CS49" s="815" t="str">
        <f>IF(AND(V49="Yes, Booster Pump VFD",AF49&lt;=75),('Pump Emission Factors'!$G$95*F49),(IF(AND(V49="Yes, Booster Pump VFD",AF49&gt;75),('Pump Emission Factors'!$G$96*F49),(IF(AND(V49="Yes, Well Pump VFD",AF49&lt;=75),('Pump Emission Factors'!$G$97*F49),(IF(AND(V49="Yes, Well Pump VFD",AF49&gt;75),('Pump Emission Factors'!$G$98*F49),"")))))))</f>
        <v/>
      </c>
      <c r="CT49" s="815" t="str">
        <f>IF(AND(V49="Yes, Booster Pump VFD",AF49&lt;=75),('Pump Emission Factors'!$H$95*F49),(IF(AND(V49="Yes, Booster Pump VFD",AF49&gt;75),('Pump Emission Factors'!$H$96*F49),(IF(AND(V49="Yes, Well Pump VFD",AF49&lt;=75),('Pump Emission Factors'!$H$97*F49),(IF(AND(V49="Yes, Well Pump VFD",AF49&gt;75),('Pump Emission Factors'!$H$98*F49),"")))))))</f>
        <v/>
      </c>
      <c r="CU49" s="815" t="str">
        <f>IF(AND(V49="Yes, Booster Pump VFD",AF49&lt;=75),('Pump Emission Factors'!$J$95*F49),(IF(AND(V49="Yes, Booster Pump VFD",AF49&gt;75),('Pump Emission Factors'!$J$96*F49),(IF(AND(V49="Yes, Well Pump VFD",AF49&lt;=75),('Pump Emission Factors'!$J$97*F49),(IF(AND(V49="Yes, Well Pump VFD",AF49&gt;75),('Pump Emission Factors'!$J$98*F49),"")))))))</f>
        <v/>
      </c>
      <c r="CV49" s="815" t="str">
        <f>IF(AND(V49="Yes, Booster Pump VFD",AF49&lt;=75),('Pump Emission Factors'!$I$95*F49),(IF(AND(V49="Yes, Booster Pump VFD",AF49&gt;75),('Pump Emission Factors'!$I$96*F49),(IF(AND(V49="Yes, Well Pump VFD",AF49&lt;=75),('Pump Emission Factors'!$I$97*F49),(IF(AND(V49="Yes, Well Pump VFD",AF49&gt;75),('Pump Emission Factors'!$I$98*F49),"")))))))</f>
        <v/>
      </c>
      <c r="CW49" s="806">
        <f t="shared" si="41"/>
        <v>0</v>
      </c>
      <c r="CX49" s="806">
        <f t="shared" si="42"/>
        <v>0</v>
      </c>
      <c r="CY49" s="806">
        <f t="shared" si="43"/>
        <v>0</v>
      </c>
      <c r="CZ49" s="806">
        <f t="shared" si="44"/>
        <v>0</v>
      </c>
      <c r="DA49" s="806">
        <f t="shared" si="45"/>
        <v>0</v>
      </c>
      <c r="DB49" s="816" t="str">
        <f t="shared" si="65"/>
        <v/>
      </c>
      <c r="DC49" s="816" t="str">
        <f t="shared" si="65"/>
        <v/>
      </c>
      <c r="DD49" s="816" t="str">
        <f t="shared" si="65"/>
        <v/>
      </c>
      <c r="DE49" s="817" t="str">
        <f t="shared" si="47"/>
        <v/>
      </c>
      <c r="DF49" s="817" t="str">
        <f t="shared" si="48"/>
        <v/>
      </c>
      <c r="DG49" s="804" t="str">
        <f t="shared" si="49"/>
        <v/>
      </c>
      <c r="DH49" s="804" t="str">
        <f t="shared" si="50"/>
        <v/>
      </c>
      <c r="DI49" s="818" t="str">
        <f>IF(AO49="","",IF(H49="DESL",AO49*F49*'Fuel Prices'!$C$12,IF(H49="GAS",AO49*F49*'Fuel Prices'!$C$11,IF(H49="CNG",AO49*F49*'Fuel Prices'!$C$13,IF(H49="LNG",AO49*F49*'Fuel Prices'!$C$14,IF(H49="LPG",AO49*F49*'Fuel Prices'!$C$16,IF(H49="PROP",AO49*F49*'Fuel Prices'!$C$16,"0")))))))</f>
        <v/>
      </c>
      <c r="DJ49" s="818" t="str">
        <f>IF(AU49="","",IF(X49="DESL",AU49*F49*'Fuel Prices'!$C$12,IF(X49="GAS",AU49*F49*'Fuel Prices'!$C$11,IF(X49="CNG",AU49*F49*'Fuel Prices'!$C$13,IF(X49="LNG",AU49*F49*'Fuel Prices'!$C$14,IF(X49="LPG",AU49*F49*'Fuel Prices'!$C$16,IF(X49="PROP",AU49*F49*'Fuel Prices'!$C$16,IF(X49="ELEC",AU49*F49*'Fuel Prices'!$C$35,"0"))))))))</f>
        <v/>
      </c>
      <c r="DK49" s="818" t="str">
        <f t="shared" si="51"/>
        <v/>
      </c>
      <c r="DL49" s="818" t="str">
        <f t="shared" si="52"/>
        <v/>
      </c>
      <c r="DM49" s="804" t="str">
        <f t="shared" si="53"/>
        <v/>
      </c>
      <c r="DN49" s="804" t="str">
        <f t="shared" si="54"/>
        <v/>
      </c>
      <c r="DO49" s="804" t="str">
        <f>IFERROR(ROUND(CZ49*IF(COUNTIF($B$20:B49,B49)=1,1,"")/IF(B49="",0,1),0),"")</f>
        <v/>
      </c>
      <c r="DP49" s="804" t="str">
        <f>IFERROR(ROUND(CW49*IF(COUNTIF($B$20:B49,B49)=1,1,"")/IF(B49="",0,1),0),"")</f>
        <v/>
      </c>
      <c r="DQ49" s="804" t="str">
        <f>IFERROR(ROUND(DA49*IF(COUNTIF($B$20:B49,B49)=1,1,"")/IF(B49="",0,1),0),"")</f>
        <v/>
      </c>
      <c r="DR49" s="804" t="str">
        <f>IFERROR(ROUND(CX49*IF(COUNTIF($B$20:B49,B49)=1,1,"")/IF(B49="",0,1),0),"")</f>
        <v/>
      </c>
      <c r="DS49" s="804">
        <f t="shared" si="55"/>
        <v>0</v>
      </c>
      <c r="DT49" s="804">
        <f t="shared" si="56"/>
        <v>0</v>
      </c>
      <c r="DU49" s="804">
        <f t="shared" si="57"/>
        <v>0</v>
      </c>
      <c r="DV49" s="818" t="str">
        <f t="shared" si="66"/>
        <v/>
      </c>
      <c r="DW49" s="819" t="str">
        <f t="shared" si="67"/>
        <v/>
      </c>
    </row>
    <row r="50" spans="1:127" ht="18" customHeight="1" x14ac:dyDescent="0.35">
      <c r="A50" s="635"/>
      <c r="B50" s="820"/>
      <c r="C50" s="825" t="str">
        <f t="shared" si="0"/>
        <v>(Required)</v>
      </c>
      <c r="D50" s="821"/>
      <c r="E50" s="825" t="str">
        <f t="shared" si="0"/>
        <v>(Required)</v>
      </c>
      <c r="F50" s="821"/>
      <c r="G50" s="825" t="str">
        <f t="shared" si="1"/>
        <v>(Required)</v>
      </c>
      <c r="H50" s="822"/>
      <c r="I50" s="825" t="str">
        <f t="shared" si="2"/>
        <v>(Required)</v>
      </c>
      <c r="J50" s="821"/>
      <c r="K50" s="825" t="str">
        <f t="shared" si="3"/>
        <v>(Required)</v>
      </c>
      <c r="L50" s="821"/>
      <c r="M50" s="825" t="str">
        <f t="shared" si="4"/>
        <v>(Required)</v>
      </c>
      <c r="N50" s="821"/>
      <c r="O50" s="825" t="str">
        <f t="shared" si="5"/>
        <v>(Required)</v>
      </c>
      <c r="P50" s="821"/>
      <c r="Q50" s="825" t="str">
        <f t="shared" si="6"/>
        <v>(Required)</v>
      </c>
      <c r="R50" s="823"/>
      <c r="S50" s="826" t="str">
        <f t="shared" si="7"/>
        <v>(Optional)</v>
      </c>
      <c r="T50" s="821"/>
      <c r="U50" s="827" t="str">
        <f t="shared" si="8"/>
        <v>(Required)</v>
      </c>
      <c r="V50" s="828"/>
      <c r="W50" s="799" t="str">
        <f t="shared" si="9"/>
        <v>(Optional)</v>
      </c>
      <c r="X50" s="822"/>
      <c r="Y50" s="825" t="str">
        <f t="shared" si="10"/>
        <v>(Required)</v>
      </c>
      <c r="Z50" s="821"/>
      <c r="AA50" s="825" t="str">
        <f t="shared" si="11"/>
        <v>(Required)</v>
      </c>
      <c r="AB50" s="821"/>
      <c r="AC50" s="825" t="str">
        <f t="shared" si="12"/>
        <v>(Required)</v>
      </c>
      <c r="AD50" s="821"/>
      <c r="AE50" s="825" t="str">
        <f t="shared" si="13"/>
        <v>(Required)</v>
      </c>
      <c r="AF50" s="821"/>
      <c r="AG50" s="825" t="str">
        <f t="shared" si="14"/>
        <v>(Required)</v>
      </c>
      <c r="AH50" s="823"/>
      <c r="AI50" s="826" t="str">
        <f t="shared" si="15"/>
        <v>(Optional)</v>
      </c>
      <c r="AJ50" s="821"/>
      <c r="AK50" s="825" t="str">
        <f t="shared" si="16"/>
        <v>(Required)</v>
      </c>
      <c r="AL50" s="803" t="str">
        <f t="shared" si="17"/>
        <v/>
      </c>
      <c r="AM50" s="803" t="str">
        <f>IF(H50="DESL",'Fuel Density'!$C$12,IF(H50="GAS",'Fuel Density'!$C$11,IF(H50="CNG",'Fuel Density'!$C$13,IF(H50="LNG",'Fuel Density'!$C$14,IF(H50="LPG",'Fuel Density'!$C$15,IF(H50="PROP",'Fuel Density'!$C$16,IF(H50="","","")))))))</f>
        <v/>
      </c>
      <c r="AN50" s="803" t="str">
        <f>IF(H50="DESL",'Fuel-Specific GHG'!$C$14,IF(H50="GAS",'Fuel-Specific GHG'!$C$16,IF(H50="CNG",'Fuel-Specific GHG'!$C$13,IF(H50="LNG",'Fuel-Specific GHG'!$C$18,IF(OR(H50="LPG",H50="PROP"),'Fuel-Specific GHG'!$C$19,IF(H50="","",""))))))</f>
        <v/>
      </c>
      <c r="AO50" s="804" t="str">
        <f>IFERROR(((P50*(IF(ISBLANK(R50),Defaults!$B$19,R50))*T50*AL50)/AM50),"")</f>
        <v/>
      </c>
      <c r="AP50" s="805" t="str">
        <f t="shared" si="18"/>
        <v/>
      </c>
      <c r="AQ50" s="805" t="str">
        <f>IF(H50="DESL",'Fuel-Specific GHG'!$E$14,IF(H50="GAS",'Fuel-Specific GHG'!$E$16,IF(H50="CNG",'Fuel-Specific GHG'!$E$13,IF(H50="LNG",'Fuel-Specific GHG'!$E$18,IF(OR(H50="LPG",H50="PROP"),'Fuel-Specific GHG'!$E$19,"")))))</f>
        <v/>
      </c>
      <c r="AR50" s="805" t="str">
        <f t="shared" si="19"/>
        <v/>
      </c>
      <c r="AS50" s="803" t="str">
        <f t="shared" si="58"/>
        <v/>
      </c>
      <c r="AT50" s="803" t="str">
        <f>IF(X50="DESL",'Fuel Density'!$C$12,IF(X50="PROP",'Fuel Density'!$C$16,IF(X50="GAS",'Fuel Density'!$C$11,IF(X50="CNG",'Fuel Density'!$C$13,IF(X50="LNG",'Fuel Density'!$C$14,IF(X50="LPG",'Fuel Density'!$C$15,IF(X50="","","")))))))</f>
        <v/>
      </c>
      <c r="AU50" s="804" t="str">
        <f>IFERROR(IF(X50="ELEC",AO50*AN50*(1/'Fuel-Specific GHG'!$C$15)*(1/IF(H50="GAS",3.4,IF(H50="DESL",2.7,3))),((AF50*(IF(ISBLANK(AH50),Defaults!$B$19,AH50))*AJ50*AS50)/AT50)),"")</f>
        <v/>
      </c>
      <c r="AV50" s="805" t="str">
        <f t="shared" si="20"/>
        <v/>
      </c>
      <c r="AW50" s="805" t="str">
        <f>IF(X50="DESL",'Fuel-Specific GHG'!$E$14,IF(X50="PROP",'Fuel-Specific GHG'!$E$19,IF(X50="GAS",'Fuel-Specific GHG'!$E$16,IF(X50="CNG",'Fuel-Specific GHG'!$E$13,IF(X50="LNG",'Fuel-Specific GHG'!$E$18,IF(X50="LPG",'Fuel-Specific GHG'!$E$19,IF(X50="ELEC",'Fuel-Specific GHG'!$E$15,"")))))))</f>
        <v/>
      </c>
      <c r="AX50" s="805" t="str">
        <f t="shared" si="21"/>
        <v/>
      </c>
      <c r="AY50" s="806" t="str">
        <f t="shared" si="22"/>
        <v/>
      </c>
      <c r="AZ50" s="806" t="str">
        <f t="shared" si="68"/>
        <v/>
      </c>
      <c r="BA50" s="806" t="str">
        <f t="shared" si="59"/>
        <v/>
      </c>
      <c r="BB50" s="804" t="str">
        <f t="shared" si="23"/>
        <v/>
      </c>
      <c r="BC50" s="807" t="str">
        <f t="shared" si="24"/>
        <v/>
      </c>
      <c r="BD50" s="807"/>
      <c r="BE50" s="808" t="str">
        <f t="shared" si="25"/>
        <v/>
      </c>
      <c r="BF50" s="809" t="str">
        <f t="shared" si="26"/>
        <v/>
      </c>
      <c r="BG50" s="808" t="str">
        <f t="shared" si="60"/>
        <v/>
      </c>
      <c r="BH50" s="810">
        <f t="shared" si="61"/>
        <v>0</v>
      </c>
      <c r="BI50" s="803" t="str">
        <f>IFERROR(VLOOKUP(BH50,'Pump Emission Factors'!$B$11:$J$88,4,FALSE),"")</f>
        <v/>
      </c>
      <c r="BJ50" s="803" t="str">
        <f>IFERROR(VLOOKUP(BH50,'Pump Emission Factors'!$B$11:$J$88,6,FALSE),"")</f>
        <v/>
      </c>
      <c r="BK50" s="803" t="str">
        <f>IFERROR(VLOOKUP(BH50,'Pump Emission Factors'!$B$11:$J$88,8,FALSE),"")</f>
        <v/>
      </c>
      <c r="BL50" s="803" t="str">
        <f>IFERROR(VLOOKUP(BH50,'Pump Emission Factors'!$B$11:$J$88,5,FALSE),"")</f>
        <v/>
      </c>
      <c r="BM50" s="803" t="str">
        <f>IFERROR(VLOOKUP(BH50,'Pump Emission Factors'!$B$11:$J$88,7,FALSE),"")</f>
        <v/>
      </c>
      <c r="BN50" s="803" t="str">
        <f>IFERROR(VLOOKUP(BH50,'Pump Emission Factors'!$B$11:$J$88,9,FALSE),"")</f>
        <v/>
      </c>
      <c r="BO50" s="811" t="str">
        <f t="shared" si="27"/>
        <v/>
      </c>
      <c r="BP50" s="811" t="str">
        <f t="shared" si="28"/>
        <v/>
      </c>
      <c r="BQ50" s="803">
        <f>IFERROR(((BI50+(BL50*BP50))*(IF(ISBLANK(R50),Defaults!$B$19,R50))*P50*T50)*F50*(1/454),0)</f>
        <v>0</v>
      </c>
      <c r="BR50" s="803">
        <f>IFERROR(((BJ50+(BM50*BP50))*(IF(ISBLANK(R50),Defaults!$B$19,R50))*P50*T50)*F50*(1/454),0)</f>
        <v>0</v>
      </c>
      <c r="BS50" s="803">
        <f>IFERROR(((BK50+(BN50*BP50))*(IF(ISBLANK(R50),Defaults!$B$19,R50))*P50*T50)*F50*(1/454),0)</f>
        <v>0</v>
      </c>
      <c r="BT50" s="803">
        <f t="shared" si="29"/>
        <v>0</v>
      </c>
      <c r="BU50" s="803">
        <f t="shared" si="62"/>
        <v>0</v>
      </c>
      <c r="BV50" s="812" t="str">
        <f t="shared" si="30"/>
        <v/>
      </c>
      <c r="BW50" s="808" t="str">
        <f t="shared" si="31"/>
        <v/>
      </c>
      <c r="BX50" s="809" t="str">
        <f t="shared" si="32"/>
        <v/>
      </c>
      <c r="BY50" s="808" t="str">
        <f t="shared" si="63"/>
        <v/>
      </c>
      <c r="BZ50" s="810">
        <f t="shared" si="64"/>
        <v>0</v>
      </c>
      <c r="CA50" s="813" t="str">
        <f>IFERROR(VLOOKUP(BZ50,'Pump Emission Factors'!$B$11:$J$88,4,FALSE),"")</f>
        <v/>
      </c>
      <c r="CB50" s="813" t="str">
        <f>IFERROR(VLOOKUP(BZ50,'Pump Emission Factors'!$B$11:$J$88,6,FALSE),"")</f>
        <v/>
      </c>
      <c r="CC50" s="813" t="str">
        <f>IFERROR(VLOOKUP(BZ50,'Pump Emission Factors'!$B$11:$J$88,8,FALSE),"")</f>
        <v/>
      </c>
      <c r="CD50" s="813" t="str">
        <f>IFERROR(VLOOKUP(BZ50,'Pump Emission Factors'!$B$11:$J$88,5,FALSE),"")</f>
        <v/>
      </c>
      <c r="CE50" s="813" t="str">
        <f>IFERROR(VLOOKUP(BZ50,'Pump Emission Factors'!$B$11:$J$88,7,FALSE),"")</f>
        <v/>
      </c>
      <c r="CF50" s="813" t="str">
        <f>IFERROR(VLOOKUP(BZ50,'Pump Emission Factors'!$B$11:$J$88,9,FALSE),"")</f>
        <v/>
      </c>
      <c r="CG50" s="814" t="str">
        <f t="shared" si="33"/>
        <v/>
      </c>
      <c r="CH50" s="814" t="str">
        <f t="shared" si="34"/>
        <v/>
      </c>
      <c r="CI50" s="813">
        <f>IFERROR(IF($X50="ELEC",((($AU50*(IF($H50="DESL",'Fuel-Specific GHG'!$C$14,IF($H50="GAS",'Fuel-Specific GHG'!$C$16,IF($H50="CNG",'Fuel-Specific GHG'!$C$13,IF(OR($H50="LPG",$H50="PROP"),'Fuel-Specific GHG'!$C$19,"")))))*(1/'Fuel-Specific GHG'!$C$15)*(1/3.4)*$F50)*'Grid Electricity'!$D$39)/454),((CA50+(CD50*CH50))*(IF(ISBLANK(AH50),Defaults!$B$19,AH50))*$AF50*$AJ50*$F50)),0)</f>
        <v>0</v>
      </c>
      <c r="CJ50" s="813">
        <f>IFERROR(IF($X50="ELEC",((($AU50*(IF($H50="DESL",'Fuel-Specific GHG'!$C$14,IF($H50="GAS",'Fuel-Specific GHG'!$C$16,IF($H50="CNG",'Fuel-Specific GHG'!$C$13,IF(OR($H50="LPG",$H50="PROP"),'Fuel-Specific GHG'!$C$19,"")))))*(1/'Fuel-Specific GHG'!$C$15)*(1/3.4)*$F50)*'Grid Electricity'!$C$39)/454),((CB50+(CE50*CH50))*(IF(ISBLANK(AH50),Defaults!$B$19,AH50))*$AF50*$AJ50*$F50)),0)</f>
        <v>0</v>
      </c>
      <c r="CK50" s="813">
        <f>IFERROR(IF($X50="ELEC",((($AU50*(IF($H50="DESL",'Fuel-Specific GHG'!$C$14,IF($H50="GAS",'Fuel-Specific GHG'!$C$16,IF($H50="CNG",'Fuel-Specific GHG'!$C$13,IF(OR($H50="LPG",$H50="PROP"),'Fuel-Specific GHG'!$C$19,"")))))*(1/'Fuel-Specific GHG'!$C$15)*(1/3.4)*$F50)*'Grid Electricity'!$F$39)/454),((CC50+(CF50*CH50))*(IF(ISBLANK(AH50),Defaults!$B$19,AH50))*$AF50*$AJ50*$F50)),0)</f>
        <v>0</v>
      </c>
      <c r="CL50" s="813">
        <f t="shared" si="35"/>
        <v>0</v>
      </c>
      <c r="CM50" s="813">
        <f t="shared" si="36"/>
        <v>0</v>
      </c>
      <c r="CN50" s="814" t="str">
        <f t="shared" si="37"/>
        <v/>
      </c>
      <c r="CO50" s="814" t="str">
        <f t="shared" si="38"/>
        <v/>
      </c>
      <c r="CP50" s="814" t="str">
        <f t="shared" si="39"/>
        <v/>
      </c>
      <c r="CQ50" s="814" t="str">
        <f t="shared" si="40"/>
        <v/>
      </c>
      <c r="CR50" s="815" t="str">
        <f>IF(AND(V50="Yes, Booster Pump VFD",AF50&lt;=75),('Pump Emission Factors'!$F$95*F50),(IF(AND(V50="Yes, Booster Pump VFD",AF50&gt;75),('Pump Emission Factors'!$F$96*F50),(IF(AND(V50="Yes, Well Pump VFD",AF50&lt;=75),('Pump Emission Factors'!$F$97*F50),(IF(AND(V50="Yes, Well Pump VFD",AF50&gt;75),('Pump Emission Factors'!$F$98*F50),"")))))))</f>
        <v/>
      </c>
      <c r="CS50" s="815" t="str">
        <f>IF(AND(V50="Yes, Booster Pump VFD",AF50&lt;=75),('Pump Emission Factors'!$G$95*F50),(IF(AND(V50="Yes, Booster Pump VFD",AF50&gt;75),('Pump Emission Factors'!$G$96*F50),(IF(AND(V50="Yes, Well Pump VFD",AF50&lt;=75),('Pump Emission Factors'!$G$97*F50),(IF(AND(V50="Yes, Well Pump VFD",AF50&gt;75),('Pump Emission Factors'!$G$98*F50),"")))))))</f>
        <v/>
      </c>
      <c r="CT50" s="815" t="str">
        <f>IF(AND(V50="Yes, Booster Pump VFD",AF50&lt;=75),('Pump Emission Factors'!$H$95*F50),(IF(AND(V50="Yes, Booster Pump VFD",AF50&gt;75),('Pump Emission Factors'!$H$96*F50),(IF(AND(V50="Yes, Well Pump VFD",AF50&lt;=75),('Pump Emission Factors'!$H$97*F50),(IF(AND(V50="Yes, Well Pump VFD",AF50&gt;75),('Pump Emission Factors'!$H$98*F50),"")))))))</f>
        <v/>
      </c>
      <c r="CU50" s="815" t="str">
        <f>IF(AND(V50="Yes, Booster Pump VFD",AF50&lt;=75),('Pump Emission Factors'!$J$95*F50),(IF(AND(V50="Yes, Booster Pump VFD",AF50&gt;75),('Pump Emission Factors'!$J$96*F50),(IF(AND(V50="Yes, Well Pump VFD",AF50&lt;=75),('Pump Emission Factors'!$J$97*F50),(IF(AND(V50="Yes, Well Pump VFD",AF50&gt;75),('Pump Emission Factors'!$J$98*F50),"")))))))</f>
        <v/>
      </c>
      <c r="CV50" s="815" t="str">
        <f>IF(AND(V50="Yes, Booster Pump VFD",AF50&lt;=75),('Pump Emission Factors'!$I$95*F50),(IF(AND(V50="Yes, Booster Pump VFD",AF50&gt;75),('Pump Emission Factors'!$I$96*F50),(IF(AND(V50="Yes, Well Pump VFD",AF50&lt;=75),('Pump Emission Factors'!$I$97*F50),(IF(AND(V50="Yes, Well Pump VFD",AF50&gt;75),('Pump Emission Factors'!$I$98*F50),"")))))))</f>
        <v/>
      </c>
      <c r="CW50" s="806">
        <f t="shared" si="41"/>
        <v>0</v>
      </c>
      <c r="CX50" s="806">
        <f t="shared" si="42"/>
        <v>0</v>
      </c>
      <c r="CY50" s="806">
        <f t="shared" si="43"/>
        <v>0</v>
      </c>
      <c r="CZ50" s="806">
        <f t="shared" si="44"/>
        <v>0</v>
      </c>
      <c r="DA50" s="806">
        <f t="shared" si="45"/>
        <v>0</v>
      </c>
      <c r="DB50" s="816" t="str">
        <f t="shared" si="65"/>
        <v/>
      </c>
      <c r="DC50" s="816" t="str">
        <f t="shared" si="65"/>
        <v/>
      </c>
      <c r="DD50" s="816" t="str">
        <f t="shared" si="65"/>
        <v/>
      </c>
      <c r="DE50" s="817" t="str">
        <f t="shared" si="47"/>
        <v/>
      </c>
      <c r="DF50" s="817" t="str">
        <f t="shared" si="48"/>
        <v/>
      </c>
      <c r="DG50" s="804" t="str">
        <f t="shared" si="49"/>
        <v/>
      </c>
      <c r="DH50" s="804" t="str">
        <f t="shared" si="50"/>
        <v/>
      </c>
      <c r="DI50" s="818" t="str">
        <f>IF(AO50="","",IF(H50="DESL",AO50*F50*'Fuel Prices'!$C$12,IF(H50="GAS",AO50*F50*'Fuel Prices'!$C$11,IF(H50="CNG",AO50*F50*'Fuel Prices'!$C$13,IF(H50="LNG",AO50*F50*'Fuel Prices'!$C$14,IF(H50="LPG",AO50*F50*'Fuel Prices'!$C$16,IF(H50="PROP",AO50*F50*'Fuel Prices'!$C$16,"0")))))))</f>
        <v/>
      </c>
      <c r="DJ50" s="818" t="str">
        <f>IF(AU50="","",IF(X50="DESL",AU50*F50*'Fuel Prices'!$C$12,IF(X50="GAS",AU50*F50*'Fuel Prices'!$C$11,IF(X50="CNG",AU50*F50*'Fuel Prices'!$C$13,IF(X50="LNG",AU50*F50*'Fuel Prices'!$C$14,IF(X50="LPG",AU50*F50*'Fuel Prices'!$C$16,IF(X50="PROP",AU50*F50*'Fuel Prices'!$C$16,IF(X50="ELEC",AU50*F50*'Fuel Prices'!$C$35,"0"))))))))</f>
        <v/>
      </c>
      <c r="DK50" s="818" t="str">
        <f t="shared" si="51"/>
        <v/>
      </c>
      <c r="DL50" s="818" t="str">
        <f t="shared" si="52"/>
        <v/>
      </c>
      <c r="DM50" s="804" t="str">
        <f t="shared" si="53"/>
        <v/>
      </c>
      <c r="DN50" s="804" t="str">
        <f t="shared" si="54"/>
        <v/>
      </c>
      <c r="DO50" s="804" t="str">
        <f>IFERROR(ROUND(CZ50*IF(COUNTIF($B$20:B50,B50)=1,1,"")/IF(B50="",0,1),0),"")</f>
        <v/>
      </c>
      <c r="DP50" s="804" t="str">
        <f>IFERROR(ROUND(CW50*IF(COUNTIF($B$20:B50,B50)=1,1,"")/IF(B50="",0,1),0),"")</f>
        <v/>
      </c>
      <c r="DQ50" s="804" t="str">
        <f>IFERROR(ROUND(DA50*IF(COUNTIF($B$20:B50,B50)=1,1,"")/IF(B50="",0,1),0),"")</f>
        <v/>
      </c>
      <c r="DR50" s="804" t="str">
        <f>IFERROR(ROUND(CX50*IF(COUNTIF($B$20:B50,B50)=1,1,"")/IF(B50="",0,1),0),"")</f>
        <v/>
      </c>
      <c r="DS50" s="804">
        <f t="shared" si="55"/>
        <v>0</v>
      </c>
      <c r="DT50" s="804">
        <f t="shared" si="56"/>
        <v>0</v>
      </c>
      <c r="DU50" s="804">
        <f t="shared" si="57"/>
        <v>0</v>
      </c>
      <c r="DV50" s="818" t="str">
        <f t="shared" si="66"/>
        <v/>
      </c>
      <c r="DW50" s="819" t="str">
        <f t="shared" si="67"/>
        <v/>
      </c>
    </row>
    <row r="51" spans="1:127" ht="18" customHeight="1" x14ac:dyDescent="0.35">
      <c r="A51" s="696"/>
      <c r="B51" s="820"/>
      <c r="C51" s="825" t="str">
        <f t="shared" si="0"/>
        <v>(Required)</v>
      </c>
      <c r="D51" s="821"/>
      <c r="E51" s="825" t="str">
        <f t="shared" si="0"/>
        <v>(Required)</v>
      </c>
      <c r="F51" s="821"/>
      <c r="G51" s="825" t="str">
        <f t="shared" si="1"/>
        <v>(Required)</v>
      </c>
      <c r="H51" s="822"/>
      <c r="I51" s="825" t="str">
        <f t="shared" si="2"/>
        <v>(Required)</v>
      </c>
      <c r="J51" s="821"/>
      <c r="K51" s="825" t="str">
        <f t="shared" si="3"/>
        <v>(Required)</v>
      </c>
      <c r="L51" s="821"/>
      <c r="M51" s="825" t="str">
        <f t="shared" si="4"/>
        <v>(Required)</v>
      </c>
      <c r="N51" s="821"/>
      <c r="O51" s="825" t="str">
        <f t="shared" si="5"/>
        <v>(Required)</v>
      </c>
      <c r="P51" s="821"/>
      <c r="Q51" s="825" t="str">
        <f t="shared" si="6"/>
        <v>(Required)</v>
      </c>
      <c r="R51" s="823"/>
      <c r="S51" s="826" t="str">
        <f t="shared" si="7"/>
        <v>(Optional)</v>
      </c>
      <c r="T51" s="821"/>
      <c r="U51" s="827" t="str">
        <f t="shared" si="8"/>
        <v>(Required)</v>
      </c>
      <c r="V51" s="828"/>
      <c r="W51" s="799" t="str">
        <f t="shared" si="9"/>
        <v>(Optional)</v>
      </c>
      <c r="X51" s="822"/>
      <c r="Y51" s="825" t="str">
        <f t="shared" si="10"/>
        <v>(Required)</v>
      </c>
      <c r="Z51" s="821"/>
      <c r="AA51" s="825" t="str">
        <f t="shared" si="11"/>
        <v>(Required)</v>
      </c>
      <c r="AB51" s="821"/>
      <c r="AC51" s="825" t="str">
        <f t="shared" si="12"/>
        <v>(Required)</v>
      </c>
      <c r="AD51" s="821"/>
      <c r="AE51" s="825" t="str">
        <f t="shared" si="13"/>
        <v>(Required)</v>
      </c>
      <c r="AF51" s="821"/>
      <c r="AG51" s="825" t="str">
        <f t="shared" si="14"/>
        <v>(Required)</v>
      </c>
      <c r="AH51" s="823"/>
      <c r="AI51" s="826" t="str">
        <f t="shared" si="15"/>
        <v>(Optional)</v>
      </c>
      <c r="AJ51" s="821"/>
      <c r="AK51" s="825" t="str">
        <f t="shared" si="16"/>
        <v>(Required)</v>
      </c>
      <c r="AL51" s="803" t="str">
        <f t="shared" si="17"/>
        <v/>
      </c>
      <c r="AM51" s="803" t="str">
        <f>IF(H51="DESL",'Fuel Density'!$C$12,IF(H51="GAS",'Fuel Density'!$C$11,IF(H51="CNG",'Fuel Density'!$C$13,IF(H51="LNG",'Fuel Density'!$C$14,IF(H51="LPG",'Fuel Density'!$C$15,IF(H51="PROP",'Fuel Density'!$C$16,IF(H51="","","")))))))</f>
        <v/>
      </c>
      <c r="AN51" s="803" t="str">
        <f>IF(H51="DESL",'Fuel-Specific GHG'!$C$14,IF(H51="GAS",'Fuel-Specific GHG'!$C$16,IF(H51="CNG",'Fuel-Specific GHG'!$C$13,IF(H51="LNG",'Fuel-Specific GHG'!$C$18,IF(OR(H51="LPG",H51="PROP"),'Fuel-Specific GHG'!$C$19,IF(H51="","",""))))))</f>
        <v/>
      </c>
      <c r="AO51" s="804" t="str">
        <f>IFERROR(((P51*(IF(ISBLANK(R51),Defaults!$B$19,R51))*T51*AL51)/AM51),"")</f>
        <v/>
      </c>
      <c r="AP51" s="805" t="str">
        <f t="shared" si="18"/>
        <v/>
      </c>
      <c r="AQ51" s="805" t="str">
        <f>IF(H51="DESL",'Fuel-Specific GHG'!$E$14,IF(H51="GAS",'Fuel-Specific GHG'!$E$16,IF(H51="CNG",'Fuel-Specific GHG'!$E$13,IF(H51="LNG",'Fuel-Specific GHG'!$E$18,IF(OR(H51="LPG",H51="PROP"),'Fuel-Specific GHG'!$E$19,"")))))</f>
        <v/>
      </c>
      <c r="AR51" s="805" t="str">
        <f t="shared" si="19"/>
        <v/>
      </c>
      <c r="AS51" s="803" t="str">
        <f t="shared" si="58"/>
        <v/>
      </c>
      <c r="AT51" s="803" t="str">
        <f>IF(X51="DESL",'Fuel Density'!$C$12,IF(X51="PROP",'Fuel Density'!$C$16,IF(X51="GAS",'Fuel Density'!$C$11,IF(X51="CNG",'Fuel Density'!$C$13,IF(X51="LNG",'Fuel Density'!$C$14,IF(X51="LPG",'Fuel Density'!$C$15,IF(X51="","","")))))))</f>
        <v/>
      </c>
      <c r="AU51" s="804" t="str">
        <f>IFERROR(IF(X51="ELEC",AO51*AN51*(1/'Fuel-Specific GHG'!$C$15)*(1/IF(H51="GAS",3.4,IF(H51="DESL",2.7,3))),((AF51*(IF(ISBLANK(AH51),Defaults!$B$19,AH51))*AJ51*AS51)/AT51)),"")</f>
        <v/>
      </c>
      <c r="AV51" s="805" t="str">
        <f t="shared" si="20"/>
        <v/>
      </c>
      <c r="AW51" s="805" t="str">
        <f>IF(X51="DESL",'Fuel-Specific GHG'!$E$14,IF(X51="PROP",'Fuel-Specific GHG'!$E$19,IF(X51="GAS",'Fuel-Specific GHG'!$E$16,IF(X51="CNG",'Fuel-Specific GHG'!$E$13,IF(X51="LNG",'Fuel-Specific GHG'!$E$18,IF(X51="LPG",'Fuel-Specific GHG'!$E$19,IF(X51="ELEC",'Fuel-Specific GHG'!$E$15,"")))))))</f>
        <v/>
      </c>
      <c r="AX51" s="805" t="str">
        <f t="shared" si="21"/>
        <v/>
      </c>
      <c r="AY51" s="806" t="str">
        <f t="shared" si="22"/>
        <v/>
      </c>
      <c r="AZ51" s="806" t="str">
        <f t="shared" si="68"/>
        <v/>
      </c>
      <c r="BA51" s="806" t="str">
        <f t="shared" si="59"/>
        <v/>
      </c>
      <c r="BB51" s="804" t="str">
        <f t="shared" si="23"/>
        <v/>
      </c>
      <c r="BC51" s="807" t="str">
        <f t="shared" si="24"/>
        <v/>
      </c>
      <c r="BD51" s="807"/>
      <c r="BE51" s="808" t="str">
        <f t="shared" si="25"/>
        <v/>
      </c>
      <c r="BF51" s="809" t="str">
        <f t="shared" si="26"/>
        <v/>
      </c>
      <c r="BG51" s="808" t="str">
        <f t="shared" si="60"/>
        <v/>
      </c>
      <c r="BH51" s="810">
        <f t="shared" si="61"/>
        <v>0</v>
      </c>
      <c r="BI51" s="803" t="str">
        <f>IFERROR(VLOOKUP(BH51,'Pump Emission Factors'!$B$11:$J$88,4,FALSE),"")</f>
        <v/>
      </c>
      <c r="BJ51" s="803" t="str">
        <f>IFERROR(VLOOKUP(BH51,'Pump Emission Factors'!$B$11:$J$88,6,FALSE),"")</f>
        <v/>
      </c>
      <c r="BK51" s="803" t="str">
        <f>IFERROR(VLOOKUP(BH51,'Pump Emission Factors'!$B$11:$J$88,8,FALSE),"")</f>
        <v/>
      </c>
      <c r="BL51" s="803" t="str">
        <f>IFERROR(VLOOKUP(BH51,'Pump Emission Factors'!$B$11:$J$88,5,FALSE),"")</f>
        <v/>
      </c>
      <c r="BM51" s="803" t="str">
        <f>IFERROR(VLOOKUP(BH51,'Pump Emission Factors'!$B$11:$J$88,7,FALSE),"")</f>
        <v/>
      </c>
      <c r="BN51" s="803" t="str">
        <f>IFERROR(VLOOKUP(BH51,'Pump Emission Factors'!$B$11:$J$88,9,FALSE),"")</f>
        <v/>
      </c>
      <c r="BO51" s="811" t="str">
        <f t="shared" si="27"/>
        <v/>
      </c>
      <c r="BP51" s="811" t="str">
        <f t="shared" si="28"/>
        <v/>
      </c>
      <c r="BQ51" s="803">
        <f>IFERROR(((BI51+(BL51*BP51))*(IF(ISBLANK(R51),Defaults!$B$19,R51))*P51*T51)*F51*(1/454),0)</f>
        <v>0</v>
      </c>
      <c r="BR51" s="803">
        <f>IFERROR(((BJ51+(BM51*BP51))*(IF(ISBLANK(R51),Defaults!$B$19,R51))*P51*T51)*F51*(1/454),0)</f>
        <v>0</v>
      </c>
      <c r="BS51" s="803">
        <f>IFERROR(((BK51+(BN51*BP51))*(IF(ISBLANK(R51),Defaults!$B$19,R51))*P51*T51)*F51*(1/454),0)</f>
        <v>0</v>
      </c>
      <c r="BT51" s="803">
        <f t="shared" si="29"/>
        <v>0</v>
      </c>
      <c r="BU51" s="803">
        <f t="shared" si="62"/>
        <v>0</v>
      </c>
      <c r="BV51" s="812" t="str">
        <f t="shared" si="30"/>
        <v/>
      </c>
      <c r="BW51" s="808" t="str">
        <f t="shared" si="31"/>
        <v/>
      </c>
      <c r="BX51" s="809" t="str">
        <f t="shared" si="32"/>
        <v/>
      </c>
      <c r="BY51" s="808" t="str">
        <f t="shared" si="63"/>
        <v/>
      </c>
      <c r="BZ51" s="810">
        <f t="shared" si="64"/>
        <v>0</v>
      </c>
      <c r="CA51" s="813" t="str">
        <f>IFERROR(VLOOKUP(BZ51,'Pump Emission Factors'!$B$11:$J$88,4,FALSE),"")</f>
        <v/>
      </c>
      <c r="CB51" s="813" t="str">
        <f>IFERROR(VLOOKUP(BZ51,'Pump Emission Factors'!$B$11:$J$88,6,FALSE),"")</f>
        <v/>
      </c>
      <c r="CC51" s="813" t="str">
        <f>IFERROR(VLOOKUP(BZ51,'Pump Emission Factors'!$B$11:$J$88,8,FALSE),"")</f>
        <v/>
      </c>
      <c r="CD51" s="813" t="str">
        <f>IFERROR(VLOOKUP(BZ51,'Pump Emission Factors'!$B$11:$J$88,5,FALSE),"")</f>
        <v/>
      </c>
      <c r="CE51" s="813" t="str">
        <f>IFERROR(VLOOKUP(BZ51,'Pump Emission Factors'!$B$11:$J$88,7,FALSE),"")</f>
        <v/>
      </c>
      <c r="CF51" s="813" t="str">
        <f>IFERROR(VLOOKUP(BZ51,'Pump Emission Factors'!$B$11:$J$88,9,FALSE),"")</f>
        <v/>
      </c>
      <c r="CG51" s="814" t="str">
        <f t="shared" si="33"/>
        <v/>
      </c>
      <c r="CH51" s="814" t="str">
        <f t="shared" si="34"/>
        <v/>
      </c>
      <c r="CI51" s="813">
        <f>IFERROR(IF($X51="ELEC",((($AU51*(IF($H51="DESL",'Fuel-Specific GHG'!$C$14,IF($H51="GAS",'Fuel-Specific GHG'!$C$16,IF($H51="CNG",'Fuel-Specific GHG'!$C$13,IF(OR($H51="LPG",$H51="PROP"),'Fuel-Specific GHG'!$C$19,"")))))*(1/'Fuel-Specific GHG'!$C$15)*(1/3.4)*$F51)*'Grid Electricity'!$D$39)/454),((CA51+(CD51*CH51))*(IF(ISBLANK(AH51),Defaults!$B$19,AH51))*$AF51*$AJ51*$F51)),0)</f>
        <v>0</v>
      </c>
      <c r="CJ51" s="813">
        <f>IFERROR(IF($X51="ELEC",((($AU51*(IF($H51="DESL",'Fuel-Specific GHG'!$C$14,IF($H51="GAS",'Fuel-Specific GHG'!$C$16,IF($H51="CNG",'Fuel-Specific GHG'!$C$13,IF(OR($H51="LPG",$H51="PROP"),'Fuel-Specific GHG'!$C$19,"")))))*(1/'Fuel-Specific GHG'!$C$15)*(1/3.4)*$F51)*'Grid Electricity'!$C$39)/454),((CB51+(CE51*CH51))*(IF(ISBLANK(AH51),Defaults!$B$19,AH51))*$AF51*$AJ51*$F51)),0)</f>
        <v>0</v>
      </c>
      <c r="CK51" s="813">
        <f>IFERROR(IF($X51="ELEC",((($AU51*(IF($H51="DESL",'Fuel-Specific GHG'!$C$14,IF($H51="GAS",'Fuel-Specific GHG'!$C$16,IF($H51="CNG",'Fuel-Specific GHG'!$C$13,IF(OR($H51="LPG",$H51="PROP"),'Fuel-Specific GHG'!$C$19,"")))))*(1/'Fuel-Specific GHG'!$C$15)*(1/3.4)*$F51)*'Grid Electricity'!$F$39)/454),((CC51+(CF51*CH51))*(IF(ISBLANK(AH51),Defaults!$B$19,AH51))*$AF51*$AJ51*$F51)),0)</f>
        <v>0</v>
      </c>
      <c r="CL51" s="813">
        <f t="shared" si="35"/>
        <v>0</v>
      </c>
      <c r="CM51" s="813">
        <f t="shared" si="36"/>
        <v>0</v>
      </c>
      <c r="CN51" s="814" t="str">
        <f t="shared" si="37"/>
        <v/>
      </c>
      <c r="CO51" s="814" t="str">
        <f t="shared" si="38"/>
        <v/>
      </c>
      <c r="CP51" s="814" t="str">
        <f t="shared" si="39"/>
        <v/>
      </c>
      <c r="CQ51" s="814" t="str">
        <f t="shared" si="40"/>
        <v/>
      </c>
      <c r="CR51" s="815" t="str">
        <f>IF(AND(V51="Yes, Booster Pump VFD",AF51&lt;=75),('Pump Emission Factors'!$F$95*F51),(IF(AND(V51="Yes, Booster Pump VFD",AF51&gt;75),('Pump Emission Factors'!$F$96*F51),(IF(AND(V51="Yes, Well Pump VFD",AF51&lt;=75),('Pump Emission Factors'!$F$97*F51),(IF(AND(V51="Yes, Well Pump VFD",AF51&gt;75),('Pump Emission Factors'!$F$98*F51),"")))))))</f>
        <v/>
      </c>
      <c r="CS51" s="815" t="str">
        <f>IF(AND(V51="Yes, Booster Pump VFD",AF51&lt;=75),('Pump Emission Factors'!$G$95*F51),(IF(AND(V51="Yes, Booster Pump VFD",AF51&gt;75),('Pump Emission Factors'!$G$96*F51),(IF(AND(V51="Yes, Well Pump VFD",AF51&lt;=75),('Pump Emission Factors'!$G$97*F51),(IF(AND(V51="Yes, Well Pump VFD",AF51&gt;75),('Pump Emission Factors'!$G$98*F51),"")))))))</f>
        <v/>
      </c>
      <c r="CT51" s="815" t="str">
        <f>IF(AND(V51="Yes, Booster Pump VFD",AF51&lt;=75),('Pump Emission Factors'!$H$95*F51),(IF(AND(V51="Yes, Booster Pump VFD",AF51&gt;75),('Pump Emission Factors'!$H$96*F51),(IF(AND(V51="Yes, Well Pump VFD",AF51&lt;=75),('Pump Emission Factors'!$H$97*F51),(IF(AND(V51="Yes, Well Pump VFD",AF51&gt;75),('Pump Emission Factors'!$H$98*F51),"")))))))</f>
        <v/>
      </c>
      <c r="CU51" s="815" t="str">
        <f>IF(AND(V51="Yes, Booster Pump VFD",AF51&lt;=75),('Pump Emission Factors'!$J$95*F51),(IF(AND(V51="Yes, Booster Pump VFD",AF51&gt;75),('Pump Emission Factors'!$J$96*F51),(IF(AND(V51="Yes, Well Pump VFD",AF51&lt;=75),('Pump Emission Factors'!$J$97*F51),(IF(AND(V51="Yes, Well Pump VFD",AF51&gt;75),('Pump Emission Factors'!$J$98*F51),"")))))))</f>
        <v/>
      </c>
      <c r="CV51" s="815" t="str">
        <f>IF(AND(V51="Yes, Booster Pump VFD",AF51&lt;=75),('Pump Emission Factors'!$I$95*F51),(IF(AND(V51="Yes, Booster Pump VFD",AF51&gt;75),('Pump Emission Factors'!$I$96*F51),(IF(AND(V51="Yes, Well Pump VFD",AF51&lt;=75),('Pump Emission Factors'!$I$97*F51),(IF(AND(V51="Yes, Well Pump VFD",AF51&gt;75),('Pump Emission Factors'!$I$98*F51),"")))))))</f>
        <v/>
      </c>
      <c r="CW51" s="806">
        <f t="shared" si="41"/>
        <v>0</v>
      </c>
      <c r="CX51" s="806">
        <f t="shared" si="42"/>
        <v>0</v>
      </c>
      <c r="CY51" s="806">
        <f t="shared" si="43"/>
        <v>0</v>
      </c>
      <c r="CZ51" s="806">
        <f t="shared" si="44"/>
        <v>0</v>
      </c>
      <c r="DA51" s="806">
        <f t="shared" si="45"/>
        <v>0</v>
      </c>
      <c r="DB51" s="816" t="str">
        <f t="shared" si="65"/>
        <v/>
      </c>
      <c r="DC51" s="816" t="str">
        <f t="shared" si="65"/>
        <v/>
      </c>
      <c r="DD51" s="816" t="str">
        <f t="shared" si="65"/>
        <v/>
      </c>
      <c r="DE51" s="817" t="str">
        <f t="shared" si="47"/>
        <v/>
      </c>
      <c r="DF51" s="817" t="str">
        <f t="shared" si="48"/>
        <v/>
      </c>
      <c r="DG51" s="804" t="str">
        <f t="shared" si="49"/>
        <v/>
      </c>
      <c r="DH51" s="804" t="str">
        <f t="shared" si="50"/>
        <v/>
      </c>
      <c r="DI51" s="818" t="str">
        <f>IF(AO51="","",IF(H51="DESL",AO51*F51*'Fuel Prices'!$C$12,IF(H51="GAS",AO51*F51*'Fuel Prices'!$C$11,IF(H51="CNG",AO51*F51*'Fuel Prices'!$C$13,IF(H51="LNG",AO51*F51*'Fuel Prices'!$C$14,IF(H51="LPG",AO51*F51*'Fuel Prices'!$C$16,IF(H51="PROP",AO51*F51*'Fuel Prices'!$C$16,"0")))))))</f>
        <v/>
      </c>
      <c r="DJ51" s="818" t="str">
        <f>IF(AU51="","",IF(X51="DESL",AU51*F51*'Fuel Prices'!$C$12,IF(X51="GAS",AU51*F51*'Fuel Prices'!$C$11,IF(X51="CNG",AU51*F51*'Fuel Prices'!$C$13,IF(X51="LNG",AU51*F51*'Fuel Prices'!$C$14,IF(X51="LPG",AU51*F51*'Fuel Prices'!$C$16,IF(X51="PROP",AU51*F51*'Fuel Prices'!$C$16,IF(X51="ELEC",AU51*F51*'Fuel Prices'!$C$35,"0"))))))))</f>
        <v/>
      </c>
      <c r="DK51" s="818" t="str">
        <f t="shared" si="51"/>
        <v/>
      </c>
      <c r="DL51" s="818" t="str">
        <f t="shared" si="52"/>
        <v/>
      </c>
      <c r="DM51" s="804" t="str">
        <f t="shared" si="53"/>
        <v/>
      </c>
      <c r="DN51" s="804" t="str">
        <f t="shared" si="54"/>
        <v/>
      </c>
      <c r="DO51" s="804" t="str">
        <f>IFERROR(ROUND(CZ51*IF(COUNTIF($B$20:B51,B51)=1,1,"")/IF(B51="",0,1),0),"")</f>
        <v/>
      </c>
      <c r="DP51" s="804" t="str">
        <f>IFERROR(ROUND(CW51*IF(COUNTIF($B$20:B51,B51)=1,1,"")/IF(B51="",0,1),0),"")</f>
        <v/>
      </c>
      <c r="DQ51" s="804" t="str">
        <f>IFERROR(ROUND(DA51*IF(COUNTIF($B$20:B51,B51)=1,1,"")/IF(B51="",0,1),0),"")</f>
        <v/>
      </c>
      <c r="DR51" s="804" t="str">
        <f>IFERROR(ROUND(CX51*IF(COUNTIF($B$20:B51,B51)=1,1,"")/IF(B51="",0,1),0),"")</f>
        <v/>
      </c>
      <c r="DS51" s="804">
        <f t="shared" si="55"/>
        <v>0</v>
      </c>
      <c r="DT51" s="804">
        <f t="shared" si="56"/>
        <v>0</v>
      </c>
      <c r="DU51" s="804">
        <f t="shared" si="57"/>
        <v>0</v>
      </c>
      <c r="DV51" s="818" t="str">
        <f t="shared" si="66"/>
        <v/>
      </c>
      <c r="DW51" s="819" t="str">
        <f t="shared" si="67"/>
        <v/>
      </c>
    </row>
    <row r="52" spans="1:127" ht="18" customHeight="1" x14ac:dyDescent="0.35">
      <c r="A52" s="635"/>
      <c r="B52" s="820"/>
      <c r="C52" s="825" t="str">
        <f t="shared" ref="C52:E83" si="69">IF(ISBLANK(B52),"(Required)","")</f>
        <v>(Required)</v>
      </c>
      <c r="D52" s="821"/>
      <c r="E52" s="825" t="str">
        <f t="shared" si="69"/>
        <v>(Required)</v>
      </c>
      <c r="F52" s="821"/>
      <c r="G52" s="825" t="str">
        <f t="shared" ref="G52:G83" si="70">IF(ISBLANK(F52),"(Required)","")</f>
        <v>(Required)</v>
      </c>
      <c r="H52" s="822"/>
      <c r="I52" s="825" t="str">
        <f t="shared" ref="I52:I83" si="71">IF(ISBLANK(H52),"(Required)","")</f>
        <v>(Required)</v>
      </c>
      <c r="J52" s="821"/>
      <c r="K52" s="825" t="str">
        <f t="shared" ref="K52:K83" si="72">IF(ISBLANK(J52),"(Required)","")</f>
        <v>(Required)</v>
      </c>
      <c r="L52" s="821"/>
      <c r="M52" s="825" t="str">
        <f t="shared" ref="M52:M83" si="73">IF(ISBLANK(L52),"(Required)","")</f>
        <v>(Required)</v>
      </c>
      <c r="N52" s="821"/>
      <c r="O52" s="825" t="str">
        <f t="shared" ref="O52:O83" si="74">IF(ISBLANK(N52),"(Required)","")</f>
        <v>(Required)</v>
      </c>
      <c r="P52" s="821"/>
      <c r="Q52" s="825" t="str">
        <f t="shared" ref="Q52:Q83" si="75">IF(ISBLANK(P52),"(Required)","")</f>
        <v>(Required)</v>
      </c>
      <c r="R52" s="823"/>
      <c r="S52" s="826" t="str">
        <f t="shared" ref="S52:S83" si="76">IF(ISBLANK(R52),"(Optional)","")</f>
        <v>(Optional)</v>
      </c>
      <c r="T52" s="821"/>
      <c r="U52" s="827" t="str">
        <f t="shared" ref="U52:U83" si="77">IF(ISBLANK(T52),"(Required)","")</f>
        <v>(Required)</v>
      </c>
      <c r="V52" s="828"/>
      <c r="W52" s="799" t="str">
        <f t="shared" si="9"/>
        <v>(Optional)</v>
      </c>
      <c r="X52" s="822"/>
      <c r="Y52" s="825" t="str">
        <f t="shared" ref="Y52:Y83" si="78">IF(ISBLANK(X52),"(Required)","")</f>
        <v>(Required)</v>
      </c>
      <c r="Z52" s="821"/>
      <c r="AA52" s="825" t="str">
        <f t="shared" ref="AA52:AA83" si="79">IF(ISBLANK(Z52),"(Required)","")</f>
        <v>(Required)</v>
      </c>
      <c r="AB52" s="821"/>
      <c r="AC52" s="825" t="str">
        <f t="shared" ref="AC52:AC83" si="80">IF(ISBLANK(AB52),"(Required)","")</f>
        <v>(Required)</v>
      </c>
      <c r="AD52" s="821"/>
      <c r="AE52" s="825" t="str">
        <f t="shared" ref="AE52:AE83" si="81">IF(ISBLANK(AD52),"(Required)","")</f>
        <v>(Required)</v>
      </c>
      <c r="AF52" s="821"/>
      <c r="AG52" s="825" t="str">
        <f t="shared" ref="AG52:AG83" si="82">IF(ISBLANK(AF52),"(Required)","")</f>
        <v>(Required)</v>
      </c>
      <c r="AH52" s="823"/>
      <c r="AI52" s="826" t="str">
        <f t="shared" ref="AI52:AI83" si="83">IF(ISBLANK(AH52),"(Optional)","")</f>
        <v>(Optional)</v>
      </c>
      <c r="AJ52" s="821"/>
      <c r="AK52" s="825" t="str">
        <f t="shared" ref="AK52:AK83" si="84">IF(ISBLANK(AJ52),"(Required)","")</f>
        <v>(Required)</v>
      </c>
      <c r="AL52" s="803" t="str">
        <f t="shared" ref="AL52:AL83" si="85">IF(P52="","",IF(AND(H52="DESL",P52&gt;100),"0.367",IF(AND(H52="DESL",P52&lt;=100),"0.408",IF(H52="CNG","0.507",IF(H52="LPG","0.507",IF(AND(H52="PROP",P52&gt;100),"0.367",IF(AND(H52="PROP",P52&lt;=100),"0.408",IF(H52="LNG","0.507",IF(H52="GAS","0.605")))))))))</f>
        <v/>
      </c>
      <c r="AM52" s="803" t="str">
        <f>IF(H52="DESL",'Fuel Density'!$C$12,IF(H52="GAS",'Fuel Density'!$C$11,IF(H52="CNG",'Fuel Density'!$C$13,IF(H52="LNG",'Fuel Density'!$C$14,IF(H52="LPG",'Fuel Density'!$C$15,IF(H52="PROP",'Fuel Density'!$C$16,IF(H52="","","")))))))</f>
        <v/>
      </c>
      <c r="AN52" s="803" t="str">
        <f>IF(H52="DESL",'Fuel-Specific GHG'!$C$14,IF(H52="GAS",'Fuel-Specific GHG'!$C$16,IF(H52="CNG",'Fuel-Specific GHG'!$C$13,IF(H52="LNG",'Fuel-Specific GHG'!$C$18,IF(OR(H52="LPG",H52="PROP"),'Fuel-Specific GHG'!$C$19,IF(H52="","",""))))))</f>
        <v/>
      </c>
      <c r="AO52" s="804" t="str">
        <f>IFERROR(((P52*(IF(ISBLANK(R52),Defaults!$B$19,R52))*T52*AL52)/AM52),"")</f>
        <v/>
      </c>
      <c r="AP52" s="805" t="str">
        <f t="shared" ref="AP52:AP83" si="86">IF(H52="CNG","scf/year",IF(H52="Electric","kWh/year",IF(H52="Hydrogen","kg/year",IF(H52="","","gallons/year"))))</f>
        <v/>
      </c>
      <c r="AQ52" s="805" t="str">
        <f>IF(H52="DESL",'Fuel-Specific GHG'!$E$14,IF(H52="GAS",'Fuel-Specific GHG'!$E$16,IF(H52="CNG",'Fuel-Specific GHG'!$E$13,IF(H52="LNG",'Fuel-Specific GHG'!$E$18,IF(OR(H52="LPG",H52="PROP"),'Fuel-Specific GHG'!$E$19,"")))))</f>
        <v/>
      </c>
      <c r="AR52" s="805" t="str">
        <f t="shared" ref="AR52:AR83" si="87">IF(H52="CNG","gCO2e/scf",IF(H52="","","gCO2e/gallon"))</f>
        <v/>
      </c>
      <c r="AS52" s="803" t="str">
        <f t="shared" si="58"/>
        <v/>
      </c>
      <c r="AT52" s="803" t="str">
        <f>IF(X52="DESL",'Fuel Density'!$C$12,IF(X52="PROP",'Fuel Density'!$C$16,IF(X52="GAS",'Fuel Density'!$C$11,IF(X52="CNG",'Fuel Density'!$C$13,IF(X52="LNG",'Fuel Density'!$C$14,IF(X52="LPG",'Fuel Density'!$C$15,IF(X52="","","")))))))</f>
        <v/>
      </c>
      <c r="AU52" s="804" t="str">
        <f>IFERROR(IF(X52="ELEC",AO52*AN52*(1/'Fuel-Specific GHG'!$C$15)*(1/IF(H52="GAS",3.4,IF(H52="DESL",2.7,3))),((AF52*(IF(ISBLANK(AH52),Defaults!$B$19,AH52))*AJ52*AS52)/AT52)),"")</f>
        <v/>
      </c>
      <c r="AV52" s="805" t="str">
        <f t="shared" ref="AV52:AV83" si="88">IF(X52="CNG","scf/year",IF(X52="ELEC","kWh/year",IF(X52="","","gallons/year")))</f>
        <v/>
      </c>
      <c r="AW52" s="805" t="str">
        <f>IF(X52="DESL",'Fuel-Specific GHG'!$E$14,IF(X52="PROP",'Fuel-Specific GHG'!$E$19,IF(X52="GAS",'Fuel-Specific GHG'!$E$16,IF(X52="CNG",'Fuel-Specific GHG'!$E$13,IF(X52="LNG",'Fuel-Specific GHG'!$E$18,IF(X52="LPG",'Fuel-Specific GHG'!$E$19,IF(X52="ELEC",'Fuel-Specific GHG'!$E$15,"")))))))</f>
        <v/>
      </c>
      <c r="AX52" s="805" t="str">
        <f t="shared" ref="AX52:AX83" si="89">IF(X52="CNG","gCO2e/scf",IF(X52="ELEC","gCO2e/kWh",IF(X52="","","gCO2e/gallon")))</f>
        <v/>
      </c>
      <c r="AY52" s="806" t="str">
        <f t="shared" ref="AY52:AY83" si="90">IFERROR((AO52*AQ52)/1000000,"")</f>
        <v/>
      </c>
      <c r="AZ52" s="806" t="str">
        <f t="shared" si="68"/>
        <v/>
      </c>
      <c r="BA52" s="806" t="str">
        <f t="shared" si="59"/>
        <v/>
      </c>
      <c r="BB52" s="804" t="str">
        <f t="shared" si="23"/>
        <v/>
      </c>
      <c r="BC52" s="807" t="str">
        <f t="shared" ref="BC52:BC83" si="91">IF(AND(H52="",X52=""),"",IF(H52="DESL",0.92, IF(X52="DESL",0.92,0.76)))</f>
        <v/>
      </c>
      <c r="BD52" s="807"/>
      <c r="BE52" s="808" t="str">
        <f t="shared" ref="BE52:BE83" si="92">IF(ISBLANK(H52),"",IF(AND(H52="DESL",L52="Uncontrolled"),"1",(IF(AND(H52="DESL",L52="Controlled"),"2",(IF(H52="GAS","3","4"))))))</f>
        <v/>
      </c>
      <c r="BF52" s="809" t="str">
        <f t="shared" ref="BF52:BF83" si="93">IF(AND(BE52="1",P52&gt;=25,P52&lt;=49),"1",(IF(AND(BE52="1",P52&gt;=50,P52&lt;=119),"2",(IF(AND(BE52="1",P52&lt;=120),"3",(IF(AND(BE52="2",P52&gt;=25,P52&lt;=49),"1",(IF(AND(BE52="2",P52&gt;=50,P52&lt;=74),"2",(IF(AND(BE52="2",P52&gt;=75,P52&lt;=99),"3",(IF(AND(BE52="2",P52&gt;=100,P52&lt;=174),"4",(IF(AND(BE52="2",P52&gt;=175,P52&lt;=299),"5",(IF(AND(BE52="2",P52&gt;=300,P52&lt;=750),"6",(IF(AND(BE52="2",P52&gt;=751),"7",(IF(AND(OR(BE52="3",BE52="4"),P52&gt;=25,P52&lt;=50),"1",(IF(AND(OR(BE52="3",BE52="4"),P52&gt;=51,P52&lt;=120),"2",(IF(AND(OR(BE52="3",BE52="4"),P52&gt;=121),"3","")))))))))))))))))))))))))</f>
        <v/>
      </c>
      <c r="BG52" s="808" t="str">
        <f t="shared" si="60"/>
        <v/>
      </c>
      <c r="BH52" s="810">
        <f t="shared" si="61"/>
        <v>0</v>
      </c>
      <c r="BI52" s="803" t="str">
        <f>IFERROR(VLOOKUP(BH52,'Pump Emission Factors'!$B$11:$J$88,4,FALSE),"")</f>
        <v/>
      </c>
      <c r="BJ52" s="803" t="str">
        <f>IFERROR(VLOOKUP(BH52,'Pump Emission Factors'!$B$11:$J$88,6,FALSE),"")</f>
        <v/>
      </c>
      <c r="BK52" s="803" t="str">
        <f>IFERROR(VLOOKUP(BH52,'Pump Emission Factors'!$B$11:$J$88,8,FALSE),"")</f>
        <v/>
      </c>
      <c r="BL52" s="803" t="str">
        <f>IFERROR(VLOOKUP(BH52,'Pump Emission Factors'!$B$11:$J$88,5,FALSE),"")</f>
        <v/>
      </c>
      <c r="BM52" s="803" t="str">
        <f>IFERROR(VLOOKUP(BH52,'Pump Emission Factors'!$B$11:$J$88,7,FALSE),"")</f>
        <v/>
      </c>
      <c r="BN52" s="803" t="str">
        <f>IFERROR(VLOOKUP(BH52,'Pump Emission Factors'!$B$11:$J$88,9,FALSE),"")</f>
        <v/>
      </c>
      <c r="BO52" s="811" t="str">
        <f t="shared" ref="BO52:BO83" si="94">IF(ISBLANK(F52),"",(D52-J52+(F52/2)))</f>
        <v/>
      </c>
      <c r="BP52" s="811" t="str">
        <f t="shared" ref="BP52:BP83" si="95">IFERROR(T52*BO52,"")</f>
        <v/>
      </c>
      <c r="BQ52" s="803">
        <f>IFERROR(((BI52+(BL52*BP52))*(IF(ISBLANK(R52),Defaults!$B$19,R52))*P52*T52)*F52*(1/454),0)</f>
        <v>0</v>
      </c>
      <c r="BR52" s="803">
        <f>IFERROR(((BJ52+(BM52*BP52))*(IF(ISBLANK(R52),Defaults!$B$19,R52))*P52*T52)*F52*(1/454),0)</f>
        <v>0</v>
      </c>
      <c r="BS52" s="803">
        <f>IFERROR(((BK52+(BN52*BP52))*(IF(ISBLANK(R52),Defaults!$B$19,R52))*P52*T52)*F52*(1/454),0)</f>
        <v>0</v>
      </c>
      <c r="BT52" s="803">
        <f t="shared" ref="BT52:BT83" si="96">IF(BS52="","",IF(H52="DESL",BS52,0))</f>
        <v>0</v>
      </c>
      <c r="BU52" s="803">
        <f t="shared" ref="BU52:BU83" si="97">IF(BS52=0,0,BS52*BC52)</f>
        <v>0</v>
      </c>
      <c r="BV52" s="812" t="str">
        <f t="shared" ref="BV52:BV83" si="98">IF(AND(Z52&gt;=1970,Z52&lt;=1979),"1970-1979",IF(AND(Z52&gt;=1980,Z52&lt;=1987),"1980-1987",IF(AND(Z52&gt;=1988,Z52&lt;=2000),"1988-2000",IF(AND(Z52&gt;=2001,Z52&lt;=2006),"2001-2006",IF(AND(Z52&gt;=2007,Z52&lt;=2009),"2007-2009",IF(Z52&gt;=2010,"2010+",""))))))</f>
        <v/>
      </c>
      <c r="BW52" s="808" t="str">
        <f t="shared" ref="BW52:BW83" si="99">IF(ISBLANK(X52),"",IF(AND(X52="DESL",AB52="Uncontrolled"),"1",(IF(AND(X52="DESL",AB52="Controlled"),"2",(IF(X52="GAS","3","4"))))))</f>
        <v/>
      </c>
      <c r="BX52" s="809" t="str">
        <f t="shared" si="32"/>
        <v/>
      </c>
      <c r="BY52" s="808" t="str">
        <f t="shared" si="63"/>
        <v/>
      </c>
      <c r="BZ52" s="810">
        <f t="shared" si="64"/>
        <v>0</v>
      </c>
      <c r="CA52" s="813" t="str">
        <f>IFERROR(VLOOKUP(BZ52,'Pump Emission Factors'!$B$11:$J$88,4,FALSE),"")</f>
        <v/>
      </c>
      <c r="CB52" s="813" t="str">
        <f>IFERROR(VLOOKUP(BZ52,'Pump Emission Factors'!$B$11:$J$88,6,FALSE),"")</f>
        <v/>
      </c>
      <c r="CC52" s="813" t="str">
        <f>IFERROR(VLOOKUP(BZ52,'Pump Emission Factors'!$B$11:$J$88,8,FALSE),"")</f>
        <v/>
      </c>
      <c r="CD52" s="813" t="str">
        <f>IFERROR(VLOOKUP(BZ52,'Pump Emission Factors'!$B$11:$J$88,5,FALSE),"")</f>
        <v/>
      </c>
      <c r="CE52" s="813" t="str">
        <f>IFERROR(VLOOKUP(BZ52,'Pump Emission Factors'!$B$11:$J$88,7,FALSE),"")</f>
        <v/>
      </c>
      <c r="CF52" s="813" t="str">
        <f>IFERROR(VLOOKUP(BZ52,'Pump Emission Factors'!$B$11:$J$88,9,FALSE),"")</f>
        <v/>
      </c>
      <c r="CG52" s="814" t="str">
        <f t="shared" ref="CG52:CG83" si="100">IF(ISBLANK(F52),"",(F52/2))</f>
        <v/>
      </c>
      <c r="CH52" s="814" t="str">
        <f t="shared" ref="CH52:CH83" si="101">IFERROR(AJ52*CG52,"")</f>
        <v/>
      </c>
      <c r="CI52" s="813">
        <f>IFERROR(IF($X52="ELEC",((($AU52*(IF($H52="DESL",'Fuel-Specific GHG'!$C$14,IF($H52="GAS",'Fuel-Specific GHG'!$C$16,IF($H52="CNG",'Fuel-Specific GHG'!$C$13,IF(OR($H52="LPG",$H52="PROP"),'Fuel-Specific GHG'!$C$19,"")))))*(1/'Fuel-Specific GHG'!$C$15)*(1/3.4)*$F52)*'Grid Electricity'!$D$39)/454),((CA52+(CD52*CH52))*(IF(ISBLANK(AH52),Defaults!$B$19,AH52))*$AF52*$AJ52*$F52)),0)</f>
        <v>0</v>
      </c>
      <c r="CJ52" s="813">
        <f>IFERROR(IF($X52="ELEC",((($AU52*(IF($H52="DESL",'Fuel-Specific GHG'!$C$14,IF($H52="GAS",'Fuel-Specific GHG'!$C$16,IF($H52="CNG",'Fuel-Specific GHG'!$C$13,IF(OR($H52="LPG",$H52="PROP"),'Fuel-Specific GHG'!$C$19,"")))))*(1/'Fuel-Specific GHG'!$C$15)*(1/3.4)*$F52)*'Grid Electricity'!$C$39)/454),((CB52+(CE52*CH52))*(IF(ISBLANK(AH52),Defaults!$B$19,AH52))*$AF52*$AJ52*$F52)),0)</f>
        <v>0</v>
      </c>
      <c r="CK52" s="813">
        <f>IFERROR(IF($X52="ELEC",((($AU52*(IF($H52="DESL",'Fuel-Specific GHG'!$C$14,IF($H52="GAS",'Fuel-Specific GHG'!$C$16,IF($H52="CNG",'Fuel-Specific GHG'!$C$13,IF(OR($H52="LPG",$H52="PROP"),'Fuel-Specific GHG'!$C$19,"")))))*(1/'Fuel-Specific GHG'!$C$15)*(1/3.4)*$F52)*'Grid Electricity'!$F$39)/454),((CC52+(CF52*CH52))*(IF(ISBLANK(AH52),Defaults!$B$19,AH52))*$AF52*$AJ52*$F52)),0)</f>
        <v>0</v>
      </c>
      <c r="CL52" s="813">
        <f t="shared" ref="CL52:CL83" si="102">IF(CK52="","",IF(X52="DESL",CK52,0))</f>
        <v>0</v>
      </c>
      <c r="CM52" s="813">
        <f t="shared" ref="CM52:CM83" si="103">IF(CK52=0,0,CK52*BC52)</f>
        <v>0</v>
      </c>
      <c r="CN52" s="814" t="str">
        <f t="shared" ref="CN52:CN83" si="104">IFERROR(IF($X52="ELEC",CI52,""),"")</f>
        <v/>
      </c>
      <c r="CO52" s="814" t="str">
        <f t="shared" ref="CO52:CO83" si="105">IFERROR(IF($X52="ELEC",CJ52,""),"")</f>
        <v/>
      </c>
      <c r="CP52" s="814" t="str">
        <f t="shared" ref="CP52:CP83" si="106">IFERROR(IF($X52="ELEC",CK52,""),"")</f>
        <v/>
      </c>
      <c r="CQ52" s="814" t="str">
        <f t="shared" ref="CQ52:CQ83" si="107">IFERROR(IF($X52="ELEC",CM52,""),"")</f>
        <v/>
      </c>
      <c r="CR52" s="815" t="str">
        <f>IF(AND(V52="Yes, Booster Pump VFD",AF52&lt;=75),('Pump Emission Factors'!$F$95*F52),(IF(AND(V52="Yes, Booster Pump VFD",AF52&gt;75),('Pump Emission Factors'!$F$96*F52),(IF(AND(V52="Yes, Well Pump VFD",AF52&lt;=75),('Pump Emission Factors'!$F$97*F52),(IF(AND(V52="Yes, Well Pump VFD",AF52&gt;75),('Pump Emission Factors'!$F$98*F52),"")))))))</f>
        <v/>
      </c>
      <c r="CS52" s="815" t="str">
        <f>IF(AND(V52="Yes, Booster Pump VFD",AF52&lt;=75),('Pump Emission Factors'!$G$95*F52),(IF(AND(V52="Yes, Booster Pump VFD",AF52&gt;75),('Pump Emission Factors'!$G$96*F52),(IF(AND(V52="Yes, Well Pump VFD",AF52&lt;=75),('Pump Emission Factors'!$G$97*F52),(IF(AND(V52="Yes, Well Pump VFD",AF52&gt;75),('Pump Emission Factors'!$G$98*F52),"")))))))</f>
        <v/>
      </c>
      <c r="CT52" s="815" t="str">
        <f>IF(AND(V52="Yes, Booster Pump VFD",AF52&lt;=75),('Pump Emission Factors'!$H$95*F52),(IF(AND(V52="Yes, Booster Pump VFD",AF52&gt;75),('Pump Emission Factors'!$H$96*F52),(IF(AND(V52="Yes, Well Pump VFD",AF52&lt;=75),('Pump Emission Factors'!$H$97*F52),(IF(AND(V52="Yes, Well Pump VFD",AF52&gt;75),('Pump Emission Factors'!$H$98*F52),"")))))))</f>
        <v/>
      </c>
      <c r="CU52" s="815" t="str">
        <f>IF(AND(V52="Yes, Booster Pump VFD",AF52&lt;=75),('Pump Emission Factors'!$J$95*F52),(IF(AND(V52="Yes, Booster Pump VFD",AF52&gt;75),('Pump Emission Factors'!$J$96*F52),(IF(AND(V52="Yes, Well Pump VFD",AF52&lt;=75),('Pump Emission Factors'!$J$97*F52),(IF(AND(V52="Yes, Well Pump VFD",AF52&gt;75),('Pump Emission Factors'!$J$98*F52),"")))))))</f>
        <v/>
      </c>
      <c r="CV52" s="815" t="str">
        <f>IF(AND(V52="Yes, Booster Pump VFD",AF52&lt;=75),('Pump Emission Factors'!$I$95*F52),(IF(AND(V52="Yes, Booster Pump VFD",AF52&gt;75),('Pump Emission Factors'!$I$96*F52),(IF(AND(V52="Yes, Well Pump VFD",AF52&lt;=75),('Pump Emission Factors'!$I$97*F52),(IF(AND(V52="Yes, Well Pump VFD",AF52&gt;75),('Pump Emission Factors'!$I$98*F52),"")))))))</f>
        <v/>
      </c>
      <c r="CW52" s="806">
        <f t="shared" ref="CW52:CW83" si="108">IFERROR(SUM((BQ52-CI52),CS52),"")</f>
        <v>0</v>
      </c>
      <c r="CX52" s="806">
        <f t="shared" ref="CX52:CX83" si="109">IFERROR(SUM((BR52-CJ52),CT52),"")</f>
        <v>0</v>
      </c>
      <c r="CY52" s="806">
        <f t="shared" ref="CY52:CY83" si="110">IFERROR(SUM((BS52-CK52),CU52),"")</f>
        <v>0</v>
      </c>
      <c r="CZ52" s="806">
        <f t="shared" ref="CZ52:CZ83" si="111">IFERROR(BT52-CL52,"")</f>
        <v>0</v>
      </c>
      <c r="DA52" s="806">
        <f t="shared" ref="DA52:DA83" si="112">IFERROR(SUM((BU52-CM52),CV52),"")</f>
        <v>0</v>
      </c>
      <c r="DB52" s="816" t="str">
        <f t="shared" si="65"/>
        <v/>
      </c>
      <c r="DC52" s="816" t="str">
        <f t="shared" si="65"/>
        <v/>
      </c>
      <c r="DD52" s="816" t="str">
        <f t="shared" si="65"/>
        <v/>
      </c>
      <c r="DE52" s="817" t="str">
        <f t="shared" ref="DE52:DE83" si="113">IF(H52="DESL",AO52*F52,IF(H52="GAS",AO52*F52,""))</f>
        <v/>
      </c>
      <c r="DF52" s="817" t="str">
        <f t="shared" ref="DF52:DF83" si="114">IF(X52="DESL",AU52*F52,IF(X52="GAS",AU52*F52,""))</f>
        <v/>
      </c>
      <c r="DG52" s="804" t="str">
        <f t="shared" ref="DG52:DG83" si="115">IFERROR(DH52/F52,"")</f>
        <v/>
      </c>
      <c r="DH52" s="804" t="str">
        <f t="shared" ref="DH52:DH83" si="116">IF(B52="","",IF(AND(DE52="",DF52=""),0,IFERROR(SUM(DE52)-SUM(DF52),0)))</f>
        <v/>
      </c>
      <c r="DI52" s="818" t="str">
        <f>IF(AO52="","",IF(H52="DESL",AO52*F52*'Fuel Prices'!$C$12,IF(H52="GAS",AO52*F52*'Fuel Prices'!$C$11,IF(H52="CNG",AO52*F52*'Fuel Prices'!$C$13,IF(H52="LNG",AO52*F52*'Fuel Prices'!$C$14,IF(H52="LPG",AO52*F52*'Fuel Prices'!$C$16,IF(H52="PROP",AO52*F52*'Fuel Prices'!$C$16,"0")))))))</f>
        <v/>
      </c>
      <c r="DJ52" s="818" t="str">
        <f>IF(AU52="","",IF(X52="DESL",AU52*F52*'Fuel Prices'!$C$12,IF(X52="GAS",AU52*F52*'Fuel Prices'!$C$11,IF(X52="CNG",AU52*F52*'Fuel Prices'!$C$13,IF(X52="LNG",AU52*F52*'Fuel Prices'!$C$14,IF(X52="LPG",AU52*F52*'Fuel Prices'!$C$16,IF(X52="PROP",AU52*F52*'Fuel Prices'!$C$16,IF(X52="ELEC",AU52*F52*'Fuel Prices'!$C$35,"0"))))))))</f>
        <v/>
      </c>
      <c r="DK52" s="818" t="str">
        <f t="shared" ref="DK52:DK83" si="117">IFERROR(DL52/F52,"")</f>
        <v/>
      </c>
      <c r="DL52" s="818" t="str">
        <f t="shared" ref="DL52:DL84" si="118">IFERROR(DI52-DJ52,"")</f>
        <v/>
      </c>
      <c r="DM52" s="804" t="str">
        <f t="shared" ref="DM52:DM83" si="119">IF(OR(F52="",DN52=""),"",IFERROR(ROUND(F52,0),""))</f>
        <v/>
      </c>
      <c r="DN52" s="804" t="str">
        <f t="shared" ref="DN52:DN83" si="120">IFERROR(ROUND(BB52,0),"")</f>
        <v/>
      </c>
      <c r="DO52" s="804" t="str">
        <f>IFERROR(ROUND(CZ52*IF(COUNTIF($B$20:B52,B52)=1,1,"")/IF(B52="",0,1),0),"")</f>
        <v/>
      </c>
      <c r="DP52" s="804" t="str">
        <f>IFERROR(ROUND(CW52*IF(COUNTIF($B$20:B52,B52)=1,1,"")/IF(B52="",0,1),0),"")</f>
        <v/>
      </c>
      <c r="DQ52" s="804" t="str">
        <f>IFERROR(ROUND(DA52*IF(COUNTIF($B$20:B52,B52)=1,1,"")/IF(B52="",0,1),0),"")</f>
        <v/>
      </c>
      <c r="DR52" s="804" t="str">
        <f>IFERROR(ROUND(CX52*IF(COUNTIF($B$20:B52,B52)=1,1,"")/IF(B52="",0,1),0),"")</f>
        <v/>
      </c>
      <c r="DS52" s="804">
        <f t="shared" ref="DS52:DS83" si="121">SUM(CN52,CS52)</f>
        <v>0</v>
      </c>
      <c r="DT52" s="804">
        <f t="shared" ref="DT52:DT83" si="122">SUM(CQ52,CV52)</f>
        <v>0</v>
      </c>
      <c r="DU52" s="804">
        <f t="shared" ref="DU52:DU83" si="123">SUM(CO52,CT52)</f>
        <v>0</v>
      </c>
      <c r="DV52" s="818" t="str">
        <f t="shared" si="66"/>
        <v/>
      </c>
      <c r="DW52" s="819" t="str">
        <f t="shared" si="67"/>
        <v/>
      </c>
    </row>
    <row r="53" spans="1:127" ht="18" customHeight="1" x14ac:dyDescent="0.35">
      <c r="A53" s="696"/>
      <c r="B53" s="820"/>
      <c r="C53" s="825" t="str">
        <f t="shared" si="69"/>
        <v>(Required)</v>
      </c>
      <c r="D53" s="821"/>
      <c r="E53" s="825" t="str">
        <f t="shared" si="69"/>
        <v>(Required)</v>
      </c>
      <c r="F53" s="821"/>
      <c r="G53" s="825" t="str">
        <f t="shared" si="70"/>
        <v>(Required)</v>
      </c>
      <c r="H53" s="822"/>
      <c r="I53" s="825" t="str">
        <f t="shared" si="71"/>
        <v>(Required)</v>
      </c>
      <c r="J53" s="821"/>
      <c r="K53" s="825" t="str">
        <f t="shared" si="72"/>
        <v>(Required)</v>
      </c>
      <c r="L53" s="821"/>
      <c r="M53" s="825" t="str">
        <f t="shared" si="73"/>
        <v>(Required)</v>
      </c>
      <c r="N53" s="821"/>
      <c r="O53" s="825" t="str">
        <f t="shared" si="74"/>
        <v>(Required)</v>
      </c>
      <c r="P53" s="821"/>
      <c r="Q53" s="825" t="str">
        <f t="shared" si="75"/>
        <v>(Required)</v>
      </c>
      <c r="R53" s="823"/>
      <c r="S53" s="826" t="str">
        <f t="shared" si="76"/>
        <v>(Optional)</v>
      </c>
      <c r="T53" s="821"/>
      <c r="U53" s="827" t="str">
        <f t="shared" si="77"/>
        <v>(Required)</v>
      </c>
      <c r="V53" s="828"/>
      <c r="W53" s="799" t="str">
        <f t="shared" si="9"/>
        <v>(Optional)</v>
      </c>
      <c r="X53" s="822"/>
      <c r="Y53" s="825" t="str">
        <f t="shared" si="78"/>
        <v>(Required)</v>
      </c>
      <c r="Z53" s="821"/>
      <c r="AA53" s="825" t="str">
        <f t="shared" si="79"/>
        <v>(Required)</v>
      </c>
      <c r="AB53" s="821"/>
      <c r="AC53" s="825" t="str">
        <f t="shared" si="80"/>
        <v>(Required)</v>
      </c>
      <c r="AD53" s="821"/>
      <c r="AE53" s="825" t="str">
        <f t="shared" si="81"/>
        <v>(Required)</v>
      </c>
      <c r="AF53" s="821"/>
      <c r="AG53" s="825" t="str">
        <f t="shared" si="82"/>
        <v>(Required)</v>
      </c>
      <c r="AH53" s="823"/>
      <c r="AI53" s="826" t="str">
        <f t="shared" si="83"/>
        <v>(Optional)</v>
      </c>
      <c r="AJ53" s="821"/>
      <c r="AK53" s="825" t="str">
        <f t="shared" si="84"/>
        <v>(Required)</v>
      </c>
      <c r="AL53" s="803" t="str">
        <f t="shared" si="85"/>
        <v/>
      </c>
      <c r="AM53" s="803" t="str">
        <f>IF(H53="DESL",'Fuel Density'!$C$12,IF(H53="GAS",'Fuel Density'!$C$11,IF(H53="CNG",'Fuel Density'!$C$13,IF(H53="LNG",'Fuel Density'!$C$14,IF(H53="LPG",'Fuel Density'!$C$15,IF(H53="PROP",'Fuel Density'!$C$16,IF(H53="","","")))))))</f>
        <v/>
      </c>
      <c r="AN53" s="803" t="str">
        <f>IF(H53="DESL",'Fuel-Specific GHG'!$C$14,IF(H53="GAS",'Fuel-Specific GHG'!$C$16,IF(H53="CNG",'Fuel-Specific GHG'!$C$13,IF(H53="LNG",'Fuel-Specific GHG'!$C$18,IF(OR(H53="LPG",H53="PROP"),'Fuel-Specific GHG'!$C$19,IF(H53="","",""))))))</f>
        <v/>
      </c>
      <c r="AO53" s="804" t="str">
        <f>IFERROR(((P53*(IF(ISBLANK(R53),Defaults!$B$19,R53))*T53*AL53)/AM53),"")</f>
        <v/>
      </c>
      <c r="AP53" s="805" t="str">
        <f t="shared" si="86"/>
        <v/>
      </c>
      <c r="AQ53" s="805" t="str">
        <f>IF(H53="DESL",'Fuel-Specific GHG'!$E$14,IF(H53="GAS",'Fuel-Specific GHG'!$E$16,IF(H53="CNG",'Fuel-Specific GHG'!$E$13,IF(H53="LNG",'Fuel-Specific GHG'!$E$18,IF(OR(H53="LPG",H53="PROP"),'Fuel-Specific GHG'!$E$19,"")))))</f>
        <v/>
      </c>
      <c r="AR53" s="805" t="str">
        <f t="shared" si="87"/>
        <v/>
      </c>
      <c r="AS53" s="803" t="str">
        <f t="shared" si="58"/>
        <v/>
      </c>
      <c r="AT53" s="803" t="str">
        <f>IF(X53="DESL",'Fuel Density'!$C$12,IF(X53="PROP",'Fuel Density'!$C$16,IF(X53="GAS",'Fuel Density'!$C$11,IF(X53="CNG",'Fuel Density'!$C$13,IF(X53="LNG",'Fuel Density'!$C$14,IF(X53="LPG",'Fuel Density'!$C$15,IF(X53="","","")))))))</f>
        <v/>
      </c>
      <c r="AU53" s="804" t="str">
        <f>IFERROR(IF(X53="ELEC",AO53*AN53*(1/'Fuel-Specific GHG'!$C$15)*(1/IF(H53="GAS",3.4,IF(H53="DESL",2.7,3))),((AF53*(IF(ISBLANK(AH53),Defaults!$B$19,AH53))*AJ53*AS53)/AT53)),"")</f>
        <v/>
      </c>
      <c r="AV53" s="805" t="str">
        <f t="shared" si="88"/>
        <v/>
      </c>
      <c r="AW53" s="805" t="str">
        <f>IF(X53="DESL",'Fuel-Specific GHG'!$E$14,IF(X53="PROP",'Fuel-Specific GHG'!$E$19,IF(X53="GAS",'Fuel-Specific GHG'!$E$16,IF(X53="CNG",'Fuel-Specific GHG'!$E$13,IF(X53="LNG",'Fuel-Specific GHG'!$E$18,IF(X53="LPG",'Fuel-Specific GHG'!$E$19,IF(X53="ELEC",'Fuel-Specific GHG'!$E$15,"")))))))</f>
        <v/>
      </c>
      <c r="AX53" s="805" t="str">
        <f t="shared" si="89"/>
        <v/>
      </c>
      <c r="AY53" s="806" t="str">
        <f t="shared" si="90"/>
        <v/>
      </c>
      <c r="AZ53" s="806" t="str">
        <f t="shared" si="68"/>
        <v/>
      </c>
      <c r="BA53" s="806" t="str">
        <f t="shared" si="59"/>
        <v/>
      </c>
      <c r="BB53" s="804" t="str">
        <f t="shared" si="23"/>
        <v/>
      </c>
      <c r="BC53" s="807" t="str">
        <f t="shared" si="91"/>
        <v/>
      </c>
      <c r="BD53" s="807"/>
      <c r="BE53" s="808" t="str">
        <f t="shared" si="92"/>
        <v/>
      </c>
      <c r="BF53" s="809" t="str">
        <f t="shared" si="93"/>
        <v/>
      </c>
      <c r="BG53" s="808" t="str">
        <f t="shared" si="60"/>
        <v/>
      </c>
      <c r="BH53" s="810">
        <f t="shared" si="61"/>
        <v>0</v>
      </c>
      <c r="BI53" s="803" t="str">
        <f>IFERROR(VLOOKUP(BH53,'Pump Emission Factors'!$B$11:$J$88,4,FALSE),"")</f>
        <v/>
      </c>
      <c r="BJ53" s="803" t="str">
        <f>IFERROR(VLOOKUP(BH53,'Pump Emission Factors'!$B$11:$J$88,6,FALSE),"")</f>
        <v/>
      </c>
      <c r="BK53" s="803" t="str">
        <f>IFERROR(VLOOKUP(BH53,'Pump Emission Factors'!$B$11:$J$88,8,FALSE),"")</f>
        <v/>
      </c>
      <c r="BL53" s="803" t="str">
        <f>IFERROR(VLOOKUP(BH53,'Pump Emission Factors'!$B$11:$J$88,5,FALSE),"")</f>
        <v/>
      </c>
      <c r="BM53" s="803" t="str">
        <f>IFERROR(VLOOKUP(BH53,'Pump Emission Factors'!$B$11:$J$88,7,FALSE),"")</f>
        <v/>
      </c>
      <c r="BN53" s="803" t="str">
        <f>IFERROR(VLOOKUP(BH53,'Pump Emission Factors'!$B$11:$J$88,9,FALSE),"")</f>
        <v/>
      </c>
      <c r="BO53" s="811" t="str">
        <f t="shared" si="94"/>
        <v/>
      </c>
      <c r="BP53" s="811" t="str">
        <f t="shared" si="95"/>
        <v/>
      </c>
      <c r="BQ53" s="803">
        <f>IFERROR(((BI53+(BL53*BP53))*(IF(ISBLANK(R53),Defaults!$B$19,R53))*P53*T53)*F53*(1/454),0)</f>
        <v>0</v>
      </c>
      <c r="BR53" s="803">
        <f>IFERROR(((BJ53+(BM53*BP53))*(IF(ISBLANK(R53),Defaults!$B$19,R53))*P53*T53)*F53*(1/454),0)</f>
        <v>0</v>
      </c>
      <c r="BS53" s="803">
        <f>IFERROR(((BK53+(BN53*BP53))*(IF(ISBLANK(R53),Defaults!$B$19,R53))*P53*T53)*F53*(1/454),0)</f>
        <v>0</v>
      </c>
      <c r="BT53" s="803">
        <f t="shared" si="96"/>
        <v>0</v>
      </c>
      <c r="BU53" s="803">
        <f t="shared" si="97"/>
        <v>0</v>
      </c>
      <c r="BV53" s="812" t="str">
        <f t="shared" si="98"/>
        <v/>
      </c>
      <c r="BW53" s="808" t="str">
        <f t="shared" si="99"/>
        <v/>
      </c>
      <c r="BX53" s="809" t="str">
        <f t="shared" si="32"/>
        <v/>
      </c>
      <c r="BY53" s="808" t="str">
        <f t="shared" si="63"/>
        <v/>
      </c>
      <c r="BZ53" s="810">
        <f t="shared" si="64"/>
        <v>0</v>
      </c>
      <c r="CA53" s="813" t="str">
        <f>IFERROR(VLOOKUP(BZ53,'Pump Emission Factors'!$B$11:$J$88,4,FALSE),"")</f>
        <v/>
      </c>
      <c r="CB53" s="813" t="str">
        <f>IFERROR(VLOOKUP(BZ53,'Pump Emission Factors'!$B$11:$J$88,6,FALSE),"")</f>
        <v/>
      </c>
      <c r="CC53" s="813" t="str">
        <f>IFERROR(VLOOKUP(BZ53,'Pump Emission Factors'!$B$11:$J$88,8,FALSE),"")</f>
        <v/>
      </c>
      <c r="CD53" s="813" t="str">
        <f>IFERROR(VLOOKUP(BZ53,'Pump Emission Factors'!$B$11:$J$88,5,FALSE),"")</f>
        <v/>
      </c>
      <c r="CE53" s="813" t="str">
        <f>IFERROR(VLOOKUP(BZ53,'Pump Emission Factors'!$B$11:$J$88,7,FALSE),"")</f>
        <v/>
      </c>
      <c r="CF53" s="813" t="str">
        <f>IFERROR(VLOOKUP(BZ53,'Pump Emission Factors'!$B$11:$J$88,9,FALSE),"")</f>
        <v/>
      </c>
      <c r="CG53" s="814" t="str">
        <f t="shared" si="100"/>
        <v/>
      </c>
      <c r="CH53" s="814" t="str">
        <f t="shared" si="101"/>
        <v/>
      </c>
      <c r="CI53" s="813">
        <f>IFERROR(IF($X53="ELEC",((($AU53*(IF($H53="DESL",'Fuel-Specific GHG'!$C$14,IF($H53="GAS",'Fuel-Specific GHG'!$C$16,IF($H53="CNG",'Fuel-Specific GHG'!$C$13,IF(OR($H53="LPG",$H53="PROP"),'Fuel-Specific GHG'!$C$19,"")))))*(1/'Fuel-Specific GHG'!$C$15)*(1/3.4)*$F53)*'Grid Electricity'!$D$39)/454),((CA53+(CD53*CH53))*(IF(ISBLANK(AH53),Defaults!$B$19,AH53))*$AF53*$AJ53*$F53)),0)</f>
        <v>0</v>
      </c>
      <c r="CJ53" s="813">
        <f>IFERROR(IF($X53="ELEC",((($AU53*(IF($H53="DESL",'Fuel-Specific GHG'!$C$14,IF($H53="GAS",'Fuel-Specific GHG'!$C$16,IF($H53="CNG",'Fuel-Specific GHG'!$C$13,IF(OR($H53="LPG",$H53="PROP"),'Fuel-Specific GHG'!$C$19,"")))))*(1/'Fuel-Specific GHG'!$C$15)*(1/3.4)*$F53)*'Grid Electricity'!$C$39)/454),((CB53+(CE53*CH53))*(IF(ISBLANK(AH53),Defaults!$B$19,AH53))*$AF53*$AJ53*$F53)),0)</f>
        <v>0</v>
      </c>
      <c r="CK53" s="813">
        <f>IFERROR(IF($X53="ELEC",((($AU53*(IF($H53="DESL",'Fuel-Specific GHG'!$C$14,IF($H53="GAS",'Fuel-Specific GHG'!$C$16,IF($H53="CNG",'Fuel-Specific GHG'!$C$13,IF(OR($H53="LPG",$H53="PROP"),'Fuel-Specific GHG'!$C$19,"")))))*(1/'Fuel-Specific GHG'!$C$15)*(1/3.4)*$F53)*'Grid Electricity'!$F$39)/454),((CC53+(CF53*CH53))*(IF(ISBLANK(AH53),Defaults!$B$19,AH53))*$AF53*$AJ53*$F53)),0)</f>
        <v>0</v>
      </c>
      <c r="CL53" s="813">
        <f t="shared" si="102"/>
        <v>0</v>
      </c>
      <c r="CM53" s="813">
        <f t="shared" si="103"/>
        <v>0</v>
      </c>
      <c r="CN53" s="814" t="str">
        <f t="shared" si="104"/>
        <v/>
      </c>
      <c r="CO53" s="814" t="str">
        <f t="shared" si="105"/>
        <v/>
      </c>
      <c r="CP53" s="814" t="str">
        <f t="shared" si="106"/>
        <v/>
      </c>
      <c r="CQ53" s="814" t="str">
        <f t="shared" si="107"/>
        <v/>
      </c>
      <c r="CR53" s="815" t="str">
        <f>IF(AND(V53="Yes, Booster Pump VFD",AF53&lt;=75),('Pump Emission Factors'!$F$95*F53),(IF(AND(V53="Yes, Booster Pump VFD",AF53&gt;75),('Pump Emission Factors'!$F$96*F53),(IF(AND(V53="Yes, Well Pump VFD",AF53&lt;=75),('Pump Emission Factors'!$F$97*F53),(IF(AND(V53="Yes, Well Pump VFD",AF53&gt;75),('Pump Emission Factors'!$F$98*F53),"")))))))</f>
        <v/>
      </c>
      <c r="CS53" s="815" t="str">
        <f>IF(AND(V53="Yes, Booster Pump VFD",AF53&lt;=75),('Pump Emission Factors'!$G$95*F53),(IF(AND(V53="Yes, Booster Pump VFD",AF53&gt;75),('Pump Emission Factors'!$G$96*F53),(IF(AND(V53="Yes, Well Pump VFD",AF53&lt;=75),('Pump Emission Factors'!$G$97*F53),(IF(AND(V53="Yes, Well Pump VFD",AF53&gt;75),('Pump Emission Factors'!$G$98*F53),"")))))))</f>
        <v/>
      </c>
      <c r="CT53" s="815" t="str">
        <f>IF(AND(V53="Yes, Booster Pump VFD",AF53&lt;=75),('Pump Emission Factors'!$H$95*F53),(IF(AND(V53="Yes, Booster Pump VFD",AF53&gt;75),('Pump Emission Factors'!$H$96*F53),(IF(AND(V53="Yes, Well Pump VFD",AF53&lt;=75),('Pump Emission Factors'!$H$97*F53),(IF(AND(V53="Yes, Well Pump VFD",AF53&gt;75),('Pump Emission Factors'!$H$98*F53),"")))))))</f>
        <v/>
      </c>
      <c r="CU53" s="815" t="str">
        <f>IF(AND(V53="Yes, Booster Pump VFD",AF53&lt;=75),('Pump Emission Factors'!$J$95*F53),(IF(AND(V53="Yes, Booster Pump VFD",AF53&gt;75),('Pump Emission Factors'!$J$96*F53),(IF(AND(V53="Yes, Well Pump VFD",AF53&lt;=75),('Pump Emission Factors'!$J$97*F53),(IF(AND(V53="Yes, Well Pump VFD",AF53&gt;75),('Pump Emission Factors'!$J$98*F53),"")))))))</f>
        <v/>
      </c>
      <c r="CV53" s="815" t="str">
        <f>IF(AND(V53="Yes, Booster Pump VFD",AF53&lt;=75),('Pump Emission Factors'!$I$95*F53),(IF(AND(V53="Yes, Booster Pump VFD",AF53&gt;75),('Pump Emission Factors'!$I$96*F53),(IF(AND(V53="Yes, Well Pump VFD",AF53&lt;=75),('Pump Emission Factors'!$I$97*F53),(IF(AND(V53="Yes, Well Pump VFD",AF53&gt;75),('Pump Emission Factors'!$I$98*F53),"")))))))</f>
        <v/>
      </c>
      <c r="CW53" s="806">
        <f t="shared" si="108"/>
        <v>0</v>
      </c>
      <c r="CX53" s="806">
        <f t="shared" si="109"/>
        <v>0</v>
      </c>
      <c r="CY53" s="806">
        <f t="shared" si="110"/>
        <v>0</v>
      </c>
      <c r="CZ53" s="806">
        <f t="shared" si="111"/>
        <v>0</v>
      </c>
      <c r="DA53" s="806">
        <f t="shared" si="112"/>
        <v>0</v>
      </c>
      <c r="DB53" s="816" t="str">
        <f t="shared" si="65"/>
        <v/>
      </c>
      <c r="DC53" s="816" t="str">
        <f t="shared" si="65"/>
        <v/>
      </c>
      <c r="DD53" s="816" t="str">
        <f t="shared" si="65"/>
        <v/>
      </c>
      <c r="DE53" s="817" t="str">
        <f t="shared" si="113"/>
        <v/>
      </c>
      <c r="DF53" s="817" t="str">
        <f t="shared" si="114"/>
        <v/>
      </c>
      <c r="DG53" s="804" t="str">
        <f t="shared" si="115"/>
        <v/>
      </c>
      <c r="DH53" s="804" t="str">
        <f t="shared" si="116"/>
        <v/>
      </c>
      <c r="DI53" s="818" t="str">
        <f>IF(AO53="","",IF(H53="DESL",AO53*F53*'Fuel Prices'!$C$12,IF(H53="GAS",AO53*F53*'Fuel Prices'!$C$11,IF(H53="CNG",AO53*F53*'Fuel Prices'!$C$13,IF(H53="LNG",AO53*F53*'Fuel Prices'!$C$14,IF(H53="LPG",AO53*F53*'Fuel Prices'!$C$16,IF(H53="PROP",AO53*F53*'Fuel Prices'!$C$16,"0")))))))</f>
        <v/>
      </c>
      <c r="DJ53" s="818" t="str">
        <f>IF(AU53="","",IF(X53="DESL",AU53*F53*'Fuel Prices'!$C$12,IF(X53="GAS",AU53*F53*'Fuel Prices'!$C$11,IF(X53="CNG",AU53*F53*'Fuel Prices'!$C$13,IF(X53="LNG",AU53*F53*'Fuel Prices'!$C$14,IF(X53="LPG",AU53*F53*'Fuel Prices'!$C$16,IF(X53="PROP",AU53*F53*'Fuel Prices'!$C$16,IF(X53="ELEC",AU53*F53*'Fuel Prices'!$C$35,"0"))))))))</f>
        <v/>
      </c>
      <c r="DK53" s="818" t="str">
        <f t="shared" si="117"/>
        <v/>
      </c>
      <c r="DL53" s="818" t="str">
        <f t="shared" si="118"/>
        <v/>
      </c>
      <c r="DM53" s="804" t="str">
        <f t="shared" si="119"/>
        <v/>
      </c>
      <c r="DN53" s="804" t="str">
        <f t="shared" si="120"/>
        <v/>
      </c>
      <c r="DO53" s="804" t="str">
        <f>IFERROR(ROUND(CZ53*IF(COUNTIF($B$20:B53,B53)=1,1,"")/IF(B53="",0,1),0),"")</f>
        <v/>
      </c>
      <c r="DP53" s="804" t="str">
        <f>IFERROR(ROUND(CW53*IF(COUNTIF($B$20:B53,B53)=1,1,"")/IF(B53="",0,1),0),"")</f>
        <v/>
      </c>
      <c r="DQ53" s="804" t="str">
        <f>IFERROR(ROUND(DA53*IF(COUNTIF($B$20:B53,B53)=1,1,"")/IF(B53="",0,1),0),"")</f>
        <v/>
      </c>
      <c r="DR53" s="804" t="str">
        <f>IFERROR(ROUND(CX53*IF(COUNTIF($B$20:B53,B53)=1,1,"")/IF(B53="",0,1),0),"")</f>
        <v/>
      </c>
      <c r="DS53" s="804">
        <f t="shared" si="121"/>
        <v>0</v>
      </c>
      <c r="DT53" s="804">
        <f t="shared" si="122"/>
        <v>0</v>
      </c>
      <c r="DU53" s="804">
        <f t="shared" si="123"/>
        <v>0</v>
      </c>
      <c r="DV53" s="818" t="str">
        <f t="shared" si="66"/>
        <v/>
      </c>
      <c r="DW53" s="819" t="str">
        <f t="shared" si="67"/>
        <v/>
      </c>
    </row>
    <row r="54" spans="1:127" ht="18" customHeight="1" x14ac:dyDescent="0.35">
      <c r="A54" s="635"/>
      <c r="B54" s="820"/>
      <c r="C54" s="825" t="str">
        <f t="shared" si="69"/>
        <v>(Required)</v>
      </c>
      <c r="D54" s="821"/>
      <c r="E54" s="825" t="str">
        <f t="shared" si="69"/>
        <v>(Required)</v>
      </c>
      <c r="F54" s="821"/>
      <c r="G54" s="825" t="str">
        <f t="shared" si="70"/>
        <v>(Required)</v>
      </c>
      <c r="H54" s="822"/>
      <c r="I54" s="825" t="str">
        <f t="shared" si="71"/>
        <v>(Required)</v>
      </c>
      <c r="J54" s="821"/>
      <c r="K54" s="825" t="str">
        <f t="shared" si="72"/>
        <v>(Required)</v>
      </c>
      <c r="L54" s="821"/>
      <c r="M54" s="825" t="str">
        <f t="shared" si="73"/>
        <v>(Required)</v>
      </c>
      <c r="N54" s="821"/>
      <c r="O54" s="825" t="str">
        <f t="shared" si="74"/>
        <v>(Required)</v>
      </c>
      <c r="P54" s="821"/>
      <c r="Q54" s="825" t="str">
        <f t="shared" si="75"/>
        <v>(Required)</v>
      </c>
      <c r="R54" s="823"/>
      <c r="S54" s="826" t="str">
        <f t="shared" si="76"/>
        <v>(Optional)</v>
      </c>
      <c r="T54" s="821"/>
      <c r="U54" s="827" t="str">
        <f t="shared" si="77"/>
        <v>(Required)</v>
      </c>
      <c r="V54" s="828"/>
      <c r="W54" s="799" t="str">
        <f t="shared" si="9"/>
        <v>(Optional)</v>
      </c>
      <c r="X54" s="822"/>
      <c r="Y54" s="825" t="str">
        <f t="shared" si="78"/>
        <v>(Required)</v>
      </c>
      <c r="Z54" s="821"/>
      <c r="AA54" s="825" t="str">
        <f t="shared" si="79"/>
        <v>(Required)</v>
      </c>
      <c r="AB54" s="821"/>
      <c r="AC54" s="825" t="str">
        <f t="shared" si="80"/>
        <v>(Required)</v>
      </c>
      <c r="AD54" s="821"/>
      <c r="AE54" s="825" t="str">
        <f t="shared" si="81"/>
        <v>(Required)</v>
      </c>
      <c r="AF54" s="821"/>
      <c r="AG54" s="825" t="str">
        <f t="shared" si="82"/>
        <v>(Required)</v>
      </c>
      <c r="AH54" s="823"/>
      <c r="AI54" s="826" t="str">
        <f t="shared" si="83"/>
        <v>(Optional)</v>
      </c>
      <c r="AJ54" s="821"/>
      <c r="AK54" s="825" t="str">
        <f t="shared" si="84"/>
        <v>(Required)</v>
      </c>
      <c r="AL54" s="803" t="str">
        <f t="shared" si="85"/>
        <v/>
      </c>
      <c r="AM54" s="803" t="str">
        <f>IF(H54="DESL",'Fuel Density'!$C$12,IF(H54="GAS",'Fuel Density'!$C$11,IF(H54="CNG",'Fuel Density'!$C$13,IF(H54="LNG",'Fuel Density'!$C$14,IF(H54="LPG",'Fuel Density'!$C$15,IF(H54="PROP",'Fuel Density'!$C$16,IF(H54="","","")))))))</f>
        <v/>
      </c>
      <c r="AN54" s="803" t="str">
        <f>IF(H54="DESL",'Fuel-Specific GHG'!$C$14,IF(H54="GAS",'Fuel-Specific GHG'!$C$16,IF(H54="CNG",'Fuel-Specific GHG'!$C$13,IF(H54="LNG",'Fuel-Specific GHG'!$C$18,IF(OR(H54="LPG",H54="PROP"),'Fuel-Specific GHG'!$C$19,IF(H54="","",""))))))</f>
        <v/>
      </c>
      <c r="AO54" s="804" t="str">
        <f>IFERROR(((P54*(IF(ISBLANK(R54),Defaults!$B$19,R54))*T54*AL54)/AM54),"")</f>
        <v/>
      </c>
      <c r="AP54" s="805" t="str">
        <f t="shared" si="86"/>
        <v/>
      </c>
      <c r="AQ54" s="805" t="str">
        <f>IF(H54="DESL",'Fuel-Specific GHG'!$E$14,IF(H54="GAS",'Fuel-Specific GHG'!$E$16,IF(H54="CNG",'Fuel-Specific GHG'!$E$13,IF(H54="LNG",'Fuel-Specific GHG'!$E$18,IF(OR(H54="LPG",H54="PROP"),'Fuel-Specific GHG'!$E$19,"")))))</f>
        <v/>
      </c>
      <c r="AR54" s="805" t="str">
        <f t="shared" si="87"/>
        <v/>
      </c>
      <c r="AS54" s="803" t="str">
        <f t="shared" si="58"/>
        <v/>
      </c>
      <c r="AT54" s="803" t="str">
        <f>IF(X54="DESL",'Fuel Density'!$C$12,IF(X54="PROP",'Fuel Density'!$C$16,IF(X54="GAS",'Fuel Density'!$C$11,IF(X54="CNG",'Fuel Density'!$C$13,IF(X54="LNG",'Fuel Density'!$C$14,IF(X54="LPG",'Fuel Density'!$C$15,IF(X54="","","")))))))</f>
        <v/>
      </c>
      <c r="AU54" s="804" t="str">
        <f>IFERROR(IF(X54="ELEC",AO54*AN54*(1/'Fuel-Specific GHG'!$C$15)*(1/IF(H54="GAS",3.4,IF(H54="DESL",2.7,3))),((AF54*(IF(ISBLANK(AH54),Defaults!$B$19,AH54))*AJ54*AS54)/AT54)),"")</f>
        <v/>
      </c>
      <c r="AV54" s="805" t="str">
        <f t="shared" si="88"/>
        <v/>
      </c>
      <c r="AW54" s="805" t="str">
        <f>IF(X54="DESL",'Fuel-Specific GHG'!$E$14,IF(X54="PROP",'Fuel-Specific GHG'!$E$19,IF(X54="GAS",'Fuel-Specific GHG'!$E$16,IF(X54="CNG",'Fuel-Specific GHG'!$E$13,IF(X54="LNG",'Fuel-Specific GHG'!$E$18,IF(X54="LPG",'Fuel-Specific GHG'!$E$19,IF(X54="ELEC",'Fuel-Specific GHG'!$E$15,"")))))))</f>
        <v/>
      </c>
      <c r="AX54" s="805" t="str">
        <f t="shared" si="89"/>
        <v/>
      </c>
      <c r="AY54" s="806" t="str">
        <f t="shared" si="90"/>
        <v/>
      </c>
      <c r="AZ54" s="806" t="str">
        <f t="shared" si="68"/>
        <v/>
      </c>
      <c r="BA54" s="806" t="str">
        <f t="shared" si="59"/>
        <v/>
      </c>
      <c r="BB54" s="804" t="str">
        <f t="shared" si="23"/>
        <v/>
      </c>
      <c r="BC54" s="807" t="str">
        <f t="shared" si="91"/>
        <v/>
      </c>
      <c r="BD54" s="807"/>
      <c r="BE54" s="808" t="str">
        <f t="shared" si="92"/>
        <v/>
      </c>
      <c r="BF54" s="809" t="str">
        <f t="shared" si="93"/>
        <v/>
      </c>
      <c r="BG54" s="808" t="str">
        <f t="shared" si="60"/>
        <v/>
      </c>
      <c r="BH54" s="810">
        <f t="shared" si="61"/>
        <v>0</v>
      </c>
      <c r="BI54" s="803" t="str">
        <f>IFERROR(VLOOKUP(BH54,'Pump Emission Factors'!$B$11:$J$88,4,FALSE),"")</f>
        <v/>
      </c>
      <c r="BJ54" s="803" t="str">
        <f>IFERROR(VLOOKUP(BH54,'Pump Emission Factors'!$B$11:$J$88,6,FALSE),"")</f>
        <v/>
      </c>
      <c r="BK54" s="803" t="str">
        <f>IFERROR(VLOOKUP(BH54,'Pump Emission Factors'!$B$11:$J$88,8,FALSE),"")</f>
        <v/>
      </c>
      <c r="BL54" s="803" t="str">
        <f>IFERROR(VLOOKUP(BH54,'Pump Emission Factors'!$B$11:$J$88,5,FALSE),"")</f>
        <v/>
      </c>
      <c r="BM54" s="803" t="str">
        <f>IFERROR(VLOOKUP(BH54,'Pump Emission Factors'!$B$11:$J$88,7,FALSE),"")</f>
        <v/>
      </c>
      <c r="BN54" s="803" t="str">
        <f>IFERROR(VLOOKUP(BH54,'Pump Emission Factors'!$B$11:$J$88,9,FALSE),"")</f>
        <v/>
      </c>
      <c r="BO54" s="811" t="str">
        <f t="shared" si="94"/>
        <v/>
      </c>
      <c r="BP54" s="811" t="str">
        <f t="shared" si="95"/>
        <v/>
      </c>
      <c r="BQ54" s="803">
        <f>IFERROR(((BI54+(BL54*BP54))*(IF(ISBLANK(R54),Defaults!$B$19,R54))*P54*T54)*F54*(1/454),0)</f>
        <v>0</v>
      </c>
      <c r="BR54" s="803">
        <f>IFERROR(((BJ54+(BM54*BP54))*(IF(ISBLANK(R54),Defaults!$B$19,R54))*P54*T54)*F54*(1/454),0)</f>
        <v>0</v>
      </c>
      <c r="BS54" s="803">
        <f>IFERROR(((BK54+(BN54*BP54))*(IF(ISBLANK(R54),Defaults!$B$19,R54))*P54*T54)*F54*(1/454),0)</f>
        <v>0</v>
      </c>
      <c r="BT54" s="803">
        <f t="shared" si="96"/>
        <v>0</v>
      </c>
      <c r="BU54" s="803">
        <f t="shared" si="97"/>
        <v>0</v>
      </c>
      <c r="BV54" s="812" t="str">
        <f t="shared" si="98"/>
        <v/>
      </c>
      <c r="BW54" s="808" t="str">
        <f t="shared" si="99"/>
        <v/>
      </c>
      <c r="BX54" s="809" t="str">
        <f t="shared" si="32"/>
        <v/>
      </c>
      <c r="BY54" s="808" t="str">
        <f t="shared" si="63"/>
        <v/>
      </c>
      <c r="BZ54" s="810">
        <f t="shared" si="64"/>
        <v>0</v>
      </c>
      <c r="CA54" s="813" t="str">
        <f>IFERROR(VLOOKUP(BZ54,'Pump Emission Factors'!$B$11:$J$88,4,FALSE),"")</f>
        <v/>
      </c>
      <c r="CB54" s="813" t="str">
        <f>IFERROR(VLOOKUP(BZ54,'Pump Emission Factors'!$B$11:$J$88,6,FALSE),"")</f>
        <v/>
      </c>
      <c r="CC54" s="813" t="str">
        <f>IFERROR(VLOOKUP(BZ54,'Pump Emission Factors'!$B$11:$J$88,8,FALSE),"")</f>
        <v/>
      </c>
      <c r="CD54" s="813" t="str">
        <f>IFERROR(VLOOKUP(BZ54,'Pump Emission Factors'!$B$11:$J$88,5,FALSE),"")</f>
        <v/>
      </c>
      <c r="CE54" s="813" t="str">
        <f>IFERROR(VLOOKUP(BZ54,'Pump Emission Factors'!$B$11:$J$88,7,FALSE),"")</f>
        <v/>
      </c>
      <c r="CF54" s="813" t="str">
        <f>IFERROR(VLOOKUP(BZ54,'Pump Emission Factors'!$B$11:$J$88,9,FALSE),"")</f>
        <v/>
      </c>
      <c r="CG54" s="814" t="str">
        <f t="shared" si="100"/>
        <v/>
      </c>
      <c r="CH54" s="814" t="str">
        <f t="shared" si="101"/>
        <v/>
      </c>
      <c r="CI54" s="813">
        <f>IFERROR(IF($X54="ELEC",((($AU54*(IF($H54="DESL",'Fuel-Specific GHG'!$C$14,IF($H54="GAS",'Fuel-Specific GHG'!$C$16,IF($H54="CNG",'Fuel-Specific GHG'!$C$13,IF(OR($H54="LPG",$H54="PROP"),'Fuel-Specific GHG'!$C$19,"")))))*(1/'Fuel-Specific GHG'!$C$15)*(1/3.4)*$F54)*'Grid Electricity'!$D$39)/454),((CA54+(CD54*CH54))*(IF(ISBLANK(AH54),Defaults!$B$19,AH54))*$AF54*$AJ54*$F54)),0)</f>
        <v>0</v>
      </c>
      <c r="CJ54" s="813">
        <f>IFERROR(IF($X54="ELEC",((($AU54*(IF($H54="DESL",'Fuel-Specific GHG'!$C$14,IF($H54="GAS",'Fuel-Specific GHG'!$C$16,IF($H54="CNG",'Fuel-Specific GHG'!$C$13,IF(OR($H54="LPG",$H54="PROP"),'Fuel-Specific GHG'!$C$19,"")))))*(1/'Fuel-Specific GHG'!$C$15)*(1/3.4)*$F54)*'Grid Electricity'!$C$39)/454),((CB54+(CE54*CH54))*(IF(ISBLANK(AH54),Defaults!$B$19,AH54))*$AF54*$AJ54*$F54)),0)</f>
        <v>0</v>
      </c>
      <c r="CK54" s="813">
        <f>IFERROR(IF($X54="ELEC",((($AU54*(IF($H54="DESL",'Fuel-Specific GHG'!$C$14,IF($H54="GAS",'Fuel-Specific GHG'!$C$16,IF($H54="CNG",'Fuel-Specific GHG'!$C$13,IF(OR($H54="LPG",$H54="PROP"),'Fuel-Specific GHG'!$C$19,"")))))*(1/'Fuel-Specific GHG'!$C$15)*(1/3.4)*$F54)*'Grid Electricity'!$F$39)/454),((CC54+(CF54*CH54))*(IF(ISBLANK(AH54),Defaults!$B$19,AH54))*$AF54*$AJ54*$F54)),0)</f>
        <v>0</v>
      </c>
      <c r="CL54" s="813">
        <f t="shared" si="102"/>
        <v>0</v>
      </c>
      <c r="CM54" s="813">
        <f t="shared" si="103"/>
        <v>0</v>
      </c>
      <c r="CN54" s="814" t="str">
        <f t="shared" si="104"/>
        <v/>
      </c>
      <c r="CO54" s="814" t="str">
        <f t="shared" si="105"/>
        <v/>
      </c>
      <c r="CP54" s="814" t="str">
        <f t="shared" si="106"/>
        <v/>
      </c>
      <c r="CQ54" s="814" t="str">
        <f t="shared" si="107"/>
        <v/>
      </c>
      <c r="CR54" s="815" t="str">
        <f>IF(AND(V54="Yes, Booster Pump VFD",AF54&lt;=75),('Pump Emission Factors'!$F$95*F54),(IF(AND(V54="Yes, Booster Pump VFD",AF54&gt;75),('Pump Emission Factors'!$F$96*F54),(IF(AND(V54="Yes, Well Pump VFD",AF54&lt;=75),('Pump Emission Factors'!$F$97*F54),(IF(AND(V54="Yes, Well Pump VFD",AF54&gt;75),('Pump Emission Factors'!$F$98*F54),"")))))))</f>
        <v/>
      </c>
      <c r="CS54" s="815" t="str">
        <f>IF(AND(V54="Yes, Booster Pump VFD",AF54&lt;=75),('Pump Emission Factors'!$G$95*F54),(IF(AND(V54="Yes, Booster Pump VFD",AF54&gt;75),('Pump Emission Factors'!$G$96*F54),(IF(AND(V54="Yes, Well Pump VFD",AF54&lt;=75),('Pump Emission Factors'!$G$97*F54),(IF(AND(V54="Yes, Well Pump VFD",AF54&gt;75),('Pump Emission Factors'!$G$98*F54),"")))))))</f>
        <v/>
      </c>
      <c r="CT54" s="815" t="str">
        <f>IF(AND(V54="Yes, Booster Pump VFD",AF54&lt;=75),('Pump Emission Factors'!$H$95*F54),(IF(AND(V54="Yes, Booster Pump VFD",AF54&gt;75),('Pump Emission Factors'!$H$96*F54),(IF(AND(V54="Yes, Well Pump VFD",AF54&lt;=75),('Pump Emission Factors'!$H$97*F54),(IF(AND(V54="Yes, Well Pump VFD",AF54&gt;75),('Pump Emission Factors'!$H$98*F54),"")))))))</f>
        <v/>
      </c>
      <c r="CU54" s="815" t="str">
        <f>IF(AND(V54="Yes, Booster Pump VFD",AF54&lt;=75),('Pump Emission Factors'!$J$95*F54),(IF(AND(V54="Yes, Booster Pump VFD",AF54&gt;75),('Pump Emission Factors'!$J$96*F54),(IF(AND(V54="Yes, Well Pump VFD",AF54&lt;=75),('Pump Emission Factors'!$J$97*F54),(IF(AND(V54="Yes, Well Pump VFD",AF54&gt;75),('Pump Emission Factors'!$J$98*F54),"")))))))</f>
        <v/>
      </c>
      <c r="CV54" s="815" t="str">
        <f>IF(AND(V54="Yes, Booster Pump VFD",AF54&lt;=75),('Pump Emission Factors'!$I$95*F54),(IF(AND(V54="Yes, Booster Pump VFD",AF54&gt;75),('Pump Emission Factors'!$I$96*F54),(IF(AND(V54="Yes, Well Pump VFD",AF54&lt;=75),('Pump Emission Factors'!$I$97*F54),(IF(AND(V54="Yes, Well Pump VFD",AF54&gt;75),('Pump Emission Factors'!$I$98*F54),"")))))))</f>
        <v/>
      </c>
      <c r="CW54" s="806">
        <f t="shared" si="108"/>
        <v>0</v>
      </c>
      <c r="CX54" s="806">
        <f t="shared" si="109"/>
        <v>0</v>
      </c>
      <c r="CY54" s="806">
        <f t="shared" si="110"/>
        <v>0</v>
      </c>
      <c r="CZ54" s="806">
        <f t="shared" si="111"/>
        <v>0</v>
      </c>
      <c r="DA54" s="806">
        <f t="shared" si="112"/>
        <v>0</v>
      </c>
      <c r="DB54" s="816" t="str">
        <f t="shared" si="65"/>
        <v/>
      </c>
      <c r="DC54" s="816" t="str">
        <f t="shared" si="65"/>
        <v/>
      </c>
      <c r="DD54" s="816" t="str">
        <f t="shared" si="65"/>
        <v/>
      </c>
      <c r="DE54" s="817" t="str">
        <f t="shared" si="113"/>
        <v/>
      </c>
      <c r="DF54" s="817" t="str">
        <f t="shared" si="114"/>
        <v/>
      </c>
      <c r="DG54" s="804" t="str">
        <f t="shared" si="115"/>
        <v/>
      </c>
      <c r="DH54" s="804" t="str">
        <f t="shared" si="116"/>
        <v/>
      </c>
      <c r="DI54" s="818" t="str">
        <f>IF(AO54="","",IF(H54="DESL",AO54*F54*'Fuel Prices'!$C$12,IF(H54="GAS",AO54*F54*'Fuel Prices'!$C$11,IF(H54="CNG",AO54*F54*'Fuel Prices'!$C$13,IF(H54="LNG",AO54*F54*'Fuel Prices'!$C$14,IF(H54="LPG",AO54*F54*'Fuel Prices'!$C$16,IF(H54="PROP",AO54*F54*'Fuel Prices'!$C$16,"0")))))))</f>
        <v/>
      </c>
      <c r="DJ54" s="818" t="str">
        <f>IF(AU54="","",IF(X54="DESL",AU54*F54*'Fuel Prices'!$C$12,IF(X54="GAS",AU54*F54*'Fuel Prices'!$C$11,IF(X54="CNG",AU54*F54*'Fuel Prices'!$C$13,IF(X54="LNG",AU54*F54*'Fuel Prices'!$C$14,IF(X54="LPG",AU54*F54*'Fuel Prices'!$C$16,IF(X54="PROP",AU54*F54*'Fuel Prices'!$C$16,IF(X54="ELEC",AU54*F54*'Fuel Prices'!$C$35,"0"))))))))</f>
        <v/>
      </c>
      <c r="DK54" s="818" t="str">
        <f t="shared" si="117"/>
        <v/>
      </c>
      <c r="DL54" s="818" t="str">
        <f t="shared" si="118"/>
        <v/>
      </c>
      <c r="DM54" s="804" t="str">
        <f t="shared" si="119"/>
        <v/>
      </c>
      <c r="DN54" s="804" t="str">
        <f t="shared" si="120"/>
        <v/>
      </c>
      <c r="DO54" s="804" t="str">
        <f>IFERROR(ROUND(CZ54*IF(COUNTIF($B$20:B54,B54)=1,1,"")/IF(B54="",0,1),0),"")</f>
        <v/>
      </c>
      <c r="DP54" s="804" t="str">
        <f>IFERROR(ROUND(CW54*IF(COUNTIF($B$20:B54,B54)=1,1,"")/IF(B54="",0,1),0),"")</f>
        <v/>
      </c>
      <c r="DQ54" s="804" t="str">
        <f>IFERROR(ROUND(DA54*IF(COUNTIF($B$20:B54,B54)=1,1,"")/IF(B54="",0,1),0),"")</f>
        <v/>
      </c>
      <c r="DR54" s="804" t="str">
        <f>IFERROR(ROUND(CX54*IF(COUNTIF($B$20:B54,B54)=1,1,"")/IF(B54="",0,1),0),"")</f>
        <v/>
      </c>
      <c r="DS54" s="804">
        <f t="shared" si="121"/>
        <v>0</v>
      </c>
      <c r="DT54" s="804">
        <f t="shared" si="122"/>
        <v>0</v>
      </c>
      <c r="DU54" s="804">
        <f t="shared" si="123"/>
        <v>0</v>
      </c>
      <c r="DV54" s="818" t="str">
        <f t="shared" si="66"/>
        <v/>
      </c>
      <c r="DW54" s="819" t="str">
        <f t="shared" si="67"/>
        <v/>
      </c>
    </row>
    <row r="55" spans="1:127" ht="18" customHeight="1" x14ac:dyDescent="0.35">
      <c r="A55" s="696"/>
      <c r="B55" s="820"/>
      <c r="C55" s="825" t="str">
        <f t="shared" si="69"/>
        <v>(Required)</v>
      </c>
      <c r="D55" s="821"/>
      <c r="E55" s="825" t="str">
        <f t="shared" si="69"/>
        <v>(Required)</v>
      </c>
      <c r="F55" s="821"/>
      <c r="G55" s="825" t="str">
        <f t="shared" si="70"/>
        <v>(Required)</v>
      </c>
      <c r="H55" s="822"/>
      <c r="I55" s="825" t="str">
        <f t="shared" si="71"/>
        <v>(Required)</v>
      </c>
      <c r="J55" s="821"/>
      <c r="K55" s="825" t="str">
        <f t="shared" si="72"/>
        <v>(Required)</v>
      </c>
      <c r="L55" s="821"/>
      <c r="M55" s="825" t="str">
        <f t="shared" si="73"/>
        <v>(Required)</v>
      </c>
      <c r="N55" s="821"/>
      <c r="O55" s="825" t="str">
        <f t="shared" si="74"/>
        <v>(Required)</v>
      </c>
      <c r="P55" s="821"/>
      <c r="Q55" s="825" t="str">
        <f t="shared" si="75"/>
        <v>(Required)</v>
      </c>
      <c r="R55" s="823"/>
      <c r="S55" s="826" t="str">
        <f t="shared" si="76"/>
        <v>(Optional)</v>
      </c>
      <c r="T55" s="821"/>
      <c r="U55" s="827" t="str">
        <f t="shared" si="77"/>
        <v>(Required)</v>
      </c>
      <c r="V55" s="828"/>
      <c r="W55" s="799" t="str">
        <f t="shared" si="9"/>
        <v>(Optional)</v>
      </c>
      <c r="X55" s="822"/>
      <c r="Y55" s="825" t="str">
        <f t="shared" si="78"/>
        <v>(Required)</v>
      </c>
      <c r="Z55" s="821"/>
      <c r="AA55" s="825" t="str">
        <f t="shared" si="79"/>
        <v>(Required)</v>
      </c>
      <c r="AB55" s="821"/>
      <c r="AC55" s="825" t="str">
        <f t="shared" si="80"/>
        <v>(Required)</v>
      </c>
      <c r="AD55" s="821"/>
      <c r="AE55" s="825" t="str">
        <f t="shared" si="81"/>
        <v>(Required)</v>
      </c>
      <c r="AF55" s="821"/>
      <c r="AG55" s="825" t="str">
        <f t="shared" si="82"/>
        <v>(Required)</v>
      </c>
      <c r="AH55" s="823"/>
      <c r="AI55" s="826" t="str">
        <f t="shared" si="83"/>
        <v>(Optional)</v>
      </c>
      <c r="AJ55" s="821"/>
      <c r="AK55" s="825" t="str">
        <f t="shared" si="84"/>
        <v>(Required)</v>
      </c>
      <c r="AL55" s="803" t="str">
        <f t="shared" si="85"/>
        <v/>
      </c>
      <c r="AM55" s="803" t="str">
        <f>IF(H55="DESL",'Fuel Density'!$C$12,IF(H55="GAS",'Fuel Density'!$C$11,IF(H55="CNG",'Fuel Density'!$C$13,IF(H55="LNG",'Fuel Density'!$C$14,IF(H55="LPG",'Fuel Density'!$C$15,IF(H55="PROP",'Fuel Density'!$C$16,IF(H55="","","")))))))</f>
        <v/>
      </c>
      <c r="AN55" s="803" t="str">
        <f>IF(H55="DESL",'Fuel-Specific GHG'!$C$14,IF(H55="GAS",'Fuel-Specific GHG'!$C$16,IF(H55="CNG",'Fuel-Specific GHG'!$C$13,IF(H55="LNG",'Fuel-Specific GHG'!$C$18,IF(OR(H55="LPG",H55="PROP"),'Fuel-Specific GHG'!$C$19,IF(H55="","",""))))))</f>
        <v/>
      </c>
      <c r="AO55" s="804" t="str">
        <f>IFERROR(((P55*(IF(ISBLANK(R55),Defaults!$B$19,R55))*T55*AL55)/AM55),"")</f>
        <v/>
      </c>
      <c r="AP55" s="805" t="str">
        <f t="shared" si="86"/>
        <v/>
      </c>
      <c r="AQ55" s="805" t="str">
        <f>IF(H55="DESL",'Fuel-Specific GHG'!$E$14,IF(H55="GAS",'Fuel-Specific GHG'!$E$16,IF(H55="CNG",'Fuel-Specific GHG'!$E$13,IF(H55="LNG",'Fuel-Specific GHG'!$E$18,IF(OR(H55="LPG",H55="PROP"),'Fuel-Specific GHG'!$E$19,"")))))</f>
        <v/>
      </c>
      <c r="AR55" s="805" t="str">
        <f t="shared" si="87"/>
        <v/>
      </c>
      <c r="AS55" s="803" t="str">
        <f t="shared" si="58"/>
        <v/>
      </c>
      <c r="AT55" s="803" t="str">
        <f>IF(X55="DESL",'Fuel Density'!$C$12,IF(X55="PROP",'Fuel Density'!$C$16,IF(X55="GAS",'Fuel Density'!$C$11,IF(X55="CNG",'Fuel Density'!$C$13,IF(X55="LNG",'Fuel Density'!$C$14,IF(X55="LPG",'Fuel Density'!$C$15,IF(X55="","","")))))))</f>
        <v/>
      </c>
      <c r="AU55" s="804" t="str">
        <f>IFERROR(IF(X55="ELEC",AO55*AN55*(1/'Fuel-Specific GHG'!$C$15)*(1/IF(H55="GAS",3.4,IF(H55="DESL",2.7,3))),((AF55*(IF(ISBLANK(AH55),Defaults!$B$19,AH55))*AJ55*AS55)/AT55)),"")</f>
        <v/>
      </c>
      <c r="AV55" s="805" t="str">
        <f t="shared" si="88"/>
        <v/>
      </c>
      <c r="AW55" s="805" t="str">
        <f>IF(X55="DESL",'Fuel-Specific GHG'!$E$14,IF(X55="PROP",'Fuel-Specific GHG'!$E$19,IF(X55="GAS",'Fuel-Specific GHG'!$E$16,IF(X55="CNG",'Fuel-Specific GHG'!$E$13,IF(X55="LNG",'Fuel-Specific GHG'!$E$18,IF(X55="LPG",'Fuel-Specific GHG'!$E$19,IF(X55="ELEC",'Fuel-Specific GHG'!$E$15,"")))))))</f>
        <v/>
      </c>
      <c r="AX55" s="805" t="str">
        <f t="shared" si="89"/>
        <v/>
      </c>
      <c r="AY55" s="806" t="str">
        <f t="shared" si="90"/>
        <v/>
      </c>
      <c r="AZ55" s="806" t="str">
        <f t="shared" si="68"/>
        <v/>
      </c>
      <c r="BA55" s="806" t="str">
        <f t="shared" si="59"/>
        <v/>
      </c>
      <c r="BB55" s="804" t="str">
        <f t="shared" si="23"/>
        <v/>
      </c>
      <c r="BC55" s="807" t="str">
        <f t="shared" si="91"/>
        <v/>
      </c>
      <c r="BD55" s="807"/>
      <c r="BE55" s="808" t="str">
        <f t="shared" si="92"/>
        <v/>
      </c>
      <c r="BF55" s="809" t="str">
        <f t="shared" si="93"/>
        <v/>
      </c>
      <c r="BG55" s="808" t="str">
        <f t="shared" si="60"/>
        <v/>
      </c>
      <c r="BH55" s="810">
        <f t="shared" si="61"/>
        <v>0</v>
      </c>
      <c r="BI55" s="803" t="str">
        <f>IFERROR(VLOOKUP(BH55,'Pump Emission Factors'!$B$11:$J$88,4,FALSE),"")</f>
        <v/>
      </c>
      <c r="BJ55" s="803" t="str">
        <f>IFERROR(VLOOKUP(BH55,'Pump Emission Factors'!$B$11:$J$88,6,FALSE),"")</f>
        <v/>
      </c>
      <c r="BK55" s="803" t="str">
        <f>IFERROR(VLOOKUP(BH55,'Pump Emission Factors'!$B$11:$J$88,8,FALSE),"")</f>
        <v/>
      </c>
      <c r="BL55" s="803" t="str">
        <f>IFERROR(VLOOKUP(BH55,'Pump Emission Factors'!$B$11:$J$88,5,FALSE),"")</f>
        <v/>
      </c>
      <c r="BM55" s="803" t="str">
        <f>IFERROR(VLOOKUP(BH55,'Pump Emission Factors'!$B$11:$J$88,7,FALSE),"")</f>
        <v/>
      </c>
      <c r="BN55" s="803" t="str">
        <f>IFERROR(VLOOKUP(BH55,'Pump Emission Factors'!$B$11:$J$88,9,FALSE),"")</f>
        <v/>
      </c>
      <c r="BO55" s="811" t="str">
        <f t="shared" si="94"/>
        <v/>
      </c>
      <c r="BP55" s="811" t="str">
        <f t="shared" si="95"/>
        <v/>
      </c>
      <c r="BQ55" s="803">
        <f>IFERROR(((BI55+(BL55*BP55))*(IF(ISBLANK(R55),Defaults!$B$19,R55))*P55*T55)*F55*(1/454),0)</f>
        <v>0</v>
      </c>
      <c r="BR55" s="803">
        <f>IFERROR(((BJ55+(BM55*BP55))*(IF(ISBLANK(R55),Defaults!$B$19,R55))*P55*T55)*F55*(1/454),0)</f>
        <v>0</v>
      </c>
      <c r="BS55" s="803">
        <f>IFERROR(((BK55+(BN55*BP55))*(IF(ISBLANK(R55),Defaults!$B$19,R55))*P55*T55)*F55*(1/454),0)</f>
        <v>0</v>
      </c>
      <c r="BT55" s="803">
        <f t="shared" si="96"/>
        <v>0</v>
      </c>
      <c r="BU55" s="803">
        <f t="shared" si="97"/>
        <v>0</v>
      </c>
      <c r="BV55" s="812" t="str">
        <f t="shared" si="98"/>
        <v/>
      </c>
      <c r="BW55" s="808" t="str">
        <f t="shared" si="99"/>
        <v/>
      </c>
      <c r="BX55" s="809" t="str">
        <f t="shared" si="32"/>
        <v/>
      </c>
      <c r="BY55" s="808" t="str">
        <f t="shared" si="63"/>
        <v/>
      </c>
      <c r="BZ55" s="810">
        <f t="shared" si="64"/>
        <v>0</v>
      </c>
      <c r="CA55" s="813" t="str">
        <f>IFERROR(VLOOKUP(BZ55,'Pump Emission Factors'!$B$11:$J$88,4,FALSE),"")</f>
        <v/>
      </c>
      <c r="CB55" s="813" t="str">
        <f>IFERROR(VLOOKUP(BZ55,'Pump Emission Factors'!$B$11:$J$88,6,FALSE),"")</f>
        <v/>
      </c>
      <c r="CC55" s="813" t="str">
        <f>IFERROR(VLOOKUP(BZ55,'Pump Emission Factors'!$B$11:$J$88,8,FALSE),"")</f>
        <v/>
      </c>
      <c r="CD55" s="813" t="str">
        <f>IFERROR(VLOOKUP(BZ55,'Pump Emission Factors'!$B$11:$J$88,5,FALSE),"")</f>
        <v/>
      </c>
      <c r="CE55" s="813" t="str">
        <f>IFERROR(VLOOKUP(BZ55,'Pump Emission Factors'!$B$11:$J$88,7,FALSE),"")</f>
        <v/>
      </c>
      <c r="CF55" s="813" t="str">
        <f>IFERROR(VLOOKUP(BZ55,'Pump Emission Factors'!$B$11:$J$88,9,FALSE),"")</f>
        <v/>
      </c>
      <c r="CG55" s="814" t="str">
        <f t="shared" si="100"/>
        <v/>
      </c>
      <c r="CH55" s="814" t="str">
        <f t="shared" si="101"/>
        <v/>
      </c>
      <c r="CI55" s="813">
        <f>IFERROR(IF($X55="ELEC",((($AU55*(IF($H55="DESL",'Fuel-Specific GHG'!$C$14,IF($H55="GAS",'Fuel-Specific GHG'!$C$16,IF($H55="CNG",'Fuel-Specific GHG'!$C$13,IF(OR($H55="LPG",$H55="PROP"),'Fuel-Specific GHG'!$C$19,"")))))*(1/'Fuel-Specific GHG'!$C$15)*(1/3.4)*$F55)*'Grid Electricity'!$D$39)/454),((CA55+(CD55*CH55))*(IF(ISBLANK(AH55),Defaults!$B$19,AH55))*$AF55*$AJ55*$F55)),0)</f>
        <v>0</v>
      </c>
      <c r="CJ55" s="813">
        <f>IFERROR(IF($X55="ELEC",((($AU55*(IF($H55="DESL",'Fuel-Specific GHG'!$C$14,IF($H55="GAS",'Fuel-Specific GHG'!$C$16,IF($H55="CNG",'Fuel-Specific GHG'!$C$13,IF(OR($H55="LPG",$H55="PROP"),'Fuel-Specific GHG'!$C$19,"")))))*(1/'Fuel-Specific GHG'!$C$15)*(1/3.4)*$F55)*'Grid Electricity'!$C$39)/454),((CB55+(CE55*CH55))*(IF(ISBLANK(AH55),Defaults!$B$19,AH55))*$AF55*$AJ55*$F55)),0)</f>
        <v>0</v>
      </c>
      <c r="CK55" s="813">
        <f>IFERROR(IF($X55="ELEC",((($AU55*(IF($H55="DESL",'Fuel-Specific GHG'!$C$14,IF($H55="GAS",'Fuel-Specific GHG'!$C$16,IF($H55="CNG",'Fuel-Specific GHG'!$C$13,IF(OR($H55="LPG",$H55="PROP"),'Fuel-Specific GHG'!$C$19,"")))))*(1/'Fuel-Specific GHG'!$C$15)*(1/3.4)*$F55)*'Grid Electricity'!$F$39)/454),((CC55+(CF55*CH55))*(IF(ISBLANK(AH55),Defaults!$B$19,AH55))*$AF55*$AJ55*$F55)),0)</f>
        <v>0</v>
      </c>
      <c r="CL55" s="813">
        <f t="shared" si="102"/>
        <v>0</v>
      </c>
      <c r="CM55" s="813">
        <f t="shared" si="103"/>
        <v>0</v>
      </c>
      <c r="CN55" s="814" t="str">
        <f t="shared" si="104"/>
        <v/>
      </c>
      <c r="CO55" s="814" t="str">
        <f t="shared" si="105"/>
        <v/>
      </c>
      <c r="CP55" s="814" t="str">
        <f t="shared" si="106"/>
        <v/>
      </c>
      <c r="CQ55" s="814" t="str">
        <f t="shared" si="107"/>
        <v/>
      </c>
      <c r="CR55" s="815" t="str">
        <f>IF(AND(V55="Yes, Booster Pump VFD",AF55&lt;=75),('Pump Emission Factors'!$F$95*F55),(IF(AND(V55="Yes, Booster Pump VFD",AF55&gt;75),('Pump Emission Factors'!$F$96*F55),(IF(AND(V55="Yes, Well Pump VFD",AF55&lt;=75),('Pump Emission Factors'!$F$97*F55),(IF(AND(V55="Yes, Well Pump VFD",AF55&gt;75),('Pump Emission Factors'!$F$98*F55),"")))))))</f>
        <v/>
      </c>
      <c r="CS55" s="815" t="str">
        <f>IF(AND(V55="Yes, Booster Pump VFD",AF55&lt;=75),('Pump Emission Factors'!$G$95*F55),(IF(AND(V55="Yes, Booster Pump VFD",AF55&gt;75),('Pump Emission Factors'!$G$96*F55),(IF(AND(V55="Yes, Well Pump VFD",AF55&lt;=75),('Pump Emission Factors'!$G$97*F55),(IF(AND(V55="Yes, Well Pump VFD",AF55&gt;75),('Pump Emission Factors'!$G$98*F55),"")))))))</f>
        <v/>
      </c>
      <c r="CT55" s="815" t="str">
        <f>IF(AND(V55="Yes, Booster Pump VFD",AF55&lt;=75),('Pump Emission Factors'!$H$95*F55),(IF(AND(V55="Yes, Booster Pump VFD",AF55&gt;75),('Pump Emission Factors'!$H$96*F55),(IF(AND(V55="Yes, Well Pump VFD",AF55&lt;=75),('Pump Emission Factors'!$H$97*F55),(IF(AND(V55="Yes, Well Pump VFD",AF55&gt;75),('Pump Emission Factors'!$H$98*F55),"")))))))</f>
        <v/>
      </c>
      <c r="CU55" s="815" t="str">
        <f>IF(AND(V55="Yes, Booster Pump VFD",AF55&lt;=75),('Pump Emission Factors'!$J$95*F55),(IF(AND(V55="Yes, Booster Pump VFD",AF55&gt;75),('Pump Emission Factors'!$J$96*F55),(IF(AND(V55="Yes, Well Pump VFD",AF55&lt;=75),('Pump Emission Factors'!$J$97*F55),(IF(AND(V55="Yes, Well Pump VFD",AF55&gt;75),('Pump Emission Factors'!$J$98*F55),"")))))))</f>
        <v/>
      </c>
      <c r="CV55" s="815" t="str">
        <f>IF(AND(V55="Yes, Booster Pump VFD",AF55&lt;=75),('Pump Emission Factors'!$I$95*F55),(IF(AND(V55="Yes, Booster Pump VFD",AF55&gt;75),('Pump Emission Factors'!$I$96*F55),(IF(AND(V55="Yes, Well Pump VFD",AF55&lt;=75),('Pump Emission Factors'!$I$97*F55),(IF(AND(V55="Yes, Well Pump VFD",AF55&gt;75),('Pump Emission Factors'!$I$98*F55),"")))))))</f>
        <v/>
      </c>
      <c r="CW55" s="806">
        <f t="shared" si="108"/>
        <v>0</v>
      </c>
      <c r="CX55" s="806">
        <f t="shared" si="109"/>
        <v>0</v>
      </c>
      <c r="CY55" s="806">
        <f t="shared" si="110"/>
        <v>0</v>
      </c>
      <c r="CZ55" s="806">
        <f t="shared" si="111"/>
        <v>0</v>
      </c>
      <c r="DA55" s="806">
        <f t="shared" si="112"/>
        <v>0</v>
      </c>
      <c r="DB55" s="816" t="str">
        <f t="shared" si="65"/>
        <v/>
      </c>
      <c r="DC55" s="816" t="str">
        <f t="shared" si="65"/>
        <v/>
      </c>
      <c r="DD55" s="816" t="str">
        <f t="shared" si="65"/>
        <v/>
      </c>
      <c r="DE55" s="817" t="str">
        <f t="shared" si="113"/>
        <v/>
      </c>
      <c r="DF55" s="817" t="str">
        <f t="shared" si="114"/>
        <v/>
      </c>
      <c r="DG55" s="804" t="str">
        <f t="shared" si="115"/>
        <v/>
      </c>
      <c r="DH55" s="804" t="str">
        <f t="shared" si="116"/>
        <v/>
      </c>
      <c r="DI55" s="818" t="str">
        <f>IF(AO55="","",IF(H55="DESL",AO55*F55*'Fuel Prices'!$C$12,IF(H55="GAS",AO55*F55*'Fuel Prices'!$C$11,IF(H55="CNG",AO55*F55*'Fuel Prices'!$C$13,IF(H55="LNG",AO55*F55*'Fuel Prices'!$C$14,IF(H55="LPG",AO55*F55*'Fuel Prices'!$C$16,IF(H55="PROP",AO55*F55*'Fuel Prices'!$C$16,"0")))))))</f>
        <v/>
      </c>
      <c r="DJ55" s="818" t="str">
        <f>IF(AU55="","",IF(X55="DESL",AU55*F55*'Fuel Prices'!$C$12,IF(X55="GAS",AU55*F55*'Fuel Prices'!$C$11,IF(X55="CNG",AU55*F55*'Fuel Prices'!$C$13,IF(X55="LNG",AU55*F55*'Fuel Prices'!$C$14,IF(X55="LPG",AU55*F55*'Fuel Prices'!$C$16,IF(X55="PROP",AU55*F55*'Fuel Prices'!$C$16,IF(X55="ELEC",AU55*F55*'Fuel Prices'!$C$35,"0"))))))))</f>
        <v/>
      </c>
      <c r="DK55" s="818" t="str">
        <f t="shared" si="117"/>
        <v/>
      </c>
      <c r="DL55" s="818" t="str">
        <f t="shared" si="118"/>
        <v/>
      </c>
      <c r="DM55" s="804" t="str">
        <f t="shared" si="119"/>
        <v/>
      </c>
      <c r="DN55" s="804" t="str">
        <f t="shared" si="120"/>
        <v/>
      </c>
      <c r="DO55" s="804" t="str">
        <f>IFERROR(ROUND(CZ55*IF(COUNTIF($B$20:B55,B55)=1,1,"")/IF(B55="",0,1),0),"")</f>
        <v/>
      </c>
      <c r="DP55" s="804" t="str">
        <f>IFERROR(ROUND(CW55*IF(COUNTIF($B$20:B55,B55)=1,1,"")/IF(B55="",0,1),0),"")</f>
        <v/>
      </c>
      <c r="DQ55" s="804" t="str">
        <f>IFERROR(ROUND(DA55*IF(COUNTIF($B$20:B55,B55)=1,1,"")/IF(B55="",0,1),0),"")</f>
        <v/>
      </c>
      <c r="DR55" s="804" t="str">
        <f>IFERROR(ROUND(CX55*IF(COUNTIF($B$20:B55,B55)=1,1,"")/IF(B55="",0,1),0),"")</f>
        <v/>
      </c>
      <c r="DS55" s="804">
        <f t="shared" si="121"/>
        <v>0</v>
      </c>
      <c r="DT55" s="804">
        <f t="shared" si="122"/>
        <v>0</v>
      </c>
      <c r="DU55" s="804">
        <f t="shared" si="123"/>
        <v>0</v>
      </c>
      <c r="DV55" s="818" t="str">
        <f t="shared" si="66"/>
        <v/>
      </c>
      <c r="DW55" s="819" t="str">
        <f t="shared" si="67"/>
        <v/>
      </c>
    </row>
    <row r="56" spans="1:127" ht="18" customHeight="1" x14ac:dyDescent="0.35">
      <c r="A56" s="635"/>
      <c r="B56" s="820"/>
      <c r="C56" s="825" t="str">
        <f t="shared" si="69"/>
        <v>(Required)</v>
      </c>
      <c r="D56" s="821"/>
      <c r="E56" s="825" t="str">
        <f t="shared" si="69"/>
        <v>(Required)</v>
      </c>
      <c r="F56" s="821"/>
      <c r="G56" s="825" t="str">
        <f t="shared" si="70"/>
        <v>(Required)</v>
      </c>
      <c r="H56" s="822"/>
      <c r="I56" s="825" t="str">
        <f t="shared" si="71"/>
        <v>(Required)</v>
      </c>
      <c r="J56" s="821"/>
      <c r="K56" s="825" t="str">
        <f t="shared" si="72"/>
        <v>(Required)</v>
      </c>
      <c r="L56" s="821"/>
      <c r="M56" s="825" t="str">
        <f t="shared" si="73"/>
        <v>(Required)</v>
      </c>
      <c r="N56" s="821"/>
      <c r="O56" s="825" t="str">
        <f t="shared" si="74"/>
        <v>(Required)</v>
      </c>
      <c r="P56" s="821"/>
      <c r="Q56" s="825" t="str">
        <f t="shared" si="75"/>
        <v>(Required)</v>
      </c>
      <c r="R56" s="823"/>
      <c r="S56" s="826" t="str">
        <f t="shared" si="76"/>
        <v>(Optional)</v>
      </c>
      <c r="T56" s="821"/>
      <c r="U56" s="827" t="str">
        <f t="shared" si="77"/>
        <v>(Required)</v>
      </c>
      <c r="V56" s="828"/>
      <c r="W56" s="799" t="str">
        <f t="shared" si="9"/>
        <v>(Optional)</v>
      </c>
      <c r="X56" s="822"/>
      <c r="Y56" s="825" t="str">
        <f t="shared" si="78"/>
        <v>(Required)</v>
      </c>
      <c r="Z56" s="821"/>
      <c r="AA56" s="825" t="str">
        <f t="shared" si="79"/>
        <v>(Required)</v>
      </c>
      <c r="AB56" s="821"/>
      <c r="AC56" s="825" t="str">
        <f t="shared" si="80"/>
        <v>(Required)</v>
      </c>
      <c r="AD56" s="821"/>
      <c r="AE56" s="825" t="str">
        <f t="shared" si="81"/>
        <v>(Required)</v>
      </c>
      <c r="AF56" s="821"/>
      <c r="AG56" s="825" t="str">
        <f t="shared" si="82"/>
        <v>(Required)</v>
      </c>
      <c r="AH56" s="823"/>
      <c r="AI56" s="826" t="str">
        <f t="shared" si="83"/>
        <v>(Optional)</v>
      </c>
      <c r="AJ56" s="821"/>
      <c r="AK56" s="825" t="str">
        <f t="shared" si="84"/>
        <v>(Required)</v>
      </c>
      <c r="AL56" s="803" t="str">
        <f t="shared" si="85"/>
        <v/>
      </c>
      <c r="AM56" s="803" t="str">
        <f>IF(H56="DESL",'Fuel Density'!$C$12,IF(H56="GAS",'Fuel Density'!$C$11,IF(H56="CNG",'Fuel Density'!$C$13,IF(H56="LNG",'Fuel Density'!$C$14,IF(H56="LPG",'Fuel Density'!$C$15,IF(H56="PROP",'Fuel Density'!$C$16,IF(H56="","","")))))))</f>
        <v/>
      </c>
      <c r="AN56" s="803" t="str">
        <f>IF(H56="DESL",'Fuel-Specific GHG'!$C$14,IF(H56="GAS",'Fuel-Specific GHG'!$C$16,IF(H56="CNG",'Fuel-Specific GHG'!$C$13,IF(H56="LNG",'Fuel-Specific GHG'!$C$18,IF(OR(H56="LPG",H56="PROP"),'Fuel-Specific GHG'!$C$19,IF(H56="","",""))))))</f>
        <v/>
      </c>
      <c r="AO56" s="804" t="str">
        <f>IFERROR(((P56*(IF(ISBLANK(R56),Defaults!$B$19,R56))*T56*AL56)/AM56),"")</f>
        <v/>
      </c>
      <c r="AP56" s="805" t="str">
        <f t="shared" si="86"/>
        <v/>
      </c>
      <c r="AQ56" s="805" t="str">
        <f>IF(H56="DESL",'Fuel-Specific GHG'!$E$14,IF(H56="GAS",'Fuel-Specific GHG'!$E$16,IF(H56="CNG",'Fuel-Specific GHG'!$E$13,IF(H56="LNG",'Fuel-Specific GHG'!$E$18,IF(OR(H56="LPG",H56="PROP"),'Fuel-Specific GHG'!$E$19,"")))))</f>
        <v/>
      </c>
      <c r="AR56" s="805" t="str">
        <f t="shared" si="87"/>
        <v/>
      </c>
      <c r="AS56" s="803" t="str">
        <f t="shared" si="58"/>
        <v/>
      </c>
      <c r="AT56" s="803" t="str">
        <f>IF(X56="DESL",'Fuel Density'!$C$12,IF(X56="PROP",'Fuel Density'!$C$16,IF(X56="GAS",'Fuel Density'!$C$11,IF(X56="CNG",'Fuel Density'!$C$13,IF(X56="LNG",'Fuel Density'!$C$14,IF(X56="LPG",'Fuel Density'!$C$15,IF(X56="","","")))))))</f>
        <v/>
      </c>
      <c r="AU56" s="804" t="str">
        <f>IFERROR(IF(X56="ELEC",AO56*AN56*(1/'Fuel-Specific GHG'!$C$15)*(1/IF(H56="GAS",3.4,IF(H56="DESL",2.7,3))),((AF56*(IF(ISBLANK(AH56),Defaults!$B$19,AH56))*AJ56*AS56)/AT56)),"")</f>
        <v/>
      </c>
      <c r="AV56" s="805" t="str">
        <f t="shared" si="88"/>
        <v/>
      </c>
      <c r="AW56" s="805" t="str">
        <f>IF(X56="DESL",'Fuel-Specific GHG'!$E$14,IF(X56="PROP",'Fuel-Specific GHG'!$E$19,IF(X56="GAS",'Fuel-Specific GHG'!$E$16,IF(X56="CNG",'Fuel-Specific GHG'!$E$13,IF(X56="LNG",'Fuel-Specific GHG'!$E$18,IF(X56="LPG",'Fuel-Specific GHG'!$E$19,IF(X56="ELEC",'Fuel-Specific GHG'!$E$15,"")))))))</f>
        <v/>
      </c>
      <c r="AX56" s="805" t="str">
        <f t="shared" si="89"/>
        <v/>
      </c>
      <c r="AY56" s="806" t="str">
        <f t="shared" si="90"/>
        <v/>
      </c>
      <c r="AZ56" s="806" t="str">
        <f t="shared" si="68"/>
        <v/>
      </c>
      <c r="BA56" s="806" t="str">
        <f t="shared" si="59"/>
        <v/>
      </c>
      <c r="BB56" s="804" t="str">
        <f t="shared" si="23"/>
        <v/>
      </c>
      <c r="BC56" s="807" t="str">
        <f t="shared" si="91"/>
        <v/>
      </c>
      <c r="BD56" s="807"/>
      <c r="BE56" s="808" t="str">
        <f t="shared" si="92"/>
        <v/>
      </c>
      <c r="BF56" s="809" t="str">
        <f t="shared" si="93"/>
        <v/>
      </c>
      <c r="BG56" s="808" t="str">
        <f t="shared" si="60"/>
        <v/>
      </c>
      <c r="BH56" s="810">
        <f t="shared" si="61"/>
        <v>0</v>
      </c>
      <c r="BI56" s="803" t="str">
        <f>IFERROR(VLOOKUP(BH56,'Pump Emission Factors'!$B$11:$J$88,4,FALSE),"")</f>
        <v/>
      </c>
      <c r="BJ56" s="803" t="str">
        <f>IFERROR(VLOOKUP(BH56,'Pump Emission Factors'!$B$11:$J$88,6,FALSE),"")</f>
        <v/>
      </c>
      <c r="BK56" s="803" t="str">
        <f>IFERROR(VLOOKUP(BH56,'Pump Emission Factors'!$B$11:$J$88,8,FALSE),"")</f>
        <v/>
      </c>
      <c r="BL56" s="803" t="str">
        <f>IFERROR(VLOOKUP(BH56,'Pump Emission Factors'!$B$11:$J$88,5,FALSE),"")</f>
        <v/>
      </c>
      <c r="BM56" s="803" t="str">
        <f>IFERROR(VLOOKUP(BH56,'Pump Emission Factors'!$B$11:$J$88,7,FALSE),"")</f>
        <v/>
      </c>
      <c r="BN56" s="803" t="str">
        <f>IFERROR(VLOOKUP(BH56,'Pump Emission Factors'!$B$11:$J$88,9,FALSE),"")</f>
        <v/>
      </c>
      <c r="BO56" s="811" t="str">
        <f t="shared" si="94"/>
        <v/>
      </c>
      <c r="BP56" s="811" t="str">
        <f t="shared" si="95"/>
        <v/>
      </c>
      <c r="BQ56" s="803">
        <f>IFERROR(((BI56+(BL56*BP56))*(IF(ISBLANK(R56),Defaults!$B$19,R56))*P56*T56)*F56*(1/454),0)</f>
        <v>0</v>
      </c>
      <c r="BR56" s="803">
        <f>IFERROR(((BJ56+(BM56*BP56))*(IF(ISBLANK(R56),Defaults!$B$19,R56))*P56*T56)*F56*(1/454),0)</f>
        <v>0</v>
      </c>
      <c r="BS56" s="803">
        <f>IFERROR(((BK56+(BN56*BP56))*(IF(ISBLANK(R56),Defaults!$B$19,R56))*P56*T56)*F56*(1/454),0)</f>
        <v>0</v>
      </c>
      <c r="BT56" s="803">
        <f t="shared" si="96"/>
        <v>0</v>
      </c>
      <c r="BU56" s="803">
        <f t="shared" si="97"/>
        <v>0</v>
      </c>
      <c r="BV56" s="812" t="str">
        <f t="shared" si="98"/>
        <v/>
      </c>
      <c r="BW56" s="808" t="str">
        <f t="shared" si="99"/>
        <v/>
      </c>
      <c r="BX56" s="809" t="str">
        <f t="shared" si="32"/>
        <v/>
      </c>
      <c r="BY56" s="808" t="str">
        <f t="shared" si="63"/>
        <v/>
      </c>
      <c r="BZ56" s="810">
        <f t="shared" si="64"/>
        <v>0</v>
      </c>
      <c r="CA56" s="813" t="str">
        <f>IFERROR(VLOOKUP(BZ56,'Pump Emission Factors'!$B$11:$J$88,4,FALSE),"")</f>
        <v/>
      </c>
      <c r="CB56" s="813" t="str">
        <f>IFERROR(VLOOKUP(BZ56,'Pump Emission Factors'!$B$11:$J$88,6,FALSE),"")</f>
        <v/>
      </c>
      <c r="CC56" s="813" t="str">
        <f>IFERROR(VLOOKUP(BZ56,'Pump Emission Factors'!$B$11:$J$88,8,FALSE),"")</f>
        <v/>
      </c>
      <c r="CD56" s="813" t="str">
        <f>IFERROR(VLOOKUP(BZ56,'Pump Emission Factors'!$B$11:$J$88,5,FALSE),"")</f>
        <v/>
      </c>
      <c r="CE56" s="813" t="str">
        <f>IFERROR(VLOOKUP(BZ56,'Pump Emission Factors'!$B$11:$J$88,7,FALSE),"")</f>
        <v/>
      </c>
      <c r="CF56" s="813" t="str">
        <f>IFERROR(VLOOKUP(BZ56,'Pump Emission Factors'!$B$11:$J$88,9,FALSE),"")</f>
        <v/>
      </c>
      <c r="CG56" s="814" t="str">
        <f t="shared" si="100"/>
        <v/>
      </c>
      <c r="CH56" s="814" t="str">
        <f t="shared" si="101"/>
        <v/>
      </c>
      <c r="CI56" s="813">
        <f>IFERROR(IF($X56="ELEC",((($AU56*(IF($H56="DESL",'Fuel-Specific GHG'!$C$14,IF($H56="GAS",'Fuel-Specific GHG'!$C$16,IF($H56="CNG",'Fuel-Specific GHG'!$C$13,IF(OR($H56="LPG",$H56="PROP"),'Fuel-Specific GHG'!$C$19,"")))))*(1/'Fuel-Specific GHG'!$C$15)*(1/3.4)*$F56)*'Grid Electricity'!$D$39)/454),((CA56+(CD56*CH56))*(IF(ISBLANK(AH56),Defaults!$B$19,AH56))*$AF56*$AJ56*$F56)),0)</f>
        <v>0</v>
      </c>
      <c r="CJ56" s="813">
        <f>IFERROR(IF($X56="ELEC",((($AU56*(IF($H56="DESL",'Fuel-Specific GHG'!$C$14,IF($H56="GAS",'Fuel-Specific GHG'!$C$16,IF($H56="CNG",'Fuel-Specific GHG'!$C$13,IF(OR($H56="LPG",$H56="PROP"),'Fuel-Specific GHG'!$C$19,"")))))*(1/'Fuel-Specific GHG'!$C$15)*(1/3.4)*$F56)*'Grid Electricity'!$C$39)/454),((CB56+(CE56*CH56))*(IF(ISBLANK(AH56),Defaults!$B$19,AH56))*$AF56*$AJ56*$F56)),0)</f>
        <v>0</v>
      </c>
      <c r="CK56" s="813">
        <f>IFERROR(IF($X56="ELEC",((($AU56*(IF($H56="DESL",'Fuel-Specific GHG'!$C$14,IF($H56="GAS",'Fuel-Specific GHG'!$C$16,IF($H56="CNG",'Fuel-Specific GHG'!$C$13,IF(OR($H56="LPG",$H56="PROP"),'Fuel-Specific GHG'!$C$19,"")))))*(1/'Fuel-Specific GHG'!$C$15)*(1/3.4)*$F56)*'Grid Electricity'!$F$39)/454),((CC56+(CF56*CH56))*(IF(ISBLANK(AH56),Defaults!$B$19,AH56))*$AF56*$AJ56*$F56)),0)</f>
        <v>0</v>
      </c>
      <c r="CL56" s="813">
        <f t="shared" si="102"/>
        <v>0</v>
      </c>
      <c r="CM56" s="813">
        <f t="shared" si="103"/>
        <v>0</v>
      </c>
      <c r="CN56" s="814" t="str">
        <f t="shared" si="104"/>
        <v/>
      </c>
      <c r="CO56" s="814" t="str">
        <f t="shared" si="105"/>
        <v/>
      </c>
      <c r="CP56" s="814" t="str">
        <f t="shared" si="106"/>
        <v/>
      </c>
      <c r="CQ56" s="814" t="str">
        <f t="shared" si="107"/>
        <v/>
      </c>
      <c r="CR56" s="815" t="str">
        <f>IF(AND(V56="Yes, Booster Pump VFD",AF56&lt;=75),('Pump Emission Factors'!$F$95*F56),(IF(AND(V56="Yes, Booster Pump VFD",AF56&gt;75),('Pump Emission Factors'!$F$96*F56),(IF(AND(V56="Yes, Well Pump VFD",AF56&lt;=75),('Pump Emission Factors'!$F$97*F56),(IF(AND(V56="Yes, Well Pump VFD",AF56&gt;75),('Pump Emission Factors'!$F$98*F56),"")))))))</f>
        <v/>
      </c>
      <c r="CS56" s="815" t="str">
        <f>IF(AND(V56="Yes, Booster Pump VFD",AF56&lt;=75),('Pump Emission Factors'!$G$95*F56),(IF(AND(V56="Yes, Booster Pump VFD",AF56&gt;75),('Pump Emission Factors'!$G$96*F56),(IF(AND(V56="Yes, Well Pump VFD",AF56&lt;=75),('Pump Emission Factors'!$G$97*F56),(IF(AND(V56="Yes, Well Pump VFD",AF56&gt;75),('Pump Emission Factors'!$G$98*F56),"")))))))</f>
        <v/>
      </c>
      <c r="CT56" s="815" t="str">
        <f>IF(AND(V56="Yes, Booster Pump VFD",AF56&lt;=75),('Pump Emission Factors'!$H$95*F56),(IF(AND(V56="Yes, Booster Pump VFD",AF56&gt;75),('Pump Emission Factors'!$H$96*F56),(IF(AND(V56="Yes, Well Pump VFD",AF56&lt;=75),('Pump Emission Factors'!$H$97*F56),(IF(AND(V56="Yes, Well Pump VFD",AF56&gt;75),('Pump Emission Factors'!$H$98*F56),"")))))))</f>
        <v/>
      </c>
      <c r="CU56" s="815" t="str">
        <f>IF(AND(V56="Yes, Booster Pump VFD",AF56&lt;=75),('Pump Emission Factors'!$J$95*F56),(IF(AND(V56="Yes, Booster Pump VFD",AF56&gt;75),('Pump Emission Factors'!$J$96*F56),(IF(AND(V56="Yes, Well Pump VFD",AF56&lt;=75),('Pump Emission Factors'!$J$97*F56),(IF(AND(V56="Yes, Well Pump VFD",AF56&gt;75),('Pump Emission Factors'!$J$98*F56),"")))))))</f>
        <v/>
      </c>
      <c r="CV56" s="815" t="str">
        <f>IF(AND(V56="Yes, Booster Pump VFD",AF56&lt;=75),('Pump Emission Factors'!$I$95*F56),(IF(AND(V56="Yes, Booster Pump VFD",AF56&gt;75),('Pump Emission Factors'!$I$96*F56),(IF(AND(V56="Yes, Well Pump VFD",AF56&lt;=75),('Pump Emission Factors'!$I$97*F56),(IF(AND(V56="Yes, Well Pump VFD",AF56&gt;75),('Pump Emission Factors'!$I$98*F56),"")))))))</f>
        <v/>
      </c>
      <c r="CW56" s="806">
        <f t="shared" si="108"/>
        <v>0</v>
      </c>
      <c r="CX56" s="806">
        <f t="shared" si="109"/>
        <v>0</v>
      </c>
      <c r="CY56" s="806">
        <f t="shared" si="110"/>
        <v>0</v>
      </c>
      <c r="CZ56" s="806">
        <f t="shared" si="111"/>
        <v>0</v>
      </c>
      <c r="DA56" s="806">
        <f t="shared" si="112"/>
        <v>0</v>
      </c>
      <c r="DB56" s="816" t="str">
        <f t="shared" si="65"/>
        <v/>
      </c>
      <c r="DC56" s="816" t="str">
        <f t="shared" si="65"/>
        <v/>
      </c>
      <c r="DD56" s="816" t="str">
        <f t="shared" si="65"/>
        <v/>
      </c>
      <c r="DE56" s="817" t="str">
        <f t="shared" si="113"/>
        <v/>
      </c>
      <c r="DF56" s="817" t="str">
        <f t="shared" si="114"/>
        <v/>
      </c>
      <c r="DG56" s="804" t="str">
        <f t="shared" si="115"/>
        <v/>
      </c>
      <c r="DH56" s="804" t="str">
        <f t="shared" si="116"/>
        <v/>
      </c>
      <c r="DI56" s="818" t="str">
        <f>IF(AO56="","",IF(H56="DESL",AO56*F56*'Fuel Prices'!$C$12,IF(H56="GAS",AO56*F56*'Fuel Prices'!$C$11,IF(H56="CNG",AO56*F56*'Fuel Prices'!$C$13,IF(H56="LNG",AO56*F56*'Fuel Prices'!$C$14,IF(H56="LPG",AO56*F56*'Fuel Prices'!$C$16,IF(H56="PROP",AO56*F56*'Fuel Prices'!$C$16,"0")))))))</f>
        <v/>
      </c>
      <c r="DJ56" s="818" t="str">
        <f>IF(AU56="","",IF(X56="DESL",AU56*F56*'Fuel Prices'!$C$12,IF(X56="GAS",AU56*F56*'Fuel Prices'!$C$11,IF(X56="CNG",AU56*F56*'Fuel Prices'!$C$13,IF(X56="LNG",AU56*F56*'Fuel Prices'!$C$14,IF(X56="LPG",AU56*F56*'Fuel Prices'!$C$16,IF(X56="PROP",AU56*F56*'Fuel Prices'!$C$16,IF(X56="ELEC",AU56*F56*'Fuel Prices'!$C$35,"0"))))))))</f>
        <v/>
      </c>
      <c r="DK56" s="818" t="str">
        <f t="shared" si="117"/>
        <v/>
      </c>
      <c r="DL56" s="818" t="str">
        <f t="shared" si="118"/>
        <v/>
      </c>
      <c r="DM56" s="804" t="str">
        <f t="shared" si="119"/>
        <v/>
      </c>
      <c r="DN56" s="804" t="str">
        <f t="shared" si="120"/>
        <v/>
      </c>
      <c r="DO56" s="804" t="str">
        <f>IFERROR(ROUND(CZ56*IF(COUNTIF($B$20:B56,B56)=1,1,"")/IF(B56="",0,1),0),"")</f>
        <v/>
      </c>
      <c r="DP56" s="804" t="str">
        <f>IFERROR(ROUND(CW56*IF(COUNTIF($B$20:B56,B56)=1,1,"")/IF(B56="",0,1),0),"")</f>
        <v/>
      </c>
      <c r="DQ56" s="804" t="str">
        <f>IFERROR(ROUND(DA56*IF(COUNTIF($B$20:B56,B56)=1,1,"")/IF(B56="",0,1),0),"")</f>
        <v/>
      </c>
      <c r="DR56" s="804" t="str">
        <f>IFERROR(ROUND(CX56*IF(COUNTIF($B$20:B56,B56)=1,1,"")/IF(B56="",0,1),0),"")</f>
        <v/>
      </c>
      <c r="DS56" s="804">
        <f t="shared" si="121"/>
        <v>0</v>
      </c>
      <c r="DT56" s="804">
        <f t="shared" si="122"/>
        <v>0</v>
      </c>
      <c r="DU56" s="804">
        <f t="shared" si="123"/>
        <v>0</v>
      </c>
      <c r="DV56" s="818" t="str">
        <f t="shared" si="66"/>
        <v/>
      </c>
      <c r="DW56" s="819" t="str">
        <f t="shared" si="67"/>
        <v/>
      </c>
    </row>
    <row r="57" spans="1:127" ht="18" customHeight="1" x14ac:dyDescent="0.35">
      <c r="A57" s="696"/>
      <c r="B57" s="820"/>
      <c r="C57" s="825" t="str">
        <f t="shared" si="69"/>
        <v>(Required)</v>
      </c>
      <c r="D57" s="821"/>
      <c r="E57" s="825" t="str">
        <f t="shared" si="69"/>
        <v>(Required)</v>
      </c>
      <c r="F57" s="821"/>
      <c r="G57" s="825" t="str">
        <f t="shared" si="70"/>
        <v>(Required)</v>
      </c>
      <c r="H57" s="822"/>
      <c r="I57" s="825" t="str">
        <f t="shared" si="71"/>
        <v>(Required)</v>
      </c>
      <c r="J57" s="821"/>
      <c r="K57" s="825" t="str">
        <f t="shared" si="72"/>
        <v>(Required)</v>
      </c>
      <c r="L57" s="821"/>
      <c r="M57" s="825" t="str">
        <f t="shared" si="73"/>
        <v>(Required)</v>
      </c>
      <c r="N57" s="821"/>
      <c r="O57" s="825" t="str">
        <f t="shared" si="74"/>
        <v>(Required)</v>
      </c>
      <c r="P57" s="821"/>
      <c r="Q57" s="825" t="str">
        <f t="shared" si="75"/>
        <v>(Required)</v>
      </c>
      <c r="R57" s="823"/>
      <c r="S57" s="826" t="str">
        <f t="shared" si="76"/>
        <v>(Optional)</v>
      </c>
      <c r="T57" s="821"/>
      <c r="U57" s="827" t="str">
        <f t="shared" si="77"/>
        <v>(Required)</v>
      </c>
      <c r="V57" s="828"/>
      <c r="W57" s="799" t="str">
        <f t="shared" si="9"/>
        <v>(Optional)</v>
      </c>
      <c r="X57" s="822"/>
      <c r="Y57" s="825" t="str">
        <f t="shared" si="78"/>
        <v>(Required)</v>
      </c>
      <c r="Z57" s="821"/>
      <c r="AA57" s="825" t="str">
        <f t="shared" si="79"/>
        <v>(Required)</v>
      </c>
      <c r="AB57" s="821"/>
      <c r="AC57" s="825" t="str">
        <f t="shared" si="80"/>
        <v>(Required)</v>
      </c>
      <c r="AD57" s="821"/>
      <c r="AE57" s="825" t="str">
        <f t="shared" si="81"/>
        <v>(Required)</v>
      </c>
      <c r="AF57" s="821"/>
      <c r="AG57" s="825" t="str">
        <f t="shared" si="82"/>
        <v>(Required)</v>
      </c>
      <c r="AH57" s="823"/>
      <c r="AI57" s="826" t="str">
        <f t="shared" si="83"/>
        <v>(Optional)</v>
      </c>
      <c r="AJ57" s="821"/>
      <c r="AK57" s="825" t="str">
        <f t="shared" si="84"/>
        <v>(Required)</v>
      </c>
      <c r="AL57" s="803" t="str">
        <f t="shared" si="85"/>
        <v/>
      </c>
      <c r="AM57" s="803" t="str">
        <f>IF(H57="DESL",'Fuel Density'!$C$12,IF(H57="GAS",'Fuel Density'!$C$11,IF(H57="CNG",'Fuel Density'!$C$13,IF(H57="LNG",'Fuel Density'!$C$14,IF(H57="LPG",'Fuel Density'!$C$15,IF(H57="PROP",'Fuel Density'!$C$16,IF(H57="","","")))))))</f>
        <v/>
      </c>
      <c r="AN57" s="803" t="str">
        <f>IF(H57="DESL",'Fuel-Specific GHG'!$C$14,IF(H57="GAS",'Fuel-Specific GHG'!$C$16,IF(H57="CNG",'Fuel-Specific GHG'!$C$13,IF(H57="LNG",'Fuel-Specific GHG'!$C$18,IF(OR(H57="LPG",H57="PROP"),'Fuel-Specific GHG'!$C$19,IF(H57="","",""))))))</f>
        <v/>
      </c>
      <c r="AO57" s="804" t="str">
        <f>IFERROR(((P57*(IF(ISBLANK(R57),Defaults!$B$19,R57))*T57*AL57)/AM57),"")</f>
        <v/>
      </c>
      <c r="AP57" s="805" t="str">
        <f t="shared" si="86"/>
        <v/>
      </c>
      <c r="AQ57" s="805" t="str">
        <f>IF(H57="DESL",'Fuel-Specific GHG'!$E$14,IF(H57="GAS",'Fuel-Specific GHG'!$E$16,IF(H57="CNG",'Fuel-Specific GHG'!$E$13,IF(H57="LNG",'Fuel-Specific GHG'!$E$18,IF(OR(H57="LPG",H57="PROP"),'Fuel-Specific GHG'!$E$19,"")))))</f>
        <v/>
      </c>
      <c r="AR57" s="805" t="str">
        <f t="shared" si="87"/>
        <v/>
      </c>
      <c r="AS57" s="803" t="str">
        <f t="shared" si="58"/>
        <v/>
      </c>
      <c r="AT57" s="803" t="str">
        <f>IF(X57="DESL",'Fuel Density'!$C$12,IF(X57="PROP",'Fuel Density'!$C$16,IF(X57="GAS",'Fuel Density'!$C$11,IF(X57="CNG",'Fuel Density'!$C$13,IF(X57="LNG",'Fuel Density'!$C$14,IF(X57="LPG",'Fuel Density'!$C$15,IF(X57="","","")))))))</f>
        <v/>
      </c>
      <c r="AU57" s="804" t="str">
        <f>IFERROR(IF(X57="ELEC",AO57*AN57*(1/'Fuel-Specific GHG'!$C$15)*(1/IF(H57="GAS",3.4,IF(H57="DESL",2.7,3))),((AF57*(IF(ISBLANK(AH57),Defaults!$B$19,AH57))*AJ57*AS57)/AT57)),"")</f>
        <v/>
      </c>
      <c r="AV57" s="805" t="str">
        <f t="shared" si="88"/>
        <v/>
      </c>
      <c r="AW57" s="805" t="str">
        <f>IF(X57="DESL",'Fuel-Specific GHG'!$E$14,IF(X57="PROP",'Fuel-Specific GHG'!$E$19,IF(X57="GAS",'Fuel-Specific GHG'!$E$16,IF(X57="CNG",'Fuel-Specific GHG'!$E$13,IF(X57="LNG",'Fuel-Specific GHG'!$E$18,IF(X57="LPG",'Fuel-Specific GHG'!$E$19,IF(X57="ELEC",'Fuel-Specific GHG'!$E$15,"")))))))</f>
        <v/>
      </c>
      <c r="AX57" s="805" t="str">
        <f t="shared" si="89"/>
        <v/>
      </c>
      <c r="AY57" s="806" t="str">
        <f t="shared" si="90"/>
        <v/>
      </c>
      <c r="AZ57" s="806" t="str">
        <f t="shared" si="68"/>
        <v/>
      </c>
      <c r="BA57" s="806" t="str">
        <f t="shared" si="59"/>
        <v/>
      </c>
      <c r="BB57" s="804" t="str">
        <f t="shared" si="23"/>
        <v/>
      </c>
      <c r="BC57" s="807" t="str">
        <f t="shared" si="91"/>
        <v/>
      </c>
      <c r="BD57" s="807"/>
      <c r="BE57" s="808" t="str">
        <f t="shared" si="92"/>
        <v/>
      </c>
      <c r="BF57" s="809" t="str">
        <f t="shared" si="93"/>
        <v/>
      </c>
      <c r="BG57" s="808" t="str">
        <f t="shared" si="60"/>
        <v/>
      </c>
      <c r="BH57" s="810">
        <f t="shared" si="61"/>
        <v>0</v>
      </c>
      <c r="BI57" s="803" t="str">
        <f>IFERROR(VLOOKUP(BH57,'Pump Emission Factors'!$B$11:$J$88,4,FALSE),"")</f>
        <v/>
      </c>
      <c r="BJ57" s="803" t="str">
        <f>IFERROR(VLOOKUP(BH57,'Pump Emission Factors'!$B$11:$J$88,6,FALSE),"")</f>
        <v/>
      </c>
      <c r="BK57" s="803" t="str">
        <f>IFERROR(VLOOKUP(BH57,'Pump Emission Factors'!$B$11:$J$88,8,FALSE),"")</f>
        <v/>
      </c>
      <c r="BL57" s="803" t="str">
        <f>IFERROR(VLOOKUP(BH57,'Pump Emission Factors'!$B$11:$J$88,5,FALSE),"")</f>
        <v/>
      </c>
      <c r="BM57" s="803" t="str">
        <f>IFERROR(VLOOKUP(BH57,'Pump Emission Factors'!$B$11:$J$88,7,FALSE),"")</f>
        <v/>
      </c>
      <c r="BN57" s="803" t="str">
        <f>IFERROR(VLOOKUP(BH57,'Pump Emission Factors'!$B$11:$J$88,9,FALSE),"")</f>
        <v/>
      </c>
      <c r="BO57" s="811" t="str">
        <f t="shared" si="94"/>
        <v/>
      </c>
      <c r="BP57" s="811" t="str">
        <f t="shared" si="95"/>
        <v/>
      </c>
      <c r="BQ57" s="803">
        <f>IFERROR(((BI57+(BL57*BP57))*(IF(ISBLANK(R57),Defaults!$B$19,R57))*P57*T57)*F57*(1/454),0)</f>
        <v>0</v>
      </c>
      <c r="BR57" s="803">
        <f>IFERROR(((BJ57+(BM57*BP57))*(IF(ISBLANK(R57),Defaults!$B$19,R57))*P57*T57)*F57*(1/454),0)</f>
        <v>0</v>
      </c>
      <c r="BS57" s="803">
        <f>IFERROR(((BK57+(BN57*BP57))*(IF(ISBLANK(R57),Defaults!$B$19,R57))*P57*T57)*F57*(1/454),0)</f>
        <v>0</v>
      </c>
      <c r="BT57" s="803">
        <f t="shared" si="96"/>
        <v>0</v>
      </c>
      <c r="BU57" s="803">
        <f t="shared" si="97"/>
        <v>0</v>
      </c>
      <c r="BV57" s="812" t="str">
        <f t="shared" si="98"/>
        <v/>
      </c>
      <c r="BW57" s="808" t="str">
        <f t="shared" si="99"/>
        <v/>
      </c>
      <c r="BX57" s="809" t="str">
        <f t="shared" si="32"/>
        <v/>
      </c>
      <c r="BY57" s="808" t="str">
        <f t="shared" si="63"/>
        <v/>
      </c>
      <c r="BZ57" s="810">
        <f t="shared" si="64"/>
        <v>0</v>
      </c>
      <c r="CA57" s="813" t="str">
        <f>IFERROR(VLOOKUP(BZ57,'Pump Emission Factors'!$B$11:$J$88,4,FALSE),"")</f>
        <v/>
      </c>
      <c r="CB57" s="813" t="str">
        <f>IFERROR(VLOOKUP(BZ57,'Pump Emission Factors'!$B$11:$J$88,6,FALSE),"")</f>
        <v/>
      </c>
      <c r="CC57" s="813" t="str">
        <f>IFERROR(VLOOKUP(BZ57,'Pump Emission Factors'!$B$11:$J$88,8,FALSE),"")</f>
        <v/>
      </c>
      <c r="CD57" s="813" t="str">
        <f>IFERROR(VLOOKUP(BZ57,'Pump Emission Factors'!$B$11:$J$88,5,FALSE),"")</f>
        <v/>
      </c>
      <c r="CE57" s="813" t="str">
        <f>IFERROR(VLOOKUP(BZ57,'Pump Emission Factors'!$B$11:$J$88,7,FALSE),"")</f>
        <v/>
      </c>
      <c r="CF57" s="813" t="str">
        <f>IFERROR(VLOOKUP(BZ57,'Pump Emission Factors'!$B$11:$J$88,9,FALSE),"")</f>
        <v/>
      </c>
      <c r="CG57" s="814" t="str">
        <f t="shared" si="100"/>
        <v/>
      </c>
      <c r="CH57" s="814" t="str">
        <f t="shared" si="101"/>
        <v/>
      </c>
      <c r="CI57" s="813">
        <f>IFERROR(IF($X57="ELEC",((($AU57*(IF($H57="DESL",'Fuel-Specific GHG'!$C$14,IF($H57="GAS",'Fuel-Specific GHG'!$C$16,IF($H57="CNG",'Fuel-Specific GHG'!$C$13,IF(OR($H57="LPG",$H57="PROP"),'Fuel-Specific GHG'!$C$19,"")))))*(1/'Fuel-Specific GHG'!$C$15)*(1/3.4)*$F57)*'Grid Electricity'!$D$39)/454),((CA57+(CD57*CH57))*(IF(ISBLANK(AH57),Defaults!$B$19,AH57))*$AF57*$AJ57*$F57)),0)</f>
        <v>0</v>
      </c>
      <c r="CJ57" s="813">
        <f>IFERROR(IF($X57="ELEC",((($AU57*(IF($H57="DESL",'Fuel-Specific GHG'!$C$14,IF($H57="GAS",'Fuel-Specific GHG'!$C$16,IF($H57="CNG",'Fuel-Specific GHG'!$C$13,IF(OR($H57="LPG",$H57="PROP"),'Fuel-Specific GHG'!$C$19,"")))))*(1/'Fuel-Specific GHG'!$C$15)*(1/3.4)*$F57)*'Grid Electricity'!$C$39)/454),((CB57+(CE57*CH57))*(IF(ISBLANK(AH57),Defaults!$B$19,AH57))*$AF57*$AJ57*$F57)),0)</f>
        <v>0</v>
      </c>
      <c r="CK57" s="813">
        <f>IFERROR(IF($X57="ELEC",((($AU57*(IF($H57="DESL",'Fuel-Specific GHG'!$C$14,IF($H57="GAS",'Fuel-Specific GHG'!$C$16,IF($H57="CNG",'Fuel-Specific GHG'!$C$13,IF(OR($H57="LPG",$H57="PROP"),'Fuel-Specific GHG'!$C$19,"")))))*(1/'Fuel-Specific GHG'!$C$15)*(1/3.4)*$F57)*'Grid Electricity'!$F$39)/454),((CC57+(CF57*CH57))*(IF(ISBLANK(AH57),Defaults!$B$19,AH57))*$AF57*$AJ57*$F57)),0)</f>
        <v>0</v>
      </c>
      <c r="CL57" s="813">
        <f t="shared" si="102"/>
        <v>0</v>
      </c>
      <c r="CM57" s="813">
        <f t="shared" si="103"/>
        <v>0</v>
      </c>
      <c r="CN57" s="814" t="str">
        <f t="shared" si="104"/>
        <v/>
      </c>
      <c r="CO57" s="814" t="str">
        <f t="shared" si="105"/>
        <v/>
      </c>
      <c r="CP57" s="814" t="str">
        <f t="shared" si="106"/>
        <v/>
      </c>
      <c r="CQ57" s="814" t="str">
        <f t="shared" si="107"/>
        <v/>
      </c>
      <c r="CR57" s="815" t="str">
        <f>IF(AND(V57="Yes, Booster Pump VFD",AF57&lt;=75),('Pump Emission Factors'!$F$95*F57),(IF(AND(V57="Yes, Booster Pump VFD",AF57&gt;75),('Pump Emission Factors'!$F$96*F57),(IF(AND(V57="Yes, Well Pump VFD",AF57&lt;=75),('Pump Emission Factors'!$F$97*F57),(IF(AND(V57="Yes, Well Pump VFD",AF57&gt;75),('Pump Emission Factors'!$F$98*F57),"")))))))</f>
        <v/>
      </c>
      <c r="CS57" s="815" t="str">
        <f>IF(AND(V57="Yes, Booster Pump VFD",AF57&lt;=75),('Pump Emission Factors'!$G$95*F57),(IF(AND(V57="Yes, Booster Pump VFD",AF57&gt;75),('Pump Emission Factors'!$G$96*F57),(IF(AND(V57="Yes, Well Pump VFD",AF57&lt;=75),('Pump Emission Factors'!$G$97*F57),(IF(AND(V57="Yes, Well Pump VFD",AF57&gt;75),('Pump Emission Factors'!$G$98*F57),"")))))))</f>
        <v/>
      </c>
      <c r="CT57" s="815" t="str">
        <f>IF(AND(V57="Yes, Booster Pump VFD",AF57&lt;=75),('Pump Emission Factors'!$H$95*F57),(IF(AND(V57="Yes, Booster Pump VFD",AF57&gt;75),('Pump Emission Factors'!$H$96*F57),(IF(AND(V57="Yes, Well Pump VFD",AF57&lt;=75),('Pump Emission Factors'!$H$97*F57),(IF(AND(V57="Yes, Well Pump VFD",AF57&gt;75),('Pump Emission Factors'!$H$98*F57),"")))))))</f>
        <v/>
      </c>
      <c r="CU57" s="815" t="str">
        <f>IF(AND(V57="Yes, Booster Pump VFD",AF57&lt;=75),('Pump Emission Factors'!$J$95*F57),(IF(AND(V57="Yes, Booster Pump VFD",AF57&gt;75),('Pump Emission Factors'!$J$96*F57),(IF(AND(V57="Yes, Well Pump VFD",AF57&lt;=75),('Pump Emission Factors'!$J$97*F57),(IF(AND(V57="Yes, Well Pump VFD",AF57&gt;75),('Pump Emission Factors'!$J$98*F57),"")))))))</f>
        <v/>
      </c>
      <c r="CV57" s="815" t="str">
        <f>IF(AND(V57="Yes, Booster Pump VFD",AF57&lt;=75),('Pump Emission Factors'!$I$95*F57),(IF(AND(V57="Yes, Booster Pump VFD",AF57&gt;75),('Pump Emission Factors'!$I$96*F57),(IF(AND(V57="Yes, Well Pump VFD",AF57&lt;=75),('Pump Emission Factors'!$I$97*F57),(IF(AND(V57="Yes, Well Pump VFD",AF57&gt;75),('Pump Emission Factors'!$I$98*F57),"")))))))</f>
        <v/>
      </c>
      <c r="CW57" s="806">
        <f t="shared" si="108"/>
        <v>0</v>
      </c>
      <c r="CX57" s="806">
        <f t="shared" si="109"/>
        <v>0</v>
      </c>
      <c r="CY57" s="806">
        <f t="shared" si="110"/>
        <v>0</v>
      </c>
      <c r="CZ57" s="806">
        <f t="shared" si="111"/>
        <v>0</v>
      </c>
      <c r="DA57" s="806">
        <f t="shared" si="112"/>
        <v>0</v>
      </c>
      <c r="DB57" s="816" t="str">
        <f t="shared" si="65"/>
        <v/>
      </c>
      <c r="DC57" s="816" t="str">
        <f t="shared" si="65"/>
        <v/>
      </c>
      <c r="DD57" s="816" t="str">
        <f t="shared" si="65"/>
        <v/>
      </c>
      <c r="DE57" s="817" t="str">
        <f t="shared" si="113"/>
        <v/>
      </c>
      <c r="DF57" s="817" t="str">
        <f t="shared" si="114"/>
        <v/>
      </c>
      <c r="DG57" s="804" t="str">
        <f t="shared" si="115"/>
        <v/>
      </c>
      <c r="DH57" s="804" t="str">
        <f t="shared" si="116"/>
        <v/>
      </c>
      <c r="DI57" s="818" t="str">
        <f>IF(AO57="","",IF(H57="DESL",AO57*F57*'Fuel Prices'!$C$12,IF(H57="GAS",AO57*F57*'Fuel Prices'!$C$11,IF(H57="CNG",AO57*F57*'Fuel Prices'!$C$13,IF(H57="LNG",AO57*F57*'Fuel Prices'!$C$14,IF(H57="LPG",AO57*F57*'Fuel Prices'!$C$16,IF(H57="PROP",AO57*F57*'Fuel Prices'!$C$16,"0")))))))</f>
        <v/>
      </c>
      <c r="DJ57" s="818" t="str">
        <f>IF(AU57="","",IF(X57="DESL",AU57*F57*'Fuel Prices'!$C$12,IF(X57="GAS",AU57*F57*'Fuel Prices'!$C$11,IF(X57="CNG",AU57*F57*'Fuel Prices'!$C$13,IF(X57="LNG",AU57*F57*'Fuel Prices'!$C$14,IF(X57="LPG",AU57*F57*'Fuel Prices'!$C$16,IF(X57="PROP",AU57*F57*'Fuel Prices'!$C$16,IF(X57="ELEC",AU57*F57*'Fuel Prices'!$C$35,"0"))))))))</f>
        <v/>
      </c>
      <c r="DK57" s="818" t="str">
        <f t="shared" si="117"/>
        <v/>
      </c>
      <c r="DL57" s="818" t="str">
        <f t="shared" si="118"/>
        <v/>
      </c>
      <c r="DM57" s="804" t="str">
        <f t="shared" si="119"/>
        <v/>
      </c>
      <c r="DN57" s="804" t="str">
        <f t="shared" si="120"/>
        <v/>
      </c>
      <c r="DO57" s="804" t="str">
        <f>IFERROR(ROUND(CZ57*IF(COUNTIF($B$20:B57,B57)=1,1,"")/IF(B57="",0,1),0),"")</f>
        <v/>
      </c>
      <c r="DP57" s="804" t="str">
        <f>IFERROR(ROUND(CW57*IF(COUNTIF($B$20:B57,B57)=1,1,"")/IF(B57="",0,1),0),"")</f>
        <v/>
      </c>
      <c r="DQ57" s="804" t="str">
        <f>IFERROR(ROUND(DA57*IF(COUNTIF($B$20:B57,B57)=1,1,"")/IF(B57="",0,1),0),"")</f>
        <v/>
      </c>
      <c r="DR57" s="804" t="str">
        <f>IFERROR(ROUND(CX57*IF(COUNTIF($B$20:B57,B57)=1,1,"")/IF(B57="",0,1),0),"")</f>
        <v/>
      </c>
      <c r="DS57" s="804">
        <f t="shared" si="121"/>
        <v>0</v>
      </c>
      <c r="DT57" s="804">
        <f t="shared" si="122"/>
        <v>0</v>
      </c>
      <c r="DU57" s="804">
        <f t="shared" si="123"/>
        <v>0</v>
      </c>
      <c r="DV57" s="818" t="str">
        <f t="shared" si="66"/>
        <v/>
      </c>
      <c r="DW57" s="819" t="str">
        <f t="shared" si="67"/>
        <v/>
      </c>
    </row>
    <row r="58" spans="1:127" ht="18" customHeight="1" x14ac:dyDescent="0.35">
      <c r="A58" s="635"/>
      <c r="B58" s="820"/>
      <c r="C58" s="825" t="str">
        <f t="shared" si="69"/>
        <v>(Required)</v>
      </c>
      <c r="D58" s="821"/>
      <c r="E58" s="825" t="str">
        <f t="shared" si="69"/>
        <v>(Required)</v>
      </c>
      <c r="F58" s="821"/>
      <c r="G58" s="825" t="str">
        <f t="shared" si="70"/>
        <v>(Required)</v>
      </c>
      <c r="H58" s="822"/>
      <c r="I58" s="825" t="str">
        <f t="shared" si="71"/>
        <v>(Required)</v>
      </c>
      <c r="J58" s="821"/>
      <c r="K58" s="825" t="str">
        <f t="shared" si="72"/>
        <v>(Required)</v>
      </c>
      <c r="L58" s="821"/>
      <c r="M58" s="825" t="str">
        <f t="shared" si="73"/>
        <v>(Required)</v>
      </c>
      <c r="N58" s="821"/>
      <c r="O58" s="825" t="str">
        <f t="shared" si="74"/>
        <v>(Required)</v>
      </c>
      <c r="P58" s="821"/>
      <c r="Q58" s="825" t="str">
        <f t="shared" si="75"/>
        <v>(Required)</v>
      </c>
      <c r="R58" s="823"/>
      <c r="S58" s="826" t="str">
        <f t="shared" si="76"/>
        <v>(Optional)</v>
      </c>
      <c r="T58" s="821"/>
      <c r="U58" s="827" t="str">
        <f t="shared" si="77"/>
        <v>(Required)</v>
      </c>
      <c r="V58" s="828"/>
      <c r="W58" s="799" t="str">
        <f t="shared" si="9"/>
        <v>(Optional)</v>
      </c>
      <c r="X58" s="822"/>
      <c r="Y58" s="825" t="str">
        <f t="shared" si="78"/>
        <v>(Required)</v>
      </c>
      <c r="Z58" s="821"/>
      <c r="AA58" s="825" t="str">
        <f t="shared" si="79"/>
        <v>(Required)</v>
      </c>
      <c r="AB58" s="821"/>
      <c r="AC58" s="825" t="str">
        <f t="shared" si="80"/>
        <v>(Required)</v>
      </c>
      <c r="AD58" s="821"/>
      <c r="AE58" s="825" t="str">
        <f t="shared" si="81"/>
        <v>(Required)</v>
      </c>
      <c r="AF58" s="821"/>
      <c r="AG58" s="825" t="str">
        <f t="shared" si="82"/>
        <v>(Required)</v>
      </c>
      <c r="AH58" s="823"/>
      <c r="AI58" s="826" t="str">
        <f t="shared" si="83"/>
        <v>(Optional)</v>
      </c>
      <c r="AJ58" s="821"/>
      <c r="AK58" s="825" t="str">
        <f t="shared" si="84"/>
        <v>(Required)</v>
      </c>
      <c r="AL58" s="803" t="str">
        <f t="shared" si="85"/>
        <v/>
      </c>
      <c r="AM58" s="803" t="str">
        <f>IF(H58="DESL",'Fuel Density'!$C$12,IF(H58="GAS",'Fuel Density'!$C$11,IF(H58="CNG",'Fuel Density'!$C$13,IF(H58="LNG",'Fuel Density'!$C$14,IF(H58="LPG",'Fuel Density'!$C$15,IF(H58="PROP",'Fuel Density'!$C$16,IF(H58="","","")))))))</f>
        <v/>
      </c>
      <c r="AN58" s="803" t="str">
        <f>IF(H58="DESL",'Fuel-Specific GHG'!$C$14,IF(H58="GAS",'Fuel-Specific GHG'!$C$16,IF(H58="CNG",'Fuel-Specific GHG'!$C$13,IF(H58="LNG",'Fuel-Specific GHG'!$C$18,IF(OR(H58="LPG",H58="PROP"),'Fuel-Specific GHG'!$C$19,IF(H58="","",""))))))</f>
        <v/>
      </c>
      <c r="AO58" s="804" t="str">
        <f>IFERROR(((P58*(IF(ISBLANK(R58),Defaults!$B$19,R58))*T58*AL58)/AM58),"")</f>
        <v/>
      </c>
      <c r="AP58" s="805" t="str">
        <f t="shared" si="86"/>
        <v/>
      </c>
      <c r="AQ58" s="805" t="str">
        <f>IF(H58="DESL",'Fuel-Specific GHG'!$E$14,IF(H58="GAS",'Fuel-Specific GHG'!$E$16,IF(H58="CNG",'Fuel-Specific GHG'!$E$13,IF(H58="LNG",'Fuel-Specific GHG'!$E$18,IF(OR(H58="LPG",H58="PROP"),'Fuel-Specific GHG'!$E$19,"")))))</f>
        <v/>
      </c>
      <c r="AR58" s="805" t="str">
        <f t="shared" si="87"/>
        <v/>
      </c>
      <c r="AS58" s="803" t="str">
        <f t="shared" si="58"/>
        <v/>
      </c>
      <c r="AT58" s="803" t="str">
        <f>IF(X58="DESL",'Fuel Density'!$C$12,IF(X58="PROP",'Fuel Density'!$C$16,IF(X58="GAS",'Fuel Density'!$C$11,IF(X58="CNG",'Fuel Density'!$C$13,IF(X58="LNG",'Fuel Density'!$C$14,IF(X58="LPG",'Fuel Density'!$C$15,IF(X58="","","")))))))</f>
        <v/>
      </c>
      <c r="AU58" s="804" t="str">
        <f>IFERROR(IF(X58="ELEC",AO58*AN58*(1/'Fuel-Specific GHG'!$C$15)*(1/IF(H58="GAS",3.4,IF(H58="DESL",2.7,3))),((AF58*(IF(ISBLANK(AH58),Defaults!$B$19,AH58))*AJ58*AS58)/AT58)),"")</f>
        <v/>
      </c>
      <c r="AV58" s="805" t="str">
        <f t="shared" si="88"/>
        <v/>
      </c>
      <c r="AW58" s="805" t="str">
        <f>IF(X58="DESL",'Fuel-Specific GHG'!$E$14,IF(X58="PROP",'Fuel-Specific GHG'!$E$19,IF(X58="GAS",'Fuel-Specific GHG'!$E$16,IF(X58="CNG",'Fuel-Specific GHG'!$E$13,IF(X58="LNG",'Fuel-Specific GHG'!$E$18,IF(X58="LPG",'Fuel-Specific GHG'!$E$19,IF(X58="ELEC",'Fuel-Specific GHG'!$E$15,"")))))))</f>
        <v/>
      </c>
      <c r="AX58" s="805" t="str">
        <f t="shared" si="89"/>
        <v/>
      </c>
      <c r="AY58" s="806" t="str">
        <f t="shared" si="90"/>
        <v/>
      </c>
      <c r="AZ58" s="806" t="str">
        <f t="shared" si="68"/>
        <v/>
      </c>
      <c r="BA58" s="806" t="str">
        <f t="shared" si="59"/>
        <v/>
      </c>
      <c r="BB58" s="804" t="str">
        <f t="shared" si="23"/>
        <v/>
      </c>
      <c r="BC58" s="807" t="str">
        <f t="shared" si="91"/>
        <v/>
      </c>
      <c r="BD58" s="807"/>
      <c r="BE58" s="808" t="str">
        <f t="shared" si="92"/>
        <v/>
      </c>
      <c r="BF58" s="809" t="str">
        <f t="shared" si="93"/>
        <v/>
      </c>
      <c r="BG58" s="808" t="str">
        <f t="shared" si="60"/>
        <v/>
      </c>
      <c r="BH58" s="810">
        <f t="shared" si="61"/>
        <v>0</v>
      </c>
      <c r="BI58" s="803" t="str">
        <f>IFERROR(VLOOKUP(BH58,'Pump Emission Factors'!$B$11:$J$88,4,FALSE),"")</f>
        <v/>
      </c>
      <c r="BJ58" s="803" t="str">
        <f>IFERROR(VLOOKUP(BH58,'Pump Emission Factors'!$B$11:$J$88,6,FALSE),"")</f>
        <v/>
      </c>
      <c r="BK58" s="803" t="str">
        <f>IFERROR(VLOOKUP(BH58,'Pump Emission Factors'!$B$11:$J$88,8,FALSE),"")</f>
        <v/>
      </c>
      <c r="BL58" s="803" t="str">
        <f>IFERROR(VLOOKUP(BH58,'Pump Emission Factors'!$B$11:$J$88,5,FALSE),"")</f>
        <v/>
      </c>
      <c r="BM58" s="803" t="str">
        <f>IFERROR(VLOOKUP(BH58,'Pump Emission Factors'!$B$11:$J$88,7,FALSE),"")</f>
        <v/>
      </c>
      <c r="BN58" s="803" t="str">
        <f>IFERROR(VLOOKUP(BH58,'Pump Emission Factors'!$B$11:$J$88,9,FALSE),"")</f>
        <v/>
      </c>
      <c r="BO58" s="811" t="str">
        <f t="shared" si="94"/>
        <v/>
      </c>
      <c r="BP58" s="811" t="str">
        <f t="shared" si="95"/>
        <v/>
      </c>
      <c r="BQ58" s="803">
        <f>IFERROR(((BI58+(BL58*BP58))*(IF(ISBLANK(R58),Defaults!$B$19,R58))*P58*T58)*F58*(1/454),0)</f>
        <v>0</v>
      </c>
      <c r="BR58" s="803">
        <f>IFERROR(((BJ58+(BM58*BP58))*(IF(ISBLANK(R58),Defaults!$B$19,R58))*P58*T58)*F58*(1/454),0)</f>
        <v>0</v>
      </c>
      <c r="BS58" s="803">
        <f>IFERROR(((BK58+(BN58*BP58))*(IF(ISBLANK(R58),Defaults!$B$19,R58))*P58*T58)*F58*(1/454),0)</f>
        <v>0</v>
      </c>
      <c r="BT58" s="803">
        <f t="shared" si="96"/>
        <v>0</v>
      </c>
      <c r="BU58" s="803">
        <f t="shared" si="97"/>
        <v>0</v>
      </c>
      <c r="BV58" s="812" t="str">
        <f t="shared" si="98"/>
        <v/>
      </c>
      <c r="BW58" s="808" t="str">
        <f t="shared" si="99"/>
        <v/>
      </c>
      <c r="BX58" s="809" t="str">
        <f t="shared" si="32"/>
        <v/>
      </c>
      <c r="BY58" s="808" t="str">
        <f t="shared" si="63"/>
        <v/>
      </c>
      <c r="BZ58" s="810">
        <f t="shared" si="64"/>
        <v>0</v>
      </c>
      <c r="CA58" s="813" t="str">
        <f>IFERROR(VLOOKUP(BZ58,'Pump Emission Factors'!$B$11:$J$88,4,FALSE),"")</f>
        <v/>
      </c>
      <c r="CB58" s="813" t="str">
        <f>IFERROR(VLOOKUP(BZ58,'Pump Emission Factors'!$B$11:$J$88,6,FALSE),"")</f>
        <v/>
      </c>
      <c r="CC58" s="813" t="str">
        <f>IFERROR(VLOOKUP(BZ58,'Pump Emission Factors'!$B$11:$J$88,8,FALSE),"")</f>
        <v/>
      </c>
      <c r="CD58" s="813" t="str">
        <f>IFERROR(VLOOKUP(BZ58,'Pump Emission Factors'!$B$11:$J$88,5,FALSE),"")</f>
        <v/>
      </c>
      <c r="CE58" s="813" t="str">
        <f>IFERROR(VLOOKUP(BZ58,'Pump Emission Factors'!$B$11:$J$88,7,FALSE),"")</f>
        <v/>
      </c>
      <c r="CF58" s="813" t="str">
        <f>IFERROR(VLOOKUP(BZ58,'Pump Emission Factors'!$B$11:$J$88,9,FALSE),"")</f>
        <v/>
      </c>
      <c r="CG58" s="814" t="str">
        <f t="shared" si="100"/>
        <v/>
      </c>
      <c r="CH58" s="814" t="str">
        <f t="shared" si="101"/>
        <v/>
      </c>
      <c r="CI58" s="813">
        <f>IFERROR(IF($X58="ELEC",((($AU58*(IF($H58="DESL",'Fuel-Specific GHG'!$C$14,IF($H58="GAS",'Fuel-Specific GHG'!$C$16,IF($H58="CNG",'Fuel-Specific GHG'!$C$13,IF(OR($H58="LPG",$H58="PROP"),'Fuel-Specific GHG'!$C$19,"")))))*(1/'Fuel-Specific GHG'!$C$15)*(1/3.4)*$F58)*'Grid Electricity'!$D$39)/454),((CA58+(CD58*CH58))*(IF(ISBLANK(AH58),Defaults!$B$19,AH58))*$AF58*$AJ58*$F58)),0)</f>
        <v>0</v>
      </c>
      <c r="CJ58" s="813">
        <f>IFERROR(IF($X58="ELEC",((($AU58*(IF($H58="DESL",'Fuel-Specific GHG'!$C$14,IF($H58="GAS",'Fuel-Specific GHG'!$C$16,IF($H58="CNG",'Fuel-Specific GHG'!$C$13,IF(OR($H58="LPG",$H58="PROP"),'Fuel-Specific GHG'!$C$19,"")))))*(1/'Fuel-Specific GHG'!$C$15)*(1/3.4)*$F58)*'Grid Electricity'!$C$39)/454),((CB58+(CE58*CH58))*(IF(ISBLANK(AH58),Defaults!$B$19,AH58))*$AF58*$AJ58*$F58)),0)</f>
        <v>0</v>
      </c>
      <c r="CK58" s="813">
        <f>IFERROR(IF($X58="ELEC",((($AU58*(IF($H58="DESL",'Fuel-Specific GHG'!$C$14,IF($H58="GAS",'Fuel-Specific GHG'!$C$16,IF($H58="CNG",'Fuel-Specific GHG'!$C$13,IF(OR($H58="LPG",$H58="PROP"),'Fuel-Specific GHG'!$C$19,"")))))*(1/'Fuel-Specific GHG'!$C$15)*(1/3.4)*$F58)*'Grid Electricity'!$F$39)/454),((CC58+(CF58*CH58))*(IF(ISBLANK(AH58),Defaults!$B$19,AH58))*$AF58*$AJ58*$F58)),0)</f>
        <v>0</v>
      </c>
      <c r="CL58" s="813">
        <f t="shared" si="102"/>
        <v>0</v>
      </c>
      <c r="CM58" s="813">
        <f t="shared" si="103"/>
        <v>0</v>
      </c>
      <c r="CN58" s="814" t="str">
        <f t="shared" si="104"/>
        <v/>
      </c>
      <c r="CO58" s="814" t="str">
        <f t="shared" si="105"/>
        <v/>
      </c>
      <c r="CP58" s="814" t="str">
        <f t="shared" si="106"/>
        <v/>
      </c>
      <c r="CQ58" s="814" t="str">
        <f t="shared" si="107"/>
        <v/>
      </c>
      <c r="CR58" s="815" t="str">
        <f>IF(AND(V58="Yes, Booster Pump VFD",AF58&lt;=75),('Pump Emission Factors'!$F$95*F58),(IF(AND(V58="Yes, Booster Pump VFD",AF58&gt;75),('Pump Emission Factors'!$F$96*F58),(IF(AND(V58="Yes, Well Pump VFD",AF58&lt;=75),('Pump Emission Factors'!$F$97*F58),(IF(AND(V58="Yes, Well Pump VFD",AF58&gt;75),('Pump Emission Factors'!$F$98*F58),"")))))))</f>
        <v/>
      </c>
      <c r="CS58" s="815" t="str">
        <f>IF(AND(V58="Yes, Booster Pump VFD",AF58&lt;=75),('Pump Emission Factors'!$G$95*F58),(IF(AND(V58="Yes, Booster Pump VFD",AF58&gt;75),('Pump Emission Factors'!$G$96*F58),(IF(AND(V58="Yes, Well Pump VFD",AF58&lt;=75),('Pump Emission Factors'!$G$97*F58),(IF(AND(V58="Yes, Well Pump VFD",AF58&gt;75),('Pump Emission Factors'!$G$98*F58),"")))))))</f>
        <v/>
      </c>
      <c r="CT58" s="815" t="str">
        <f>IF(AND(V58="Yes, Booster Pump VFD",AF58&lt;=75),('Pump Emission Factors'!$H$95*F58),(IF(AND(V58="Yes, Booster Pump VFD",AF58&gt;75),('Pump Emission Factors'!$H$96*F58),(IF(AND(V58="Yes, Well Pump VFD",AF58&lt;=75),('Pump Emission Factors'!$H$97*F58),(IF(AND(V58="Yes, Well Pump VFD",AF58&gt;75),('Pump Emission Factors'!$H$98*F58),"")))))))</f>
        <v/>
      </c>
      <c r="CU58" s="815" t="str">
        <f>IF(AND(V58="Yes, Booster Pump VFD",AF58&lt;=75),('Pump Emission Factors'!$J$95*F58),(IF(AND(V58="Yes, Booster Pump VFD",AF58&gt;75),('Pump Emission Factors'!$J$96*F58),(IF(AND(V58="Yes, Well Pump VFD",AF58&lt;=75),('Pump Emission Factors'!$J$97*F58),(IF(AND(V58="Yes, Well Pump VFD",AF58&gt;75),('Pump Emission Factors'!$J$98*F58),"")))))))</f>
        <v/>
      </c>
      <c r="CV58" s="815" t="str">
        <f>IF(AND(V58="Yes, Booster Pump VFD",AF58&lt;=75),('Pump Emission Factors'!$I$95*F58),(IF(AND(V58="Yes, Booster Pump VFD",AF58&gt;75),('Pump Emission Factors'!$I$96*F58),(IF(AND(V58="Yes, Well Pump VFD",AF58&lt;=75),('Pump Emission Factors'!$I$97*F58),(IF(AND(V58="Yes, Well Pump VFD",AF58&gt;75),('Pump Emission Factors'!$I$98*F58),"")))))))</f>
        <v/>
      </c>
      <c r="CW58" s="806">
        <f t="shared" si="108"/>
        <v>0</v>
      </c>
      <c r="CX58" s="806">
        <f t="shared" si="109"/>
        <v>0</v>
      </c>
      <c r="CY58" s="806">
        <f t="shared" si="110"/>
        <v>0</v>
      </c>
      <c r="CZ58" s="806">
        <f t="shared" si="111"/>
        <v>0</v>
      </c>
      <c r="DA58" s="806">
        <f t="shared" si="112"/>
        <v>0</v>
      </c>
      <c r="DB58" s="816" t="str">
        <f t="shared" si="65"/>
        <v/>
      </c>
      <c r="DC58" s="816" t="str">
        <f t="shared" si="65"/>
        <v/>
      </c>
      <c r="DD58" s="816" t="str">
        <f t="shared" si="65"/>
        <v/>
      </c>
      <c r="DE58" s="817" t="str">
        <f t="shared" si="113"/>
        <v/>
      </c>
      <c r="DF58" s="817" t="str">
        <f t="shared" si="114"/>
        <v/>
      </c>
      <c r="DG58" s="804" t="str">
        <f t="shared" si="115"/>
        <v/>
      </c>
      <c r="DH58" s="804" t="str">
        <f t="shared" si="116"/>
        <v/>
      </c>
      <c r="DI58" s="818" t="str">
        <f>IF(AO58="","",IF(H58="DESL",AO58*F58*'Fuel Prices'!$C$12,IF(H58="GAS",AO58*F58*'Fuel Prices'!$C$11,IF(H58="CNG",AO58*F58*'Fuel Prices'!$C$13,IF(H58="LNG",AO58*F58*'Fuel Prices'!$C$14,IF(H58="LPG",AO58*F58*'Fuel Prices'!$C$16,IF(H58="PROP",AO58*F58*'Fuel Prices'!$C$16,"0")))))))</f>
        <v/>
      </c>
      <c r="DJ58" s="818" t="str">
        <f>IF(AU58="","",IF(X58="DESL",AU58*F58*'Fuel Prices'!$C$12,IF(X58="GAS",AU58*F58*'Fuel Prices'!$C$11,IF(X58="CNG",AU58*F58*'Fuel Prices'!$C$13,IF(X58="LNG",AU58*F58*'Fuel Prices'!$C$14,IF(X58="LPG",AU58*F58*'Fuel Prices'!$C$16,IF(X58="PROP",AU58*F58*'Fuel Prices'!$C$16,IF(X58="ELEC",AU58*F58*'Fuel Prices'!$C$35,"0"))))))))</f>
        <v/>
      </c>
      <c r="DK58" s="818" t="str">
        <f t="shared" si="117"/>
        <v/>
      </c>
      <c r="DL58" s="818" t="str">
        <f t="shared" si="118"/>
        <v/>
      </c>
      <c r="DM58" s="804" t="str">
        <f t="shared" si="119"/>
        <v/>
      </c>
      <c r="DN58" s="804" t="str">
        <f t="shared" si="120"/>
        <v/>
      </c>
      <c r="DO58" s="804" t="str">
        <f>IFERROR(ROUND(CZ58*IF(COUNTIF($B$20:B58,B58)=1,1,"")/IF(B58="",0,1),0),"")</f>
        <v/>
      </c>
      <c r="DP58" s="804" t="str">
        <f>IFERROR(ROUND(CW58*IF(COUNTIF($B$20:B58,B58)=1,1,"")/IF(B58="",0,1),0),"")</f>
        <v/>
      </c>
      <c r="DQ58" s="804" t="str">
        <f>IFERROR(ROUND(DA58*IF(COUNTIF($B$20:B58,B58)=1,1,"")/IF(B58="",0,1),0),"")</f>
        <v/>
      </c>
      <c r="DR58" s="804" t="str">
        <f>IFERROR(ROUND(CX58*IF(COUNTIF($B$20:B58,B58)=1,1,"")/IF(B58="",0,1),0),"")</f>
        <v/>
      </c>
      <c r="DS58" s="804">
        <f t="shared" si="121"/>
        <v>0</v>
      </c>
      <c r="DT58" s="804">
        <f t="shared" si="122"/>
        <v>0</v>
      </c>
      <c r="DU58" s="804">
        <f t="shared" si="123"/>
        <v>0</v>
      </c>
      <c r="DV58" s="818" t="str">
        <f t="shared" si="66"/>
        <v/>
      </c>
      <c r="DW58" s="819" t="str">
        <f t="shared" si="67"/>
        <v/>
      </c>
    </row>
    <row r="59" spans="1:127" ht="18" customHeight="1" x14ac:dyDescent="0.35">
      <c r="A59" s="696"/>
      <c r="B59" s="820"/>
      <c r="C59" s="825" t="str">
        <f t="shared" si="69"/>
        <v>(Required)</v>
      </c>
      <c r="D59" s="821"/>
      <c r="E59" s="825" t="str">
        <f t="shared" si="69"/>
        <v>(Required)</v>
      </c>
      <c r="F59" s="821"/>
      <c r="G59" s="825" t="str">
        <f t="shared" si="70"/>
        <v>(Required)</v>
      </c>
      <c r="H59" s="822"/>
      <c r="I59" s="825" t="str">
        <f t="shared" si="71"/>
        <v>(Required)</v>
      </c>
      <c r="J59" s="821"/>
      <c r="K59" s="825" t="str">
        <f t="shared" si="72"/>
        <v>(Required)</v>
      </c>
      <c r="L59" s="821"/>
      <c r="M59" s="825" t="str">
        <f t="shared" si="73"/>
        <v>(Required)</v>
      </c>
      <c r="N59" s="821"/>
      <c r="O59" s="825" t="str">
        <f t="shared" si="74"/>
        <v>(Required)</v>
      </c>
      <c r="P59" s="821"/>
      <c r="Q59" s="825" t="str">
        <f t="shared" si="75"/>
        <v>(Required)</v>
      </c>
      <c r="R59" s="823"/>
      <c r="S59" s="826" t="str">
        <f t="shared" si="76"/>
        <v>(Optional)</v>
      </c>
      <c r="T59" s="821"/>
      <c r="U59" s="827" t="str">
        <f t="shared" si="77"/>
        <v>(Required)</v>
      </c>
      <c r="V59" s="828"/>
      <c r="W59" s="799" t="str">
        <f t="shared" si="9"/>
        <v>(Optional)</v>
      </c>
      <c r="X59" s="822"/>
      <c r="Y59" s="825" t="str">
        <f t="shared" si="78"/>
        <v>(Required)</v>
      </c>
      <c r="Z59" s="821"/>
      <c r="AA59" s="825" t="str">
        <f t="shared" si="79"/>
        <v>(Required)</v>
      </c>
      <c r="AB59" s="821"/>
      <c r="AC59" s="825" t="str">
        <f t="shared" si="80"/>
        <v>(Required)</v>
      </c>
      <c r="AD59" s="821"/>
      <c r="AE59" s="825" t="str">
        <f t="shared" si="81"/>
        <v>(Required)</v>
      </c>
      <c r="AF59" s="821"/>
      <c r="AG59" s="825" t="str">
        <f t="shared" si="82"/>
        <v>(Required)</v>
      </c>
      <c r="AH59" s="823"/>
      <c r="AI59" s="826" t="str">
        <f t="shared" si="83"/>
        <v>(Optional)</v>
      </c>
      <c r="AJ59" s="821"/>
      <c r="AK59" s="825" t="str">
        <f t="shared" si="84"/>
        <v>(Required)</v>
      </c>
      <c r="AL59" s="803" t="str">
        <f t="shared" si="85"/>
        <v/>
      </c>
      <c r="AM59" s="803" t="str">
        <f>IF(H59="DESL",'Fuel Density'!$C$12,IF(H59="GAS",'Fuel Density'!$C$11,IF(H59="CNG",'Fuel Density'!$C$13,IF(H59="LNG",'Fuel Density'!$C$14,IF(H59="LPG",'Fuel Density'!$C$15,IF(H59="PROP",'Fuel Density'!$C$16,IF(H59="","","")))))))</f>
        <v/>
      </c>
      <c r="AN59" s="803" t="str">
        <f>IF(H59="DESL",'Fuel-Specific GHG'!$C$14,IF(H59="GAS",'Fuel-Specific GHG'!$C$16,IF(H59="CNG",'Fuel-Specific GHG'!$C$13,IF(H59="LNG",'Fuel-Specific GHG'!$C$18,IF(OR(H59="LPG",H59="PROP"),'Fuel-Specific GHG'!$C$19,IF(H59="","",""))))))</f>
        <v/>
      </c>
      <c r="AO59" s="804" t="str">
        <f>IFERROR(((P59*(IF(ISBLANK(R59),Defaults!$B$19,R59))*T59*AL59)/AM59),"")</f>
        <v/>
      </c>
      <c r="AP59" s="805" t="str">
        <f t="shared" si="86"/>
        <v/>
      </c>
      <c r="AQ59" s="805" t="str">
        <f>IF(H59="DESL",'Fuel-Specific GHG'!$E$14,IF(H59="GAS",'Fuel-Specific GHG'!$E$16,IF(H59="CNG",'Fuel-Specific GHG'!$E$13,IF(H59="LNG",'Fuel-Specific GHG'!$E$18,IF(OR(H59="LPG",H59="PROP"),'Fuel-Specific GHG'!$E$19,"")))))</f>
        <v/>
      </c>
      <c r="AR59" s="805" t="str">
        <f t="shared" si="87"/>
        <v/>
      </c>
      <c r="AS59" s="803" t="str">
        <f t="shared" si="58"/>
        <v/>
      </c>
      <c r="AT59" s="803" t="str">
        <f>IF(X59="DESL",'Fuel Density'!$C$12,IF(X59="PROP",'Fuel Density'!$C$16,IF(X59="GAS",'Fuel Density'!$C$11,IF(X59="CNG",'Fuel Density'!$C$13,IF(X59="LNG",'Fuel Density'!$C$14,IF(X59="LPG",'Fuel Density'!$C$15,IF(X59="","","")))))))</f>
        <v/>
      </c>
      <c r="AU59" s="804" t="str">
        <f>IFERROR(IF(X59="ELEC",AO59*AN59*(1/'Fuel-Specific GHG'!$C$15)*(1/IF(H59="GAS",3.4,IF(H59="DESL",2.7,3))),((AF59*(IF(ISBLANK(AH59),Defaults!$B$19,AH59))*AJ59*AS59)/AT59)),"")</f>
        <v/>
      </c>
      <c r="AV59" s="805" t="str">
        <f t="shared" si="88"/>
        <v/>
      </c>
      <c r="AW59" s="805" t="str">
        <f>IF(X59="DESL",'Fuel-Specific GHG'!$E$14,IF(X59="PROP",'Fuel-Specific GHG'!$E$19,IF(X59="GAS",'Fuel-Specific GHG'!$E$16,IF(X59="CNG",'Fuel-Specific GHG'!$E$13,IF(X59="LNG",'Fuel-Specific GHG'!$E$18,IF(X59="LPG",'Fuel-Specific GHG'!$E$19,IF(X59="ELEC",'Fuel-Specific GHG'!$E$15,"")))))))</f>
        <v/>
      </c>
      <c r="AX59" s="805" t="str">
        <f t="shared" si="89"/>
        <v/>
      </c>
      <c r="AY59" s="806" t="str">
        <f t="shared" si="90"/>
        <v/>
      </c>
      <c r="AZ59" s="806" t="str">
        <f t="shared" si="68"/>
        <v/>
      </c>
      <c r="BA59" s="806" t="str">
        <f t="shared" si="59"/>
        <v/>
      </c>
      <c r="BB59" s="804" t="str">
        <f t="shared" si="23"/>
        <v/>
      </c>
      <c r="BC59" s="807" t="str">
        <f t="shared" si="91"/>
        <v/>
      </c>
      <c r="BD59" s="807"/>
      <c r="BE59" s="808" t="str">
        <f t="shared" si="92"/>
        <v/>
      </c>
      <c r="BF59" s="809" t="str">
        <f t="shared" si="93"/>
        <v/>
      </c>
      <c r="BG59" s="808" t="str">
        <f t="shared" si="60"/>
        <v/>
      </c>
      <c r="BH59" s="810">
        <f t="shared" si="61"/>
        <v>0</v>
      </c>
      <c r="BI59" s="803" t="str">
        <f>IFERROR(VLOOKUP(BH59,'Pump Emission Factors'!$B$11:$J$88,4,FALSE),"")</f>
        <v/>
      </c>
      <c r="BJ59" s="803" t="str">
        <f>IFERROR(VLOOKUP(BH59,'Pump Emission Factors'!$B$11:$J$88,6,FALSE),"")</f>
        <v/>
      </c>
      <c r="BK59" s="803" t="str">
        <f>IFERROR(VLOOKUP(BH59,'Pump Emission Factors'!$B$11:$J$88,8,FALSE),"")</f>
        <v/>
      </c>
      <c r="BL59" s="803" t="str">
        <f>IFERROR(VLOOKUP(BH59,'Pump Emission Factors'!$B$11:$J$88,5,FALSE),"")</f>
        <v/>
      </c>
      <c r="BM59" s="803" t="str">
        <f>IFERROR(VLOOKUP(BH59,'Pump Emission Factors'!$B$11:$J$88,7,FALSE),"")</f>
        <v/>
      </c>
      <c r="BN59" s="803" t="str">
        <f>IFERROR(VLOOKUP(BH59,'Pump Emission Factors'!$B$11:$J$88,9,FALSE),"")</f>
        <v/>
      </c>
      <c r="BO59" s="811" t="str">
        <f t="shared" si="94"/>
        <v/>
      </c>
      <c r="BP59" s="811" t="str">
        <f t="shared" si="95"/>
        <v/>
      </c>
      <c r="BQ59" s="803">
        <f>IFERROR(((BI59+(BL59*BP59))*(IF(ISBLANK(R59),Defaults!$B$19,R59))*P59*T59)*F59*(1/454),0)</f>
        <v>0</v>
      </c>
      <c r="BR59" s="803">
        <f>IFERROR(((BJ59+(BM59*BP59))*(IF(ISBLANK(R59),Defaults!$B$19,R59))*P59*T59)*F59*(1/454),0)</f>
        <v>0</v>
      </c>
      <c r="BS59" s="803">
        <f>IFERROR(((BK59+(BN59*BP59))*(IF(ISBLANK(R59),Defaults!$B$19,R59))*P59*T59)*F59*(1/454),0)</f>
        <v>0</v>
      </c>
      <c r="BT59" s="803">
        <f t="shared" si="96"/>
        <v>0</v>
      </c>
      <c r="BU59" s="803">
        <f t="shared" si="97"/>
        <v>0</v>
      </c>
      <c r="BV59" s="812" t="str">
        <f t="shared" si="98"/>
        <v/>
      </c>
      <c r="BW59" s="808" t="str">
        <f t="shared" si="99"/>
        <v/>
      </c>
      <c r="BX59" s="809" t="str">
        <f t="shared" si="32"/>
        <v/>
      </c>
      <c r="BY59" s="808" t="str">
        <f t="shared" si="63"/>
        <v/>
      </c>
      <c r="BZ59" s="810">
        <f t="shared" si="64"/>
        <v>0</v>
      </c>
      <c r="CA59" s="813" t="str">
        <f>IFERROR(VLOOKUP(BZ59,'Pump Emission Factors'!$B$11:$J$88,4,FALSE),"")</f>
        <v/>
      </c>
      <c r="CB59" s="813" t="str">
        <f>IFERROR(VLOOKUP(BZ59,'Pump Emission Factors'!$B$11:$J$88,6,FALSE),"")</f>
        <v/>
      </c>
      <c r="CC59" s="813" t="str">
        <f>IFERROR(VLOOKUP(BZ59,'Pump Emission Factors'!$B$11:$J$88,8,FALSE),"")</f>
        <v/>
      </c>
      <c r="CD59" s="813" t="str">
        <f>IFERROR(VLOOKUP(BZ59,'Pump Emission Factors'!$B$11:$J$88,5,FALSE),"")</f>
        <v/>
      </c>
      <c r="CE59" s="813" t="str">
        <f>IFERROR(VLOOKUP(BZ59,'Pump Emission Factors'!$B$11:$J$88,7,FALSE),"")</f>
        <v/>
      </c>
      <c r="CF59" s="813" t="str">
        <f>IFERROR(VLOOKUP(BZ59,'Pump Emission Factors'!$B$11:$J$88,9,FALSE),"")</f>
        <v/>
      </c>
      <c r="CG59" s="814" t="str">
        <f t="shared" si="100"/>
        <v/>
      </c>
      <c r="CH59" s="814" t="str">
        <f t="shared" si="101"/>
        <v/>
      </c>
      <c r="CI59" s="813">
        <f>IFERROR(IF($X59="ELEC",((($AU59*(IF($H59="DESL",'Fuel-Specific GHG'!$C$14,IF($H59="GAS",'Fuel-Specific GHG'!$C$16,IF($H59="CNG",'Fuel-Specific GHG'!$C$13,IF(OR($H59="LPG",$H59="PROP"),'Fuel-Specific GHG'!$C$19,"")))))*(1/'Fuel-Specific GHG'!$C$15)*(1/3.4)*$F59)*'Grid Electricity'!$D$39)/454),((CA59+(CD59*CH59))*(IF(ISBLANK(AH59),Defaults!$B$19,AH59))*$AF59*$AJ59*$F59)),0)</f>
        <v>0</v>
      </c>
      <c r="CJ59" s="813">
        <f>IFERROR(IF($X59="ELEC",((($AU59*(IF($H59="DESL",'Fuel-Specific GHG'!$C$14,IF($H59="GAS",'Fuel-Specific GHG'!$C$16,IF($H59="CNG",'Fuel-Specific GHG'!$C$13,IF(OR($H59="LPG",$H59="PROP"),'Fuel-Specific GHG'!$C$19,"")))))*(1/'Fuel-Specific GHG'!$C$15)*(1/3.4)*$F59)*'Grid Electricity'!$C$39)/454),((CB59+(CE59*CH59))*(IF(ISBLANK(AH59),Defaults!$B$19,AH59))*$AF59*$AJ59*$F59)),0)</f>
        <v>0</v>
      </c>
      <c r="CK59" s="813">
        <f>IFERROR(IF($X59="ELEC",((($AU59*(IF($H59="DESL",'Fuel-Specific GHG'!$C$14,IF($H59="GAS",'Fuel-Specific GHG'!$C$16,IF($H59="CNG",'Fuel-Specific GHG'!$C$13,IF(OR($H59="LPG",$H59="PROP"),'Fuel-Specific GHG'!$C$19,"")))))*(1/'Fuel-Specific GHG'!$C$15)*(1/3.4)*$F59)*'Grid Electricity'!$F$39)/454),((CC59+(CF59*CH59))*(IF(ISBLANK(AH59),Defaults!$B$19,AH59))*$AF59*$AJ59*$F59)),0)</f>
        <v>0</v>
      </c>
      <c r="CL59" s="813">
        <f t="shared" si="102"/>
        <v>0</v>
      </c>
      <c r="CM59" s="813">
        <f t="shared" si="103"/>
        <v>0</v>
      </c>
      <c r="CN59" s="814" t="str">
        <f t="shared" si="104"/>
        <v/>
      </c>
      <c r="CO59" s="814" t="str">
        <f t="shared" si="105"/>
        <v/>
      </c>
      <c r="CP59" s="814" t="str">
        <f t="shared" si="106"/>
        <v/>
      </c>
      <c r="CQ59" s="814" t="str">
        <f t="shared" si="107"/>
        <v/>
      </c>
      <c r="CR59" s="815" t="str">
        <f>IF(AND(V59="Yes, Booster Pump VFD",AF59&lt;=75),('Pump Emission Factors'!$F$95*F59),(IF(AND(V59="Yes, Booster Pump VFD",AF59&gt;75),('Pump Emission Factors'!$F$96*F59),(IF(AND(V59="Yes, Well Pump VFD",AF59&lt;=75),('Pump Emission Factors'!$F$97*F59),(IF(AND(V59="Yes, Well Pump VFD",AF59&gt;75),('Pump Emission Factors'!$F$98*F59),"")))))))</f>
        <v/>
      </c>
      <c r="CS59" s="815" t="str">
        <f>IF(AND(V59="Yes, Booster Pump VFD",AF59&lt;=75),('Pump Emission Factors'!$G$95*F59),(IF(AND(V59="Yes, Booster Pump VFD",AF59&gt;75),('Pump Emission Factors'!$G$96*F59),(IF(AND(V59="Yes, Well Pump VFD",AF59&lt;=75),('Pump Emission Factors'!$G$97*F59),(IF(AND(V59="Yes, Well Pump VFD",AF59&gt;75),('Pump Emission Factors'!$G$98*F59),"")))))))</f>
        <v/>
      </c>
      <c r="CT59" s="815" t="str">
        <f>IF(AND(V59="Yes, Booster Pump VFD",AF59&lt;=75),('Pump Emission Factors'!$H$95*F59),(IF(AND(V59="Yes, Booster Pump VFD",AF59&gt;75),('Pump Emission Factors'!$H$96*F59),(IF(AND(V59="Yes, Well Pump VFD",AF59&lt;=75),('Pump Emission Factors'!$H$97*F59),(IF(AND(V59="Yes, Well Pump VFD",AF59&gt;75),('Pump Emission Factors'!$H$98*F59),"")))))))</f>
        <v/>
      </c>
      <c r="CU59" s="815" t="str">
        <f>IF(AND(V59="Yes, Booster Pump VFD",AF59&lt;=75),('Pump Emission Factors'!$J$95*F59),(IF(AND(V59="Yes, Booster Pump VFD",AF59&gt;75),('Pump Emission Factors'!$J$96*F59),(IF(AND(V59="Yes, Well Pump VFD",AF59&lt;=75),('Pump Emission Factors'!$J$97*F59),(IF(AND(V59="Yes, Well Pump VFD",AF59&gt;75),('Pump Emission Factors'!$J$98*F59),"")))))))</f>
        <v/>
      </c>
      <c r="CV59" s="815" t="str">
        <f>IF(AND(V59="Yes, Booster Pump VFD",AF59&lt;=75),('Pump Emission Factors'!$I$95*F59),(IF(AND(V59="Yes, Booster Pump VFD",AF59&gt;75),('Pump Emission Factors'!$I$96*F59),(IF(AND(V59="Yes, Well Pump VFD",AF59&lt;=75),('Pump Emission Factors'!$I$97*F59),(IF(AND(V59="Yes, Well Pump VFD",AF59&gt;75),('Pump Emission Factors'!$I$98*F59),"")))))))</f>
        <v/>
      </c>
      <c r="CW59" s="806">
        <f t="shared" si="108"/>
        <v>0</v>
      </c>
      <c r="CX59" s="806">
        <f t="shared" si="109"/>
        <v>0</v>
      </c>
      <c r="CY59" s="806">
        <f t="shared" si="110"/>
        <v>0</v>
      </c>
      <c r="CZ59" s="806">
        <f t="shared" si="111"/>
        <v>0</v>
      </c>
      <c r="DA59" s="806">
        <f t="shared" si="112"/>
        <v>0</v>
      </c>
      <c r="DB59" s="816" t="str">
        <f t="shared" si="65"/>
        <v/>
      </c>
      <c r="DC59" s="816" t="str">
        <f t="shared" si="65"/>
        <v/>
      </c>
      <c r="DD59" s="816" t="str">
        <f t="shared" si="65"/>
        <v/>
      </c>
      <c r="DE59" s="817" t="str">
        <f t="shared" si="113"/>
        <v/>
      </c>
      <c r="DF59" s="817" t="str">
        <f t="shared" si="114"/>
        <v/>
      </c>
      <c r="DG59" s="804" t="str">
        <f t="shared" si="115"/>
        <v/>
      </c>
      <c r="DH59" s="804" t="str">
        <f t="shared" si="116"/>
        <v/>
      </c>
      <c r="DI59" s="818" t="str">
        <f>IF(AO59="","",IF(H59="DESL",AO59*F59*'Fuel Prices'!$C$12,IF(H59="GAS",AO59*F59*'Fuel Prices'!$C$11,IF(H59="CNG",AO59*F59*'Fuel Prices'!$C$13,IF(H59="LNG",AO59*F59*'Fuel Prices'!$C$14,IF(H59="LPG",AO59*F59*'Fuel Prices'!$C$16,IF(H59="PROP",AO59*F59*'Fuel Prices'!$C$16,"0")))))))</f>
        <v/>
      </c>
      <c r="DJ59" s="818" t="str">
        <f>IF(AU59="","",IF(X59="DESL",AU59*F59*'Fuel Prices'!$C$12,IF(X59="GAS",AU59*F59*'Fuel Prices'!$C$11,IF(X59="CNG",AU59*F59*'Fuel Prices'!$C$13,IF(X59="LNG",AU59*F59*'Fuel Prices'!$C$14,IF(X59="LPG",AU59*F59*'Fuel Prices'!$C$16,IF(X59="PROP",AU59*F59*'Fuel Prices'!$C$16,IF(X59="ELEC",AU59*F59*'Fuel Prices'!$C$35,"0"))))))))</f>
        <v/>
      </c>
      <c r="DK59" s="818" t="str">
        <f t="shared" si="117"/>
        <v/>
      </c>
      <c r="DL59" s="818" t="str">
        <f t="shared" si="118"/>
        <v/>
      </c>
      <c r="DM59" s="804" t="str">
        <f t="shared" si="119"/>
        <v/>
      </c>
      <c r="DN59" s="804" t="str">
        <f t="shared" si="120"/>
        <v/>
      </c>
      <c r="DO59" s="804" t="str">
        <f>IFERROR(ROUND(CZ59*IF(COUNTIF($B$20:B59,B59)=1,1,"")/IF(B59="",0,1),0),"")</f>
        <v/>
      </c>
      <c r="DP59" s="804" t="str">
        <f>IFERROR(ROUND(CW59*IF(COUNTIF($B$20:B59,B59)=1,1,"")/IF(B59="",0,1),0),"")</f>
        <v/>
      </c>
      <c r="DQ59" s="804" t="str">
        <f>IFERROR(ROUND(DA59*IF(COUNTIF($B$20:B59,B59)=1,1,"")/IF(B59="",0,1),0),"")</f>
        <v/>
      </c>
      <c r="DR59" s="804" t="str">
        <f>IFERROR(ROUND(CX59*IF(COUNTIF($B$20:B59,B59)=1,1,"")/IF(B59="",0,1),0),"")</f>
        <v/>
      </c>
      <c r="DS59" s="804">
        <f t="shared" si="121"/>
        <v>0</v>
      </c>
      <c r="DT59" s="804">
        <f t="shared" si="122"/>
        <v>0</v>
      </c>
      <c r="DU59" s="804">
        <f t="shared" si="123"/>
        <v>0</v>
      </c>
      <c r="DV59" s="818" t="str">
        <f t="shared" si="66"/>
        <v/>
      </c>
      <c r="DW59" s="819" t="str">
        <f t="shared" si="67"/>
        <v/>
      </c>
    </row>
    <row r="60" spans="1:127" ht="18" customHeight="1" x14ac:dyDescent="0.35">
      <c r="A60" s="635"/>
      <c r="B60" s="820"/>
      <c r="C60" s="825" t="str">
        <f t="shared" si="69"/>
        <v>(Required)</v>
      </c>
      <c r="D60" s="821"/>
      <c r="E60" s="825" t="str">
        <f t="shared" si="69"/>
        <v>(Required)</v>
      </c>
      <c r="F60" s="821"/>
      <c r="G60" s="825" t="str">
        <f t="shared" si="70"/>
        <v>(Required)</v>
      </c>
      <c r="H60" s="822"/>
      <c r="I60" s="825" t="str">
        <f t="shared" si="71"/>
        <v>(Required)</v>
      </c>
      <c r="J60" s="821"/>
      <c r="K60" s="825" t="str">
        <f t="shared" si="72"/>
        <v>(Required)</v>
      </c>
      <c r="L60" s="821"/>
      <c r="M60" s="825" t="str">
        <f t="shared" si="73"/>
        <v>(Required)</v>
      </c>
      <c r="N60" s="821"/>
      <c r="O60" s="825" t="str">
        <f t="shared" si="74"/>
        <v>(Required)</v>
      </c>
      <c r="P60" s="821"/>
      <c r="Q60" s="825" t="str">
        <f t="shared" si="75"/>
        <v>(Required)</v>
      </c>
      <c r="R60" s="823"/>
      <c r="S60" s="826" t="str">
        <f t="shared" si="76"/>
        <v>(Optional)</v>
      </c>
      <c r="T60" s="821"/>
      <c r="U60" s="827" t="str">
        <f t="shared" si="77"/>
        <v>(Required)</v>
      </c>
      <c r="V60" s="828"/>
      <c r="W60" s="799" t="str">
        <f t="shared" si="9"/>
        <v>(Optional)</v>
      </c>
      <c r="X60" s="822"/>
      <c r="Y60" s="825" t="str">
        <f t="shared" si="78"/>
        <v>(Required)</v>
      </c>
      <c r="Z60" s="821"/>
      <c r="AA60" s="825" t="str">
        <f t="shared" si="79"/>
        <v>(Required)</v>
      </c>
      <c r="AB60" s="821"/>
      <c r="AC60" s="825" t="str">
        <f t="shared" si="80"/>
        <v>(Required)</v>
      </c>
      <c r="AD60" s="821"/>
      <c r="AE60" s="825" t="str">
        <f t="shared" si="81"/>
        <v>(Required)</v>
      </c>
      <c r="AF60" s="821"/>
      <c r="AG60" s="825" t="str">
        <f t="shared" si="82"/>
        <v>(Required)</v>
      </c>
      <c r="AH60" s="823"/>
      <c r="AI60" s="826" t="str">
        <f t="shared" si="83"/>
        <v>(Optional)</v>
      </c>
      <c r="AJ60" s="821"/>
      <c r="AK60" s="825" t="str">
        <f t="shared" si="84"/>
        <v>(Required)</v>
      </c>
      <c r="AL60" s="803" t="str">
        <f t="shared" si="85"/>
        <v/>
      </c>
      <c r="AM60" s="803" t="str">
        <f>IF(H60="DESL",'Fuel Density'!$C$12,IF(H60="GAS",'Fuel Density'!$C$11,IF(H60="CNG",'Fuel Density'!$C$13,IF(H60="LNG",'Fuel Density'!$C$14,IF(H60="LPG",'Fuel Density'!$C$15,IF(H60="PROP",'Fuel Density'!$C$16,IF(H60="","","")))))))</f>
        <v/>
      </c>
      <c r="AN60" s="803" t="str">
        <f>IF(H60="DESL",'Fuel-Specific GHG'!$C$14,IF(H60="GAS",'Fuel-Specific GHG'!$C$16,IF(H60="CNG",'Fuel-Specific GHG'!$C$13,IF(H60="LNG",'Fuel-Specific GHG'!$C$18,IF(OR(H60="LPG",H60="PROP"),'Fuel-Specific GHG'!$C$19,IF(H60="","",""))))))</f>
        <v/>
      </c>
      <c r="AO60" s="804" t="str">
        <f>IFERROR(((P60*(IF(ISBLANK(R60),Defaults!$B$19,R60))*T60*AL60)/AM60),"")</f>
        <v/>
      </c>
      <c r="AP60" s="805" t="str">
        <f t="shared" si="86"/>
        <v/>
      </c>
      <c r="AQ60" s="805" t="str">
        <f>IF(H60="DESL",'Fuel-Specific GHG'!$E$14,IF(H60="GAS",'Fuel-Specific GHG'!$E$16,IF(H60="CNG",'Fuel-Specific GHG'!$E$13,IF(H60="LNG",'Fuel-Specific GHG'!$E$18,IF(OR(H60="LPG",H60="PROP"),'Fuel-Specific GHG'!$E$19,"")))))</f>
        <v/>
      </c>
      <c r="AR60" s="805" t="str">
        <f t="shared" si="87"/>
        <v/>
      </c>
      <c r="AS60" s="803" t="str">
        <f t="shared" si="58"/>
        <v/>
      </c>
      <c r="AT60" s="803" t="str">
        <f>IF(X60="DESL",'Fuel Density'!$C$12,IF(X60="PROP",'Fuel Density'!$C$16,IF(X60="GAS",'Fuel Density'!$C$11,IF(X60="CNG",'Fuel Density'!$C$13,IF(X60="LNG",'Fuel Density'!$C$14,IF(X60="LPG",'Fuel Density'!$C$15,IF(X60="","","")))))))</f>
        <v/>
      </c>
      <c r="AU60" s="804" t="str">
        <f>IFERROR(IF(X60="ELEC",AO60*AN60*(1/'Fuel-Specific GHG'!$C$15)*(1/IF(H60="GAS",3.4,IF(H60="DESL",2.7,3))),((AF60*(IF(ISBLANK(AH60),Defaults!$B$19,AH60))*AJ60*AS60)/AT60)),"")</f>
        <v/>
      </c>
      <c r="AV60" s="805" t="str">
        <f t="shared" si="88"/>
        <v/>
      </c>
      <c r="AW60" s="805" t="str">
        <f>IF(X60="DESL",'Fuel-Specific GHG'!$E$14,IF(X60="PROP",'Fuel-Specific GHG'!$E$19,IF(X60="GAS",'Fuel-Specific GHG'!$E$16,IF(X60="CNG",'Fuel-Specific GHG'!$E$13,IF(X60="LNG",'Fuel-Specific GHG'!$E$18,IF(X60="LPG",'Fuel-Specific GHG'!$E$19,IF(X60="ELEC",'Fuel-Specific GHG'!$E$15,"")))))))</f>
        <v/>
      </c>
      <c r="AX60" s="805" t="str">
        <f t="shared" si="89"/>
        <v/>
      </c>
      <c r="AY60" s="806" t="str">
        <f t="shared" si="90"/>
        <v/>
      </c>
      <c r="AZ60" s="806" t="str">
        <f t="shared" si="68"/>
        <v/>
      </c>
      <c r="BA60" s="806" t="str">
        <f t="shared" si="59"/>
        <v/>
      </c>
      <c r="BB60" s="804" t="str">
        <f t="shared" si="23"/>
        <v/>
      </c>
      <c r="BC60" s="807" t="str">
        <f t="shared" si="91"/>
        <v/>
      </c>
      <c r="BD60" s="807"/>
      <c r="BE60" s="808" t="str">
        <f t="shared" si="92"/>
        <v/>
      </c>
      <c r="BF60" s="809" t="str">
        <f t="shared" si="93"/>
        <v/>
      </c>
      <c r="BG60" s="808" t="str">
        <f t="shared" si="60"/>
        <v/>
      </c>
      <c r="BH60" s="810">
        <f t="shared" si="61"/>
        <v>0</v>
      </c>
      <c r="BI60" s="803" t="str">
        <f>IFERROR(VLOOKUP(BH60,'Pump Emission Factors'!$B$11:$J$88,4,FALSE),"")</f>
        <v/>
      </c>
      <c r="BJ60" s="803" t="str">
        <f>IFERROR(VLOOKUP(BH60,'Pump Emission Factors'!$B$11:$J$88,6,FALSE),"")</f>
        <v/>
      </c>
      <c r="BK60" s="803" t="str">
        <f>IFERROR(VLOOKUP(BH60,'Pump Emission Factors'!$B$11:$J$88,8,FALSE),"")</f>
        <v/>
      </c>
      <c r="BL60" s="803" t="str">
        <f>IFERROR(VLOOKUP(BH60,'Pump Emission Factors'!$B$11:$J$88,5,FALSE),"")</f>
        <v/>
      </c>
      <c r="BM60" s="803" t="str">
        <f>IFERROR(VLOOKUP(BH60,'Pump Emission Factors'!$B$11:$J$88,7,FALSE),"")</f>
        <v/>
      </c>
      <c r="BN60" s="803" t="str">
        <f>IFERROR(VLOOKUP(BH60,'Pump Emission Factors'!$B$11:$J$88,9,FALSE),"")</f>
        <v/>
      </c>
      <c r="BO60" s="811" t="str">
        <f t="shared" si="94"/>
        <v/>
      </c>
      <c r="BP60" s="811" t="str">
        <f t="shared" si="95"/>
        <v/>
      </c>
      <c r="BQ60" s="803">
        <f>IFERROR(((BI60+(BL60*BP60))*(IF(ISBLANK(R60),Defaults!$B$19,R60))*P60*T60)*F60*(1/454),0)</f>
        <v>0</v>
      </c>
      <c r="BR60" s="803">
        <f>IFERROR(((BJ60+(BM60*BP60))*(IF(ISBLANK(R60),Defaults!$B$19,R60))*P60*T60)*F60*(1/454),0)</f>
        <v>0</v>
      </c>
      <c r="BS60" s="803">
        <f>IFERROR(((BK60+(BN60*BP60))*(IF(ISBLANK(R60),Defaults!$B$19,R60))*P60*T60)*F60*(1/454),0)</f>
        <v>0</v>
      </c>
      <c r="BT60" s="803">
        <f t="shared" si="96"/>
        <v>0</v>
      </c>
      <c r="BU60" s="803">
        <f t="shared" si="97"/>
        <v>0</v>
      </c>
      <c r="BV60" s="812" t="str">
        <f t="shared" si="98"/>
        <v/>
      </c>
      <c r="BW60" s="808" t="str">
        <f t="shared" si="99"/>
        <v/>
      </c>
      <c r="BX60" s="809" t="str">
        <f t="shared" si="32"/>
        <v/>
      </c>
      <c r="BY60" s="808" t="str">
        <f t="shared" si="63"/>
        <v/>
      </c>
      <c r="BZ60" s="810">
        <f t="shared" si="64"/>
        <v>0</v>
      </c>
      <c r="CA60" s="813" t="str">
        <f>IFERROR(VLOOKUP(BZ60,'Pump Emission Factors'!$B$11:$J$88,4,FALSE),"")</f>
        <v/>
      </c>
      <c r="CB60" s="813" t="str">
        <f>IFERROR(VLOOKUP(BZ60,'Pump Emission Factors'!$B$11:$J$88,6,FALSE),"")</f>
        <v/>
      </c>
      <c r="CC60" s="813" t="str">
        <f>IFERROR(VLOOKUP(BZ60,'Pump Emission Factors'!$B$11:$J$88,8,FALSE),"")</f>
        <v/>
      </c>
      <c r="CD60" s="813" t="str">
        <f>IFERROR(VLOOKUP(BZ60,'Pump Emission Factors'!$B$11:$J$88,5,FALSE),"")</f>
        <v/>
      </c>
      <c r="CE60" s="813" t="str">
        <f>IFERROR(VLOOKUP(BZ60,'Pump Emission Factors'!$B$11:$J$88,7,FALSE),"")</f>
        <v/>
      </c>
      <c r="CF60" s="813" t="str">
        <f>IFERROR(VLOOKUP(BZ60,'Pump Emission Factors'!$B$11:$J$88,9,FALSE),"")</f>
        <v/>
      </c>
      <c r="CG60" s="814" t="str">
        <f t="shared" si="100"/>
        <v/>
      </c>
      <c r="CH60" s="814" t="str">
        <f t="shared" si="101"/>
        <v/>
      </c>
      <c r="CI60" s="813">
        <f>IFERROR(IF($X60="ELEC",((($AU60*(IF($H60="DESL",'Fuel-Specific GHG'!$C$14,IF($H60="GAS",'Fuel-Specific GHG'!$C$16,IF($H60="CNG",'Fuel-Specific GHG'!$C$13,IF(OR($H60="LPG",$H60="PROP"),'Fuel-Specific GHG'!$C$19,"")))))*(1/'Fuel-Specific GHG'!$C$15)*(1/3.4)*$F60)*'Grid Electricity'!$D$39)/454),((CA60+(CD60*CH60))*(IF(ISBLANK(AH60),Defaults!$B$19,AH60))*$AF60*$AJ60*$F60)),0)</f>
        <v>0</v>
      </c>
      <c r="CJ60" s="813">
        <f>IFERROR(IF($X60="ELEC",((($AU60*(IF($H60="DESL",'Fuel-Specific GHG'!$C$14,IF($H60="GAS",'Fuel-Specific GHG'!$C$16,IF($H60="CNG",'Fuel-Specific GHG'!$C$13,IF(OR($H60="LPG",$H60="PROP"),'Fuel-Specific GHG'!$C$19,"")))))*(1/'Fuel-Specific GHG'!$C$15)*(1/3.4)*$F60)*'Grid Electricity'!$C$39)/454),((CB60+(CE60*CH60))*(IF(ISBLANK(AH60),Defaults!$B$19,AH60))*$AF60*$AJ60*$F60)),0)</f>
        <v>0</v>
      </c>
      <c r="CK60" s="813">
        <f>IFERROR(IF($X60="ELEC",((($AU60*(IF($H60="DESL",'Fuel-Specific GHG'!$C$14,IF($H60="GAS",'Fuel-Specific GHG'!$C$16,IF($H60="CNG",'Fuel-Specific GHG'!$C$13,IF(OR($H60="LPG",$H60="PROP"),'Fuel-Specific GHG'!$C$19,"")))))*(1/'Fuel-Specific GHG'!$C$15)*(1/3.4)*$F60)*'Grid Electricity'!$F$39)/454),((CC60+(CF60*CH60))*(IF(ISBLANK(AH60),Defaults!$B$19,AH60))*$AF60*$AJ60*$F60)),0)</f>
        <v>0</v>
      </c>
      <c r="CL60" s="813">
        <f t="shared" si="102"/>
        <v>0</v>
      </c>
      <c r="CM60" s="813">
        <f t="shared" si="103"/>
        <v>0</v>
      </c>
      <c r="CN60" s="814" t="str">
        <f t="shared" si="104"/>
        <v/>
      </c>
      <c r="CO60" s="814" t="str">
        <f t="shared" si="105"/>
        <v/>
      </c>
      <c r="CP60" s="814" t="str">
        <f t="shared" si="106"/>
        <v/>
      </c>
      <c r="CQ60" s="814" t="str">
        <f t="shared" si="107"/>
        <v/>
      </c>
      <c r="CR60" s="815" t="str">
        <f>IF(AND(V60="Yes, Booster Pump VFD",AF60&lt;=75),('Pump Emission Factors'!$F$95*F60),(IF(AND(V60="Yes, Booster Pump VFD",AF60&gt;75),('Pump Emission Factors'!$F$96*F60),(IF(AND(V60="Yes, Well Pump VFD",AF60&lt;=75),('Pump Emission Factors'!$F$97*F60),(IF(AND(V60="Yes, Well Pump VFD",AF60&gt;75),('Pump Emission Factors'!$F$98*F60),"")))))))</f>
        <v/>
      </c>
      <c r="CS60" s="815" t="str">
        <f>IF(AND(V60="Yes, Booster Pump VFD",AF60&lt;=75),('Pump Emission Factors'!$G$95*F60),(IF(AND(V60="Yes, Booster Pump VFD",AF60&gt;75),('Pump Emission Factors'!$G$96*F60),(IF(AND(V60="Yes, Well Pump VFD",AF60&lt;=75),('Pump Emission Factors'!$G$97*F60),(IF(AND(V60="Yes, Well Pump VFD",AF60&gt;75),('Pump Emission Factors'!$G$98*F60),"")))))))</f>
        <v/>
      </c>
      <c r="CT60" s="815" t="str">
        <f>IF(AND(V60="Yes, Booster Pump VFD",AF60&lt;=75),('Pump Emission Factors'!$H$95*F60),(IF(AND(V60="Yes, Booster Pump VFD",AF60&gt;75),('Pump Emission Factors'!$H$96*F60),(IF(AND(V60="Yes, Well Pump VFD",AF60&lt;=75),('Pump Emission Factors'!$H$97*F60),(IF(AND(V60="Yes, Well Pump VFD",AF60&gt;75),('Pump Emission Factors'!$H$98*F60),"")))))))</f>
        <v/>
      </c>
      <c r="CU60" s="815" t="str">
        <f>IF(AND(V60="Yes, Booster Pump VFD",AF60&lt;=75),('Pump Emission Factors'!$J$95*F60),(IF(AND(V60="Yes, Booster Pump VFD",AF60&gt;75),('Pump Emission Factors'!$J$96*F60),(IF(AND(V60="Yes, Well Pump VFD",AF60&lt;=75),('Pump Emission Factors'!$J$97*F60),(IF(AND(V60="Yes, Well Pump VFD",AF60&gt;75),('Pump Emission Factors'!$J$98*F60),"")))))))</f>
        <v/>
      </c>
      <c r="CV60" s="815" t="str">
        <f>IF(AND(V60="Yes, Booster Pump VFD",AF60&lt;=75),('Pump Emission Factors'!$I$95*F60),(IF(AND(V60="Yes, Booster Pump VFD",AF60&gt;75),('Pump Emission Factors'!$I$96*F60),(IF(AND(V60="Yes, Well Pump VFD",AF60&lt;=75),('Pump Emission Factors'!$I$97*F60),(IF(AND(V60="Yes, Well Pump VFD",AF60&gt;75),('Pump Emission Factors'!$I$98*F60),"")))))))</f>
        <v/>
      </c>
      <c r="CW60" s="806">
        <f t="shared" si="108"/>
        <v>0</v>
      </c>
      <c r="CX60" s="806">
        <f t="shared" si="109"/>
        <v>0</v>
      </c>
      <c r="CY60" s="806">
        <f t="shared" si="110"/>
        <v>0</v>
      </c>
      <c r="CZ60" s="806">
        <f t="shared" si="111"/>
        <v>0</v>
      </c>
      <c r="DA60" s="806">
        <f t="shared" si="112"/>
        <v>0</v>
      </c>
      <c r="DB60" s="816" t="str">
        <f t="shared" si="65"/>
        <v/>
      </c>
      <c r="DC60" s="816" t="str">
        <f t="shared" si="65"/>
        <v/>
      </c>
      <c r="DD60" s="816" t="str">
        <f t="shared" si="65"/>
        <v/>
      </c>
      <c r="DE60" s="817" t="str">
        <f t="shared" si="113"/>
        <v/>
      </c>
      <c r="DF60" s="817" t="str">
        <f t="shared" si="114"/>
        <v/>
      </c>
      <c r="DG60" s="804" t="str">
        <f t="shared" si="115"/>
        <v/>
      </c>
      <c r="DH60" s="804" t="str">
        <f t="shared" si="116"/>
        <v/>
      </c>
      <c r="DI60" s="818" t="str">
        <f>IF(AO60="","",IF(H60="DESL",AO60*F60*'Fuel Prices'!$C$12,IF(H60="GAS",AO60*F60*'Fuel Prices'!$C$11,IF(H60="CNG",AO60*F60*'Fuel Prices'!$C$13,IF(H60="LNG",AO60*F60*'Fuel Prices'!$C$14,IF(H60="LPG",AO60*F60*'Fuel Prices'!$C$16,IF(H60="PROP",AO60*F60*'Fuel Prices'!$C$16,"0")))))))</f>
        <v/>
      </c>
      <c r="DJ60" s="818" t="str">
        <f>IF(AU60="","",IF(X60="DESL",AU60*F60*'Fuel Prices'!$C$12,IF(X60="GAS",AU60*F60*'Fuel Prices'!$C$11,IF(X60="CNG",AU60*F60*'Fuel Prices'!$C$13,IF(X60="LNG",AU60*F60*'Fuel Prices'!$C$14,IF(X60="LPG",AU60*F60*'Fuel Prices'!$C$16,IF(X60="PROP",AU60*F60*'Fuel Prices'!$C$16,IF(X60="ELEC",AU60*F60*'Fuel Prices'!$C$35,"0"))))))))</f>
        <v/>
      </c>
      <c r="DK60" s="818" t="str">
        <f t="shared" si="117"/>
        <v/>
      </c>
      <c r="DL60" s="818" t="str">
        <f t="shared" si="118"/>
        <v/>
      </c>
      <c r="DM60" s="804" t="str">
        <f t="shared" si="119"/>
        <v/>
      </c>
      <c r="DN60" s="804" t="str">
        <f t="shared" si="120"/>
        <v/>
      </c>
      <c r="DO60" s="804" t="str">
        <f>IFERROR(ROUND(CZ60*IF(COUNTIF($B$20:B60,B60)=1,1,"")/IF(B60="",0,1),0),"")</f>
        <v/>
      </c>
      <c r="DP60" s="804" t="str">
        <f>IFERROR(ROUND(CW60*IF(COUNTIF($B$20:B60,B60)=1,1,"")/IF(B60="",0,1),0),"")</f>
        <v/>
      </c>
      <c r="DQ60" s="804" t="str">
        <f>IFERROR(ROUND(DA60*IF(COUNTIF($B$20:B60,B60)=1,1,"")/IF(B60="",0,1),0),"")</f>
        <v/>
      </c>
      <c r="DR60" s="804" t="str">
        <f>IFERROR(ROUND(CX60*IF(COUNTIF($B$20:B60,B60)=1,1,"")/IF(B60="",0,1),0),"")</f>
        <v/>
      </c>
      <c r="DS60" s="804">
        <f t="shared" si="121"/>
        <v>0</v>
      </c>
      <c r="DT60" s="804">
        <f t="shared" si="122"/>
        <v>0</v>
      </c>
      <c r="DU60" s="804">
        <f t="shared" si="123"/>
        <v>0</v>
      </c>
      <c r="DV60" s="818" t="str">
        <f t="shared" si="66"/>
        <v/>
      </c>
      <c r="DW60" s="819" t="str">
        <f t="shared" si="67"/>
        <v/>
      </c>
    </row>
    <row r="61" spans="1:127" ht="18" customHeight="1" x14ac:dyDescent="0.35">
      <c r="A61" s="696"/>
      <c r="B61" s="820"/>
      <c r="C61" s="825" t="str">
        <f t="shared" si="69"/>
        <v>(Required)</v>
      </c>
      <c r="D61" s="821"/>
      <c r="E61" s="825" t="str">
        <f t="shared" si="69"/>
        <v>(Required)</v>
      </c>
      <c r="F61" s="821"/>
      <c r="G61" s="825" t="str">
        <f t="shared" si="70"/>
        <v>(Required)</v>
      </c>
      <c r="H61" s="822"/>
      <c r="I61" s="825" t="str">
        <f t="shared" si="71"/>
        <v>(Required)</v>
      </c>
      <c r="J61" s="821"/>
      <c r="K61" s="825" t="str">
        <f t="shared" si="72"/>
        <v>(Required)</v>
      </c>
      <c r="L61" s="821"/>
      <c r="M61" s="825" t="str">
        <f t="shared" si="73"/>
        <v>(Required)</v>
      </c>
      <c r="N61" s="821"/>
      <c r="O61" s="825" t="str">
        <f t="shared" si="74"/>
        <v>(Required)</v>
      </c>
      <c r="P61" s="821"/>
      <c r="Q61" s="825" t="str">
        <f t="shared" si="75"/>
        <v>(Required)</v>
      </c>
      <c r="R61" s="823"/>
      <c r="S61" s="826" t="str">
        <f t="shared" si="76"/>
        <v>(Optional)</v>
      </c>
      <c r="T61" s="821"/>
      <c r="U61" s="827" t="str">
        <f t="shared" si="77"/>
        <v>(Required)</v>
      </c>
      <c r="V61" s="828"/>
      <c r="W61" s="799" t="str">
        <f t="shared" si="9"/>
        <v>(Optional)</v>
      </c>
      <c r="X61" s="822"/>
      <c r="Y61" s="825" t="str">
        <f t="shared" si="78"/>
        <v>(Required)</v>
      </c>
      <c r="Z61" s="821"/>
      <c r="AA61" s="825" t="str">
        <f t="shared" si="79"/>
        <v>(Required)</v>
      </c>
      <c r="AB61" s="821"/>
      <c r="AC61" s="825" t="str">
        <f t="shared" si="80"/>
        <v>(Required)</v>
      </c>
      <c r="AD61" s="821"/>
      <c r="AE61" s="825" t="str">
        <f t="shared" si="81"/>
        <v>(Required)</v>
      </c>
      <c r="AF61" s="821"/>
      <c r="AG61" s="825" t="str">
        <f t="shared" si="82"/>
        <v>(Required)</v>
      </c>
      <c r="AH61" s="823"/>
      <c r="AI61" s="826" t="str">
        <f t="shared" si="83"/>
        <v>(Optional)</v>
      </c>
      <c r="AJ61" s="821"/>
      <c r="AK61" s="825" t="str">
        <f t="shared" si="84"/>
        <v>(Required)</v>
      </c>
      <c r="AL61" s="803" t="str">
        <f t="shared" si="85"/>
        <v/>
      </c>
      <c r="AM61" s="803" t="str">
        <f>IF(H61="DESL",'Fuel Density'!$C$12,IF(H61="GAS",'Fuel Density'!$C$11,IF(H61="CNG",'Fuel Density'!$C$13,IF(H61="LNG",'Fuel Density'!$C$14,IF(H61="LPG",'Fuel Density'!$C$15,IF(H61="PROP",'Fuel Density'!$C$16,IF(H61="","","")))))))</f>
        <v/>
      </c>
      <c r="AN61" s="803" t="str">
        <f>IF(H61="DESL",'Fuel-Specific GHG'!$C$14,IF(H61="GAS",'Fuel-Specific GHG'!$C$16,IF(H61="CNG",'Fuel-Specific GHG'!$C$13,IF(H61="LNG",'Fuel-Specific GHG'!$C$18,IF(OR(H61="LPG",H61="PROP"),'Fuel-Specific GHG'!$C$19,IF(H61="","",""))))))</f>
        <v/>
      </c>
      <c r="AO61" s="804" t="str">
        <f>IFERROR(((P61*(IF(ISBLANK(R61),Defaults!$B$19,R61))*T61*AL61)/AM61),"")</f>
        <v/>
      </c>
      <c r="AP61" s="805" t="str">
        <f t="shared" si="86"/>
        <v/>
      </c>
      <c r="AQ61" s="805" t="str">
        <f>IF(H61="DESL",'Fuel-Specific GHG'!$E$14,IF(H61="GAS",'Fuel-Specific GHG'!$E$16,IF(H61="CNG",'Fuel-Specific GHG'!$E$13,IF(H61="LNG",'Fuel-Specific GHG'!$E$18,IF(OR(H61="LPG",H61="PROP"),'Fuel-Specific GHG'!$E$19,"")))))</f>
        <v/>
      </c>
      <c r="AR61" s="805" t="str">
        <f t="shared" si="87"/>
        <v/>
      </c>
      <c r="AS61" s="803" t="str">
        <f t="shared" si="58"/>
        <v/>
      </c>
      <c r="AT61" s="803" t="str">
        <f>IF(X61="DESL",'Fuel Density'!$C$12,IF(X61="PROP",'Fuel Density'!$C$16,IF(X61="GAS",'Fuel Density'!$C$11,IF(X61="CNG",'Fuel Density'!$C$13,IF(X61="LNG",'Fuel Density'!$C$14,IF(X61="LPG",'Fuel Density'!$C$15,IF(X61="","","")))))))</f>
        <v/>
      </c>
      <c r="AU61" s="804" t="str">
        <f>IFERROR(IF(X61="ELEC",AO61*AN61*(1/'Fuel-Specific GHG'!$C$15)*(1/IF(H61="GAS",3.4,IF(H61="DESL",2.7,3))),((AF61*(IF(ISBLANK(AH61),Defaults!$B$19,AH61))*AJ61*AS61)/AT61)),"")</f>
        <v/>
      </c>
      <c r="AV61" s="805" t="str">
        <f t="shared" si="88"/>
        <v/>
      </c>
      <c r="AW61" s="805" t="str">
        <f>IF(X61="DESL",'Fuel-Specific GHG'!$E$14,IF(X61="PROP",'Fuel-Specific GHG'!$E$19,IF(X61="GAS",'Fuel-Specific GHG'!$E$16,IF(X61="CNG",'Fuel-Specific GHG'!$E$13,IF(X61="LNG",'Fuel-Specific GHG'!$E$18,IF(X61="LPG",'Fuel-Specific GHG'!$E$19,IF(X61="ELEC",'Fuel-Specific GHG'!$E$15,"")))))))</f>
        <v/>
      </c>
      <c r="AX61" s="805" t="str">
        <f t="shared" si="89"/>
        <v/>
      </c>
      <c r="AY61" s="806" t="str">
        <f t="shared" si="90"/>
        <v/>
      </c>
      <c r="AZ61" s="806" t="str">
        <f t="shared" si="68"/>
        <v/>
      </c>
      <c r="BA61" s="806" t="str">
        <f t="shared" si="59"/>
        <v/>
      </c>
      <c r="BB61" s="804" t="str">
        <f t="shared" si="23"/>
        <v/>
      </c>
      <c r="BC61" s="807" t="str">
        <f t="shared" si="91"/>
        <v/>
      </c>
      <c r="BD61" s="807"/>
      <c r="BE61" s="808" t="str">
        <f t="shared" si="92"/>
        <v/>
      </c>
      <c r="BF61" s="809" t="str">
        <f t="shared" si="93"/>
        <v/>
      </c>
      <c r="BG61" s="808" t="str">
        <f t="shared" si="60"/>
        <v/>
      </c>
      <c r="BH61" s="810">
        <f t="shared" si="61"/>
        <v>0</v>
      </c>
      <c r="BI61" s="803" t="str">
        <f>IFERROR(VLOOKUP(BH61,'Pump Emission Factors'!$B$11:$J$88,4,FALSE),"")</f>
        <v/>
      </c>
      <c r="BJ61" s="803" t="str">
        <f>IFERROR(VLOOKUP(BH61,'Pump Emission Factors'!$B$11:$J$88,6,FALSE),"")</f>
        <v/>
      </c>
      <c r="BK61" s="803" t="str">
        <f>IFERROR(VLOOKUP(BH61,'Pump Emission Factors'!$B$11:$J$88,8,FALSE),"")</f>
        <v/>
      </c>
      <c r="BL61" s="803" t="str">
        <f>IFERROR(VLOOKUP(BH61,'Pump Emission Factors'!$B$11:$J$88,5,FALSE),"")</f>
        <v/>
      </c>
      <c r="BM61" s="803" t="str">
        <f>IFERROR(VLOOKUP(BH61,'Pump Emission Factors'!$B$11:$J$88,7,FALSE),"")</f>
        <v/>
      </c>
      <c r="BN61" s="803" t="str">
        <f>IFERROR(VLOOKUP(BH61,'Pump Emission Factors'!$B$11:$J$88,9,FALSE),"")</f>
        <v/>
      </c>
      <c r="BO61" s="811" t="str">
        <f t="shared" si="94"/>
        <v/>
      </c>
      <c r="BP61" s="811" t="str">
        <f t="shared" si="95"/>
        <v/>
      </c>
      <c r="BQ61" s="803">
        <f>IFERROR(((BI61+(BL61*BP61))*(IF(ISBLANK(R61),Defaults!$B$19,R61))*P61*T61)*F61*(1/454),0)</f>
        <v>0</v>
      </c>
      <c r="BR61" s="803">
        <f>IFERROR(((BJ61+(BM61*BP61))*(IF(ISBLANK(R61),Defaults!$B$19,R61))*P61*T61)*F61*(1/454),0)</f>
        <v>0</v>
      </c>
      <c r="BS61" s="803">
        <f>IFERROR(((BK61+(BN61*BP61))*(IF(ISBLANK(R61),Defaults!$B$19,R61))*P61*T61)*F61*(1/454),0)</f>
        <v>0</v>
      </c>
      <c r="BT61" s="803">
        <f t="shared" si="96"/>
        <v>0</v>
      </c>
      <c r="BU61" s="803">
        <f t="shared" si="97"/>
        <v>0</v>
      </c>
      <c r="BV61" s="812" t="str">
        <f t="shared" si="98"/>
        <v/>
      </c>
      <c r="BW61" s="808" t="str">
        <f t="shared" si="99"/>
        <v/>
      </c>
      <c r="BX61" s="809" t="str">
        <f t="shared" si="32"/>
        <v/>
      </c>
      <c r="BY61" s="808" t="str">
        <f t="shared" si="63"/>
        <v/>
      </c>
      <c r="BZ61" s="810">
        <f t="shared" si="64"/>
        <v>0</v>
      </c>
      <c r="CA61" s="813" t="str">
        <f>IFERROR(VLOOKUP(BZ61,'Pump Emission Factors'!$B$11:$J$88,4,FALSE),"")</f>
        <v/>
      </c>
      <c r="CB61" s="813" t="str">
        <f>IFERROR(VLOOKUP(BZ61,'Pump Emission Factors'!$B$11:$J$88,6,FALSE),"")</f>
        <v/>
      </c>
      <c r="CC61" s="813" t="str">
        <f>IFERROR(VLOOKUP(BZ61,'Pump Emission Factors'!$B$11:$J$88,8,FALSE),"")</f>
        <v/>
      </c>
      <c r="CD61" s="813" t="str">
        <f>IFERROR(VLOOKUP(BZ61,'Pump Emission Factors'!$B$11:$J$88,5,FALSE),"")</f>
        <v/>
      </c>
      <c r="CE61" s="813" t="str">
        <f>IFERROR(VLOOKUP(BZ61,'Pump Emission Factors'!$B$11:$J$88,7,FALSE),"")</f>
        <v/>
      </c>
      <c r="CF61" s="813" t="str">
        <f>IFERROR(VLOOKUP(BZ61,'Pump Emission Factors'!$B$11:$J$88,9,FALSE),"")</f>
        <v/>
      </c>
      <c r="CG61" s="814" t="str">
        <f t="shared" si="100"/>
        <v/>
      </c>
      <c r="CH61" s="814" t="str">
        <f t="shared" si="101"/>
        <v/>
      </c>
      <c r="CI61" s="813">
        <f>IFERROR(IF($X61="ELEC",((($AU61*(IF($H61="DESL",'Fuel-Specific GHG'!$C$14,IF($H61="GAS",'Fuel-Specific GHG'!$C$16,IF($H61="CNG",'Fuel-Specific GHG'!$C$13,IF(OR($H61="LPG",$H61="PROP"),'Fuel-Specific GHG'!$C$19,"")))))*(1/'Fuel-Specific GHG'!$C$15)*(1/3.4)*$F61)*'Grid Electricity'!$D$39)/454),((CA61+(CD61*CH61))*(IF(ISBLANK(AH61),Defaults!$B$19,AH61))*$AF61*$AJ61*$F61)),0)</f>
        <v>0</v>
      </c>
      <c r="CJ61" s="813">
        <f>IFERROR(IF($X61="ELEC",((($AU61*(IF($H61="DESL",'Fuel-Specific GHG'!$C$14,IF($H61="GAS",'Fuel-Specific GHG'!$C$16,IF($H61="CNG",'Fuel-Specific GHG'!$C$13,IF(OR($H61="LPG",$H61="PROP"),'Fuel-Specific GHG'!$C$19,"")))))*(1/'Fuel-Specific GHG'!$C$15)*(1/3.4)*$F61)*'Grid Electricity'!$C$39)/454),((CB61+(CE61*CH61))*(IF(ISBLANK(AH61),Defaults!$B$19,AH61))*$AF61*$AJ61*$F61)),0)</f>
        <v>0</v>
      </c>
      <c r="CK61" s="813">
        <f>IFERROR(IF($X61="ELEC",((($AU61*(IF($H61="DESL",'Fuel-Specific GHG'!$C$14,IF($H61="GAS",'Fuel-Specific GHG'!$C$16,IF($H61="CNG",'Fuel-Specific GHG'!$C$13,IF(OR($H61="LPG",$H61="PROP"),'Fuel-Specific GHG'!$C$19,"")))))*(1/'Fuel-Specific GHG'!$C$15)*(1/3.4)*$F61)*'Grid Electricity'!$F$39)/454),((CC61+(CF61*CH61))*(IF(ISBLANK(AH61),Defaults!$B$19,AH61))*$AF61*$AJ61*$F61)),0)</f>
        <v>0</v>
      </c>
      <c r="CL61" s="813">
        <f t="shared" si="102"/>
        <v>0</v>
      </c>
      <c r="CM61" s="813">
        <f t="shared" si="103"/>
        <v>0</v>
      </c>
      <c r="CN61" s="814" t="str">
        <f t="shared" si="104"/>
        <v/>
      </c>
      <c r="CO61" s="814" t="str">
        <f t="shared" si="105"/>
        <v/>
      </c>
      <c r="CP61" s="814" t="str">
        <f t="shared" si="106"/>
        <v/>
      </c>
      <c r="CQ61" s="814" t="str">
        <f t="shared" si="107"/>
        <v/>
      </c>
      <c r="CR61" s="815" t="str">
        <f>IF(AND(V61="Yes, Booster Pump VFD",AF61&lt;=75),('Pump Emission Factors'!$F$95*F61),(IF(AND(V61="Yes, Booster Pump VFD",AF61&gt;75),('Pump Emission Factors'!$F$96*F61),(IF(AND(V61="Yes, Well Pump VFD",AF61&lt;=75),('Pump Emission Factors'!$F$97*F61),(IF(AND(V61="Yes, Well Pump VFD",AF61&gt;75),('Pump Emission Factors'!$F$98*F61),"")))))))</f>
        <v/>
      </c>
      <c r="CS61" s="815" t="str">
        <f>IF(AND(V61="Yes, Booster Pump VFD",AF61&lt;=75),('Pump Emission Factors'!$G$95*F61),(IF(AND(V61="Yes, Booster Pump VFD",AF61&gt;75),('Pump Emission Factors'!$G$96*F61),(IF(AND(V61="Yes, Well Pump VFD",AF61&lt;=75),('Pump Emission Factors'!$G$97*F61),(IF(AND(V61="Yes, Well Pump VFD",AF61&gt;75),('Pump Emission Factors'!$G$98*F61),"")))))))</f>
        <v/>
      </c>
      <c r="CT61" s="815" t="str">
        <f>IF(AND(V61="Yes, Booster Pump VFD",AF61&lt;=75),('Pump Emission Factors'!$H$95*F61),(IF(AND(V61="Yes, Booster Pump VFD",AF61&gt;75),('Pump Emission Factors'!$H$96*F61),(IF(AND(V61="Yes, Well Pump VFD",AF61&lt;=75),('Pump Emission Factors'!$H$97*F61),(IF(AND(V61="Yes, Well Pump VFD",AF61&gt;75),('Pump Emission Factors'!$H$98*F61),"")))))))</f>
        <v/>
      </c>
      <c r="CU61" s="815" t="str">
        <f>IF(AND(V61="Yes, Booster Pump VFD",AF61&lt;=75),('Pump Emission Factors'!$J$95*F61),(IF(AND(V61="Yes, Booster Pump VFD",AF61&gt;75),('Pump Emission Factors'!$J$96*F61),(IF(AND(V61="Yes, Well Pump VFD",AF61&lt;=75),('Pump Emission Factors'!$J$97*F61),(IF(AND(V61="Yes, Well Pump VFD",AF61&gt;75),('Pump Emission Factors'!$J$98*F61),"")))))))</f>
        <v/>
      </c>
      <c r="CV61" s="815" t="str">
        <f>IF(AND(V61="Yes, Booster Pump VFD",AF61&lt;=75),('Pump Emission Factors'!$I$95*F61),(IF(AND(V61="Yes, Booster Pump VFD",AF61&gt;75),('Pump Emission Factors'!$I$96*F61),(IF(AND(V61="Yes, Well Pump VFD",AF61&lt;=75),('Pump Emission Factors'!$I$97*F61),(IF(AND(V61="Yes, Well Pump VFD",AF61&gt;75),('Pump Emission Factors'!$I$98*F61),"")))))))</f>
        <v/>
      </c>
      <c r="CW61" s="806">
        <f t="shared" si="108"/>
        <v>0</v>
      </c>
      <c r="CX61" s="806">
        <f t="shared" si="109"/>
        <v>0</v>
      </c>
      <c r="CY61" s="806">
        <f t="shared" si="110"/>
        <v>0</v>
      </c>
      <c r="CZ61" s="806">
        <f t="shared" si="111"/>
        <v>0</v>
      </c>
      <c r="DA61" s="806">
        <f t="shared" si="112"/>
        <v>0</v>
      </c>
      <c r="DB61" s="816" t="str">
        <f t="shared" si="65"/>
        <v/>
      </c>
      <c r="DC61" s="816" t="str">
        <f t="shared" si="65"/>
        <v/>
      </c>
      <c r="DD61" s="816" t="str">
        <f t="shared" si="65"/>
        <v/>
      </c>
      <c r="DE61" s="817" t="str">
        <f t="shared" si="113"/>
        <v/>
      </c>
      <c r="DF61" s="817" t="str">
        <f t="shared" si="114"/>
        <v/>
      </c>
      <c r="DG61" s="804" t="str">
        <f t="shared" si="115"/>
        <v/>
      </c>
      <c r="DH61" s="804" t="str">
        <f t="shared" si="116"/>
        <v/>
      </c>
      <c r="DI61" s="818" t="str">
        <f>IF(AO61="","",IF(H61="DESL",AO61*F61*'Fuel Prices'!$C$12,IF(H61="GAS",AO61*F61*'Fuel Prices'!$C$11,IF(H61="CNG",AO61*F61*'Fuel Prices'!$C$13,IF(H61="LNG",AO61*F61*'Fuel Prices'!$C$14,IF(H61="LPG",AO61*F61*'Fuel Prices'!$C$16,IF(H61="PROP",AO61*F61*'Fuel Prices'!$C$16,"0")))))))</f>
        <v/>
      </c>
      <c r="DJ61" s="818" t="str">
        <f>IF(AU61="","",IF(X61="DESL",AU61*F61*'Fuel Prices'!$C$12,IF(X61="GAS",AU61*F61*'Fuel Prices'!$C$11,IF(X61="CNG",AU61*F61*'Fuel Prices'!$C$13,IF(X61="LNG",AU61*F61*'Fuel Prices'!$C$14,IF(X61="LPG",AU61*F61*'Fuel Prices'!$C$16,IF(X61="PROP",AU61*F61*'Fuel Prices'!$C$16,IF(X61="ELEC",AU61*F61*'Fuel Prices'!$C$35,"0"))))))))</f>
        <v/>
      </c>
      <c r="DK61" s="818" t="str">
        <f t="shared" si="117"/>
        <v/>
      </c>
      <c r="DL61" s="818" t="str">
        <f t="shared" si="118"/>
        <v/>
      </c>
      <c r="DM61" s="804" t="str">
        <f t="shared" si="119"/>
        <v/>
      </c>
      <c r="DN61" s="804" t="str">
        <f t="shared" si="120"/>
        <v/>
      </c>
      <c r="DO61" s="804" t="str">
        <f>IFERROR(ROUND(CZ61*IF(COUNTIF($B$20:B61,B61)=1,1,"")/IF(B61="",0,1),0),"")</f>
        <v/>
      </c>
      <c r="DP61" s="804" t="str">
        <f>IFERROR(ROUND(CW61*IF(COUNTIF($B$20:B61,B61)=1,1,"")/IF(B61="",0,1),0),"")</f>
        <v/>
      </c>
      <c r="DQ61" s="804" t="str">
        <f>IFERROR(ROUND(DA61*IF(COUNTIF($B$20:B61,B61)=1,1,"")/IF(B61="",0,1),0),"")</f>
        <v/>
      </c>
      <c r="DR61" s="804" t="str">
        <f>IFERROR(ROUND(CX61*IF(COUNTIF($B$20:B61,B61)=1,1,"")/IF(B61="",0,1),0),"")</f>
        <v/>
      </c>
      <c r="DS61" s="804">
        <f t="shared" si="121"/>
        <v>0</v>
      </c>
      <c r="DT61" s="804">
        <f t="shared" si="122"/>
        <v>0</v>
      </c>
      <c r="DU61" s="804">
        <f t="shared" si="123"/>
        <v>0</v>
      </c>
      <c r="DV61" s="818" t="str">
        <f t="shared" si="66"/>
        <v/>
      </c>
      <c r="DW61" s="819" t="str">
        <f t="shared" si="67"/>
        <v/>
      </c>
    </row>
    <row r="62" spans="1:127" ht="18" customHeight="1" x14ac:dyDescent="0.35">
      <c r="A62" s="635"/>
      <c r="B62" s="820"/>
      <c r="C62" s="825" t="str">
        <f t="shared" si="69"/>
        <v>(Required)</v>
      </c>
      <c r="D62" s="821"/>
      <c r="E62" s="825" t="str">
        <f t="shared" si="69"/>
        <v>(Required)</v>
      </c>
      <c r="F62" s="821"/>
      <c r="G62" s="825" t="str">
        <f t="shared" si="70"/>
        <v>(Required)</v>
      </c>
      <c r="H62" s="822"/>
      <c r="I62" s="825" t="str">
        <f t="shared" si="71"/>
        <v>(Required)</v>
      </c>
      <c r="J62" s="821"/>
      <c r="K62" s="825" t="str">
        <f t="shared" si="72"/>
        <v>(Required)</v>
      </c>
      <c r="L62" s="821"/>
      <c r="M62" s="825" t="str">
        <f t="shared" si="73"/>
        <v>(Required)</v>
      </c>
      <c r="N62" s="821"/>
      <c r="O62" s="825" t="str">
        <f t="shared" si="74"/>
        <v>(Required)</v>
      </c>
      <c r="P62" s="821"/>
      <c r="Q62" s="825" t="str">
        <f t="shared" si="75"/>
        <v>(Required)</v>
      </c>
      <c r="R62" s="823"/>
      <c r="S62" s="826" t="str">
        <f t="shared" si="76"/>
        <v>(Optional)</v>
      </c>
      <c r="T62" s="821"/>
      <c r="U62" s="827" t="str">
        <f t="shared" si="77"/>
        <v>(Required)</v>
      </c>
      <c r="V62" s="828"/>
      <c r="W62" s="799" t="str">
        <f t="shared" si="9"/>
        <v>(Optional)</v>
      </c>
      <c r="X62" s="822"/>
      <c r="Y62" s="825" t="str">
        <f t="shared" si="78"/>
        <v>(Required)</v>
      </c>
      <c r="Z62" s="821"/>
      <c r="AA62" s="825" t="str">
        <f t="shared" si="79"/>
        <v>(Required)</v>
      </c>
      <c r="AB62" s="821"/>
      <c r="AC62" s="825" t="str">
        <f t="shared" si="80"/>
        <v>(Required)</v>
      </c>
      <c r="AD62" s="821"/>
      <c r="AE62" s="825" t="str">
        <f t="shared" si="81"/>
        <v>(Required)</v>
      </c>
      <c r="AF62" s="821"/>
      <c r="AG62" s="825" t="str">
        <f t="shared" si="82"/>
        <v>(Required)</v>
      </c>
      <c r="AH62" s="823"/>
      <c r="AI62" s="826" t="str">
        <f t="shared" si="83"/>
        <v>(Optional)</v>
      </c>
      <c r="AJ62" s="821"/>
      <c r="AK62" s="825" t="str">
        <f t="shared" si="84"/>
        <v>(Required)</v>
      </c>
      <c r="AL62" s="803" t="str">
        <f t="shared" si="85"/>
        <v/>
      </c>
      <c r="AM62" s="803" t="str">
        <f>IF(H62="DESL",'Fuel Density'!$C$12,IF(H62="GAS",'Fuel Density'!$C$11,IF(H62="CNG",'Fuel Density'!$C$13,IF(H62="LNG",'Fuel Density'!$C$14,IF(H62="LPG",'Fuel Density'!$C$15,IF(H62="PROP",'Fuel Density'!$C$16,IF(H62="","","")))))))</f>
        <v/>
      </c>
      <c r="AN62" s="803" t="str">
        <f>IF(H62="DESL",'Fuel-Specific GHG'!$C$14,IF(H62="GAS",'Fuel-Specific GHG'!$C$16,IF(H62="CNG",'Fuel-Specific GHG'!$C$13,IF(H62="LNG",'Fuel-Specific GHG'!$C$18,IF(OR(H62="LPG",H62="PROP"),'Fuel-Specific GHG'!$C$19,IF(H62="","",""))))))</f>
        <v/>
      </c>
      <c r="AO62" s="804" t="str">
        <f>IFERROR(((P62*(IF(ISBLANK(R62),Defaults!$B$19,R62))*T62*AL62)/AM62),"")</f>
        <v/>
      </c>
      <c r="AP62" s="805" t="str">
        <f t="shared" si="86"/>
        <v/>
      </c>
      <c r="AQ62" s="805" t="str">
        <f>IF(H62="DESL",'Fuel-Specific GHG'!$E$14,IF(H62="GAS",'Fuel-Specific GHG'!$E$16,IF(H62="CNG",'Fuel-Specific GHG'!$E$13,IF(H62="LNG",'Fuel-Specific GHG'!$E$18,IF(OR(H62="LPG",H62="PROP"),'Fuel-Specific GHG'!$E$19,"")))))</f>
        <v/>
      </c>
      <c r="AR62" s="805" t="str">
        <f t="shared" si="87"/>
        <v/>
      </c>
      <c r="AS62" s="803" t="str">
        <f t="shared" si="58"/>
        <v/>
      </c>
      <c r="AT62" s="803" t="str">
        <f>IF(X62="DESL",'Fuel Density'!$C$12,IF(X62="PROP",'Fuel Density'!$C$16,IF(X62="GAS",'Fuel Density'!$C$11,IF(X62="CNG",'Fuel Density'!$C$13,IF(X62="LNG",'Fuel Density'!$C$14,IF(X62="LPG",'Fuel Density'!$C$15,IF(X62="","","")))))))</f>
        <v/>
      </c>
      <c r="AU62" s="804" t="str">
        <f>IFERROR(IF(X62="ELEC",AO62*AN62*(1/'Fuel-Specific GHG'!$C$15)*(1/IF(H62="GAS",3.4,IF(H62="DESL",2.7,3))),((AF62*(IF(ISBLANK(AH62),Defaults!$B$19,AH62))*AJ62*AS62)/AT62)),"")</f>
        <v/>
      </c>
      <c r="AV62" s="805" t="str">
        <f t="shared" si="88"/>
        <v/>
      </c>
      <c r="AW62" s="805" t="str">
        <f>IF(X62="DESL",'Fuel-Specific GHG'!$E$14,IF(X62="PROP",'Fuel-Specific GHG'!$E$19,IF(X62="GAS",'Fuel-Specific GHG'!$E$16,IF(X62="CNG",'Fuel-Specific GHG'!$E$13,IF(X62="LNG",'Fuel-Specific GHG'!$E$18,IF(X62="LPG",'Fuel-Specific GHG'!$E$19,IF(X62="ELEC",'Fuel-Specific GHG'!$E$15,"")))))))</f>
        <v/>
      </c>
      <c r="AX62" s="805" t="str">
        <f t="shared" si="89"/>
        <v/>
      </c>
      <c r="AY62" s="806" t="str">
        <f t="shared" si="90"/>
        <v/>
      </c>
      <c r="AZ62" s="806" t="str">
        <f t="shared" si="68"/>
        <v/>
      </c>
      <c r="BA62" s="806" t="str">
        <f t="shared" si="59"/>
        <v/>
      </c>
      <c r="BB62" s="804" t="str">
        <f t="shared" si="23"/>
        <v/>
      </c>
      <c r="BC62" s="807" t="str">
        <f t="shared" si="91"/>
        <v/>
      </c>
      <c r="BD62" s="807"/>
      <c r="BE62" s="808" t="str">
        <f t="shared" si="92"/>
        <v/>
      </c>
      <c r="BF62" s="809" t="str">
        <f t="shared" si="93"/>
        <v/>
      </c>
      <c r="BG62" s="808" t="str">
        <f t="shared" si="60"/>
        <v/>
      </c>
      <c r="BH62" s="810">
        <f t="shared" si="61"/>
        <v>0</v>
      </c>
      <c r="BI62" s="803" t="str">
        <f>IFERROR(VLOOKUP(BH62,'Pump Emission Factors'!$B$11:$J$88,4,FALSE),"")</f>
        <v/>
      </c>
      <c r="BJ62" s="803" t="str">
        <f>IFERROR(VLOOKUP(BH62,'Pump Emission Factors'!$B$11:$J$88,6,FALSE),"")</f>
        <v/>
      </c>
      <c r="BK62" s="803" t="str">
        <f>IFERROR(VLOOKUP(BH62,'Pump Emission Factors'!$B$11:$J$88,8,FALSE),"")</f>
        <v/>
      </c>
      <c r="BL62" s="803" t="str">
        <f>IFERROR(VLOOKUP(BH62,'Pump Emission Factors'!$B$11:$J$88,5,FALSE),"")</f>
        <v/>
      </c>
      <c r="BM62" s="803" t="str">
        <f>IFERROR(VLOOKUP(BH62,'Pump Emission Factors'!$B$11:$J$88,7,FALSE),"")</f>
        <v/>
      </c>
      <c r="BN62" s="803" t="str">
        <f>IFERROR(VLOOKUP(BH62,'Pump Emission Factors'!$B$11:$J$88,9,FALSE),"")</f>
        <v/>
      </c>
      <c r="BO62" s="811" t="str">
        <f t="shared" si="94"/>
        <v/>
      </c>
      <c r="BP62" s="811" t="str">
        <f t="shared" si="95"/>
        <v/>
      </c>
      <c r="BQ62" s="803">
        <f>IFERROR(((BI62+(BL62*BP62))*(IF(ISBLANK(R62),Defaults!$B$19,R62))*P62*T62)*F62*(1/454),0)</f>
        <v>0</v>
      </c>
      <c r="BR62" s="803">
        <f>IFERROR(((BJ62+(BM62*BP62))*(IF(ISBLANK(R62),Defaults!$B$19,R62))*P62*T62)*F62*(1/454),0)</f>
        <v>0</v>
      </c>
      <c r="BS62" s="803">
        <f>IFERROR(((BK62+(BN62*BP62))*(IF(ISBLANK(R62),Defaults!$B$19,R62))*P62*T62)*F62*(1/454),0)</f>
        <v>0</v>
      </c>
      <c r="BT62" s="803">
        <f t="shared" si="96"/>
        <v>0</v>
      </c>
      <c r="BU62" s="803">
        <f t="shared" si="97"/>
        <v>0</v>
      </c>
      <c r="BV62" s="812" t="str">
        <f t="shared" si="98"/>
        <v/>
      </c>
      <c r="BW62" s="808" t="str">
        <f t="shared" si="99"/>
        <v/>
      </c>
      <c r="BX62" s="809" t="str">
        <f t="shared" si="32"/>
        <v/>
      </c>
      <c r="BY62" s="808" t="str">
        <f t="shared" si="63"/>
        <v/>
      </c>
      <c r="BZ62" s="810">
        <f t="shared" si="64"/>
        <v>0</v>
      </c>
      <c r="CA62" s="813" t="str">
        <f>IFERROR(VLOOKUP(BZ62,'Pump Emission Factors'!$B$11:$J$88,4,FALSE),"")</f>
        <v/>
      </c>
      <c r="CB62" s="813" t="str">
        <f>IFERROR(VLOOKUP(BZ62,'Pump Emission Factors'!$B$11:$J$88,6,FALSE),"")</f>
        <v/>
      </c>
      <c r="CC62" s="813" t="str">
        <f>IFERROR(VLOOKUP(BZ62,'Pump Emission Factors'!$B$11:$J$88,8,FALSE),"")</f>
        <v/>
      </c>
      <c r="CD62" s="813" t="str">
        <f>IFERROR(VLOOKUP(BZ62,'Pump Emission Factors'!$B$11:$J$88,5,FALSE),"")</f>
        <v/>
      </c>
      <c r="CE62" s="813" t="str">
        <f>IFERROR(VLOOKUP(BZ62,'Pump Emission Factors'!$B$11:$J$88,7,FALSE),"")</f>
        <v/>
      </c>
      <c r="CF62" s="813" t="str">
        <f>IFERROR(VLOOKUP(BZ62,'Pump Emission Factors'!$B$11:$J$88,9,FALSE),"")</f>
        <v/>
      </c>
      <c r="CG62" s="814" t="str">
        <f t="shared" si="100"/>
        <v/>
      </c>
      <c r="CH62" s="814" t="str">
        <f t="shared" si="101"/>
        <v/>
      </c>
      <c r="CI62" s="813">
        <f>IFERROR(IF($X62="ELEC",((($AU62*(IF($H62="DESL",'Fuel-Specific GHG'!$C$14,IF($H62="GAS",'Fuel-Specific GHG'!$C$16,IF($H62="CNG",'Fuel-Specific GHG'!$C$13,IF(OR($H62="LPG",$H62="PROP"),'Fuel-Specific GHG'!$C$19,"")))))*(1/'Fuel-Specific GHG'!$C$15)*(1/3.4)*$F62)*'Grid Electricity'!$D$39)/454),((CA62+(CD62*CH62))*(IF(ISBLANK(AH62),Defaults!$B$19,AH62))*$AF62*$AJ62*$F62)),0)</f>
        <v>0</v>
      </c>
      <c r="CJ62" s="813">
        <f>IFERROR(IF($X62="ELEC",((($AU62*(IF($H62="DESL",'Fuel-Specific GHG'!$C$14,IF($H62="GAS",'Fuel-Specific GHG'!$C$16,IF($H62="CNG",'Fuel-Specific GHG'!$C$13,IF(OR($H62="LPG",$H62="PROP"),'Fuel-Specific GHG'!$C$19,"")))))*(1/'Fuel-Specific GHG'!$C$15)*(1/3.4)*$F62)*'Grid Electricity'!$C$39)/454),((CB62+(CE62*CH62))*(IF(ISBLANK(AH62),Defaults!$B$19,AH62))*$AF62*$AJ62*$F62)),0)</f>
        <v>0</v>
      </c>
      <c r="CK62" s="813">
        <f>IFERROR(IF($X62="ELEC",((($AU62*(IF($H62="DESL",'Fuel-Specific GHG'!$C$14,IF($H62="GAS",'Fuel-Specific GHG'!$C$16,IF($H62="CNG",'Fuel-Specific GHG'!$C$13,IF(OR($H62="LPG",$H62="PROP"),'Fuel-Specific GHG'!$C$19,"")))))*(1/'Fuel-Specific GHG'!$C$15)*(1/3.4)*$F62)*'Grid Electricity'!$F$39)/454),((CC62+(CF62*CH62))*(IF(ISBLANK(AH62),Defaults!$B$19,AH62))*$AF62*$AJ62*$F62)),0)</f>
        <v>0</v>
      </c>
      <c r="CL62" s="813">
        <f t="shared" si="102"/>
        <v>0</v>
      </c>
      <c r="CM62" s="813">
        <f t="shared" si="103"/>
        <v>0</v>
      </c>
      <c r="CN62" s="814" t="str">
        <f t="shared" si="104"/>
        <v/>
      </c>
      <c r="CO62" s="814" t="str">
        <f t="shared" si="105"/>
        <v/>
      </c>
      <c r="CP62" s="814" t="str">
        <f t="shared" si="106"/>
        <v/>
      </c>
      <c r="CQ62" s="814" t="str">
        <f t="shared" si="107"/>
        <v/>
      </c>
      <c r="CR62" s="815" t="str">
        <f>IF(AND(V62="Yes, Booster Pump VFD",AF62&lt;=75),('Pump Emission Factors'!$F$95*F62),(IF(AND(V62="Yes, Booster Pump VFD",AF62&gt;75),('Pump Emission Factors'!$F$96*F62),(IF(AND(V62="Yes, Well Pump VFD",AF62&lt;=75),('Pump Emission Factors'!$F$97*F62),(IF(AND(V62="Yes, Well Pump VFD",AF62&gt;75),('Pump Emission Factors'!$F$98*F62),"")))))))</f>
        <v/>
      </c>
      <c r="CS62" s="815" t="str">
        <f>IF(AND(V62="Yes, Booster Pump VFD",AF62&lt;=75),('Pump Emission Factors'!$G$95*F62),(IF(AND(V62="Yes, Booster Pump VFD",AF62&gt;75),('Pump Emission Factors'!$G$96*F62),(IF(AND(V62="Yes, Well Pump VFD",AF62&lt;=75),('Pump Emission Factors'!$G$97*F62),(IF(AND(V62="Yes, Well Pump VFD",AF62&gt;75),('Pump Emission Factors'!$G$98*F62),"")))))))</f>
        <v/>
      </c>
      <c r="CT62" s="815" t="str">
        <f>IF(AND(V62="Yes, Booster Pump VFD",AF62&lt;=75),('Pump Emission Factors'!$H$95*F62),(IF(AND(V62="Yes, Booster Pump VFD",AF62&gt;75),('Pump Emission Factors'!$H$96*F62),(IF(AND(V62="Yes, Well Pump VFD",AF62&lt;=75),('Pump Emission Factors'!$H$97*F62),(IF(AND(V62="Yes, Well Pump VFD",AF62&gt;75),('Pump Emission Factors'!$H$98*F62),"")))))))</f>
        <v/>
      </c>
      <c r="CU62" s="815" t="str">
        <f>IF(AND(V62="Yes, Booster Pump VFD",AF62&lt;=75),('Pump Emission Factors'!$J$95*F62),(IF(AND(V62="Yes, Booster Pump VFD",AF62&gt;75),('Pump Emission Factors'!$J$96*F62),(IF(AND(V62="Yes, Well Pump VFD",AF62&lt;=75),('Pump Emission Factors'!$J$97*F62),(IF(AND(V62="Yes, Well Pump VFD",AF62&gt;75),('Pump Emission Factors'!$J$98*F62),"")))))))</f>
        <v/>
      </c>
      <c r="CV62" s="815" t="str">
        <f>IF(AND(V62="Yes, Booster Pump VFD",AF62&lt;=75),('Pump Emission Factors'!$I$95*F62),(IF(AND(V62="Yes, Booster Pump VFD",AF62&gt;75),('Pump Emission Factors'!$I$96*F62),(IF(AND(V62="Yes, Well Pump VFD",AF62&lt;=75),('Pump Emission Factors'!$I$97*F62),(IF(AND(V62="Yes, Well Pump VFD",AF62&gt;75),('Pump Emission Factors'!$I$98*F62),"")))))))</f>
        <v/>
      </c>
      <c r="CW62" s="806">
        <f t="shared" si="108"/>
        <v>0</v>
      </c>
      <c r="CX62" s="806">
        <f t="shared" si="109"/>
        <v>0</v>
      </c>
      <c r="CY62" s="806">
        <f t="shared" si="110"/>
        <v>0</v>
      </c>
      <c r="CZ62" s="806">
        <f t="shared" si="111"/>
        <v>0</v>
      </c>
      <c r="DA62" s="806">
        <f t="shared" si="112"/>
        <v>0</v>
      </c>
      <c r="DB62" s="816" t="str">
        <f t="shared" si="65"/>
        <v/>
      </c>
      <c r="DC62" s="816" t="str">
        <f t="shared" si="65"/>
        <v/>
      </c>
      <c r="DD62" s="816" t="str">
        <f t="shared" si="65"/>
        <v/>
      </c>
      <c r="DE62" s="817" t="str">
        <f t="shared" si="113"/>
        <v/>
      </c>
      <c r="DF62" s="817" t="str">
        <f t="shared" si="114"/>
        <v/>
      </c>
      <c r="DG62" s="804" t="str">
        <f t="shared" si="115"/>
        <v/>
      </c>
      <c r="DH62" s="804" t="str">
        <f t="shared" si="116"/>
        <v/>
      </c>
      <c r="DI62" s="818" t="str">
        <f>IF(AO62="","",IF(H62="DESL",AO62*F62*'Fuel Prices'!$C$12,IF(H62="GAS",AO62*F62*'Fuel Prices'!$C$11,IF(H62="CNG",AO62*F62*'Fuel Prices'!$C$13,IF(H62="LNG",AO62*F62*'Fuel Prices'!$C$14,IF(H62="LPG",AO62*F62*'Fuel Prices'!$C$16,IF(H62="PROP",AO62*F62*'Fuel Prices'!$C$16,"0")))))))</f>
        <v/>
      </c>
      <c r="DJ62" s="818" t="str">
        <f>IF(AU62="","",IF(X62="DESL",AU62*F62*'Fuel Prices'!$C$12,IF(X62="GAS",AU62*F62*'Fuel Prices'!$C$11,IF(X62="CNG",AU62*F62*'Fuel Prices'!$C$13,IF(X62="LNG",AU62*F62*'Fuel Prices'!$C$14,IF(X62="LPG",AU62*F62*'Fuel Prices'!$C$16,IF(X62="PROP",AU62*F62*'Fuel Prices'!$C$16,IF(X62="ELEC",AU62*F62*'Fuel Prices'!$C$35,"0"))))))))</f>
        <v/>
      </c>
      <c r="DK62" s="818" t="str">
        <f t="shared" si="117"/>
        <v/>
      </c>
      <c r="DL62" s="818" t="str">
        <f t="shared" si="118"/>
        <v/>
      </c>
      <c r="DM62" s="804" t="str">
        <f t="shared" si="119"/>
        <v/>
      </c>
      <c r="DN62" s="804" t="str">
        <f t="shared" si="120"/>
        <v/>
      </c>
      <c r="DO62" s="804" t="str">
        <f>IFERROR(ROUND(CZ62*IF(COUNTIF($B$20:B62,B62)=1,1,"")/IF(B62="",0,1),0),"")</f>
        <v/>
      </c>
      <c r="DP62" s="804" t="str">
        <f>IFERROR(ROUND(CW62*IF(COUNTIF($B$20:B62,B62)=1,1,"")/IF(B62="",0,1),0),"")</f>
        <v/>
      </c>
      <c r="DQ62" s="804" t="str">
        <f>IFERROR(ROUND(DA62*IF(COUNTIF($B$20:B62,B62)=1,1,"")/IF(B62="",0,1),0),"")</f>
        <v/>
      </c>
      <c r="DR62" s="804" t="str">
        <f>IFERROR(ROUND(CX62*IF(COUNTIF($B$20:B62,B62)=1,1,"")/IF(B62="",0,1),0),"")</f>
        <v/>
      </c>
      <c r="DS62" s="804">
        <f t="shared" si="121"/>
        <v>0</v>
      </c>
      <c r="DT62" s="804">
        <f t="shared" si="122"/>
        <v>0</v>
      </c>
      <c r="DU62" s="804">
        <f t="shared" si="123"/>
        <v>0</v>
      </c>
      <c r="DV62" s="818" t="str">
        <f t="shared" si="66"/>
        <v/>
      </c>
      <c r="DW62" s="819" t="str">
        <f t="shared" si="67"/>
        <v/>
      </c>
    </row>
    <row r="63" spans="1:127" ht="18" customHeight="1" x14ac:dyDescent="0.35">
      <c r="A63" s="696"/>
      <c r="B63" s="820"/>
      <c r="C63" s="825" t="str">
        <f t="shared" si="69"/>
        <v>(Required)</v>
      </c>
      <c r="D63" s="821"/>
      <c r="E63" s="825" t="str">
        <f t="shared" si="69"/>
        <v>(Required)</v>
      </c>
      <c r="F63" s="821"/>
      <c r="G63" s="825" t="str">
        <f t="shared" si="70"/>
        <v>(Required)</v>
      </c>
      <c r="H63" s="822"/>
      <c r="I63" s="825" t="str">
        <f t="shared" si="71"/>
        <v>(Required)</v>
      </c>
      <c r="J63" s="821"/>
      <c r="K63" s="825" t="str">
        <f t="shared" si="72"/>
        <v>(Required)</v>
      </c>
      <c r="L63" s="821"/>
      <c r="M63" s="825" t="str">
        <f t="shared" si="73"/>
        <v>(Required)</v>
      </c>
      <c r="N63" s="821"/>
      <c r="O63" s="825" t="str">
        <f t="shared" si="74"/>
        <v>(Required)</v>
      </c>
      <c r="P63" s="821"/>
      <c r="Q63" s="825" t="str">
        <f t="shared" si="75"/>
        <v>(Required)</v>
      </c>
      <c r="R63" s="823"/>
      <c r="S63" s="826" t="str">
        <f t="shared" si="76"/>
        <v>(Optional)</v>
      </c>
      <c r="T63" s="821"/>
      <c r="U63" s="827" t="str">
        <f t="shared" si="77"/>
        <v>(Required)</v>
      </c>
      <c r="V63" s="828"/>
      <c r="W63" s="799" t="str">
        <f t="shared" si="9"/>
        <v>(Optional)</v>
      </c>
      <c r="X63" s="822"/>
      <c r="Y63" s="825" t="str">
        <f t="shared" si="78"/>
        <v>(Required)</v>
      </c>
      <c r="Z63" s="821"/>
      <c r="AA63" s="825" t="str">
        <f t="shared" si="79"/>
        <v>(Required)</v>
      </c>
      <c r="AB63" s="821"/>
      <c r="AC63" s="825" t="str">
        <f t="shared" si="80"/>
        <v>(Required)</v>
      </c>
      <c r="AD63" s="821"/>
      <c r="AE63" s="825" t="str">
        <f t="shared" si="81"/>
        <v>(Required)</v>
      </c>
      <c r="AF63" s="821"/>
      <c r="AG63" s="825" t="str">
        <f t="shared" si="82"/>
        <v>(Required)</v>
      </c>
      <c r="AH63" s="823"/>
      <c r="AI63" s="826" t="str">
        <f t="shared" si="83"/>
        <v>(Optional)</v>
      </c>
      <c r="AJ63" s="821"/>
      <c r="AK63" s="825" t="str">
        <f t="shared" si="84"/>
        <v>(Required)</v>
      </c>
      <c r="AL63" s="803" t="str">
        <f t="shared" si="85"/>
        <v/>
      </c>
      <c r="AM63" s="803" t="str">
        <f>IF(H63="DESL",'Fuel Density'!$C$12,IF(H63="GAS",'Fuel Density'!$C$11,IF(H63="CNG",'Fuel Density'!$C$13,IF(H63="LNG",'Fuel Density'!$C$14,IF(H63="LPG",'Fuel Density'!$C$15,IF(H63="PROP",'Fuel Density'!$C$16,IF(H63="","","")))))))</f>
        <v/>
      </c>
      <c r="AN63" s="803" t="str">
        <f>IF(H63="DESL",'Fuel-Specific GHG'!$C$14,IF(H63="GAS",'Fuel-Specific GHG'!$C$16,IF(H63="CNG",'Fuel-Specific GHG'!$C$13,IF(H63="LNG",'Fuel-Specific GHG'!$C$18,IF(OR(H63="LPG",H63="PROP"),'Fuel-Specific GHG'!$C$19,IF(H63="","",""))))))</f>
        <v/>
      </c>
      <c r="AO63" s="804" t="str">
        <f>IFERROR(((P63*(IF(ISBLANK(R63),Defaults!$B$19,R63))*T63*AL63)/AM63),"")</f>
        <v/>
      </c>
      <c r="AP63" s="805" t="str">
        <f t="shared" si="86"/>
        <v/>
      </c>
      <c r="AQ63" s="805" t="str">
        <f>IF(H63="DESL",'Fuel-Specific GHG'!$E$14,IF(H63="GAS",'Fuel-Specific GHG'!$E$16,IF(H63="CNG",'Fuel-Specific GHG'!$E$13,IF(H63="LNG",'Fuel-Specific GHG'!$E$18,IF(OR(H63="LPG",H63="PROP"),'Fuel-Specific GHG'!$E$19,"")))))</f>
        <v/>
      </c>
      <c r="AR63" s="805" t="str">
        <f t="shared" si="87"/>
        <v/>
      </c>
      <c r="AS63" s="803" t="str">
        <f t="shared" si="58"/>
        <v/>
      </c>
      <c r="AT63" s="803" t="str">
        <f>IF(X63="DESL",'Fuel Density'!$C$12,IF(X63="PROP",'Fuel Density'!$C$16,IF(X63="GAS",'Fuel Density'!$C$11,IF(X63="CNG",'Fuel Density'!$C$13,IF(X63="LNG",'Fuel Density'!$C$14,IF(X63="LPG",'Fuel Density'!$C$15,IF(X63="","","")))))))</f>
        <v/>
      </c>
      <c r="AU63" s="804" t="str">
        <f>IFERROR(IF(X63="ELEC",AO63*AN63*(1/'Fuel-Specific GHG'!$C$15)*(1/IF(H63="GAS",3.4,IF(H63="DESL",2.7,3))),((AF63*(IF(ISBLANK(AH63),Defaults!$B$19,AH63))*AJ63*AS63)/AT63)),"")</f>
        <v/>
      </c>
      <c r="AV63" s="805" t="str">
        <f t="shared" si="88"/>
        <v/>
      </c>
      <c r="AW63" s="805" t="str">
        <f>IF(X63="DESL",'Fuel-Specific GHG'!$E$14,IF(X63="PROP",'Fuel-Specific GHG'!$E$19,IF(X63="GAS",'Fuel-Specific GHG'!$E$16,IF(X63="CNG",'Fuel-Specific GHG'!$E$13,IF(X63="LNG",'Fuel-Specific GHG'!$E$18,IF(X63="LPG",'Fuel-Specific GHG'!$E$19,IF(X63="ELEC",'Fuel-Specific GHG'!$E$15,"")))))))</f>
        <v/>
      </c>
      <c r="AX63" s="805" t="str">
        <f t="shared" si="89"/>
        <v/>
      </c>
      <c r="AY63" s="806" t="str">
        <f t="shared" si="90"/>
        <v/>
      </c>
      <c r="AZ63" s="806" t="str">
        <f t="shared" si="68"/>
        <v/>
      </c>
      <c r="BA63" s="806" t="str">
        <f t="shared" si="59"/>
        <v/>
      </c>
      <c r="BB63" s="804" t="str">
        <f t="shared" si="23"/>
        <v/>
      </c>
      <c r="BC63" s="807" t="str">
        <f t="shared" si="91"/>
        <v/>
      </c>
      <c r="BD63" s="807"/>
      <c r="BE63" s="808" t="str">
        <f t="shared" si="92"/>
        <v/>
      </c>
      <c r="BF63" s="809" t="str">
        <f t="shared" si="93"/>
        <v/>
      </c>
      <c r="BG63" s="808" t="str">
        <f t="shared" si="60"/>
        <v/>
      </c>
      <c r="BH63" s="810">
        <f t="shared" si="61"/>
        <v>0</v>
      </c>
      <c r="BI63" s="803" t="str">
        <f>IFERROR(VLOOKUP(BH63,'Pump Emission Factors'!$B$11:$J$88,4,FALSE),"")</f>
        <v/>
      </c>
      <c r="BJ63" s="803" t="str">
        <f>IFERROR(VLOOKUP(BH63,'Pump Emission Factors'!$B$11:$J$88,6,FALSE),"")</f>
        <v/>
      </c>
      <c r="BK63" s="803" t="str">
        <f>IFERROR(VLOOKUP(BH63,'Pump Emission Factors'!$B$11:$J$88,8,FALSE),"")</f>
        <v/>
      </c>
      <c r="BL63" s="803" t="str">
        <f>IFERROR(VLOOKUP(BH63,'Pump Emission Factors'!$B$11:$J$88,5,FALSE),"")</f>
        <v/>
      </c>
      <c r="BM63" s="803" t="str">
        <f>IFERROR(VLOOKUP(BH63,'Pump Emission Factors'!$B$11:$J$88,7,FALSE),"")</f>
        <v/>
      </c>
      <c r="BN63" s="803" t="str">
        <f>IFERROR(VLOOKUP(BH63,'Pump Emission Factors'!$B$11:$J$88,9,FALSE),"")</f>
        <v/>
      </c>
      <c r="BO63" s="811" t="str">
        <f t="shared" si="94"/>
        <v/>
      </c>
      <c r="BP63" s="811" t="str">
        <f t="shared" si="95"/>
        <v/>
      </c>
      <c r="BQ63" s="803">
        <f>IFERROR(((BI63+(BL63*BP63))*(IF(ISBLANK(R63),Defaults!$B$19,R63))*P63*T63)*F63*(1/454),0)</f>
        <v>0</v>
      </c>
      <c r="BR63" s="803">
        <f>IFERROR(((BJ63+(BM63*BP63))*(IF(ISBLANK(R63),Defaults!$B$19,R63))*P63*T63)*F63*(1/454),0)</f>
        <v>0</v>
      </c>
      <c r="BS63" s="803">
        <f>IFERROR(((BK63+(BN63*BP63))*(IF(ISBLANK(R63),Defaults!$B$19,R63))*P63*T63)*F63*(1/454),0)</f>
        <v>0</v>
      </c>
      <c r="BT63" s="803">
        <f t="shared" si="96"/>
        <v>0</v>
      </c>
      <c r="BU63" s="803">
        <f t="shared" si="97"/>
        <v>0</v>
      </c>
      <c r="BV63" s="812" t="str">
        <f t="shared" si="98"/>
        <v/>
      </c>
      <c r="BW63" s="808" t="str">
        <f t="shared" si="99"/>
        <v/>
      </c>
      <c r="BX63" s="809" t="str">
        <f t="shared" si="32"/>
        <v/>
      </c>
      <c r="BY63" s="808" t="str">
        <f t="shared" si="63"/>
        <v/>
      </c>
      <c r="BZ63" s="810">
        <f t="shared" si="64"/>
        <v>0</v>
      </c>
      <c r="CA63" s="813" t="str">
        <f>IFERROR(VLOOKUP(BZ63,'Pump Emission Factors'!$B$11:$J$88,4,FALSE),"")</f>
        <v/>
      </c>
      <c r="CB63" s="813" t="str">
        <f>IFERROR(VLOOKUP(BZ63,'Pump Emission Factors'!$B$11:$J$88,6,FALSE),"")</f>
        <v/>
      </c>
      <c r="CC63" s="813" t="str">
        <f>IFERROR(VLOOKUP(BZ63,'Pump Emission Factors'!$B$11:$J$88,8,FALSE),"")</f>
        <v/>
      </c>
      <c r="CD63" s="813" t="str">
        <f>IFERROR(VLOOKUP(BZ63,'Pump Emission Factors'!$B$11:$J$88,5,FALSE),"")</f>
        <v/>
      </c>
      <c r="CE63" s="813" t="str">
        <f>IFERROR(VLOOKUP(BZ63,'Pump Emission Factors'!$B$11:$J$88,7,FALSE),"")</f>
        <v/>
      </c>
      <c r="CF63" s="813" t="str">
        <f>IFERROR(VLOOKUP(BZ63,'Pump Emission Factors'!$B$11:$J$88,9,FALSE),"")</f>
        <v/>
      </c>
      <c r="CG63" s="814" t="str">
        <f t="shared" si="100"/>
        <v/>
      </c>
      <c r="CH63" s="814" t="str">
        <f t="shared" si="101"/>
        <v/>
      </c>
      <c r="CI63" s="813">
        <f>IFERROR(IF($X63="ELEC",((($AU63*(IF($H63="DESL",'Fuel-Specific GHG'!$C$14,IF($H63="GAS",'Fuel-Specific GHG'!$C$16,IF($H63="CNG",'Fuel-Specific GHG'!$C$13,IF(OR($H63="LPG",$H63="PROP"),'Fuel-Specific GHG'!$C$19,"")))))*(1/'Fuel-Specific GHG'!$C$15)*(1/3.4)*$F63)*'Grid Electricity'!$D$39)/454),((CA63+(CD63*CH63))*(IF(ISBLANK(AH63),Defaults!$B$19,AH63))*$AF63*$AJ63*$F63)),0)</f>
        <v>0</v>
      </c>
      <c r="CJ63" s="813">
        <f>IFERROR(IF($X63="ELEC",((($AU63*(IF($H63="DESL",'Fuel-Specific GHG'!$C$14,IF($H63="GAS",'Fuel-Specific GHG'!$C$16,IF($H63="CNG",'Fuel-Specific GHG'!$C$13,IF(OR($H63="LPG",$H63="PROP"),'Fuel-Specific GHG'!$C$19,"")))))*(1/'Fuel-Specific GHG'!$C$15)*(1/3.4)*$F63)*'Grid Electricity'!$C$39)/454),((CB63+(CE63*CH63))*(IF(ISBLANK(AH63),Defaults!$B$19,AH63))*$AF63*$AJ63*$F63)),0)</f>
        <v>0</v>
      </c>
      <c r="CK63" s="813">
        <f>IFERROR(IF($X63="ELEC",((($AU63*(IF($H63="DESL",'Fuel-Specific GHG'!$C$14,IF($H63="GAS",'Fuel-Specific GHG'!$C$16,IF($H63="CNG",'Fuel-Specific GHG'!$C$13,IF(OR($H63="LPG",$H63="PROP"),'Fuel-Specific GHG'!$C$19,"")))))*(1/'Fuel-Specific GHG'!$C$15)*(1/3.4)*$F63)*'Grid Electricity'!$F$39)/454),((CC63+(CF63*CH63))*(IF(ISBLANK(AH63),Defaults!$B$19,AH63))*$AF63*$AJ63*$F63)),0)</f>
        <v>0</v>
      </c>
      <c r="CL63" s="813">
        <f t="shared" si="102"/>
        <v>0</v>
      </c>
      <c r="CM63" s="813">
        <f t="shared" si="103"/>
        <v>0</v>
      </c>
      <c r="CN63" s="814" t="str">
        <f t="shared" si="104"/>
        <v/>
      </c>
      <c r="CO63" s="814" t="str">
        <f t="shared" si="105"/>
        <v/>
      </c>
      <c r="CP63" s="814" t="str">
        <f t="shared" si="106"/>
        <v/>
      </c>
      <c r="CQ63" s="814" t="str">
        <f t="shared" si="107"/>
        <v/>
      </c>
      <c r="CR63" s="815" t="str">
        <f>IF(AND(V63="Yes, Booster Pump VFD",AF63&lt;=75),('Pump Emission Factors'!$F$95*F63),(IF(AND(V63="Yes, Booster Pump VFD",AF63&gt;75),('Pump Emission Factors'!$F$96*F63),(IF(AND(V63="Yes, Well Pump VFD",AF63&lt;=75),('Pump Emission Factors'!$F$97*F63),(IF(AND(V63="Yes, Well Pump VFD",AF63&gt;75),('Pump Emission Factors'!$F$98*F63),"")))))))</f>
        <v/>
      </c>
      <c r="CS63" s="815" t="str">
        <f>IF(AND(V63="Yes, Booster Pump VFD",AF63&lt;=75),('Pump Emission Factors'!$G$95*F63),(IF(AND(V63="Yes, Booster Pump VFD",AF63&gt;75),('Pump Emission Factors'!$G$96*F63),(IF(AND(V63="Yes, Well Pump VFD",AF63&lt;=75),('Pump Emission Factors'!$G$97*F63),(IF(AND(V63="Yes, Well Pump VFD",AF63&gt;75),('Pump Emission Factors'!$G$98*F63),"")))))))</f>
        <v/>
      </c>
      <c r="CT63" s="815" t="str">
        <f>IF(AND(V63="Yes, Booster Pump VFD",AF63&lt;=75),('Pump Emission Factors'!$H$95*F63),(IF(AND(V63="Yes, Booster Pump VFD",AF63&gt;75),('Pump Emission Factors'!$H$96*F63),(IF(AND(V63="Yes, Well Pump VFD",AF63&lt;=75),('Pump Emission Factors'!$H$97*F63),(IF(AND(V63="Yes, Well Pump VFD",AF63&gt;75),('Pump Emission Factors'!$H$98*F63),"")))))))</f>
        <v/>
      </c>
      <c r="CU63" s="815" t="str">
        <f>IF(AND(V63="Yes, Booster Pump VFD",AF63&lt;=75),('Pump Emission Factors'!$J$95*F63),(IF(AND(V63="Yes, Booster Pump VFD",AF63&gt;75),('Pump Emission Factors'!$J$96*F63),(IF(AND(V63="Yes, Well Pump VFD",AF63&lt;=75),('Pump Emission Factors'!$J$97*F63),(IF(AND(V63="Yes, Well Pump VFD",AF63&gt;75),('Pump Emission Factors'!$J$98*F63),"")))))))</f>
        <v/>
      </c>
      <c r="CV63" s="815" t="str">
        <f>IF(AND(V63="Yes, Booster Pump VFD",AF63&lt;=75),('Pump Emission Factors'!$I$95*F63),(IF(AND(V63="Yes, Booster Pump VFD",AF63&gt;75),('Pump Emission Factors'!$I$96*F63),(IF(AND(V63="Yes, Well Pump VFD",AF63&lt;=75),('Pump Emission Factors'!$I$97*F63),(IF(AND(V63="Yes, Well Pump VFD",AF63&gt;75),('Pump Emission Factors'!$I$98*F63),"")))))))</f>
        <v/>
      </c>
      <c r="CW63" s="806">
        <f t="shared" si="108"/>
        <v>0</v>
      </c>
      <c r="CX63" s="806">
        <f t="shared" si="109"/>
        <v>0</v>
      </c>
      <c r="CY63" s="806">
        <f t="shared" si="110"/>
        <v>0</v>
      </c>
      <c r="CZ63" s="806">
        <f t="shared" si="111"/>
        <v>0</v>
      </c>
      <c r="DA63" s="806">
        <f t="shared" si="112"/>
        <v>0</v>
      </c>
      <c r="DB63" s="816" t="str">
        <f t="shared" si="65"/>
        <v/>
      </c>
      <c r="DC63" s="816" t="str">
        <f t="shared" si="65"/>
        <v/>
      </c>
      <c r="DD63" s="816" t="str">
        <f t="shared" si="65"/>
        <v/>
      </c>
      <c r="DE63" s="817" t="str">
        <f t="shared" si="113"/>
        <v/>
      </c>
      <c r="DF63" s="817" t="str">
        <f t="shared" si="114"/>
        <v/>
      </c>
      <c r="DG63" s="804" t="str">
        <f t="shared" si="115"/>
        <v/>
      </c>
      <c r="DH63" s="804" t="str">
        <f t="shared" si="116"/>
        <v/>
      </c>
      <c r="DI63" s="818" t="str">
        <f>IF(AO63="","",IF(H63="DESL",AO63*F63*'Fuel Prices'!$C$12,IF(H63="GAS",AO63*F63*'Fuel Prices'!$C$11,IF(H63="CNG",AO63*F63*'Fuel Prices'!$C$13,IF(H63="LNG",AO63*F63*'Fuel Prices'!$C$14,IF(H63="LPG",AO63*F63*'Fuel Prices'!$C$16,IF(H63="PROP",AO63*F63*'Fuel Prices'!$C$16,"0")))))))</f>
        <v/>
      </c>
      <c r="DJ63" s="818" t="str">
        <f>IF(AU63="","",IF(X63="DESL",AU63*F63*'Fuel Prices'!$C$12,IF(X63="GAS",AU63*F63*'Fuel Prices'!$C$11,IF(X63="CNG",AU63*F63*'Fuel Prices'!$C$13,IF(X63="LNG",AU63*F63*'Fuel Prices'!$C$14,IF(X63="LPG",AU63*F63*'Fuel Prices'!$C$16,IF(X63="PROP",AU63*F63*'Fuel Prices'!$C$16,IF(X63="ELEC",AU63*F63*'Fuel Prices'!$C$35,"0"))))))))</f>
        <v/>
      </c>
      <c r="DK63" s="818" t="str">
        <f t="shared" si="117"/>
        <v/>
      </c>
      <c r="DL63" s="818" t="str">
        <f t="shared" si="118"/>
        <v/>
      </c>
      <c r="DM63" s="804" t="str">
        <f t="shared" si="119"/>
        <v/>
      </c>
      <c r="DN63" s="804" t="str">
        <f t="shared" si="120"/>
        <v/>
      </c>
      <c r="DO63" s="804" t="str">
        <f>IFERROR(ROUND(CZ63*IF(COUNTIF($B$20:B63,B63)=1,1,"")/IF(B63="",0,1),0),"")</f>
        <v/>
      </c>
      <c r="DP63" s="804" t="str">
        <f>IFERROR(ROUND(CW63*IF(COUNTIF($B$20:B63,B63)=1,1,"")/IF(B63="",0,1),0),"")</f>
        <v/>
      </c>
      <c r="DQ63" s="804" t="str">
        <f>IFERROR(ROUND(DA63*IF(COUNTIF($B$20:B63,B63)=1,1,"")/IF(B63="",0,1),0),"")</f>
        <v/>
      </c>
      <c r="DR63" s="804" t="str">
        <f>IFERROR(ROUND(CX63*IF(COUNTIF($B$20:B63,B63)=1,1,"")/IF(B63="",0,1),0),"")</f>
        <v/>
      </c>
      <c r="DS63" s="804">
        <f t="shared" si="121"/>
        <v>0</v>
      </c>
      <c r="DT63" s="804">
        <f t="shared" si="122"/>
        <v>0</v>
      </c>
      <c r="DU63" s="804">
        <f t="shared" si="123"/>
        <v>0</v>
      </c>
      <c r="DV63" s="818" t="str">
        <f t="shared" si="66"/>
        <v/>
      </c>
      <c r="DW63" s="819" t="str">
        <f t="shared" si="67"/>
        <v/>
      </c>
    </row>
    <row r="64" spans="1:127" ht="18" customHeight="1" x14ac:dyDescent="0.35">
      <c r="A64" s="635"/>
      <c r="B64" s="820"/>
      <c r="C64" s="825" t="str">
        <f t="shared" si="69"/>
        <v>(Required)</v>
      </c>
      <c r="D64" s="821"/>
      <c r="E64" s="825" t="str">
        <f t="shared" si="69"/>
        <v>(Required)</v>
      </c>
      <c r="F64" s="821"/>
      <c r="G64" s="825" t="str">
        <f t="shared" si="70"/>
        <v>(Required)</v>
      </c>
      <c r="H64" s="822"/>
      <c r="I64" s="825" t="str">
        <f t="shared" si="71"/>
        <v>(Required)</v>
      </c>
      <c r="J64" s="821"/>
      <c r="K64" s="825" t="str">
        <f t="shared" si="72"/>
        <v>(Required)</v>
      </c>
      <c r="L64" s="821"/>
      <c r="M64" s="825" t="str">
        <f t="shared" si="73"/>
        <v>(Required)</v>
      </c>
      <c r="N64" s="821"/>
      <c r="O64" s="825" t="str">
        <f t="shared" si="74"/>
        <v>(Required)</v>
      </c>
      <c r="P64" s="821"/>
      <c r="Q64" s="825" t="str">
        <f t="shared" si="75"/>
        <v>(Required)</v>
      </c>
      <c r="R64" s="823"/>
      <c r="S64" s="826" t="str">
        <f t="shared" si="76"/>
        <v>(Optional)</v>
      </c>
      <c r="T64" s="821"/>
      <c r="U64" s="827" t="str">
        <f t="shared" si="77"/>
        <v>(Required)</v>
      </c>
      <c r="V64" s="828"/>
      <c r="W64" s="799" t="str">
        <f t="shared" si="9"/>
        <v>(Optional)</v>
      </c>
      <c r="X64" s="822"/>
      <c r="Y64" s="825" t="str">
        <f t="shared" si="78"/>
        <v>(Required)</v>
      </c>
      <c r="Z64" s="821"/>
      <c r="AA64" s="825" t="str">
        <f t="shared" si="79"/>
        <v>(Required)</v>
      </c>
      <c r="AB64" s="821"/>
      <c r="AC64" s="825" t="str">
        <f t="shared" si="80"/>
        <v>(Required)</v>
      </c>
      <c r="AD64" s="821"/>
      <c r="AE64" s="825" t="str">
        <f t="shared" si="81"/>
        <v>(Required)</v>
      </c>
      <c r="AF64" s="821"/>
      <c r="AG64" s="825" t="str">
        <f t="shared" si="82"/>
        <v>(Required)</v>
      </c>
      <c r="AH64" s="823"/>
      <c r="AI64" s="826" t="str">
        <f t="shared" si="83"/>
        <v>(Optional)</v>
      </c>
      <c r="AJ64" s="821"/>
      <c r="AK64" s="825" t="str">
        <f t="shared" si="84"/>
        <v>(Required)</v>
      </c>
      <c r="AL64" s="803" t="str">
        <f t="shared" si="85"/>
        <v/>
      </c>
      <c r="AM64" s="803" t="str">
        <f>IF(H64="DESL",'Fuel Density'!$C$12,IF(H64="GAS",'Fuel Density'!$C$11,IF(H64="CNG",'Fuel Density'!$C$13,IF(H64="LNG",'Fuel Density'!$C$14,IF(H64="LPG",'Fuel Density'!$C$15,IF(H64="PROP",'Fuel Density'!$C$16,IF(H64="","","")))))))</f>
        <v/>
      </c>
      <c r="AN64" s="803" t="str">
        <f>IF(H64="DESL",'Fuel-Specific GHG'!$C$14,IF(H64="GAS",'Fuel-Specific GHG'!$C$16,IF(H64="CNG",'Fuel-Specific GHG'!$C$13,IF(H64="LNG",'Fuel-Specific GHG'!$C$18,IF(OR(H64="LPG",H64="PROP"),'Fuel-Specific GHG'!$C$19,IF(H64="","",""))))))</f>
        <v/>
      </c>
      <c r="AO64" s="804" t="str">
        <f>IFERROR(((P64*(IF(ISBLANK(R64),Defaults!$B$19,R64))*T64*AL64)/AM64),"")</f>
        <v/>
      </c>
      <c r="AP64" s="805" t="str">
        <f t="shared" si="86"/>
        <v/>
      </c>
      <c r="AQ64" s="805" t="str">
        <f>IF(H64="DESL",'Fuel-Specific GHG'!$E$14,IF(H64="GAS",'Fuel-Specific GHG'!$E$16,IF(H64="CNG",'Fuel-Specific GHG'!$E$13,IF(H64="LNG",'Fuel-Specific GHG'!$E$18,IF(OR(H64="LPG",H64="PROP"),'Fuel-Specific GHG'!$E$19,"")))))</f>
        <v/>
      </c>
      <c r="AR64" s="805" t="str">
        <f t="shared" si="87"/>
        <v/>
      </c>
      <c r="AS64" s="803" t="str">
        <f t="shared" si="58"/>
        <v/>
      </c>
      <c r="AT64" s="803" t="str">
        <f>IF(X64="DESL",'Fuel Density'!$C$12,IF(X64="PROP",'Fuel Density'!$C$16,IF(X64="GAS",'Fuel Density'!$C$11,IF(X64="CNG",'Fuel Density'!$C$13,IF(X64="LNG",'Fuel Density'!$C$14,IF(X64="LPG",'Fuel Density'!$C$15,IF(X64="","","")))))))</f>
        <v/>
      </c>
      <c r="AU64" s="804" t="str">
        <f>IFERROR(IF(X64="ELEC",AO64*AN64*(1/'Fuel-Specific GHG'!$C$15)*(1/IF(H64="GAS",3.4,IF(H64="DESL",2.7,3))),((AF64*(IF(ISBLANK(AH64),Defaults!$B$19,AH64))*AJ64*AS64)/AT64)),"")</f>
        <v/>
      </c>
      <c r="AV64" s="805" t="str">
        <f t="shared" si="88"/>
        <v/>
      </c>
      <c r="AW64" s="805" t="str">
        <f>IF(X64="DESL",'Fuel-Specific GHG'!$E$14,IF(X64="PROP",'Fuel-Specific GHG'!$E$19,IF(X64="GAS",'Fuel-Specific GHG'!$E$16,IF(X64="CNG",'Fuel-Specific GHG'!$E$13,IF(X64="LNG",'Fuel-Specific GHG'!$E$18,IF(X64="LPG",'Fuel-Specific GHG'!$E$19,IF(X64="ELEC",'Fuel-Specific GHG'!$E$15,"")))))))</f>
        <v/>
      </c>
      <c r="AX64" s="805" t="str">
        <f t="shared" si="89"/>
        <v/>
      </c>
      <c r="AY64" s="806" t="str">
        <f t="shared" si="90"/>
        <v/>
      </c>
      <c r="AZ64" s="806" t="str">
        <f t="shared" si="68"/>
        <v/>
      </c>
      <c r="BA64" s="806" t="str">
        <f t="shared" si="59"/>
        <v/>
      </c>
      <c r="BB64" s="804" t="str">
        <f t="shared" si="23"/>
        <v/>
      </c>
      <c r="BC64" s="807" t="str">
        <f t="shared" si="91"/>
        <v/>
      </c>
      <c r="BD64" s="807"/>
      <c r="BE64" s="808" t="str">
        <f t="shared" si="92"/>
        <v/>
      </c>
      <c r="BF64" s="809" t="str">
        <f t="shared" si="93"/>
        <v/>
      </c>
      <c r="BG64" s="808" t="str">
        <f t="shared" si="60"/>
        <v/>
      </c>
      <c r="BH64" s="810">
        <f t="shared" si="61"/>
        <v>0</v>
      </c>
      <c r="BI64" s="803" t="str">
        <f>IFERROR(VLOOKUP(BH64,'Pump Emission Factors'!$B$11:$J$88,4,FALSE),"")</f>
        <v/>
      </c>
      <c r="BJ64" s="803" t="str">
        <f>IFERROR(VLOOKUP(BH64,'Pump Emission Factors'!$B$11:$J$88,6,FALSE),"")</f>
        <v/>
      </c>
      <c r="BK64" s="803" t="str">
        <f>IFERROR(VLOOKUP(BH64,'Pump Emission Factors'!$B$11:$J$88,8,FALSE),"")</f>
        <v/>
      </c>
      <c r="BL64" s="803" t="str">
        <f>IFERROR(VLOOKUP(BH64,'Pump Emission Factors'!$B$11:$J$88,5,FALSE),"")</f>
        <v/>
      </c>
      <c r="BM64" s="803" t="str">
        <f>IFERROR(VLOOKUP(BH64,'Pump Emission Factors'!$B$11:$J$88,7,FALSE),"")</f>
        <v/>
      </c>
      <c r="BN64" s="803" t="str">
        <f>IFERROR(VLOOKUP(BH64,'Pump Emission Factors'!$B$11:$J$88,9,FALSE),"")</f>
        <v/>
      </c>
      <c r="BO64" s="811" t="str">
        <f t="shared" si="94"/>
        <v/>
      </c>
      <c r="BP64" s="811" t="str">
        <f t="shared" si="95"/>
        <v/>
      </c>
      <c r="BQ64" s="803">
        <f>IFERROR(((BI64+(BL64*BP64))*(IF(ISBLANK(R64),Defaults!$B$19,R64))*P64*T64)*F64*(1/454),0)</f>
        <v>0</v>
      </c>
      <c r="BR64" s="803">
        <f>IFERROR(((BJ64+(BM64*BP64))*(IF(ISBLANK(R64),Defaults!$B$19,R64))*P64*T64)*F64*(1/454),0)</f>
        <v>0</v>
      </c>
      <c r="BS64" s="803">
        <f>IFERROR(((BK64+(BN64*BP64))*(IF(ISBLANK(R64),Defaults!$B$19,R64))*P64*T64)*F64*(1/454),0)</f>
        <v>0</v>
      </c>
      <c r="BT64" s="803">
        <f t="shared" si="96"/>
        <v>0</v>
      </c>
      <c r="BU64" s="803">
        <f t="shared" si="97"/>
        <v>0</v>
      </c>
      <c r="BV64" s="812" t="str">
        <f t="shared" si="98"/>
        <v/>
      </c>
      <c r="BW64" s="808" t="str">
        <f t="shared" si="99"/>
        <v/>
      </c>
      <c r="BX64" s="809" t="str">
        <f t="shared" si="32"/>
        <v/>
      </c>
      <c r="BY64" s="808" t="str">
        <f t="shared" si="63"/>
        <v/>
      </c>
      <c r="BZ64" s="810">
        <f t="shared" si="64"/>
        <v>0</v>
      </c>
      <c r="CA64" s="813" t="str">
        <f>IFERROR(VLOOKUP(BZ64,'Pump Emission Factors'!$B$11:$J$88,4,FALSE),"")</f>
        <v/>
      </c>
      <c r="CB64" s="813" t="str">
        <f>IFERROR(VLOOKUP(BZ64,'Pump Emission Factors'!$B$11:$J$88,6,FALSE),"")</f>
        <v/>
      </c>
      <c r="CC64" s="813" t="str">
        <f>IFERROR(VLOOKUP(BZ64,'Pump Emission Factors'!$B$11:$J$88,8,FALSE),"")</f>
        <v/>
      </c>
      <c r="CD64" s="813" t="str">
        <f>IFERROR(VLOOKUP(BZ64,'Pump Emission Factors'!$B$11:$J$88,5,FALSE),"")</f>
        <v/>
      </c>
      <c r="CE64" s="813" t="str">
        <f>IFERROR(VLOOKUP(BZ64,'Pump Emission Factors'!$B$11:$J$88,7,FALSE),"")</f>
        <v/>
      </c>
      <c r="CF64" s="813" t="str">
        <f>IFERROR(VLOOKUP(BZ64,'Pump Emission Factors'!$B$11:$J$88,9,FALSE),"")</f>
        <v/>
      </c>
      <c r="CG64" s="814" t="str">
        <f t="shared" si="100"/>
        <v/>
      </c>
      <c r="CH64" s="814" t="str">
        <f t="shared" si="101"/>
        <v/>
      </c>
      <c r="CI64" s="813">
        <f>IFERROR(IF($X64="ELEC",((($AU64*(IF($H64="DESL",'Fuel-Specific GHG'!$C$14,IF($H64="GAS",'Fuel-Specific GHG'!$C$16,IF($H64="CNG",'Fuel-Specific GHG'!$C$13,IF(OR($H64="LPG",$H64="PROP"),'Fuel-Specific GHG'!$C$19,"")))))*(1/'Fuel-Specific GHG'!$C$15)*(1/3.4)*$F64)*'Grid Electricity'!$D$39)/454),((CA64+(CD64*CH64))*(IF(ISBLANK(AH64),Defaults!$B$19,AH64))*$AF64*$AJ64*$F64)),0)</f>
        <v>0</v>
      </c>
      <c r="CJ64" s="813">
        <f>IFERROR(IF($X64="ELEC",((($AU64*(IF($H64="DESL",'Fuel-Specific GHG'!$C$14,IF($H64="GAS",'Fuel-Specific GHG'!$C$16,IF($H64="CNG",'Fuel-Specific GHG'!$C$13,IF(OR($H64="LPG",$H64="PROP"),'Fuel-Specific GHG'!$C$19,"")))))*(1/'Fuel-Specific GHG'!$C$15)*(1/3.4)*$F64)*'Grid Electricity'!$C$39)/454),((CB64+(CE64*CH64))*(IF(ISBLANK(AH64),Defaults!$B$19,AH64))*$AF64*$AJ64*$F64)),0)</f>
        <v>0</v>
      </c>
      <c r="CK64" s="813">
        <f>IFERROR(IF($X64="ELEC",((($AU64*(IF($H64="DESL",'Fuel-Specific GHG'!$C$14,IF($H64="GAS",'Fuel-Specific GHG'!$C$16,IF($H64="CNG",'Fuel-Specific GHG'!$C$13,IF(OR($H64="LPG",$H64="PROP"),'Fuel-Specific GHG'!$C$19,"")))))*(1/'Fuel-Specific GHG'!$C$15)*(1/3.4)*$F64)*'Grid Electricity'!$F$39)/454),((CC64+(CF64*CH64))*(IF(ISBLANK(AH64),Defaults!$B$19,AH64))*$AF64*$AJ64*$F64)),0)</f>
        <v>0</v>
      </c>
      <c r="CL64" s="813">
        <f t="shared" si="102"/>
        <v>0</v>
      </c>
      <c r="CM64" s="813">
        <f t="shared" si="103"/>
        <v>0</v>
      </c>
      <c r="CN64" s="814" t="str">
        <f t="shared" si="104"/>
        <v/>
      </c>
      <c r="CO64" s="814" t="str">
        <f t="shared" si="105"/>
        <v/>
      </c>
      <c r="CP64" s="814" t="str">
        <f t="shared" si="106"/>
        <v/>
      </c>
      <c r="CQ64" s="814" t="str">
        <f t="shared" si="107"/>
        <v/>
      </c>
      <c r="CR64" s="815" t="str">
        <f>IF(AND(V64="Yes, Booster Pump VFD",AF64&lt;=75),('Pump Emission Factors'!$F$95*F64),(IF(AND(V64="Yes, Booster Pump VFD",AF64&gt;75),('Pump Emission Factors'!$F$96*F64),(IF(AND(V64="Yes, Well Pump VFD",AF64&lt;=75),('Pump Emission Factors'!$F$97*F64),(IF(AND(V64="Yes, Well Pump VFD",AF64&gt;75),('Pump Emission Factors'!$F$98*F64),"")))))))</f>
        <v/>
      </c>
      <c r="CS64" s="815" t="str">
        <f>IF(AND(V64="Yes, Booster Pump VFD",AF64&lt;=75),('Pump Emission Factors'!$G$95*F64),(IF(AND(V64="Yes, Booster Pump VFD",AF64&gt;75),('Pump Emission Factors'!$G$96*F64),(IF(AND(V64="Yes, Well Pump VFD",AF64&lt;=75),('Pump Emission Factors'!$G$97*F64),(IF(AND(V64="Yes, Well Pump VFD",AF64&gt;75),('Pump Emission Factors'!$G$98*F64),"")))))))</f>
        <v/>
      </c>
      <c r="CT64" s="815" t="str">
        <f>IF(AND(V64="Yes, Booster Pump VFD",AF64&lt;=75),('Pump Emission Factors'!$H$95*F64),(IF(AND(V64="Yes, Booster Pump VFD",AF64&gt;75),('Pump Emission Factors'!$H$96*F64),(IF(AND(V64="Yes, Well Pump VFD",AF64&lt;=75),('Pump Emission Factors'!$H$97*F64),(IF(AND(V64="Yes, Well Pump VFD",AF64&gt;75),('Pump Emission Factors'!$H$98*F64),"")))))))</f>
        <v/>
      </c>
      <c r="CU64" s="815" t="str">
        <f>IF(AND(V64="Yes, Booster Pump VFD",AF64&lt;=75),('Pump Emission Factors'!$J$95*F64),(IF(AND(V64="Yes, Booster Pump VFD",AF64&gt;75),('Pump Emission Factors'!$J$96*F64),(IF(AND(V64="Yes, Well Pump VFD",AF64&lt;=75),('Pump Emission Factors'!$J$97*F64),(IF(AND(V64="Yes, Well Pump VFD",AF64&gt;75),('Pump Emission Factors'!$J$98*F64),"")))))))</f>
        <v/>
      </c>
      <c r="CV64" s="815" t="str">
        <f>IF(AND(V64="Yes, Booster Pump VFD",AF64&lt;=75),('Pump Emission Factors'!$I$95*F64),(IF(AND(V64="Yes, Booster Pump VFD",AF64&gt;75),('Pump Emission Factors'!$I$96*F64),(IF(AND(V64="Yes, Well Pump VFD",AF64&lt;=75),('Pump Emission Factors'!$I$97*F64),(IF(AND(V64="Yes, Well Pump VFD",AF64&gt;75),('Pump Emission Factors'!$I$98*F64),"")))))))</f>
        <v/>
      </c>
      <c r="CW64" s="806">
        <f t="shared" si="108"/>
        <v>0</v>
      </c>
      <c r="CX64" s="806">
        <f t="shared" si="109"/>
        <v>0</v>
      </c>
      <c r="CY64" s="806">
        <f t="shared" si="110"/>
        <v>0</v>
      </c>
      <c r="CZ64" s="806">
        <f t="shared" si="111"/>
        <v>0</v>
      </c>
      <c r="DA64" s="806">
        <f t="shared" si="112"/>
        <v>0</v>
      </c>
      <c r="DB64" s="816" t="str">
        <f t="shared" si="65"/>
        <v/>
      </c>
      <c r="DC64" s="816" t="str">
        <f t="shared" si="65"/>
        <v/>
      </c>
      <c r="DD64" s="816" t="str">
        <f t="shared" si="65"/>
        <v/>
      </c>
      <c r="DE64" s="817" t="str">
        <f t="shared" si="113"/>
        <v/>
      </c>
      <c r="DF64" s="817" t="str">
        <f t="shared" si="114"/>
        <v/>
      </c>
      <c r="DG64" s="804" t="str">
        <f t="shared" si="115"/>
        <v/>
      </c>
      <c r="DH64" s="804" t="str">
        <f t="shared" si="116"/>
        <v/>
      </c>
      <c r="DI64" s="818" t="str">
        <f>IF(AO64="","",IF(H64="DESL",AO64*F64*'Fuel Prices'!$C$12,IF(H64="GAS",AO64*F64*'Fuel Prices'!$C$11,IF(H64="CNG",AO64*F64*'Fuel Prices'!$C$13,IF(H64="LNG",AO64*F64*'Fuel Prices'!$C$14,IF(H64="LPG",AO64*F64*'Fuel Prices'!$C$16,IF(H64="PROP",AO64*F64*'Fuel Prices'!$C$16,"0")))))))</f>
        <v/>
      </c>
      <c r="DJ64" s="818" t="str">
        <f>IF(AU64="","",IF(X64="DESL",AU64*F64*'Fuel Prices'!$C$12,IF(X64="GAS",AU64*F64*'Fuel Prices'!$C$11,IF(X64="CNG",AU64*F64*'Fuel Prices'!$C$13,IF(X64="LNG",AU64*F64*'Fuel Prices'!$C$14,IF(X64="LPG",AU64*F64*'Fuel Prices'!$C$16,IF(X64="PROP",AU64*F64*'Fuel Prices'!$C$16,IF(X64="ELEC",AU64*F64*'Fuel Prices'!$C$35,"0"))))))))</f>
        <v/>
      </c>
      <c r="DK64" s="818" t="str">
        <f t="shared" si="117"/>
        <v/>
      </c>
      <c r="DL64" s="818" t="str">
        <f t="shared" si="118"/>
        <v/>
      </c>
      <c r="DM64" s="804" t="str">
        <f t="shared" si="119"/>
        <v/>
      </c>
      <c r="DN64" s="804" t="str">
        <f t="shared" si="120"/>
        <v/>
      </c>
      <c r="DO64" s="804" t="str">
        <f>IFERROR(ROUND(CZ64*IF(COUNTIF($B$20:B64,B64)=1,1,"")/IF(B64="",0,1),0),"")</f>
        <v/>
      </c>
      <c r="DP64" s="804" t="str">
        <f>IFERROR(ROUND(CW64*IF(COUNTIF($B$20:B64,B64)=1,1,"")/IF(B64="",0,1),0),"")</f>
        <v/>
      </c>
      <c r="DQ64" s="804" t="str">
        <f>IFERROR(ROUND(DA64*IF(COUNTIF($B$20:B64,B64)=1,1,"")/IF(B64="",0,1),0),"")</f>
        <v/>
      </c>
      <c r="DR64" s="804" t="str">
        <f>IFERROR(ROUND(CX64*IF(COUNTIF($B$20:B64,B64)=1,1,"")/IF(B64="",0,1),0),"")</f>
        <v/>
      </c>
      <c r="DS64" s="804">
        <f t="shared" si="121"/>
        <v>0</v>
      </c>
      <c r="DT64" s="804">
        <f t="shared" si="122"/>
        <v>0</v>
      </c>
      <c r="DU64" s="804">
        <f t="shared" si="123"/>
        <v>0</v>
      </c>
      <c r="DV64" s="818" t="str">
        <f t="shared" si="66"/>
        <v/>
      </c>
      <c r="DW64" s="819" t="str">
        <f t="shared" si="67"/>
        <v/>
      </c>
    </row>
    <row r="65" spans="1:127" ht="18" customHeight="1" x14ac:dyDescent="0.35">
      <c r="A65" s="696"/>
      <c r="B65" s="820"/>
      <c r="C65" s="825" t="str">
        <f t="shared" si="69"/>
        <v>(Required)</v>
      </c>
      <c r="D65" s="821"/>
      <c r="E65" s="825" t="str">
        <f t="shared" si="69"/>
        <v>(Required)</v>
      </c>
      <c r="F65" s="821"/>
      <c r="G65" s="825" t="str">
        <f t="shared" si="70"/>
        <v>(Required)</v>
      </c>
      <c r="H65" s="822"/>
      <c r="I65" s="825" t="str">
        <f t="shared" si="71"/>
        <v>(Required)</v>
      </c>
      <c r="J65" s="821"/>
      <c r="K65" s="825" t="str">
        <f t="shared" si="72"/>
        <v>(Required)</v>
      </c>
      <c r="L65" s="821"/>
      <c r="M65" s="825" t="str">
        <f t="shared" si="73"/>
        <v>(Required)</v>
      </c>
      <c r="N65" s="821"/>
      <c r="O65" s="825" t="str">
        <f t="shared" si="74"/>
        <v>(Required)</v>
      </c>
      <c r="P65" s="821"/>
      <c r="Q65" s="825" t="str">
        <f t="shared" si="75"/>
        <v>(Required)</v>
      </c>
      <c r="R65" s="823"/>
      <c r="S65" s="826" t="str">
        <f t="shared" si="76"/>
        <v>(Optional)</v>
      </c>
      <c r="T65" s="821"/>
      <c r="U65" s="827" t="str">
        <f t="shared" si="77"/>
        <v>(Required)</v>
      </c>
      <c r="V65" s="828"/>
      <c r="W65" s="799" t="str">
        <f t="shared" si="9"/>
        <v>(Optional)</v>
      </c>
      <c r="X65" s="822"/>
      <c r="Y65" s="825" t="str">
        <f t="shared" si="78"/>
        <v>(Required)</v>
      </c>
      <c r="Z65" s="821"/>
      <c r="AA65" s="825" t="str">
        <f t="shared" si="79"/>
        <v>(Required)</v>
      </c>
      <c r="AB65" s="821"/>
      <c r="AC65" s="825" t="str">
        <f t="shared" si="80"/>
        <v>(Required)</v>
      </c>
      <c r="AD65" s="821"/>
      <c r="AE65" s="825" t="str">
        <f t="shared" si="81"/>
        <v>(Required)</v>
      </c>
      <c r="AF65" s="821"/>
      <c r="AG65" s="825" t="str">
        <f t="shared" si="82"/>
        <v>(Required)</v>
      </c>
      <c r="AH65" s="823"/>
      <c r="AI65" s="826" t="str">
        <f t="shared" si="83"/>
        <v>(Optional)</v>
      </c>
      <c r="AJ65" s="821"/>
      <c r="AK65" s="825" t="str">
        <f t="shared" si="84"/>
        <v>(Required)</v>
      </c>
      <c r="AL65" s="803" t="str">
        <f t="shared" si="85"/>
        <v/>
      </c>
      <c r="AM65" s="803" t="str">
        <f>IF(H65="DESL",'Fuel Density'!$C$12,IF(H65="GAS",'Fuel Density'!$C$11,IF(H65="CNG",'Fuel Density'!$C$13,IF(H65="LNG",'Fuel Density'!$C$14,IF(H65="LPG",'Fuel Density'!$C$15,IF(H65="PROP",'Fuel Density'!$C$16,IF(H65="","","")))))))</f>
        <v/>
      </c>
      <c r="AN65" s="803" t="str">
        <f>IF(H65="DESL",'Fuel-Specific GHG'!$C$14,IF(H65="GAS",'Fuel-Specific GHG'!$C$16,IF(H65="CNG",'Fuel-Specific GHG'!$C$13,IF(H65="LNG",'Fuel-Specific GHG'!$C$18,IF(OR(H65="LPG",H65="PROP"),'Fuel-Specific GHG'!$C$19,IF(H65="","",""))))))</f>
        <v/>
      </c>
      <c r="AO65" s="804" t="str">
        <f>IFERROR(((P65*(IF(ISBLANK(R65),Defaults!$B$19,R65))*T65*AL65)/AM65),"")</f>
        <v/>
      </c>
      <c r="AP65" s="805" t="str">
        <f t="shared" si="86"/>
        <v/>
      </c>
      <c r="AQ65" s="805" t="str">
        <f>IF(H65="DESL",'Fuel-Specific GHG'!$E$14,IF(H65="GAS",'Fuel-Specific GHG'!$E$16,IF(H65="CNG",'Fuel-Specific GHG'!$E$13,IF(H65="LNG",'Fuel-Specific GHG'!$E$18,IF(OR(H65="LPG",H65="PROP"),'Fuel-Specific GHG'!$E$19,"")))))</f>
        <v/>
      </c>
      <c r="AR65" s="805" t="str">
        <f t="shared" si="87"/>
        <v/>
      </c>
      <c r="AS65" s="803" t="str">
        <f t="shared" si="58"/>
        <v/>
      </c>
      <c r="AT65" s="803" t="str">
        <f>IF(X65="DESL",'Fuel Density'!$C$12,IF(X65="PROP",'Fuel Density'!$C$16,IF(X65="GAS",'Fuel Density'!$C$11,IF(X65="CNG",'Fuel Density'!$C$13,IF(X65="LNG",'Fuel Density'!$C$14,IF(X65="LPG",'Fuel Density'!$C$15,IF(X65="","","")))))))</f>
        <v/>
      </c>
      <c r="AU65" s="804" t="str">
        <f>IFERROR(IF(X65="ELEC",AO65*AN65*(1/'Fuel-Specific GHG'!$C$15)*(1/IF(H65="GAS",3.4,IF(H65="DESL",2.7,3))),((AF65*(IF(ISBLANK(AH65),Defaults!$B$19,AH65))*AJ65*AS65)/AT65)),"")</f>
        <v/>
      </c>
      <c r="AV65" s="805" t="str">
        <f t="shared" si="88"/>
        <v/>
      </c>
      <c r="AW65" s="805" t="str">
        <f>IF(X65="DESL",'Fuel-Specific GHG'!$E$14,IF(X65="PROP",'Fuel-Specific GHG'!$E$19,IF(X65="GAS",'Fuel-Specific GHG'!$E$16,IF(X65="CNG",'Fuel-Specific GHG'!$E$13,IF(X65="LNG",'Fuel-Specific GHG'!$E$18,IF(X65="LPG",'Fuel-Specific GHG'!$E$19,IF(X65="ELEC",'Fuel-Specific GHG'!$E$15,"")))))))</f>
        <v/>
      </c>
      <c r="AX65" s="805" t="str">
        <f t="shared" si="89"/>
        <v/>
      </c>
      <c r="AY65" s="806" t="str">
        <f t="shared" si="90"/>
        <v/>
      </c>
      <c r="AZ65" s="806" t="str">
        <f t="shared" si="68"/>
        <v/>
      </c>
      <c r="BA65" s="806" t="str">
        <f t="shared" si="59"/>
        <v/>
      </c>
      <c r="BB65" s="804" t="str">
        <f t="shared" si="23"/>
        <v/>
      </c>
      <c r="BC65" s="807" t="str">
        <f t="shared" si="91"/>
        <v/>
      </c>
      <c r="BD65" s="807"/>
      <c r="BE65" s="808" t="str">
        <f t="shared" si="92"/>
        <v/>
      </c>
      <c r="BF65" s="809" t="str">
        <f t="shared" si="93"/>
        <v/>
      </c>
      <c r="BG65" s="808" t="str">
        <f t="shared" si="60"/>
        <v/>
      </c>
      <c r="BH65" s="810">
        <f t="shared" si="61"/>
        <v>0</v>
      </c>
      <c r="BI65" s="803" t="str">
        <f>IFERROR(VLOOKUP(BH65,'Pump Emission Factors'!$B$11:$J$88,4,FALSE),"")</f>
        <v/>
      </c>
      <c r="BJ65" s="803" t="str">
        <f>IFERROR(VLOOKUP(BH65,'Pump Emission Factors'!$B$11:$J$88,6,FALSE),"")</f>
        <v/>
      </c>
      <c r="BK65" s="803" t="str">
        <f>IFERROR(VLOOKUP(BH65,'Pump Emission Factors'!$B$11:$J$88,8,FALSE),"")</f>
        <v/>
      </c>
      <c r="BL65" s="803" t="str">
        <f>IFERROR(VLOOKUP(BH65,'Pump Emission Factors'!$B$11:$J$88,5,FALSE),"")</f>
        <v/>
      </c>
      <c r="BM65" s="803" t="str">
        <f>IFERROR(VLOOKUP(BH65,'Pump Emission Factors'!$B$11:$J$88,7,FALSE),"")</f>
        <v/>
      </c>
      <c r="BN65" s="803" t="str">
        <f>IFERROR(VLOOKUP(BH65,'Pump Emission Factors'!$B$11:$J$88,9,FALSE),"")</f>
        <v/>
      </c>
      <c r="BO65" s="811" t="str">
        <f t="shared" si="94"/>
        <v/>
      </c>
      <c r="BP65" s="811" t="str">
        <f t="shared" si="95"/>
        <v/>
      </c>
      <c r="BQ65" s="803">
        <f>IFERROR(((BI65+(BL65*BP65))*(IF(ISBLANK(R65),Defaults!$B$19,R65))*P65*T65)*F65*(1/454),0)</f>
        <v>0</v>
      </c>
      <c r="BR65" s="803">
        <f>IFERROR(((BJ65+(BM65*BP65))*(IF(ISBLANK(R65),Defaults!$B$19,R65))*P65*T65)*F65*(1/454),0)</f>
        <v>0</v>
      </c>
      <c r="BS65" s="803">
        <f>IFERROR(((BK65+(BN65*BP65))*(IF(ISBLANK(R65),Defaults!$B$19,R65))*P65*T65)*F65*(1/454),0)</f>
        <v>0</v>
      </c>
      <c r="BT65" s="803">
        <f t="shared" si="96"/>
        <v>0</v>
      </c>
      <c r="BU65" s="803">
        <f t="shared" si="97"/>
        <v>0</v>
      </c>
      <c r="BV65" s="812" t="str">
        <f t="shared" si="98"/>
        <v/>
      </c>
      <c r="BW65" s="808" t="str">
        <f t="shared" si="99"/>
        <v/>
      </c>
      <c r="BX65" s="809" t="str">
        <f t="shared" si="32"/>
        <v/>
      </c>
      <c r="BY65" s="808" t="str">
        <f t="shared" si="63"/>
        <v/>
      </c>
      <c r="BZ65" s="810">
        <f t="shared" si="64"/>
        <v>0</v>
      </c>
      <c r="CA65" s="813" t="str">
        <f>IFERROR(VLOOKUP(BZ65,'Pump Emission Factors'!$B$11:$J$88,4,FALSE),"")</f>
        <v/>
      </c>
      <c r="CB65" s="813" t="str">
        <f>IFERROR(VLOOKUP(BZ65,'Pump Emission Factors'!$B$11:$J$88,6,FALSE),"")</f>
        <v/>
      </c>
      <c r="CC65" s="813" t="str">
        <f>IFERROR(VLOOKUP(BZ65,'Pump Emission Factors'!$B$11:$J$88,8,FALSE),"")</f>
        <v/>
      </c>
      <c r="CD65" s="813" t="str">
        <f>IFERROR(VLOOKUP(BZ65,'Pump Emission Factors'!$B$11:$J$88,5,FALSE),"")</f>
        <v/>
      </c>
      <c r="CE65" s="813" t="str">
        <f>IFERROR(VLOOKUP(BZ65,'Pump Emission Factors'!$B$11:$J$88,7,FALSE),"")</f>
        <v/>
      </c>
      <c r="CF65" s="813" t="str">
        <f>IFERROR(VLOOKUP(BZ65,'Pump Emission Factors'!$B$11:$J$88,9,FALSE),"")</f>
        <v/>
      </c>
      <c r="CG65" s="814" t="str">
        <f t="shared" si="100"/>
        <v/>
      </c>
      <c r="CH65" s="814" t="str">
        <f t="shared" si="101"/>
        <v/>
      </c>
      <c r="CI65" s="813">
        <f>IFERROR(IF($X65="ELEC",((($AU65*(IF($H65="DESL",'Fuel-Specific GHG'!$C$14,IF($H65="GAS",'Fuel-Specific GHG'!$C$16,IF($H65="CNG",'Fuel-Specific GHG'!$C$13,IF(OR($H65="LPG",$H65="PROP"),'Fuel-Specific GHG'!$C$19,"")))))*(1/'Fuel-Specific GHG'!$C$15)*(1/3.4)*$F65)*'Grid Electricity'!$D$39)/454),((CA65+(CD65*CH65))*(IF(ISBLANK(AH65),Defaults!$B$19,AH65))*$AF65*$AJ65*$F65)),0)</f>
        <v>0</v>
      </c>
      <c r="CJ65" s="813">
        <f>IFERROR(IF($X65="ELEC",((($AU65*(IF($H65="DESL",'Fuel-Specific GHG'!$C$14,IF($H65="GAS",'Fuel-Specific GHG'!$C$16,IF($H65="CNG",'Fuel-Specific GHG'!$C$13,IF(OR($H65="LPG",$H65="PROP"),'Fuel-Specific GHG'!$C$19,"")))))*(1/'Fuel-Specific GHG'!$C$15)*(1/3.4)*$F65)*'Grid Electricity'!$C$39)/454),((CB65+(CE65*CH65))*(IF(ISBLANK(AH65),Defaults!$B$19,AH65))*$AF65*$AJ65*$F65)),0)</f>
        <v>0</v>
      </c>
      <c r="CK65" s="813">
        <f>IFERROR(IF($X65="ELEC",((($AU65*(IF($H65="DESL",'Fuel-Specific GHG'!$C$14,IF($H65="GAS",'Fuel-Specific GHG'!$C$16,IF($H65="CNG",'Fuel-Specific GHG'!$C$13,IF(OR($H65="LPG",$H65="PROP"),'Fuel-Specific GHG'!$C$19,"")))))*(1/'Fuel-Specific GHG'!$C$15)*(1/3.4)*$F65)*'Grid Electricity'!$F$39)/454),((CC65+(CF65*CH65))*(IF(ISBLANK(AH65),Defaults!$B$19,AH65))*$AF65*$AJ65*$F65)),0)</f>
        <v>0</v>
      </c>
      <c r="CL65" s="813">
        <f t="shared" si="102"/>
        <v>0</v>
      </c>
      <c r="CM65" s="813">
        <f t="shared" si="103"/>
        <v>0</v>
      </c>
      <c r="CN65" s="814" t="str">
        <f t="shared" si="104"/>
        <v/>
      </c>
      <c r="CO65" s="814" t="str">
        <f t="shared" si="105"/>
        <v/>
      </c>
      <c r="CP65" s="814" t="str">
        <f t="shared" si="106"/>
        <v/>
      </c>
      <c r="CQ65" s="814" t="str">
        <f t="shared" si="107"/>
        <v/>
      </c>
      <c r="CR65" s="815" t="str">
        <f>IF(AND(V65="Yes, Booster Pump VFD",AF65&lt;=75),('Pump Emission Factors'!$F$95*F65),(IF(AND(V65="Yes, Booster Pump VFD",AF65&gt;75),('Pump Emission Factors'!$F$96*F65),(IF(AND(V65="Yes, Well Pump VFD",AF65&lt;=75),('Pump Emission Factors'!$F$97*F65),(IF(AND(V65="Yes, Well Pump VFD",AF65&gt;75),('Pump Emission Factors'!$F$98*F65),"")))))))</f>
        <v/>
      </c>
      <c r="CS65" s="815" t="str">
        <f>IF(AND(V65="Yes, Booster Pump VFD",AF65&lt;=75),('Pump Emission Factors'!$G$95*F65),(IF(AND(V65="Yes, Booster Pump VFD",AF65&gt;75),('Pump Emission Factors'!$G$96*F65),(IF(AND(V65="Yes, Well Pump VFD",AF65&lt;=75),('Pump Emission Factors'!$G$97*F65),(IF(AND(V65="Yes, Well Pump VFD",AF65&gt;75),('Pump Emission Factors'!$G$98*F65),"")))))))</f>
        <v/>
      </c>
      <c r="CT65" s="815" t="str">
        <f>IF(AND(V65="Yes, Booster Pump VFD",AF65&lt;=75),('Pump Emission Factors'!$H$95*F65),(IF(AND(V65="Yes, Booster Pump VFD",AF65&gt;75),('Pump Emission Factors'!$H$96*F65),(IF(AND(V65="Yes, Well Pump VFD",AF65&lt;=75),('Pump Emission Factors'!$H$97*F65),(IF(AND(V65="Yes, Well Pump VFD",AF65&gt;75),('Pump Emission Factors'!$H$98*F65),"")))))))</f>
        <v/>
      </c>
      <c r="CU65" s="815" t="str">
        <f>IF(AND(V65="Yes, Booster Pump VFD",AF65&lt;=75),('Pump Emission Factors'!$J$95*F65),(IF(AND(V65="Yes, Booster Pump VFD",AF65&gt;75),('Pump Emission Factors'!$J$96*F65),(IF(AND(V65="Yes, Well Pump VFD",AF65&lt;=75),('Pump Emission Factors'!$J$97*F65),(IF(AND(V65="Yes, Well Pump VFD",AF65&gt;75),('Pump Emission Factors'!$J$98*F65),"")))))))</f>
        <v/>
      </c>
      <c r="CV65" s="815" t="str">
        <f>IF(AND(V65="Yes, Booster Pump VFD",AF65&lt;=75),('Pump Emission Factors'!$I$95*F65),(IF(AND(V65="Yes, Booster Pump VFD",AF65&gt;75),('Pump Emission Factors'!$I$96*F65),(IF(AND(V65="Yes, Well Pump VFD",AF65&lt;=75),('Pump Emission Factors'!$I$97*F65),(IF(AND(V65="Yes, Well Pump VFD",AF65&gt;75),('Pump Emission Factors'!$I$98*F65),"")))))))</f>
        <v/>
      </c>
      <c r="CW65" s="806">
        <f t="shared" si="108"/>
        <v>0</v>
      </c>
      <c r="CX65" s="806">
        <f t="shared" si="109"/>
        <v>0</v>
      </c>
      <c r="CY65" s="806">
        <f t="shared" si="110"/>
        <v>0</v>
      </c>
      <c r="CZ65" s="806">
        <f t="shared" si="111"/>
        <v>0</v>
      </c>
      <c r="DA65" s="806">
        <f t="shared" si="112"/>
        <v>0</v>
      </c>
      <c r="DB65" s="816" t="str">
        <f t="shared" si="65"/>
        <v/>
      </c>
      <c r="DC65" s="816" t="str">
        <f t="shared" si="65"/>
        <v/>
      </c>
      <c r="DD65" s="816" t="str">
        <f t="shared" si="65"/>
        <v/>
      </c>
      <c r="DE65" s="817" t="str">
        <f t="shared" si="113"/>
        <v/>
      </c>
      <c r="DF65" s="817" t="str">
        <f t="shared" si="114"/>
        <v/>
      </c>
      <c r="DG65" s="804" t="str">
        <f t="shared" si="115"/>
        <v/>
      </c>
      <c r="DH65" s="804" t="str">
        <f t="shared" si="116"/>
        <v/>
      </c>
      <c r="DI65" s="818" t="str">
        <f>IF(AO65="","",IF(H65="DESL",AO65*F65*'Fuel Prices'!$C$12,IF(H65="GAS",AO65*F65*'Fuel Prices'!$C$11,IF(H65="CNG",AO65*F65*'Fuel Prices'!$C$13,IF(H65="LNG",AO65*F65*'Fuel Prices'!$C$14,IF(H65="LPG",AO65*F65*'Fuel Prices'!$C$16,IF(H65="PROP",AO65*F65*'Fuel Prices'!$C$16,"0")))))))</f>
        <v/>
      </c>
      <c r="DJ65" s="818" t="str">
        <f>IF(AU65="","",IF(X65="DESL",AU65*F65*'Fuel Prices'!$C$12,IF(X65="GAS",AU65*F65*'Fuel Prices'!$C$11,IF(X65="CNG",AU65*F65*'Fuel Prices'!$C$13,IF(X65="LNG",AU65*F65*'Fuel Prices'!$C$14,IF(X65="LPG",AU65*F65*'Fuel Prices'!$C$16,IF(X65="PROP",AU65*F65*'Fuel Prices'!$C$16,IF(X65="ELEC",AU65*F65*'Fuel Prices'!$C$35,"0"))))))))</f>
        <v/>
      </c>
      <c r="DK65" s="818" t="str">
        <f t="shared" si="117"/>
        <v/>
      </c>
      <c r="DL65" s="818" t="str">
        <f t="shared" si="118"/>
        <v/>
      </c>
      <c r="DM65" s="804" t="str">
        <f t="shared" si="119"/>
        <v/>
      </c>
      <c r="DN65" s="804" t="str">
        <f t="shared" si="120"/>
        <v/>
      </c>
      <c r="DO65" s="804" t="str">
        <f>IFERROR(ROUND(CZ65*IF(COUNTIF($B$20:B65,B65)=1,1,"")/IF(B65="",0,1),0),"")</f>
        <v/>
      </c>
      <c r="DP65" s="804" t="str">
        <f>IFERROR(ROUND(CW65*IF(COUNTIF($B$20:B65,B65)=1,1,"")/IF(B65="",0,1),0),"")</f>
        <v/>
      </c>
      <c r="DQ65" s="804" t="str">
        <f>IFERROR(ROUND(DA65*IF(COUNTIF($B$20:B65,B65)=1,1,"")/IF(B65="",0,1),0),"")</f>
        <v/>
      </c>
      <c r="DR65" s="804" t="str">
        <f>IFERROR(ROUND(CX65*IF(COUNTIF($B$20:B65,B65)=1,1,"")/IF(B65="",0,1),0),"")</f>
        <v/>
      </c>
      <c r="DS65" s="804">
        <f t="shared" si="121"/>
        <v>0</v>
      </c>
      <c r="DT65" s="804">
        <f t="shared" si="122"/>
        <v>0</v>
      </c>
      <c r="DU65" s="804">
        <f t="shared" si="123"/>
        <v>0</v>
      </c>
      <c r="DV65" s="818" t="str">
        <f t="shared" si="66"/>
        <v/>
      </c>
      <c r="DW65" s="819" t="str">
        <f t="shared" si="67"/>
        <v/>
      </c>
    </row>
    <row r="66" spans="1:127" ht="18" customHeight="1" x14ac:dyDescent="0.35">
      <c r="A66" s="635"/>
      <c r="B66" s="820"/>
      <c r="C66" s="825" t="str">
        <f t="shared" si="69"/>
        <v>(Required)</v>
      </c>
      <c r="D66" s="821"/>
      <c r="E66" s="825" t="str">
        <f t="shared" si="69"/>
        <v>(Required)</v>
      </c>
      <c r="F66" s="821"/>
      <c r="G66" s="825" t="str">
        <f t="shared" si="70"/>
        <v>(Required)</v>
      </c>
      <c r="H66" s="822"/>
      <c r="I66" s="825" t="str">
        <f t="shared" si="71"/>
        <v>(Required)</v>
      </c>
      <c r="J66" s="821"/>
      <c r="K66" s="825" t="str">
        <f t="shared" si="72"/>
        <v>(Required)</v>
      </c>
      <c r="L66" s="821"/>
      <c r="M66" s="825" t="str">
        <f t="shared" si="73"/>
        <v>(Required)</v>
      </c>
      <c r="N66" s="821"/>
      <c r="O66" s="825" t="str">
        <f t="shared" si="74"/>
        <v>(Required)</v>
      </c>
      <c r="P66" s="821"/>
      <c r="Q66" s="825" t="str">
        <f t="shared" si="75"/>
        <v>(Required)</v>
      </c>
      <c r="R66" s="823"/>
      <c r="S66" s="826" t="str">
        <f t="shared" si="76"/>
        <v>(Optional)</v>
      </c>
      <c r="T66" s="821"/>
      <c r="U66" s="827" t="str">
        <f t="shared" si="77"/>
        <v>(Required)</v>
      </c>
      <c r="V66" s="828"/>
      <c r="W66" s="799" t="str">
        <f t="shared" si="9"/>
        <v>(Optional)</v>
      </c>
      <c r="X66" s="822"/>
      <c r="Y66" s="825" t="str">
        <f t="shared" si="78"/>
        <v>(Required)</v>
      </c>
      <c r="Z66" s="821"/>
      <c r="AA66" s="825" t="str">
        <f t="shared" si="79"/>
        <v>(Required)</v>
      </c>
      <c r="AB66" s="821"/>
      <c r="AC66" s="825" t="str">
        <f t="shared" si="80"/>
        <v>(Required)</v>
      </c>
      <c r="AD66" s="821"/>
      <c r="AE66" s="825" t="str">
        <f t="shared" si="81"/>
        <v>(Required)</v>
      </c>
      <c r="AF66" s="821"/>
      <c r="AG66" s="825" t="str">
        <f t="shared" si="82"/>
        <v>(Required)</v>
      </c>
      <c r="AH66" s="823"/>
      <c r="AI66" s="826" t="str">
        <f t="shared" si="83"/>
        <v>(Optional)</v>
      </c>
      <c r="AJ66" s="821"/>
      <c r="AK66" s="825" t="str">
        <f t="shared" si="84"/>
        <v>(Required)</v>
      </c>
      <c r="AL66" s="803" t="str">
        <f t="shared" si="85"/>
        <v/>
      </c>
      <c r="AM66" s="803" t="str">
        <f>IF(H66="DESL",'Fuel Density'!$C$12,IF(H66="GAS",'Fuel Density'!$C$11,IF(H66="CNG",'Fuel Density'!$C$13,IF(H66="LNG",'Fuel Density'!$C$14,IF(H66="LPG",'Fuel Density'!$C$15,IF(H66="PROP",'Fuel Density'!$C$16,IF(H66="","","")))))))</f>
        <v/>
      </c>
      <c r="AN66" s="803" t="str">
        <f>IF(H66="DESL",'Fuel-Specific GHG'!$C$14,IF(H66="GAS",'Fuel-Specific GHG'!$C$16,IF(H66="CNG",'Fuel-Specific GHG'!$C$13,IF(H66="LNG",'Fuel-Specific GHG'!$C$18,IF(OR(H66="LPG",H66="PROP"),'Fuel-Specific GHG'!$C$19,IF(H66="","",""))))))</f>
        <v/>
      </c>
      <c r="AO66" s="804" t="str">
        <f>IFERROR(((P66*(IF(ISBLANK(R66),Defaults!$B$19,R66))*T66*AL66)/AM66),"")</f>
        <v/>
      </c>
      <c r="AP66" s="805" t="str">
        <f t="shared" si="86"/>
        <v/>
      </c>
      <c r="AQ66" s="805" t="str">
        <f>IF(H66="DESL",'Fuel-Specific GHG'!$E$14,IF(H66="GAS",'Fuel-Specific GHG'!$E$16,IF(H66="CNG",'Fuel-Specific GHG'!$E$13,IF(H66="LNG",'Fuel-Specific GHG'!$E$18,IF(OR(H66="LPG",H66="PROP"),'Fuel-Specific GHG'!$E$19,"")))))</f>
        <v/>
      </c>
      <c r="AR66" s="805" t="str">
        <f t="shared" si="87"/>
        <v/>
      </c>
      <c r="AS66" s="803" t="str">
        <f t="shared" si="58"/>
        <v/>
      </c>
      <c r="AT66" s="803" t="str">
        <f>IF(X66="DESL",'Fuel Density'!$C$12,IF(X66="PROP",'Fuel Density'!$C$16,IF(X66="GAS",'Fuel Density'!$C$11,IF(X66="CNG",'Fuel Density'!$C$13,IF(X66="LNG",'Fuel Density'!$C$14,IF(X66="LPG",'Fuel Density'!$C$15,IF(X66="","","")))))))</f>
        <v/>
      </c>
      <c r="AU66" s="804" t="str">
        <f>IFERROR(IF(X66="ELEC",AO66*AN66*(1/'Fuel-Specific GHG'!$C$15)*(1/IF(H66="GAS",3.4,IF(H66="DESL",2.7,3))),((AF66*(IF(ISBLANK(AH66),Defaults!$B$19,AH66))*AJ66*AS66)/AT66)),"")</f>
        <v/>
      </c>
      <c r="AV66" s="805" t="str">
        <f t="shared" si="88"/>
        <v/>
      </c>
      <c r="AW66" s="805" t="str">
        <f>IF(X66="DESL",'Fuel-Specific GHG'!$E$14,IF(X66="PROP",'Fuel-Specific GHG'!$E$19,IF(X66="GAS",'Fuel-Specific GHG'!$E$16,IF(X66="CNG",'Fuel-Specific GHG'!$E$13,IF(X66="LNG",'Fuel-Specific GHG'!$E$18,IF(X66="LPG",'Fuel-Specific GHG'!$E$19,IF(X66="ELEC",'Fuel-Specific GHG'!$E$15,"")))))))</f>
        <v/>
      </c>
      <c r="AX66" s="805" t="str">
        <f t="shared" si="89"/>
        <v/>
      </c>
      <c r="AY66" s="806" t="str">
        <f t="shared" si="90"/>
        <v/>
      </c>
      <c r="AZ66" s="806" t="str">
        <f t="shared" si="68"/>
        <v/>
      </c>
      <c r="BA66" s="806" t="str">
        <f t="shared" si="59"/>
        <v/>
      </c>
      <c r="BB66" s="804" t="str">
        <f t="shared" si="23"/>
        <v/>
      </c>
      <c r="BC66" s="807" t="str">
        <f t="shared" si="91"/>
        <v/>
      </c>
      <c r="BD66" s="807"/>
      <c r="BE66" s="808" t="str">
        <f t="shared" si="92"/>
        <v/>
      </c>
      <c r="BF66" s="809" t="str">
        <f t="shared" si="93"/>
        <v/>
      </c>
      <c r="BG66" s="808" t="str">
        <f t="shared" si="60"/>
        <v/>
      </c>
      <c r="BH66" s="810">
        <f t="shared" si="61"/>
        <v>0</v>
      </c>
      <c r="BI66" s="803" t="str">
        <f>IFERROR(VLOOKUP(BH66,'Pump Emission Factors'!$B$11:$J$88,4,FALSE),"")</f>
        <v/>
      </c>
      <c r="BJ66" s="803" t="str">
        <f>IFERROR(VLOOKUP(BH66,'Pump Emission Factors'!$B$11:$J$88,6,FALSE),"")</f>
        <v/>
      </c>
      <c r="BK66" s="803" t="str">
        <f>IFERROR(VLOOKUP(BH66,'Pump Emission Factors'!$B$11:$J$88,8,FALSE),"")</f>
        <v/>
      </c>
      <c r="BL66" s="803" t="str">
        <f>IFERROR(VLOOKUP(BH66,'Pump Emission Factors'!$B$11:$J$88,5,FALSE),"")</f>
        <v/>
      </c>
      <c r="BM66" s="803" t="str">
        <f>IFERROR(VLOOKUP(BH66,'Pump Emission Factors'!$B$11:$J$88,7,FALSE),"")</f>
        <v/>
      </c>
      <c r="BN66" s="803" t="str">
        <f>IFERROR(VLOOKUP(BH66,'Pump Emission Factors'!$B$11:$J$88,9,FALSE),"")</f>
        <v/>
      </c>
      <c r="BO66" s="811" t="str">
        <f t="shared" si="94"/>
        <v/>
      </c>
      <c r="BP66" s="811" t="str">
        <f t="shared" si="95"/>
        <v/>
      </c>
      <c r="BQ66" s="803">
        <f>IFERROR(((BI66+(BL66*BP66))*(IF(ISBLANK(R66),Defaults!$B$19,R66))*P66*T66)*F66*(1/454),0)</f>
        <v>0</v>
      </c>
      <c r="BR66" s="803">
        <f>IFERROR(((BJ66+(BM66*BP66))*(IF(ISBLANK(R66),Defaults!$B$19,R66))*P66*T66)*F66*(1/454),0)</f>
        <v>0</v>
      </c>
      <c r="BS66" s="803">
        <f>IFERROR(((BK66+(BN66*BP66))*(IF(ISBLANK(R66),Defaults!$B$19,R66))*P66*T66)*F66*(1/454),0)</f>
        <v>0</v>
      </c>
      <c r="BT66" s="803">
        <f t="shared" si="96"/>
        <v>0</v>
      </c>
      <c r="BU66" s="803">
        <f t="shared" si="97"/>
        <v>0</v>
      </c>
      <c r="BV66" s="812" t="str">
        <f t="shared" si="98"/>
        <v/>
      </c>
      <c r="BW66" s="808" t="str">
        <f t="shared" si="99"/>
        <v/>
      </c>
      <c r="BX66" s="809" t="str">
        <f t="shared" si="32"/>
        <v/>
      </c>
      <c r="BY66" s="808" t="str">
        <f t="shared" si="63"/>
        <v/>
      </c>
      <c r="BZ66" s="810">
        <f t="shared" si="64"/>
        <v>0</v>
      </c>
      <c r="CA66" s="813" t="str">
        <f>IFERROR(VLOOKUP(BZ66,'Pump Emission Factors'!$B$11:$J$88,4,FALSE),"")</f>
        <v/>
      </c>
      <c r="CB66" s="813" t="str">
        <f>IFERROR(VLOOKUP(BZ66,'Pump Emission Factors'!$B$11:$J$88,6,FALSE),"")</f>
        <v/>
      </c>
      <c r="CC66" s="813" t="str">
        <f>IFERROR(VLOOKUP(BZ66,'Pump Emission Factors'!$B$11:$J$88,8,FALSE),"")</f>
        <v/>
      </c>
      <c r="CD66" s="813" t="str">
        <f>IFERROR(VLOOKUP(BZ66,'Pump Emission Factors'!$B$11:$J$88,5,FALSE),"")</f>
        <v/>
      </c>
      <c r="CE66" s="813" t="str">
        <f>IFERROR(VLOOKUP(BZ66,'Pump Emission Factors'!$B$11:$J$88,7,FALSE),"")</f>
        <v/>
      </c>
      <c r="CF66" s="813" t="str">
        <f>IFERROR(VLOOKUP(BZ66,'Pump Emission Factors'!$B$11:$J$88,9,FALSE),"")</f>
        <v/>
      </c>
      <c r="CG66" s="814" t="str">
        <f t="shared" si="100"/>
        <v/>
      </c>
      <c r="CH66" s="814" t="str">
        <f t="shared" si="101"/>
        <v/>
      </c>
      <c r="CI66" s="813">
        <f>IFERROR(IF($X66="ELEC",((($AU66*(IF($H66="DESL",'Fuel-Specific GHG'!$C$14,IF($H66="GAS",'Fuel-Specific GHG'!$C$16,IF($H66="CNG",'Fuel-Specific GHG'!$C$13,IF(OR($H66="LPG",$H66="PROP"),'Fuel-Specific GHG'!$C$19,"")))))*(1/'Fuel-Specific GHG'!$C$15)*(1/3.4)*$F66)*'Grid Electricity'!$D$39)/454),((CA66+(CD66*CH66))*(IF(ISBLANK(AH66),Defaults!$B$19,AH66))*$AF66*$AJ66*$F66)),0)</f>
        <v>0</v>
      </c>
      <c r="CJ66" s="813">
        <f>IFERROR(IF($X66="ELEC",((($AU66*(IF($H66="DESL",'Fuel-Specific GHG'!$C$14,IF($H66="GAS",'Fuel-Specific GHG'!$C$16,IF($H66="CNG",'Fuel-Specific GHG'!$C$13,IF(OR($H66="LPG",$H66="PROP"),'Fuel-Specific GHG'!$C$19,"")))))*(1/'Fuel-Specific GHG'!$C$15)*(1/3.4)*$F66)*'Grid Electricity'!$C$39)/454),((CB66+(CE66*CH66))*(IF(ISBLANK(AH66),Defaults!$B$19,AH66))*$AF66*$AJ66*$F66)),0)</f>
        <v>0</v>
      </c>
      <c r="CK66" s="813">
        <f>IFERROR(IF($X66="ELEC",((($AU66*(IF($H66="DESL",'Fuel-Specific GHG'!$C$14,IF($H66="GAS",'Fuel-Specific GHG'!$C$16,IF($H66="CNG",'Fuel-Specific GHG'!$C$13,IF(OR($H66="LPG",$H66="PROP"),'Fuel-Specific GHG'!$C$19,"")))))*(1/'Fuel-Specific GHG'!$C$15)*(1/3.4)*$F66)*'Grid Electricity'!$F$39)/454),((CC66+(CF66*CH66))*(IF(ISBLANK(AH66),Defaults!$B$19,AH66))*$AF66*$AJ66*$F66)),0)</f>
        <v>0</v>
      </c>
      <c r="CL66" s="813">
        <f t="shared" si="102"/>
        <v>0</v>
      </c>
      <c r="CM66" s="813">
        <f t="shared" si="103"/>
        <v>0</v>
      </c>
      <c r="CN66" s="814" t="str">
        <f t="shared" si="104"/>
        <v/>
      </c>
      <c r="CO66" s="814" t="str">
        <f t="shared" si="105"/>
        <v/>
      </c>
      <c r="CP66" s="814" t="str">
        <f t="shared" si="106"/>
        <v/>
      </c>
      <c r="CQ66" s="814" t="str">
        <f t="shared" si="107"/>
        <v/>
      </c>
      <c r="CR66" s="815" t="str">
        <f>IF(AND(V66="Yes, Booster Pump VFD",AF66&lt;=75),('Pump Emission Factors'!$F$95*F66),(IF(AND(V66="Yes, Booster Pump VFD",AF66&gt;75),('Pump Emission Factors'!$F$96*F66),(IF(AND(V66="Yes, Well Pump VFD",AF66&lt;=75),('Pump Emission Factors'!$F$97*F66),(IF(AND(V66="Yes, Well Pump VFD",AF66&gt;75),('Pump Emission Factors'!$F$98*F66),"")))))))</f>
        <v/>
      </c>
      <c r="CS66" s="815" t="str">
        <f>IF(AND(V66="Yes, Booster Pump VFD",AF66&lt;=75),('Pump Emission Factors'!$G$95*F66),(IF(AND(V66="Yes, Booster Pump VFD",AF66&gt;75),('Pump Emission Factors'!$G$96*F66),(IF(AND(V66="Yes, Well Pump VFD",AF66&lt;=75),('Pump Emission Factors'!$G$97*F66),(IF(AND(V66="Yes, Well Pump VFD",AF66&gt;75),('Pump Emission Factors'!$G$98*F66),"")))))))</f>
        <v/>
      </c>
      <c r="CT66" s="815" t="str">
        <f>IF(AND(V66="Yes, Booster Pump VFD",AF66&lt;=75),('Pump Emission Factors'!$H$95*F66),(IF(AND(V66="Yes, Booster Pump VFD",AF66&gt;75),('Pump Emission Factors'!$H$96*F66),(IF(AND(V66="Yes, Well Pump VFD",AF66&lt;=75),('Pump Emission Factors'!$H$97*F66),(IF(AND(V66="Yes, Well Pump VFD",AF66&gt;75),('Pump Emission Factors'!$H$98*F66),"")))))))</f>
        <v/>
      </c>
      <c r="CU66" s="815" t="str">
        <f>IF(AND(V66="Yes, Booster Pump VFD",AF66&lt;=75),('Pump Emission Factors'!$J$95*F66),(IF(AND(V66="Yes, Booster Pump VFD",AF66&gt;75),('Pump Emission Factors'!$J$96*F66),(IF(AND(V66="Yes, Well Pump VFD",AF66&lt;=75),('Pump Emission Factors'!$J$97*F66),(IF(AND(V66="Yes, Well Pump VFD",AF66&gt;75),('Pump Emission Factors'!$J$98*F66),"")))))))</f>
        <v/>
      </c>
      <c r="CV66" s="815" t="str">
        <f>IF(AND(V66="Yes, Booster Pump VFD",AF66&lt;=75),('Pump Emission Factors'!$I$95*F66),(IF(AND(V66="Yes, Booster Pump VFD",AF66&gt;75),('Pump Emission Factors'!$I$96*F66),(IF(AND(V66="Yes, Well Pump VFD",AF66&lt;=75),('Pump Emission Factors'!$I$97*F66),(IF(AND(V66="Yes, Well Pump VFD",AF66&gt;75),('Pump Emission Factors'!$I$98*F66),"")))))))</f>
        <v/>
      </c>
      <c r="CW66" s="806">
        <f t="shared" si="108"/>
        <v>0</v>
      </c>
      <c r="CX66" s="806">
        <f t="shared" si="109"/>
        <v>0</v>
      </c>
      <c r="CY66" s="806">
        <f t="shared" si="110"/>
        <v>0</v>
      </c>
      <c r="CZ66" s="806">
        <f t="shared" si="111"/>
        <v>0</v>
      </c>
      <c r="DA66" s="806">
        <f t="shared" si="112"/>
        <v>0</v>
      </c>
      <c r="DB66" s="816" t="str">
        <f t="shared" si="65"/>
        <v/>
      </c>
      <c r="DC66" s="816" t="str">
        <f t="shared" si="65"/>
        <v/>
      </c>
      <c r="DD66" s="816" t="str">
        <f t="shared" si="65"/>
        <v/>
      </c>
      <c r="DE66" s="817" t="str">
        <f t="shared" si="113"/>
        <v/>
      </c>
      <c r="DF66" s="817" t="str">
        <f t="shared" si="114"/>
        <v/>
      </c>
      <c r="DG66" s="804" t="str">
        <f t="shared" si="115"/>
        <v/>
      </c>
      <c r="DH66" s="804" t="str">
        <f t="shared" si="116"/>
        <v/>
      </c>
      <c r="DI66" s="818" t="str">
        <f>IF(AO66="","",IF(H66="DESL",AO66*F66*'Fuel Prices'!$C$12,IF(H66="GAS",AO66*F66*'Fuel Prices'!$C$11,IF(H66="CNG",AO66*F66*'Fuel Prices'!$C$13,IF(H66="LNG",AO66*F66*'Fuel Prices'!$C$14,IF(H66="LPG",AO66*F66*'Fuel Prices'!$C$16,IF(H66="PROP",AO66*F66*'Fuel Prices'!$C$16,"0")))))))</f>
        <v/>
      </c>
      <c r="DJ66" s="818" t="str">
        <f>IF(AU66="","",IF(X66="DESL",AU66*F66*'Fuel Prices'!$C$12,IF(X66="GAS",AU66*F66*'Fuel Prices'!$C$11,IF(X66="CNG",AU66*F66*'Fuel Prices'!$C$13,IF(X66="LNG",AU66*F66*'Fuel Prices'!$C$14,IF(X66="LPG",AU66*F66*'Fuel Prices'!$C$16,IF(X66="PROP",AU66*F66*'Fuel Prices'!$C$16,IF(X66="ELEC",AU66*F66*'Fuel Prices'!$C$35,"0"))))))))</f>
        <v/>
      </c>
      <c r="DK66" s="818" t="str">
        <f t="shared" si="117"/>
        <v/>
      </c>
      <c r="DL66" s="818" t="str">
        <f t="shared" si="118"/>
        <v/>
      </c>
      <c r="DM66" s="804" t="str">
        <f t="shared" si="119"/>
        <v/>
      </c>
      <c r="DN66" s="804" t="str">
        <f t="shared" si="120"/>
        <v/>
      </c>
      <c r="DO66" s="804" t="str">
        <f>IFERROR(ROUND(CZ66*IF(COUNTIF($B$20:B66,B66)=1,1,"")/IF(B66="",0,1),0),"")</f>
        <v/>
      </c>
      <c r="DP66" s="804" t="str">
        <f>IFERROR(ROUND(CW66*IF(COUNTIF($B$20:B66,B66)=1,1,"")/IF(B66="",0,1),0),"")</f>
        <v/>
      </c>
      <c r="DQ66" s="804" t="str">
        <f>IFERROR(ROUND(DA66*IF(COUNTIF($B$20:B66,B66)=1,1,"")/IF(B66="",0,1),0),"")</f>
        <v/>
      </c>
      <c r="DR66" s="804" t="str">
        <f>IFERROR(ROUND(CX66*IF(COUNTIF($B$20:B66,B66)=1,1,"")/IF(B66="",0,1),0),"")</f>
        <v/>
      </c>
      <c r="DS66" s="804">
        <f t="shared" si="121"/>
        <v>0</v>
      </c>
      <c r="DT66" s="804">
        <f t="shared" si="122"/>
        <v>0</v>
      </c>
      <c r="DU66" s="804">
        <f t="shared" si="123"/>
        <v>0</v>
      </c>
      <c r="DV66" s="818" t="str">
        <f t="shared" si="66"/>
        <v/>
      </c>
      <c r="DW66" s="819" t="str">
        <f t="shared" si="67"/>
        <v/>
      </c>
    </row>
    <row r="67" spans="1:127" ht="18" customHeight="1" x14ac:dyDescent="0.35">
      <c r="A67" s="696"/>
      <c r="B67" s="820"/>
      <c r="C67" s="825" t="str">
        <f t="shared" si="69"/>
        <v>(Required)</v>
      </c>
      <c r="D67" s="821"/>
      <c r="E67" s="825" t="str">
        <f t="shared" si="69"/>
        <v>(Required)</v>
      </c>
      <c r="F67" s="821"/>
      <c r="G67" s="825" t="str">
        <f t="shared" si="70"/>
        <v>(Required)</v>
      </c>
      <c r="H67" s="822"/>
      <c r="I67" s="825" t="str">
        <f t="shared" si="71"/>
        <v>(Required)</v>
      </c>
      <c r="J67" s="821"/>
      <c r="K67" s="825" t="str">
        <f t="shared" si="72"/>
        <v>(Required)</v>
      </c>
      <c r="L67" s="821"/>
      <c r="M67" s="825" t="str">
        <f t="shared" si="73"/>
        <v>(Required)</v>
      </c>
      <c r="N67" s="821"/>
      <c r="O67" s="825" t="str">
        <f t="shared" si="74"/>
        <v>(Required)</v>
      </c>
      <c r="P67" s="821"/>
      <c r="Q67" s="825" t="str">
        <f t="shared" si="75"/>
        <v>(Required)</v>
      </c>
      <c r="R67" s="823"/>
      <c r="S67" s="826" t="str">
        <f t="shared" si="76"/>
        <v>(Optional)</v>
      </c>
      <c r="T67" s="821"/>
      <c r="U67" s="827" t="str">
        <f t="shared" si="77"/>
        <v>(Required)</v>
      </c>
      <c r="V67" s="828"/>
      <c r="W67" s="799" t="str">
        <f t="shared" si="9"/>
        <v>(Optional)</v>
      </c>
      <c r="X67" s="822"/>
      <c r="Y67" s="825" t="str">
        <f t="shared" si="78"/>
        <v>(Required)</v>
      </c>
      <c r="Z67" s="821"/>
      <c r="AA67" s="825" t="str">
        <f t="shared" si="79"/>
        <v>(Required)</v>
      </c>
      <c r="AB67" s="821"/>
      <c r="AC67" s="825" t="str">
        <f t="shared" si="80"/>
        <v>(Required)</v>
      </c>
      <c r="AD67" s="821"/>
      <c r="AE67" s="825" t="str">
        <f t="shared" si="81"/>
        <v>(Required)</v>
      </c>
      <c r="AF67" s="821"/>
      <c r="AG67" s="825" t="str">
        <f t="shared" si="82"/>
        <v>(Required)</v>
      </c>
      <c r="AH67" s="823"/>
      <c r="AI67" s="826" t="str">
        <f t="shared" si="83"/>
        <v>(Optional)</v>
      </c>
      <c r="AJ67" s="821"/>
      <c r="AK67" s="825" t="str">
        <f t="shared" si="84"/>
        <v>(Required)</v>
      </c>
      <c r="AL67" s="803" t="str">
        <f t="shared" si="85"/>
        <v/>
      </c>
      <c r="AM67" s="803" t="str">
        <f>IF(H67="DESL",'Fuel Density'!$C$12,IF(H67="GAS",'Fuel Density'!$C$11,IF(H67="CNG",'Fuel Density'!$C$13,IF(H67="LNG",'Fuel Density'!$C$14,IF(H67="LPG",'Fuel Density'!$C$15,IF(H67="PROP",'Fuel Density'!$C$16,IF(H67="","","")))))))</f>
        <v/>
      </c>
      <c r="AN67" s="803" t="str">
        <f>IF(H67="DESL",'Fuel-Specific GHG'!$C$14,IF(H67="GAS",'Fuel-Specific GHG'!$C$16,IF(H67="CNG",'Fuel-Specific GHG'!$C$13,IF(H67="LNG",'Fuel-Specific GHG'!$C$18,IF(OR(H67="LPG",H67="PROP"),'Fuel-Specific GHG'!$C$19,IF(H67="","",""))))))</f>
        <v/>
      </c>
      <c r="AO67" s="804" t="str">
        <f>IFERROR(((P67*(IF(ISBLANK(R67),Defaults!$B$19,R67))*T67*AL67)/AM67),"")</f>
        <v/>
      </c>
      <c r="AP67" s="805" t="str">
        <f t="shared" si="86"/>
        <v/>
      </c>
      <c r="AQ67" s="805" t="str">
        <f>IF(H67="DESL",'Fuel-Specific GHG'!$E$14,IF(H67="GAS",'Fuel-Specific GHG'!$E$16,IF(H67="CNG",'Fuel-Specific GHG'!$E$13,IF(H67="LNG",'Fuel-Specific GHG'!$E$18,IF(OR(H67="LPG",H67="PROP"),'Fuel-Specific GHG'!$E$19,"")))))</f>
        <v/>
      </c>
      <c r="AR67" s="805" t="str">
        <f t="shared" si="87"/>
        <v/>
      </c>
      <c r="AS67" s="803" t="str">
        <f t="shared" si="58"/>
        <v/>
      </c>
      <c r="AT67" s="803" t="str">
        <f>IF(X67="DESL",'Fuel Density'!$C$12,IF(X67="PROP",'Fuel Density'!$C$16,IF(X67="GAS",'Fuel Density'!$C$11,IF(X67="CNG",'Fuel Density'!$C$13,IF(X67="LNG",'Fuel Density'!$C$14,IF(X67="LPG",'Fuel Density'!$C$15,IF(X67="","","")))))))</f>
        <v/>
      </c>
      <c r="AU67" s="804" t="str">
        <f>IFERROR(IF(X67="ELEC",AO67*AN67*(1/'Fuel-Specific GHG'!$C$15)*(1/IF(H67="GAS",3.4,IF(H67="DESL",2.7,3))),((AF67*(IF(ISBLANK(AH67),Defaults!$B$19,AH67))*AJ67*AS67)/AT67)),"")</f>
        <v/>
      </c>
      <c r="AV67" s="805" t="str">
        <f t="shared" si="88"/>
        <v/>
      </c>
      <c r="AW67" s="805" t="str">
        <f>IF(X67="DESL",'Fuel-Specific GHG'!$E$14,IF(X67="PROP",'Fuel-Specific GHG'!$E$19,IF(X67="GAS",'Fuel-Specific GHG'!$E$16,IF(X67="CNG",'Fuel-Specific GHG'!$E$13,IF(X67="LNG",'Fuel-Specific GHG'!$E$18,IF(X67="LPG",'Fuel-Specific GHG'!$E$19,IF(X67="ELEC",'Fuel-Specific GHG'!$E$15,"")))))))</f>
        <v/>
      </c>
      <c r="AX67" s="805" t="str">
        <f t="shared" si="89"/>
        <v/>
      </c>
      <c r="AY67" s="806" t="str">
        <f t="shared" si="90"/>
        <v/>
      </c>
      <c r="AZ67" s="806" t="str">
        <f t="shared" si="68"/>
        <v/>
      </c>
      <c r="BA67" s="806" t="str">
        <f t="shared" si="59"/>
        <v/>
      </c>
      <c r="BB67" s="804" t="str">
        <f t="shared" si="23"/>
        <v/>
      </c>
      <c r="BC67" s="807" t="str">
        <f t="shared" si="91"/>
        <v/>
      </c>
      <c r="BD67" s="807"/>
      <c r="BE67" s="808" t="str">
        <f t="shared" si="92"/>
        <v/>
      </c>
      <c r="BF67" s="809" t="str">
        <f t="shared" si="93"/>
        <v/>
      </c>
      <c r="BG67" s="808" t="str">
        <f t="shared" si="60"/>
        <v/>
      </c>
      <c r="BH67" s="810">
        <f t="shared" si="61"/>
        <v>0</v>
      </c>
      <c r="BI67" s="803" t="str">
        <f>IFERROR(VLOOKUP(BH67,'Pump Emission Factors'!$B$11:$J$88,4,FALSE),"")</f>
        <v/>
      </c>
      <c r="BJ67" s="803" t="str">
        <f>IFERROR(VLOOKUP(BH67,'Pump Emission Factors'!$B$11:$J$88,6,FALSE),"")</f>
        <v/>
      </c>
      <c r="BK67" s="803" t="str">
        <f>IFERROR(VLOOKUP(BH67,'Pump Emission Factors'!$B$11:$J$88,8,FALSE),"")</f>
        <v/>
      </c>
      <c r="BL67" s="803" t="str">
        <f>IFERROR(VLOOKUP(BH67,'Pump Emission Factors'!$B$11:$J$88,5,FALSE),"")</f>
        <v/>
      </c>
      <c r="BM67" s="803" t="str">
        <f>IFERROR(VLOOKUP(BH67,'Pump Emission Factors'!$B$11:$J$88,7,FALSE),"")</f>
        <v/>
      </c>
      <c r="BN67" s="803" t="str">
        <f>IFERROR(VLOOKUP(BH67,'Pump Emission Factors'!$B$11:$J$88,9,FALSE),"")</f>
        <v/>
      </c>
      <c r="BO67" s="811" t="str">
        <f t="shared" si="94"/>
        <v/>
      </c>
      <c r="BP67" s="811" t="str">
        <f t="shared" si="95"/>
        <v/>
      </c>
      <c r="BQ67" s="803">
        <f>IFERROR(((BI67+(BL67*BP67))*(IF(ISBLANK(R67),Defaults!$B$19,R67))*P67*T67)*F67*(1/454),0)</f>
        <v>0</v>
      </c>
      <c r="BR67" s="803">
        <f>IFERROR(((BJ67+(BM67*BP67))*(IF(ISBLANK(R67),Defaults!$B$19,R67))*P67*T67)*F67*(1/454),0)</f>
        <v>0</v>
      </c>
      <c r="BS67" s="803">
        <f>IFERROR(((BK67+(BN67*BP67))*(IF(ISBLANK(R67),Defaults!$B$19,R67))*P67*T67)*F67*(1/454),0)</f>
        <v>0</v>
      </c>
      <c r="BT67" s="803">
        <f t="shared" si="96"/>
        <v>0</v>
      </c>
      <c r="BU67" s="803">
        <f t="shared" si="97"/>
        <v>0</v>
      </c>
      <c r="BV67" s="812" t="str">
        <f t="shared" si="98"/>
        <v/>
      </c>
      <c r="BW67" s="808" t="str">
        <f t="shared" si="99"/>
        <v/>
      </c>
      <c r="BX67" s="809" t="str">
        <f t="shared" si="32"/>
        <v/>
      </c>
      <c r="BY67" s="808" t="str">
        <f t="shared" si="63"/>
        <v/>
      </c>
      <c r="BZ67" s="810">
        <f t="shared" si="64"/>
        <v>0</v>
      </c>
      <c r="CA67" s="813" t="str">
        <f>IFERROR(VLOOKUP(BZ67,'Pump Emission Factors'!$B$11:$J$88,4,FALSE),"")</f>
        <v/>
      </c>
      <c r="CB67" s="813" t="str">
        <f>IFERROR(VLOOKUP(BZ67,'Pump Emission Factors'!$B$11:$J$88,6,FALSE),"")</f>
        <v/>
      </c>
      <c r="CC67" s="813" t="str">
        <f>IFERROR(VLOOKUP(BZ67,'Pump Emission Factors'!$B$11:$J$88,8,FALSE),"")</f>
        <v/>
      </c>
      <c r="CD67" s="813" t="str">
        <f>IFERROR(VLOOKUP(BZ67,'Pump Emission Factors'!$B$11:$J$88,5,FALSE),"")</f>
        <v/>
      </c>
      <c r="CE67" s="813" t="str">
        <f>IFERROR(VLOOKUP(BZ67,'Pump Emission Factors'!$B$11:$J$88,7,FALSE),"")</f>
        <v/>
      </c>
      <c r="CF67" s="813" t="str">
        <f>IFERROR(VLOOKUP(BZ67,'Pump Emission Factors'!$B$11:$J$88,9,FALSE),"")</f>
        <v/>
      </c>
      <c r="CG67" s="814" t="str">
        <f t="shared" si="100"/>
        <v/>
      </c>
      <c r="CH67" s="814" t="str">
        <f t="shared" si="101"/>
        <v/>
      </c>
      <c r="CI67" s="813">
        <f>IFERROR(IF($X67="ELEC",((($AU67*(IF($H67="DESL",'Fuel-Specific GHG'!$C$14,IF($H67="GAS",'Fuel-Specific GHG'!$C$16,IF($H67="CNG",'Fuel-Specific GHG'!$C$13,IF(OR($H67="LPG",$H67="PROP"),'Fuel-Specific GHG'!$C$19,"")))))*(1/'Fuel-Specific GHG'!$C$15)*(1/3.4)*$F67)*'Grid Electricity'!$D$39)/454),((CA67+(CD67*CH67))*(IF(ISBLANK(AH67),Defaults!$B$19,AH67))*$AF67*$AJ67*$F67)),0)</f>
        <v>0</v>
      </c>
      <c r="CJ67" s="813">
        <f>IFERROR(IF($X67="ELEC",((($AU67*(IF($H67="DESL",'Fuel-Specific GHG'!$C$14,IF($H67="GAS",'Fuel-Specific GHG'!$C$16,IF($H67="CNG",'Fuel-Specific GHG'!$C$13,IF(OR($H67="LPG",$H67="PROP"),'Fuel-Specific GHG'!$C$19,"")))))*(1/'Fuel-Specific GHG'!$C$15)*(1/3.4)*$F67)*'Grid Electricity'!$C$39)/454),((CB67+(CE67*CH67))*(IF(ISBLANK(AH67),Defaults!$B$19,AH67))*$AF67*$AJ67*$F67)),0)</f>
        <v>0</v>
      </c>
      <c r="CK67" s="813">
        <f>IFERROR(IF($X67="ELEC",((($AU67*(IF($H67="DESL",'Fuel-Specific GHG'!$C$14,IF($H67="GAS",'Fuel-Specific GHG'!$C$16,IF($H67="CNG",'Fuel-Specific GHG'!$C$13,IF(OR($H67="LPG",$H67="PROP"),'Fuel-Specific GHG'!$C$19,"")))))*(1/'Fuel-Specific GHG'!$C$15)*(1/3.4)*$F67)*'Grid Electricity'!$F$39)/454),((CC67+(CF67*CH67))*(IF(ISBLANK(AH67),Defaults!$B$19,AH67))*$AF67*$AJ67*$F67)),0)</f>
        <v>0</v>
      </c>
      <c r="CL67" s="813">
        <f t="shared" si="102"/>
        <v>0</v>
      </c>
      <c r="CM67" s="813">
        <f t="shared" si="103"/>
        <v>0</v>
      </c>
      <c r="CN67" s="814" t="str">
        <f t="shared" si="104"/>
        <v/>
      </c>
      <c r="CO67" s="814" t="str">
        <f t="shared" si="105"/>
        <v/>
      </c>
      <c r="CP67" s="814" t="str">
        <f t="shared" si="106"/>
        <v/>
      </c>
      <c r="CQ67" s="814" t="str">
        <f t="shared" si="107"/>
        <v/>
      </c>
      <c r="CR67" s="815" t="str">
        <f>IF(AND(V67="Yes, Booster Pump VFD",AF67&lt;=75),('Pump Emission Factors'!$F$95*F67),(IF(AND(V67="Yes, Booster Pump VFD",AF67&gt;75),('Pump Emission Factors'!$F$96*F67),(IF(AND(V67="Yes, Well Pump VFD",AF67&lt;=75),('Pump Emission Factors'!$F$97*F67),(IF(AND(V67="Yes, Well Pump VFD",AF67&gt;75),('Pump Emission Factors'!$F$98*F67),"")))))))</f>
        <v/>
      </c>
      <c r="CS67" s="815" t="str">
        <f>IF(AND(V67="Yes, Booster Pump VFD",AF67&lt;=75),('Pump Emission Factors'!$G$95*F67),(IF(AND(V67="Yes, Booster Pump VFD",AF67&gt;75),('Pump Emission Factors'!$G$96*F67),(IF(AND(V67="Yes, Well Pump VFD",AF67&lt;=75),('Pump Emission Factors'!$G$97*F67),(IF(AND(V67="Yes, Well Pump VFD",AF67&gt;75),('Pump Emission Factors'!$G$98*F67),"")))))))</f>
        <v/>
      </c>
      <c r="CT67" s="815" t="str">
        <f>IF(AND(V67="Yes, Booster Pump VFD",AF67&lt;=75),('Pump Emission Factors'!$H$95*F67),(IF(AND(V67="Yes, Booster Pump VFD",AF67&gt;75),('Pump Emission Factors'!$H$96*F67),(IF(AND(V67="Yes, Well Pump VFD",AF67&lt;=75),('Pump Emission Factors'!$H$97*F67),(IF(AND(V67="Yes, Well Pump VFD",AF67&gt;75),('Pump Emission Factors'!$H$98*F67),"")))))))</f>
        <v/>
      </c>
      <c r="CU67" s="815" t="str">
        <f>IF(AND(V67="Yes, Booster Pump VFD",AF67&lt;=75),('Pump Emission Factors'!$J$95*F67),(IF(AND(V67="Yes, Booster Pump VFD",AF67&gt;75),('Pump Emission Factors'!$J$96*F67),(IF(AND(V67="Yes, Well Pump VFD",AF67&lt;=75),('Pump Emission Factors'!$J$97*F67),(IF(AND(V67="Yes, Well Pump VFD",AF67&gt;75),('Pump Emission Factors'!$J$98*F67),"")))))))</f>
        <v/>
      </c>
      <c r="CV67" s="815" t="str">
        <f>IF(AND(V67="Yes, Booster Pump VFD",AF67&lt;=75),('Pump Emission Factors'!$I$95*F67),(IF(AND(V67="Yes, Booster Pump VFD",AF67&gt;75),('Pump Emission Factors'!$I$96*F67),(IF(AND(V67="Yes, Well Pump VFD",AF67&lt;=75),('Pump Emission Factors'!$I$97*F67),(IF(AND(V67="Yes, Well Pump VFD",AF67&gt;75),('Pump Emission Factors'!$I$98*F67),"")))))))</f>
        <v/>
      </c>
      <c r="CW67" s="806">
        <f t="shared" si="108"/>
        <v>0</v>
      </c>
      <c r="CX67" s="806">
        <f t="shared" si="109"/>
        <v>0</v>
      </c>
      <c r="CY67" s="806">
        <f t="shared" si="110"/>
        <v>0</v>
      </c>
      <c r="CZ67" s="806">
        <f t="shared" si="111"/>
        <v>0</v>
      </c>
      <c r="DA67" s="806">
        <f t="shared" si="112"/>
        <v>0</v>
      </c>
      <c r="DB67" s="816" t="str">
        <f t="shared" si="65"/>
        <v/>
      </c>
      <c r="DC67" s="816" t="str">
        <f t="shared" si="65"/>
        <v/>
      </c>
      <c r="DD67" s="816" t="str">
        <f t="shared" si="65"/>
        <v/>
      </c>
      <c r="DE67" s="817" t="str">
        <f t="shared" si="113"/>
        <v/>
      </c>
      <c r="DF67" s="817" t="str">
        <f t="shared" si="114"/>
        <v/>
      </c>
      <c r="DG67" s="804" t="str">
        <f t="shared" si="115"/>
        <v/>
      </c>
      <c r="DH67" s="804" t="str">
        <f t="shared" si="116"/>
        <v/>
      </c>
      <c r="DI67" s="818" t="str">
        <f>IF(AO67="","",IF(H67="DESL",AO67*F67*'Fuel Prices'!$C$12,IF(H67="GAS",AO67*F67*'Fuel Prices'!$C$11,IF(H67="CNG",AO67*F67*'Fuel Prices'!$C$13,IF(H67="LNG",AO67*F67*'Fuel Prices'!$C$14,IF(H67="LPG",AO67*F67*'Fuel Prices'!$C$16,IF(H67="PROP",AO67*F67*'Fuel Prices'!$C$16,"0")))))))</f>
        <v/>
      </c>
      <c r="DJ67" s="818" t="str">
        <f>IF(AU67="","",IF(X67="DESL",AU67*F67*'Fuel Prices'!$C$12,IF(X67="GAS",AU67*F67*'Fuel Prices'!$C$11,IF(X67="CNG",AU67*F67*'Fuel Prices'!$C$13,IF(X67="LNG",AU67*F67*'Fuel Prices'!$C$14,IF(X67="LPG",AU67*F67*'Fuel Prices'!$C$16,IF(X67="PROP",AU67*F67*'Fuel Prices'!$C$16,IF(X67="ELEC",AU67*F67*'Fuel Prices'!$C$35,"0"))))))))</f>
        <v/>
      </c>
      <c r="DK67" s="818" t="str">
        <f t="shared" si="117"/>
        <v/>
      </c>
      <c r="DL67" s="818" t="str">
        <f t="shared" si="118"/>
        <v/>
      </c>
      <c r="DM67" s="804" t="str">
        <f t="shared" si="119"/>
        <v/>
      </c>
      <c r="DN67" s="804" t="str">
        <f t="shared" si="120"/>
        <v/>
      </c>
      <c r="DO67" s="804" t="str">
        <f>IFERROR(ROUND(CZ67*IF(COUNTIF($B$20:B67,B67)=1,1,"")/IF(B67="",0,1),0),"")</f>
        <v/>
      </c>
      <c r="DP67" s="804" t="str">
        <f>IFERROR(ROUND(CW67*IF(COUNTIF($B$20:B67,B67)=1,1,"")/IF(B67="",0,1),0),"")</f>
        <v/>
      </c>
      <c r="DQ67" s="804" t="str">
        <f>IFERROR(ROUND(DA67*IF(COUNTIF($B$20:B67,B67)=1,1,"")/IF(B67="",0,1),0),"")</f>
        <v/>
      </c>
      <c r="DR67" s="804" t="str">
        <f>IFERROR(ROUND(CX67*IF(COUNTIF($B$20:B67,B67)=1,1,"")/IF(B67="",0,1),0),"")</f>
        <v/>
      </c>
      <c r="DS67" s="804">
        <f t="shared" si="121"/>
        <v>0</v>
      </c>
      <c r="DT67" s="804">
        <f t="shared" si="122"/>
        <v>0</v>
      </c>
      <c r="DU67" s="804">
        <f t="shared" si="123"/>
        <v>0</v>
      </c>
      <c r="DV67" s="818" t="str">
        <f t="shared" si="66"/>
        <v/>
      </c>
      <c r="DW67" s="819" t="str">
        <f t="shared" si="67"/>
        <v/>
      </c>
    </row>
    <row r="68" spans="1:127" ht="18" customHeight="1" x14ac:dyDescent="0.35">
      <c r="A68" s="635"/>
      <c r="B68" s="820"/>
      <c r="C68" s="825" t="str">
        <f t="shared" si="69"/>
        <v>(Required)</v>
      </c>
      <c r="D68" s="821"/>
      <c r="E68" s="825" t="str">
        <f t="shared" si="69"/>
        <v>(Required)</v>
      </c>
      <c r="F68" s="821"/>
      <c r="G68" s="825" t="str">
        <f t="shared" si="70"/>
        <v>(Required)</v>
      </c>
      <c r="H68" s="822"/>
      <c r="I68" s="825" t="str">
        <f t="shared" si="71"/>
        <v>(Required)</v>
      </c>
      <c r="J68" s="821"/>
      <c r="K68" s="825" t="str">
        <f t="shared" si="72"/>
        <v>(Required)</v>
      </c>
      <c r="L68" s="821"/>
      <c r="M68" s="825" t="str">
        <f t="shared" si="73"/>
        <v>(Required)</v>
      </c>
      <c r="N68" s="821"/>
      <c r="O68" s="825" t="str">
        <f t="shared" si="74"/>
        <v>(Required)</v>
      </c>
      <c r="P68" s="821"/>
      <c r="Q68" s="825" t="str">
        <f t="shared" si="75"/>
        <v>(Required)</v>
      </c>
      <c r="R68" s="823"/>
      <c r="S68" s="826" t="str">
        <f t="shared" si="76"/>
        <v>(Optional)</v>
      </c>
      <c r="T68" s="821"/>
      <c r="U68" s="827" t="str">
        <f t="shared" si="77"/>
        <v>(Required)</v>
      </c>
      <c r="V68" s="828"/>
      <c r="W68" s="799" t="str">
        <f t="shared" si="9"/>
        <v>(Optional)</v>
      </c>
      <c r="X68" s="822"/>
      <c r="Y68" s="825" t="str">
        <f t="shared" si="78"/>
        <v>(Required)</v>
      </c>
      <c r="Z68" s="821"/>
      <c r="AA68" s="825" t="str">
        <f t="shared" si="79"/>
        <v>(Required)</v>
      </c>
      <c r="AB68" s="821"/>
      <c r="AC68" s="825" t="str">
        <f t="shared" si="80"/>
        <v>(Required)</v>
      </c>
      <c r="AD68" s="821"/>
      <c r="AE68" s="825" t="str">
        <f t="shared" si="81"/>
        <v>(Required)</v>
      </c>
      <c r="AF68" s="821"/>
      <c r="AG68" s="825" t="str">
        <f t="shared" si="82"/>
        <v>(Required)</v>
      </c>
      <c r="AH68" s="823"/>
      <c r="AI68" s="826" t="str">
        <f t="shared" si="83"/>
        <v>(Optional)</v>
      </c>
      <c r="AJ68" s="821"/>
      <c r="AK68" s="825" t="str">
        <f t="shared" si="84"/>
        <v>(Required)</v>
      </c>
      <c r="AL68" s="803" t="str">
        <f t="shared" si="85"/>
        <v/>
      </c>
      <c r="AM68" s="803" t="str">
        <f>IF(H68="DESL",'Fuel Density'!$C$12,IF(H68="GAS",'Fuel Density'!$C$11,IF(H68="CNG",'Fuel Density'!$C$13,IF(H68="LNG",'Fuel Density'!$C$14,IF(H68="LPG",'Fuel Density'!$C$15,IF(H68="PROP",'Fuel Density'!$C$16,IF(H68="","","")))))))</f>
        <v/>
      </c>
      <c r="AN68" s="803" t="str">
        <f>IF(H68="DESL",'Fuel-Specific GHG'!$C$14,IF(H68="GAS",'Fuel-Specific GHG'!$C$16,IF(H68="CNG",'Fuel-Specific GHG'!$C$13,IF(H68="LNG",'Fuel-Specific GHG'!$C$18,IF(OR(H68="LPG",H68="PROP"),'Fuel-Specific GHG'!$C$19,IF(H68="","",""))))))</f>
        <v/>
      </c>
      <c r="AO68" s="804" t="str">
        <f>IFERROR(((P68*(IF(ISBLANK(R68),Defaults!$B$19,R68))*T68*AL68)/AM68),"")</f>
        <v/>
      </c>
      <c r="AP68" s="805" t="str">
        <f t="shared" si="86"/>
        <v/>
      </c>
      <c r="AQ68" s="805" t="str">
        <f>IF(H68="DESL",'Fuel-Specific GHG'!$E$14,IF(H68="GAS",'Fuel-Specific GHG'!$E$16,IF(H68="CNG",'Fuel-Specific GHG'!$E$13,IF(H68="LNG",'Fuel-Specific GHG'!$E$18,IF(OR(H68="LPG",H68="PROP"),'Fuel-Specific GHG'!$E$19,"")))))</f>
        <v/>
      </c>
      <c r="AR68" s="805" t="str">
        <f t="shared" si="87"/>
        <v/>
      </c>
      <c r="AS68" s="803" t="str">
        <f t="shared" si="58"/>
        <v/>
      </c>
      <c r="AT68" s="803" t="str">
        <f>IF(X68="DESL",'Fuel Density'!$C$12,IF(X68="PROP",'Fuel Density'!$C$16,IF(X68="GAS",'Fuel Density'!$C$11,IF(X68="CNG",'Fuel Density'!$C$13,IF(X68="LNG",'Fuel Density'!$C$14,IF(X68="LPG",'Fuel Density'!$C$15,IF(X68="","","")))))))</f>
        <v/>
      </c>
      <c r="AU68" s="804" t="str">
        <f>IFERROR(IF(X68="ELEC",AO68*AN68*(1/'Fuel-Specific GHG'!$C$15)*(1/IF(H68="GAS",3.4,IF(H68="DESL",2.7,3))),((AF68*(IF(ISBLANK(AH68),Defaults!$B$19,AH68))*AJ68*AS68)/AT68)),"")</f>
        <v/>
      </c>
      <c r="AV68" s="805" t="str">
        <f t="shared" si="88"/>
        <v/>
      </c>
      <c r="AW68" s="805" t="str">
        <f>IF(X68="DESL",'Fuel-Specific GHG'!$E$14,IF(X68="PROP",'Fuel-Specific GHG'!$E$19,IF(X68="GAS",'Fuel-Specific GHG'!$E$16,IF(X68="CNG",'Fuel-Specific GHG'!$E$13,IF(X68="LNG",'Fuel-Specific GHG'!$E$18,IF(X68="LPG",'Fuel-Specific GHG'!$E$19,IF(X68="ELEC",'Fuel-Specific GHG'!$E$15,"")))))))</f>
        <v/>
      </c>
      <c r="AX68" s="805" t="str">
        <f t="shared" si="89"/>
        <v/>
      </c>
      <c r="AY68" s="806" t="str">
        <f t="shared" si="90"/>
        <v/>
      </c>
      <c r="AZ68" s="806" t="str">
        <f t="shared" si="68"/>
        <v/>
      </c>
      <c r="BA68" s="806" t="str">
        <f t="shared" si="59"/>
        <v/>
      </c>
      <c r="BB68" s="804" t="str">
        <f t="shared" si="23"/>
        <v/>
      </c>
      <c r="BC68" s="807" t="str">
        <f t="shared" si="91"/>
        <v/>
      </c>
      <c r="BD68" s="807"/>
      <c r="BE68" s="808" t="str">
        <f t="shared" si="92"/>
        <v/>
      </c>
      <c r="BF68" s="809" t="str">
        <f t="shared" si="93"/>
        <v/>
      </c>
      <c r="BG68" s="808" t="str">
        <f t="shared" si="60"/>
        <v/>
      </c>
      <c r="BH68" s="810">
        <f t="shared" si="61"/>
        <v>0</v>
      </c>
      <c r="BI68" s="803" t="str">
        <f>IFERROR(VLOOKUP(BH68,'Pump Emission Factors'!$B$11:$J$88,4,FALSE),"")</f>
        <v/>
      </c>
      <c r="BJ68" s="803" t="str">
        <f>IFERROR(VLOOKUP(BH68,'Pump Emission Factors'!$B$11:$J$88,6,FALSE),"")</f>
        <v/>
      </c>
      <c r="BK68" s="803" t="str">
        <f>IFERROR(VLOOKUP(BH68,'Pump Emission Factors'!$B$11:$J$88,8,FALSE),"")</f>
        <v/>
      </c>
      <c r="BL68" s="803" t="str">
        <f>IFERROR(VLOOKUP(BH68,'Pump Emission Factors'!$B$11:$J$88,5,FALSE),"")</f>
        <v/>
      </c>
      <c r="BM68" s="803" t="str">
        <f>IFERROR(VLOOKUP(BH68,'Pump Emission Factors'!$B$11:$J$88,7,FALSE),"")</f>
        <v/>
      </c>
      <c r="BN68" s="803" t="str">
        <f>IFERROR(VLOOKUP(BH68,'Pump Emission Factors'!$B$11:$J$88,9,FALSE),"")</f>
        <v/>
      </c>
      <c r="BO68" s="811" t="str">
        <f t="shared" si="94"/>
        <v/>
      </c>
      <c r="BP68" s="811" t="str">
        <f t="shared" si="95"/>
        <v/>
      </c>
      <c r="BQ68" s="803">
        <f>IFERROR(((BI68+(BL68*BP68))*(IF(ISBLANK(R68),Defaults!$B$19,R68))*P68*T68)*F68*(1/454),0)</f>
        <v>0</v>
      </c>
      <c r="BR68" s="803">
        <f>IFERROR(((BJ68+(BM68*BP68))*(IF(ISBLANK(R68),Defaults!$B$19,R68))*P68*T68)*F68*(1/454),0)</f>
        <v>0</v>
      </c>
      <c r="BS68" s="803">
        <f>IFERROR(((BK68+(BN68*BP68))*(IF(ISBLANK(R68),Defaults!$B$19,R68))*P68*T68)*F68*(1/454),0)</f>
        <v>0</v>
      </c>
      <c r="BT68" s="803">
        <f t="shared" si="96"/>
        <v>0</v>
      </c>
      <c r="BU68" s="803">
        <f t="shared" si="97"/>
        <v>0</v>
      </c>
      <c r="BV68" s="812" t="str">
        <f t="shared" si="98"/>
        <v/>
      </c>
      <c r="BW68" s="808" t="str">
        <f t="shared" si="99"/>
        <v/>
      </c>
      <c r="BX68" s="809" t="str">
        <f t="shared" si="32"/>
        <v/>
      </c>
      <c r="BY68" s="808" t="str">
        <f t="shared" si="63"/>
        <v/>
      </c>
      <c r="BZ68" s="810">
        <f t="shared" si="64"/>
        <v>0</v>
      </c>
      <c r="CA68" s="813" t="str">
        <f>IFERROR(VLOOKUP(BZ68,'Pump Emission Factors'!$B$11:$J$88,4,FALSE),"")</f>
        <v/>
      </c>
      <c r="CB68" s="813" t="str">
        <f>IFERROR(VLOOKUP(BZ68,'Pump Emission Factors'!$B$11:$J$88,6,FALSE),"")</f>
        <v/>
      </c>
      <c r="CC68" s="813" t="str">
        <f>IFERROR(VLOOKUP(BZ68,'Pump Emission Factors'!$B$11:$J$88,8,FALSE),"")</f>
        <v/>
      </c>
      <c r="CD68" s="813" t="str">
        <f>IFERROR(VLOOKUP(BZ68,'Pump Emission Factors'!$B$11:$J$88,5,FALSE),"")</f>
        <v/>
      </c>
      <c r="CE68" s="813" t="str">
        <f>IFERROR(VLOOKUP(BZ68,'Pump Emission Factors'!$B$11:$J$88,7,FALSE),"")</f>
        <v/>
      </c>
      <c r="CF68" s="813" t="str">
        <f>IFERROR(VLOOKUP(BZ68,'Pump Emission Factors'!$B$11:$J$88,9,FALSE),"")</f>
        <v/>
      </c>
      <c r="CG68" s="814" t="str">
        <f t="shared" si="100"/>
        <v/>
      </c>
      <c r="CH68" s="814" t="str">
        <f t="shared" si="101"/>
        <v/>
      </c>
      <c r="CI68" s="813">
        <f>IFERROR(IF($X68="ELEC",((($AU68*(IF($H68="DESL",'Fuel-Specific GHG'!$C$14,IF($H68="GAS",'Fuel-Specific GHG'!$C$16,IF($H68="CNG",'Fuel-Specific GHG'!$C$13,IF(OR($H68="LPG",$H68="PROP"),'Fuel-Specific GHG'!$C$19,"")))))*(1/'Fuel-Specific GHG'!$C$15)*(1/3.4)*$F68)*'Grid Electricity'!$D$39)/454),((CA68+(CD68*CH68))*(IF(ISBLANK(AH68),Defaults!$B$19,AH68))*$AF68*$AJ68*$F68)),0)</f>
        <v>0</v>
      </c>
      <c r="CJ68" s="813">
        <f>IFERROR(IF($X68="ELEC",((($AU68*(IF($H68="DESL",'Fuel-Specific GHG'!$C$14,IF($H68="GAS",'Fuel-Specific GHG'!$C$16,IF($H68="CNG",'Fuel-Specific GHG'!$C$13,IF(OR($H68="LPG",$H68="PROP"),'Fuel-Specific GHG'!$C$19,"")))))*(1/'Fuel-Specific GHG'!$C$15)*(1/3.4)*$F68)*'Grid Electricity'!$C$39)/454),((CB68+(CE68*CH68))*(IF(ISBLANK(AH68),Defaults!$B$19,AH68))*$AF68*$AJ68*$F68)),0)</f>
        <v>0</v>
      </c>
      <c r="CK68" s="813">
        <f>IFERROR(IF($X68="ELEC",((($AU68*(IF($H68="DESL",'Fuel-Specific GHG'!$C$14,IF($H68="GAS",'Fuel-Specific GHG'!$C$16,IF($H68="CNG",'Fuel-Specific GHG'!$C$13,IF(OR($H68="LPG",$H68="PROP"),'Fuel-Specific GHG'!$C$19,"")))))*(1/'Fuel-Specific GHG'!$C$15)*(1/3.4)*$F68)*'Grid Electricity'!$F$39)/454),((CC68+(CF68*CH68))*(IF(ISBLANK(AH68),Defaults!$B$19,AH68))*$AF68*$AJ68*$F68)),0)</f>
        <v>0</v>
      </c>
      <c r="CL68" s="813">
        <f t="shared" si="102"/>
        <v>0</v>
      </c>
      <c r="CM68" s="813">
        <f t="shared" si="103"/>
        <v>0</v>
      </c>
      <c r="CN68" s="814" t="str">
        <f t="shared" si="104"/>
        <v/>
      </c>
      <c r="CO68" s="814" t="str">
        <f t="shared" si="105"/>
        <v/>
      </c>
      <c r="CP68" s="814" t="str">
        <f t="shared" si="106"/>
        <v/>
      </c>
      <c r="CQ68" s="814" t="str">
        <f t="shared" si="107"/>
        <v/>
      </c>
      <c r="CR68" s="815" t="str">
        <f>IF(AND(V68="Yes, Booster Pump VFD",AF68&lt;=75),('Pump Emission Factors'!$F$95*F68),(IF(AND(V68="Yes, Booster Pump VFD",AF68&gt;75),('Pump Emission Factors'!$F$96*F68),(IF(AND(V68="Yes, Well Pump VFD",AF68&lt;=75),('Pump Emission Factors'!$F$97*F68),(IF(AND(V68="Yes, Well Pump VFD",AF68&gt;75),('Pump Emission Factors'!$F$98*F68),"")))))))</f>
        <v/>
      </c>
      <c r="CS68" s="815" t="str">
        <f>IF(AND(V68="Yes, Booster Pump VFD",AF68&lt;=75),('Pump Emission Factors'!$G$95*F68),(IF(AND(V68="Yes, Booster Pump VFD",AF68&gt;75),('Pump Emission Factors'!$G$96*F68),(IF(AND(V68="Yes, Well Pump VFD",AF68&lt;=75),('Pump Emission Factors'!$G$97*F68),(IF(AND(V68="Yes, Well Pump VFD",AF68&gt;75),('Pump Emission Factors'!$G$98*F68),"")))))))</f>
        <v/>
      </c>
      <c r="CT68" s="815" t="str">
        <f>IF(AND(V68="Yes, Booster Pump VFD",AF68&lt;=75),('Pump Emission Factors'!$H$95*F68),(IF(AND(V68="Yes, Booster Pump VFD",AF68&gt;75),('Pump Emission Factors'!$H$96*F68),(IF(AND(V68="Yes, Well Pump VFD",AF68&lt;=75),('Pump Emission Factors'!$H$97*F68),(IF(AND(V68="Yes, Well Pump VFD",AF68&gt;75),('Pump Emission Factors'!$H$98*F68),"")))))))</f>
        <v/>
      </c>
      <c r="CU68" s="815" t="str">
        <f>IF(AND(V68="Yes, Booster Pump VFD",AF68&lt;=75),('Pump Emission Factors'!$J$95*F68),(IF(AND(V68="Yes, Booster Pump VFD",AF68&gt;75),('Pump Emission Factors'!$J$96*F68),(IF(AND(V68="Yes, Well Pump VFD",AF68&lt;=75),('Pump Emission Factors'!$J$97*F68),(IF(AND(V68="Yes, Well Pump VFD",AF68&gt;75),('Pump Emission Factors'!$J$98*F68),"")))))))</f>
        <v/>
      </c>
      <c r="CV68" s="815" t="str">
        <f>IF(AND(V68="Yes, Booster Pump VFD",AF68&lt;=75),('Pump Emission Factors'!$I$95*F68),(IF(AND(V68="Yes, Booster Pump VFD",AF68&gt;75),('Pump Emission Factors'!$I$96*F68),(IF(AND(V68="Yes, Well Pump VFD",AF68&lt;=75),('Pump Emission Factors'!$I$97*F68),(IF(AND(V68="Yes, Well Pump VFD",AF68&gt;75),('Pump Emission Factors'!$I$98*F68),"")))))))</f>
        <v/>
      </c>
      <c r="CW68" s="806">
        <f t="shared" si="108"/>
        <v>0</v>
      </c>
      <c r="CX68" s="806">
        <f t="shared" si="109"/>
        <v>0</v>
      </c>
      <c r="CY68" s="806">
        <f t="shared" si="110"/>
        <v>0</v>
      </c>
      <c r="CZ68" s="806">
        <f t="shared" si="111"/>
        <v>0</v>
      </c>
      <c r="DA68" s="806">
        <f t="shared" si="112"/>
        <v>0</v>
      </c>
      <c r="DB68" s="816" t="str">
        <f t="shared" si="65"/>
        <v/>
      </c>
      <c r="DC68" s="816" t="str">
        <f t="shared" si="65"/>
        <v/>
      </c>
      <c r="DD68" s="816" t="str">
        <f t="shared" si="65"/>
        <v/>
      </c>
      <c r="DE68" s="817" t="str">
        <f t="shared" si="113"/>
        <v/>
      </c>
      <c r="DF68" s="817" t="str">
        <f t="shared" si="114"/>
        <v/>
      </c>
      <c r="DG68" s="804" t="str">
        <f t="shared" si="115"/>
        <v/>
      </c>
      <c r="DH68" s="804" t="str">
        <f t="shared" si="116"/>
        <v/>
      </c>
      <c r="DI68" s="818" t="str">
        <f>IF(AO68="","",IF(H68="DESL",AO68*F68*'Fuel Prices'!$C$12,IF(H68="GAS",AO68*F68*'Fuel Prices'!$C$11,IF(H68="CNG",AO68*F68*'Fuel Prices'!$C$13,IF(H68="LNG",AO68*F68*'Fuel Prices'!$C$14,IF(H68="LPG",AO68*F68*'Fuel Prices'!$C$16,IF(H68="PROP",AO68*F68*'Fuel Prices'!$C$16,"0")))))))</f>
        <v/>
      </c>
      <c r="DJ68" s="818" t="str">
        <f>IF(AU68="","",IF(X68="DESL",AU68*F68*'Fuel Prices'!$C$12,IF(X68="GAS",AU68*F68*'Fuel Prices'!$C$11,IF(X68="CNG",AU68*F68*'Fuel Prices'!$C$13,IF(X68="LNG",AU68*F68*'Fuel Prices'!$C$14,IF(X68="LPG",AU68*F68*'Fuel Prices'!$C$16,IF(X68="PROP",AU68*F68*'Fuel Prices'!$C$16,IF(X68="ELEC",AU68*F68*'Fuel Prices'!$C$35,"0"))))))))</f>
        <v/>
      </c>
      <c r="DK68" s="818" t="str">
        <f t="shared" si="117"/>
        <v/>
      </c>
      <c r="DL68" s="818" t="str">
        <f t="shared" si="118"/>
        <v/>
      </c>
      <c r="DM68" s="804" t="str">
        <f t="shared" si="119"/>
        <v/>
      </c>
      <c r="DN68" s="804" t="str">
        <f t="shared" si="120"/>
        <v/>
      </c>
      <c r="DO68" s="804" t="str">
        <f>IFERROR(ROUND(CZ68*IF(COUNTIF($B$20:B68,B68)=1,1,"")/IF(B68="",0,1),0),"")</f>
        <v/>
      </c>
      <c r="DP68" s="804" t="str">
        <f>IFERROR(ROUND(CW68*IF(COUNTIF($B$20:B68,B68)=1,1,"")/IF(B68="",0,1),0),"")</f>
        <v/>
      </c>
      <c r="DQ68" s="804" t="str">
        <f>IFERROR(ROUND(DA68*IF(COUNTIF($B$20:B68,B68)=1,1,"")/IF(B68="",0,1),0),"")</f>
        <v/>
      </c>
      <c r="DR68" s="804" t="str">
        <f>IFERROR(ROUND(CX68*IF(COUNTIF($B$20:B68,B68)=1,1,"")/IF(B68="",0,1),0),"")</f>
        <v/>
      </c>
      <c r="DS68" s="804">
        <f t="shared" si="121"/>
        <v>0</v>
      </c>
      <c r="DT68" s="804">
        <f t="shared" si="122"/>
        <v>0</v>
      </c>
      <c r="DU68" s="804">
        <f t="shared" si="123"/>
        <v>0</v>
      </c>
      <c r="DV68" s="818" t="str">
        <f t="shared" si="66"/>
        <v/>
      </c>
      <c r="DW68" s="819" t="str">
        <f t="shared" si="67"/>
        <v/>
      </c>
    </row>
    <row r="69" spans="1:127" ht="18" customHeight="1" x14ac:dyDescent="0.35">
      <c r="A69" s="696"/>
      <c r="B69" s="820"/>
      <c r="C69" s="825" t="str">
        <f t="shared" si="69"/>
        <v>(Required)</v>
      </c>
      <c r="D69" s="821"/>
      <c r="E69" s="825" t="str">
        <f t="shared" si="69"/>
        <v>(Required)</v>
      </c>
      <c r="F69" s="821"/>
      <c r="G69" s="825" t="str">
        <f t="shared" si="70"/>
        <v>(Required)</v>
      </c>
      <c r="H69" s="822"/>
      <c r="I69" s="825" t="str">
        <f t="shared" si="71"/>
        <v>(Required)</v>
      </c>
      <c r="J69" s="821"/>
      <c r="K69" s="825" t="str">
        <f t="shared" si="72"/>
        <v>(Required)</v>
      </c>
      <c r="L69" s="821"/>
      <c r="M69" s="825" t="str">
        <f t="shared" si="73"/>
        <v>(Required)</v>
      </c>
      <c r="N69" s="821"/>
      <c r="O69" s="825" t="str">
        <f t="shared" si="74"/>
        <v>(Required)</v>
      </c>
      <c r="P69" s="821"/>
      <c r="Q69" s="825" t="str">
        <f t="shared" si="75"/>
        <v>(Required)</v>
      </c>
      <c r="R69" s="823"/>
      <c r="S69" s="826" t="str">
        <f t="shared" si="76"/>
        <v>(Optional)</v>
      </c>
      <c r="T69" s="821"/>
      <c r="U69" s="827" t="str">
        <f t="shared" si="77"/>
        <v>(Required)</v>
      </c>
      <c r="V69" s="828"/>
      <c r="W69" s="799" t="str">
        <f t="shared" si="9"/>
        <v>(Optional)</v>
      </c>
      <c r="X69" s="822"/>
      <c r="Y69" s="825" t="str">
        <f t="shared" si="78"/>
        <v>(Required)</v>
      </c>
      <c r="Z69" s="821"/>
      <c r="AA69" s="825" t="str">
        <f t="shared" si="79"/>
        <v>(Required)</v>
      </c>
      <c r="AB69" s="821"/>
      <c r="AC69" s="825" t="str">
        <f t="shared" si="80"/>
        <v>(Required)</v>
      </c>
      <c r="AD69" s="821"/>
      <c r="AE69" s="825" t="str">
        <f t="shared" si="81"/>
        <v>(Required)</v>
      </c>
      <c r="AF69" s="821"/>
      <c r="AG69" s="825" t="str">
        <f t="shared" si="82"/>
        <v>(Required)</v>
      </c>
      <c r="AH69" s="823"/>
      <c r="AI69" s="826" t="str">
        <f t="shared" si="83"/>
        <v>(Optional)</v>
      </c>
      <c r="AJ69" s="821"/>
      <c r="AK69" s="825" t="str">
        <f t="shared" si="84"/>
        <v>(Required)</v>
      </c>
      <c r="AL69" s="803" t="str">
        <f t="shared" si="85"/>
        <v/>
      </c>
      <c r="AM69" s="803" t="str">
        <f>IF(H69="DESL",'Fuel Density'!$C$12,IF(H69="GAS",'Fuel Density'!$C$11,IF(H69="CNG",'Fuel Density'!$C$13,IF(H69="LNG",'Fuel Density'!$C$14,IF(H69="LPG",'Fuel Density'!$C$15,IF(H69="PROP",'Fuel Density'!$C$16,IF(H69="","","")))))))</f>
        <v/>
      </c>
      <c r="AN69" s="803" t="str">
        <f>IF(H69="DESL",'Fuel-Specific GHG'!$C$14,IF(H69="GAS",'Fuel-Specific GHG'!$C$16,IF(H69="CNG",'Fuel-Specific GHG'!$C$13,IF(H69="LNG",'Fuel-Specific GHG'!$C$18,IF(OR(H69="LPG",H69="PROP"),'Fuel-Specific GHG'!$C$19,IF(H69="","",""))))))</f>
        <v/>
      </c>
      <c r="AO69" s="804" t="str">
        <f>IFERROR(((P69*(IF(ISBLANK(R69),Defaults!$B$19,R69))*T69*AL69)/AM69),"")</f>
        <v/>
      </c>
      <c r="AP69" s="805" t="str">
        <f t="shared" si="86"/>
        <v/>
      </c>
      <c r="AQ69" s="805" t="str">
        <f>IF(H69="DESL",'Fuel-Specific GHG'!$E$14,IF(H69="GAS",'Fuel-Specific GHG'!$E$16,IF(H69="CNG",'Fuel-Specific GHG'!$E$13,IF(H69="LNG",'Fuel-Specific GHG'!$E$18,IF(OR(H69="LPG",H69="PROP"),'Fuel-Specific GHG'!$E$19,"")))))</f>
        <v/>
      </c>
      <c r="AR69" s="805" t="str">
        <f t="shared" si="87"/>
        <v/>
      </c>
      <c r="AS69" s="803" t="str">
        <f t="shared" si="58"/>
        <v/>
      </c>
      <c r="AT69" s="803" t="str">
        <f>IF(X69="DESL",'Fuel Density'!$C$12,IF(X69="PROP",'Fuel Density'!$C$16,IF(X69="GAS",'Fuel Density'!$C$11,IF(X69="CNG",'Fuel Density'!$C$13,IF(X69="LNG",'Fuel Density'!$C$14,IF(X69="LPG",'Fuel Density'!$C$15,IF(X69="","","")))))))</f>
        <v/>
      </c>
      <c r="AU69" s="804" t="str">
        <f>IFERROR(IF(X69="ELEC",AO69*AN69*(1/'Fuel-Specific GHG'!$C$15)*(1/IF(H69="GAS",3.4,IF(H69="DESL",2.7,3))),((AF69*(IF(ISBLANK(AH69),Defaults!$B$19,AH69))*AJ69*AS69)/AT69)),"")</f>
        <v/>
      </c>
      <c r="AV69" s="805" t="str">
        <f t="shared" si="88"/>
        <v/>
      </c>
      <c r="AW69" s="805" t="str">
        <f>IF(X69="DESL",'Fuel-Specific GHG'!$E$14,IF(X69="PROP",'Fuel-Specific GHG'!$E$19,IF(X69="GAS",'Fuel-Specific GHG'!$E$16,IF(X69="CNG",'Fuel-Specific GHG'!$E$13,IF(X69="LNG",'Fuel-Specific GHG'!$E$18,IF(X69="LPG",'Fuel-Specific GHG'!$E$19,IF(X69="ELEC",'Fuel-Specific GHG'!$E$15,"")))))))</f>
        <v/>
      </c>
      <c r="AX69" s="805" t="str">
        <f t="shared" si="89"/>
        <v/>
      </c>
      <c r="AY69" s="806" t="str">
        <f t="shared" si="90"/>
        <v/>
      </c>
      <c r="AZ69" s="806" t="str">
        <f t="shared" si="68"/>
        <v/>
      </c>
      <c r="BA69" s="806" t="str">
        <f t="shared" si="59"/>
        <v/>
      </c>
      <c r="BB69" s="804" t="str">
        <f t="shared" si="23"/>
        <v/>
      </c>
      <c r="BC69" s="807" t="str">
        <f t="shared" si="91"/>
        <v/>
      </c>
      <c r="BD69" s="807"/>
      <c r="BE69" s="808" t="str">
        <f t="shared" si="92"/>
        <v/>
      </c>
      <c r="BF69" s="809" t="str">
        <f t="shared" si="93"/>
        <v/>
      </c>
      <c r="BG69" s="808" t="str">
        <f t="shared" si="60"/>
        <v/>
      </c>
      <c r="BH69" s="810">
        <f t="shared" si="61"/>
        <v>0</v>
      </c>
      <c r="BI69" s="803" t="str">
        <f>IFERROR(VLOOKUP(BH69,'Pump Emission Factors'!$B$11:$J$88,4,FALSE),"")</f>
        <v/>
      </c>
      <c r="BJ69" s="803" t="str">
        <f>IFERROR(VLOOKUP(BH69,'Pump Emission Factors'!$B$11:$J$88,6,FALSE),"")</f>
        <v/>
      </c>
      <c r="BK69" s="803" t="str">
        <f>IFERROR(VLOOKUP(BH69,'Pump Emission Factors'!$B$11:$J$88,8,FALSE),"")</f>
        <v/>
      </c>
      <c r="BL69" s="803" t="str">
        <f>IFERROR(VLOOKUP(BH69,'Pump Emission Factors'!$B$11:$J$88,5,FALSE),"")</f>
        <v/>
      </c>
      <c r="BM69" s="803" t="str">
        <f>IFERROR(VLOOKUP(BH69,'Pump Emission Factors'!$B$11:$J$88,7,FALSE),"")</f>
        <v/>
      </c>
      <c r="BN69" s="803" t="str">
        <f>IFERROR(VLOOKUP(BH69,'Pump Emission Factors'!$B$11:$J$88,9,FALSE),"")</f>
        <v/>
      </c>
      <c r="BO69" s="811" t="str">
        <f t="shared" si="94"/>
        <v/>
      </c>
      <c r="BP69" s="811" t="str">
        <f t="shared" si="95"/>
        <v/>
      </c>
      <c r="BQ69" s="803">
        <f>IFERROR(((BI69+(BL69*BP69))*(IF(ISBLANK(R69),Defaults!$B$19,R69))*P69*T69)*F69*(1/454),0)</f>
        <v>0</v>
      </c>
      <c r="BR69" s="803">
        <f>IFERROR(((BJ69+(BM69*BP69))*(IF(ISBLANK(R69),Defaults!$B$19,R69))*P69*T69)*F69*(1/454),0)</f>
        <v>0</v>
      </c>
      <c r="BS69" s="803">
        <f>IFERROR(((BK69+(BN69*BP69))*(IF(ISBLANK(R69),Defaults!$B$19,R69))*P69*T69)*F69*(1/454),0)</f>
        <v>0</v>
      </c>
      <c r="BT69" s="803">
        <f t="shared" si="96"/>
        <v>0</v>
      </c>
      <c r="BU69" s="803">
        <f t="shared" si="97"/>
        <v>0</v>
      </c>
      <c r="BV69" s="812" t="str">
        <f t="shared" si="98"/>
        <v/>
      </c>
      <c r="BW69" s="808" t="str">
        <f t="shared" si="99"/>
        <v/>
      </c>
      <c r="BX69" s="809" t="str">
        <f t="shared" si="32"/>
        <v/>
      </c>
      <c r="BY69" s="808" t="str">
        <f t="shared" si="63"/>
        <v/>
      </c>
      <c r="BZ69" s="810">
        <f t="shared" si="64"/>
        <v>0</v>
      </c>
      <c r="CA69" s="813" t="str">
        <f>IFERROR(VLOOKUP(BZ69,'Pump Emission Factors'!$B$11:$J$88,4,FALSE),"")</f>
        <v/>
      </c>
      <c r="CB69" s="813" t="str">
        <f>IFERROR(VLOOKUP(BZ69,'Pump Emission Factors'!$B$11:$J$88,6,FALSE),"")</f>
        <v/>
      </c>
      <c r="CC69" s="813" t="str">
        <f>IFERROR(VLOOKUP(BZ69,'Pump Emission Factors'!$B$11:$J$88,8,FALSE),"")</f>
        <v/>
      </c>
      <c r="CD69" s="813" t="str">
        <f>IFERROR(VLOOKUP(BZ69,'Pump Emission Factors'!$B$11:$J$88,5,FALSE),"")</f>
        <v/>
      </c>
      <c r="CE69" s="813" t="str">
        <f>IFERROR(VLOOKUP(BZ69,'Pump Emission Factors'!$B$11:$J$88,7,FALSE),"")</f>
        <v/>
      </c>
      <c r="CF69" s="813" t="str">
        <f>IFERROR(VLOOKUP(BZ69,'Pump Emission Factors'!$B$11:$J$88,9,FALSE),"")</f>
        <v/>
      </c>
      <c r="CG69" s="814" t="str">
        <f t="shared" si="100"/>
        <v/>
      </c>
      <c r="CH69" s="814" t="str">
        <f t="shared" si="101"/>
        <v/>
      </c>
      <c r="CI69" s="813">
        <f>IFERROR(IF($X69="ELEC",((($AU69*(IF($H69="DESL",'Fuel-Specific GHG'!$C$14,IF($H69="GAS",'Fuel-Specific GHG'!$C$16,IF($H69="CNG",'Fuel-Specific GHG'!$C$13,IF(OR($H69="LPG",$H69="PROP"),'Fuel-Specific GHG'!$C$19,"")))))*(1/'Fuel-Specific GHG'!$C$15)*(1/3.4)*$F69)*'Grid Electricity'!$D$39)/454),((CA69+(CD69*CH69))*(IF(ISBLANK(AH69),Defaults!$B$19,AH69))*$AF69*$AJ69*$F69)),0)</f>
        <v>0</v>
      </c>
      <c r="CJ69" s="813">
        <f>IFERROR(IF($X69="ELEC",((($AU69*(IF($H69="DESL",'Fuel-Specific GHG'!$C$14,IF($H69="GAS",'Fuel-Specific GHG'!$C$16,IF($H69="CNG",'Fuel-Specific GHG'!$C$13,IF(OR($H69="LPG",$H69="PROP"),'Fuel-Specific GHG'!$C$19,"")))))*(1/'Fuel-Specific GHG'!$C$15)*(1/3.4)*$F69)*'Grid Electricity'!$C$39)/454),((CB69+(CE69*CH69))*(IF(ISBLANK(AH69),Defaults!$B$19,AH69))*$AF69*$AJ69*$F69)),0)</f>
        <v>0</v>
      </c>
      <c r="CK69" s="813">
        <f>IFERROR(IF($X69="ELEC",((($AU69*(IF($H69="DESL",'Fuel-Specific GHG'!$C$14,IF($H69="GAS",'Fuel-Specific GHG'!$C$16,IF($H69="CNG",'Fuel-Specific GHG'!$C$13,IF(OR($H69="LPG",$H69="PROP"),'Fuel-Specific GHG'!$C$19,"")))))*(1/'Fuel-Specific GHG'!$C$15)*(1/3.4)*$F69)*'Grid Electricity'!$F$39)/454),((CC69+(CF69*CH69))*(IF(ISBLANK(AH69),Defaults!$B$19,AH69))*$AF69*$AJ69*$F69)),0)</f>
        <v>0</v>
      </c>
      <c r="CL69" s="813">
        <f t="shared" si="102"/>
        <v>0</v>
      </c>
      <c r="CM69" s="813">
        <f t="shared" si="103"/>
        <v>0</v>
      </c>
      <c r="CN69" s="814" t="str">
        <f t="shared" si="104"/>
        <v/>
      </c>
      <c r="CO69" s="814" t="str">
        <f t="shared" si="105"/>
        <v/>
      </c>
      <c r="CP69" s="814" t="str">
        <f t="shared" si="106"/>
        <v/>
      </c>
      <c r="CQ69" s="814" t="str">
        <f t="shared" si="107"/>
        <v/>
      </c>
      <c r="CR69" s="815" t="str">
        <f>IF(AND(V69="Yes, Booster Pump VFD",AF69&lt;=75),('Pump Emission Factors'!$F$95*F69),(IF(AND(V69="Yes, Booster Pump VFD",AF69&gt;75),('Pump Emission Factors'!$F$96*F69),(IF(AND(V69="Yes, Well Pump VFD",AF69&lt;=75),('Pump Emission Factors'!$F$97*F69),(IF(AND(V69="Yes, Well Pump VFD",AF69&gt;75),('Pump Emission Factors'!$F$98*F69),"")))))))</f>
        <v/>
      </c>
      <c r="CS69" s="815" t="str">
        <f>IF(AND(V69="Yes, Booster Pump VFD",AF69&lt;=75),('Pump Emission Factors'!$G$95*F69),(IF(AND(V69="Yes, Booster Pump VFD",AF69&gt;75),('Pump Emission Factors'!$G$96*F69),(IF(AND(V69="Yes, Well Pump VFD",AF69&lt;=75),('Pump Emission Factors'!$G$97*F69),(IF(AND(V69="Yes, Well Pump VFD",AF69&gt;75),('Pump Emission Factors'!$G$98*F69),"")))))))</f>
        <v/>
      </c>
      <c r="CT69" s="815" t="str">
        <f>IF(AND(V69="Yes, Booster Pump VFD",AF69&lt;=75),('Pump Emission Factors'!$H$95*F69),(IF(AND(V69="Yes, Booster Pump VFD",AF69&gt;75),('Pump Emission Factors'!$H$96*F69),(IF(AND(V69="Yes, Well Pump VFD",AF69&lt;=75),('Pump Emission Factors'!$H$97*F69),(IF(AND(V69="Yes, Well Pump VFD",AF69&gt;75),('Pump Emission Factors'!$H$98*F69),"")))))))</f>
        <v/>
      </c>
      <c r="CU69" s="815" t="str">
        <f>IF(AND(V69="Yes, Booster Pump VFD",AF69&lt;=75),('Pump Emission Factors'!$J$95*F69),(IF(AND(V69="Yes, Booster Pump VFD",AF69&gt;75),('Pump Emission Factors'!$J$96*F69),(IF(AND(V69="Yes, Well Pump VFD",AF69&lt;=75),('Pump Emission Factors'!$J$97*F69),(IF(AND(V69="Yes, Well Pump VFD",AF69&gt;75),('Pump Emission Factors'!$J$98*F69),"")))))))</f>
        <v/>
      </c>
      <c r="CV69" s="815" t="str">
        <f>IF(AND(V69="Yes, Booster Pump VFD",AF69&lt;=75),('Pump Emission Factors'!$I$95*F69),(IF(AND(V69="Yes, Booster Pump VFD",AF69&gt;75),('Pump Emission Factors'!$I$96*F69),(IF(AND(V69="Yes, Well Pump VFD",AF69&lt;=75),('Pump Emission Factors'!$I$97*F69),(IF(AND(V69="Yes, Well Pump VFD",AF69&gt;75),('Pump Emission Factors'!$I$98*F69),"")))))))</f>
        <v/>
      </c>
      <c r="CW69" s="806">
        <f t="shared" si="108"/>
        <v>0</v>
      </c>
      <c r="CX69" s="806">
        <f t="shared" si="109"/>
        <v>0</v>
      </c>
      <c r="CY69" s="806">
        <f t="shared" si="110"/>
        <v>0</v>
      </c>
      <c r="CZ69" s="806">
        <f t="shared" si="111"/>
        <v>0</v>
      </c>
      <c r="DA69" s="806">
        <f t="shared" si="112"/>
        <v>0</v>
      </c>
      <c r="DB69" s="816" t="str">
        <f t="shared" si="65"/>
        <v/>
      </c>
      <c r="DC69" s="816" t="str">
        <f t="shared" si="65"/>
        <v/>
      </c>
      <c r="DD69" s="816" t="str">
        <f t="shared" si="65"/>
        <v/>
      </c>
      <c r="DE69" s="817" t="str">
        <f t="shared" si="113"/>
        <v/>
      </c>
      <c r="DF69" s="817" t="str">
        <f t="shared" si="114"/>
        <v/>
      </c>
      <c r="DG69" s="804" t="str">
        <f t="shared" si="115"/>
        <v/>
      </c>
      <c r="DH69" s="804" t="str">
        <f t="shared" si="116"/>
        <v/>
      </c>
      <c r="DI69" s="818" t="str">
        <f>IF(AO69="","",IF(H69="DESL",AO69*F69*'Fuel Prices'!$C$12,IF(H69="GAS",AO69*F69*'Fuel Prices'!$C$11,IF(H69="CNG",AO69*F69*'Fuel Prices'!$C$13,IF(H69="LNG",AO69*F69*'Fuel Prices'!$C$14,IF(H69="LPG",AO69*F69*'Fuel Prices'!$C$16,IF(H69="PROP",AO69*F69*'Fuel Prices'!$C$16,"0")))))))</f>
        <v/>
      </c>
      <c r="DJ69" s="818" t="str">
        <f>IF(AU69="","",IF(X69="DESL",AU69*F69*'Fuel Prices'!$C$12,IF(X69="GAS",AU69*F69*'Fuel Prices'!$C$11,IF(X69="CNG",AU69*F69*'Fuel Prices'!$C$13,IF(X69="LNG",AU69*F69*'Fuel Prices'!$C$14,IF(X69="LPG",AU69*F69*'Fuel Prices'!$C$16,IF(X69="PROP",AU69*F69*'Fuel Prices'!$C$16,IF(X69="ELEC",AU69*F69*'Fuel Prices'!$C$35,"0"))))))))</f>
        <v/>
      </c>
      <c r="DK69" s="818" t="str">
        <f t="shared" si="117"/>
        <v/>
      </c>
      <c r="DL69" s="818" t="str">
        <f t="shared" si="118"/>
        <v/>
      </c>
      <c r="DM69" s="804" t="str">
        <f t="shared" si="119"/>
        <v/>
      </c>
      <c r="DN69" s="804" t="str">
        <f t="shared" si="120"/>
        <v/>
      </c>
      <c r="DO69" s="804" t="str">
        <f>IFERROR(ROUND(CZ69*IF(COUNTIF($B$20:B69,B69)=1,1,"")/IF(B69="",0,1),0),"")</f>
        <v/>
      </c>
      <c r="DP69" s="804" t="str">
        <f>IFERROR(ROUND(CW69*IF(COUNTIF($B$20:B69,B69)=1,1,"")/IF(B69="",0,1),0),"")</f>
        <v/>
      </c>
      <c r="DQ69" s="804" t="str">
        <f>IFERROR(ROUND(DA69*IF(COUNTIF($B$20:B69,B69)=1,1,"")/IF(B69="",0,1),0),"")</f>
        <v/>
      </c>
      <c r="DR69" s="804" t="str">
        <f>IFERROR(ROUND(CX69*IF(COUNTIF($B$20:B69,B69)=1,1,"")/IF(B69="",0,1),0),"")</f>
        <v/>
      </c>
      <c r="DS69" s="804">
        <f t="shared" si="121"/>
        <v>0</v>
      </c>
      <c r="DT69" s="804">
        <f t="shared" si="122"/>
        <v>0</v>
      </c>
      <c r="DU69" s="804">
        <f t="shared" si="123"/>
        <v>0</v>
      </c>
      <c r="DV69" s="818" t="str">
        <f t="shared" si="66"/>
        <v/>
      </c>
      <c r="DW69" s="819" t="str">
        <f t="shared" si="67"/>
        <v/>
      </c>
    </row>
    <row r="70" spans="1:127" ht="18" customHeight="1" x14ac:dyDescent="0.35">
      <c r="A70" s="635"/>
      <c r="B70" s="820"/>
      <c r="C70" s="825" t="str">
        <f t="shared" si="69"/>
        <v>(Required)</v>
      </c>
      <c r="D70" s="821"/>
      <c r="E70" s="825" t="str">
        <f t="shared" si="69"/>
        <v>(Required)</v>
      </c>
      <c r="F70" s="821"/>
      <c r="G70" s="825" t="str">
        <f t="shared" si="70"/>
        <v>(Required)</v>
      </c>
      <c r="H70" s="822"/>
      <c r="I70" s="825" t="str">
        <f t="shared" si="71"/>
        <v>(Required)</v>
      </c>
      <c r="J70" s="821"/>
      <c r="K70" s="825" t="str">
        <f t="shared" si="72"/>
        <v>(Required)</v>
      </c>
      <c r="L70" s="821"/>
      <c r="M70" s="825" t="str">
        <f t="shared" si="73"/>
        <v>(Required)</v>
      </c>
      <c r="N70" s="821"/>
      <c r="O70" s="825" t="str">
        <f t="shared" si="74"/>
        <v>(Required)</v>
      </c>
      <c r="P70" s="821"/>
      <c r="Q70" s="825" t="str">
        <f t="shared" si="75"/>
        <v>(Required)</v>
      </c>
      <c r="R70" s="823"/>
      <c r="S70" s="826" t="str">
        <f t="shared" si="76"/>
        <v>(Optional)</v>
      </c>
      <c r="T70" s="821"/>
      <c r="U70" s="827" t="str">
        <f t="shared" si="77"/>
        <v>(Required)</v>
      </c>
      <c r="V70" s="828"/>
      <c r="W70" s="799" t="str">
        <f t="shared" si="9"/>
        <v>(Optional)</v>
      </c>
      <c r="X70" s="822"/>
      <c r="Y70" s="825" t="str">
        <f t="shared" si="78"/>
        <v>(Required)</v>
      </c>
      <c r="Z70" s="821"/>
      <c r="AA70" s="825" t="str">
        <f t="shared" si="79"/>
        <v>(Required)</v>
      </c>
      <c r="AB70" s="821"/>
      <c r="AC70" s="825" t="str">
        <f t="shared" si="80"/>
        <v>(Required)</v>
      </c>
      <c r="AD70" s="821"/>
      <c r="AE70" s="825" t="str">
        <f t="shared" si="81"/>
        <v>(Required)</v>
      </c>
      <c r="AF70" s="821"/>
      <c r="AG70" s="825" t="str">
        <f t="shared" si="82"/>
        <v>(Required)</v>
      </c>
      <c r="AH70" s="823"/>
      <c r="AI70" s="826" t="str">
        <f t="shared" si="83"/>
        <v>(Optional)</v>
      </c>
      <c r="AJ70" s="821"/>
      <c r="AK70" s="825" t="str">
        <f t="shared" si="84"/>
        <v>(Required)</v>
      </c>
      <c r="AL70" s="803" t="str">
        <f t="shared" si="85"/>
        <v/>
      </c>
      <c r="AM70" s="803" t="str">
        <f>IF(H70="DESL",'Fuel Density'!$C$12,IF(H70="GAS",'Fuel Density'!$C$11,IF(H70="CNG",'Fuel Density'!$C$13,IF(H70="LNG",'Fuel Density'!$C$14,IF(H70="LPG",'Fuel Density'!$C$15,IF(H70="PROP",'Fuel Density'!$C$16,IF(H70="","","")))))))</f>
        <v/>
      </c>
      <c r="AN70" s="803" t="str">
        <f>IF(H70="DESL",'Fuel-Specific GHG'!$C$14,IF(H70="GAS",'Fuel-Specific GHG'!$C$16,IF(H70="CNG",'Fuel-Specific GHG'!$C$13,IF(H70="LNG",'Fuel-Specific GHG'!$C$18,IF(OR(H70="LPG",H70="PROP"),'Fuel-Specific GHG'!$C$19,IF(H70="","",""))))))</f>
        <v/>
      </c>
      <c r="AO70" s="804" t="str">
        <f>IFERROR(((P70*(IF(ISBLANK(R70),Defaults!$B$19,R70))*T70*AL70)/AM70),"")</f>
        <v/>
      </c>
      <c r="AP70" s="805" t="str">
        <f t="shared" si="86"/>
        <v/>
      </c>
      <c r="AQ70" s="805" t="str">
        <f>IF(H70="DESL",'Fuel-Specific GHG'!$E$14,IF(H70="GAS",'Fuel-Specific GHG'!$E$16,IF(H70="CNG",'Fuel-Specific GHG'!$E$13,IF(H70="LNG",'Fuel-Specific GHG'!$E$18,IF(OR(H70="LPG",H70="PROP"),'Fuel-Specific GHG'!$E$19,"")))))</f>
        <v/>
      </c>
      <c r="AR70" s="805" t="str">
        <f t="shared" si="87"/>
        <v/>
      </c>
      <c r="AS70" s="803" t="str">
        <f t="shared" si="58"/>
        <v/>
      </c>
      <c r="AT70" s="803" t="str">
        <f>IF(X70="DESL",'Fuel Density'!$C$12,IF(X70="PROP",'Fuel Density'!$C$16,IF(X70="GAS",'Fuel Density'!$C$11,IF(X70="CNG",'Fuel Density'!$C$13,IF(X70="LNG",'Fuel Density'!$C$14,IF(X70="LPG",'Fuel Density'!$C$15,IF(X70="","","")))))))</f>
        <v/>
      </c>
      <c r="AU70" s="804" t="str">
        <f>IFERROR(IF(X70="ELEC",AO70*AN70*(1/'Fuel-Specific GHG'!$C$15)*(1/IF(H70="GAS",3.4,IF(H70="DESL",2.7,3))),((AF70*(IF(ISBLANK(AH70),Defaults!$B$19,AH70))*AJ70*AS70)/AT70)),"")</f>
        <v/>
      </c>
      <c r="AV70" s="805" t="str">
        <f t="shared" si="88"/>
        <v/>
      </c>
      <c r="AW70" s="805" t="str">
        <f>IF(X70="DESL",'Fuel-Specific GHG'!$E$14,IF(X70="PROP",'Fuel-Specific GHG'!$E$19,IF(X70="GAS",'Fuel-Specific GHG'!$E$16,IF(X70="CNG",'Fuel-Specific GHG'!$E$13,IF(X70="LNG",'Fuel-Specific GHG'!$E$18,IF(X70="LPG",'Fuel-Specific GHG'!$E$19,IF(X70="ELEC",'Fuel-Specific GHG'!$E$15,"")))))))</f>
        <v/>
      </c>
      <c r="AX70" s="805" t="str">
        <f t="shared" si="89"/>
        <v/>
      </c>
      <c r="AY70" s="806" t="str">
        <f t="shared" si="90"/>
        <v/>
      </c>
      <c r="AZ70" s="806" t="str">
        <f t="shared" si="68"/>
        <v/>
      </c>
      <c r="BA70" s="806" t="str">
        <f t="shared" si="59"/>
        <v/>
      </c>
      <c r="BB70" s="804" t="str">
        <f t="shared" si="23"/>
        <v/>
      </c>
      <c r="BC70" s="807" t="str">
        <f t="shared" si="91"/>
        <v/>
      </c>
      <c r="BD70" s="807"/>
      <c r="BE70" s="808" t="str">
        <f t="shared" si="92"/>
        <v/>
      </c>
      <c r="BF70" s="809" t="str">
        <f t="shared" si="93"/>
        <v/>
      </c>
      <c r="BG70" s="808" t="str">
        <f t="shared" si="60"/>
        <v/>
      </c>
      <c r="BH70" s="810">
        <f t="shared" si="61"/>
        <v>0</v>
      </c>
      <c r="BI70" s="803" t="str">
        <f>IFERROR(VLOOKUP(BH70,'Pump Emission Factors'!$B$11:$J$88,4,FALSE),"")</f>
        <v/>
      </c>
      <c r="BJ70" s="803" t="str">
        <f>IFERROR(VLOOKUP(BH70,'Pump Emission Factors'!$B$11:$J$88,6,FALSE),"")</f>
        <v/>
      </c>
      <c r="BK70" s="803" t="str">
        <f>IFERROR(VLOOKUP(BH70,'Pump Emission Factors'!$B$11:$J$88,8,FALSE),"")</f>
        <v/>
      </c>
      <c r="BL70" s="803" t="str">
        <f>IFERROR(VLOOKUP(BH70,'Pump Emission Factors'!$B$11:$J$88,5,FALSE),"")</f>
        <v/>
      </c>
      <c r="BM70" s="803" t="str">
        <f>IFERROR(VLOOKUP(BH70,'Pump Emission Factors'!$B$11:$J$88,7,FALSE),"")</f>
        <v/>
      </c>
      <c r="BN70" s="803" t="str">
        <f>IFERROR(VLOOKUP(BH70,'Pump Emission Factors'!$B$11:$J$88,9,FALSE),"")</f>
        <v/>
      </c>
      <c r="BO70" s="811" t="str">
        <f t="shared" si="94"/>
        <v/>
      </c>
      <c r="BP70" s="811" t="str">
        <f t="shared" si="95"/>
        <v/>
      </c>
      <c r="BQ70" s="803">
        <f>IFERROR(((BI70+(BL70*BP70))*(IF(ISBLANK(R70),Defaults!$B$19,R70))*P70*T70)*F70*(1/454),0)</f>
        <v>0</v>
      </c>
      <c r="BR70" s="803">
        <f>IFERROR(((BJ70+(BM70*BP70))*(IF(ISBLANK(R70),Defaults!$B$19,R70))*P70*T70)*F70*(1/454),0)</f>
        <v>0</v>
      </c>
      <c r="BS70" s="803">
        <f>IFERROR(((BK70+(BN70*BP70))*(IF(ISBLANK(R70),Defaults!$B$19,R70))*P70*T70)*F70*(1/454),0)</f>
        <v>0</v>
      </c>
      <c r="BT70" s="803">
        <f t="shared" si="96"/>
        <v>0</v>
      </c>
      <c r="BU70" s="803">
        <f t="shared" si="97"/>
        <v>0</v>
      </c>
      <c r="BV70" s="812" t="str">
        <f t="shared" si="98"/>
        <v/>
      </c>
      <c r="BW70" s="808" t="str">
        <f t="shared" si="99"/>
        <v/>
      </c>
      <c r="BX70" s="809" t="str">
        <f t="shared" si="32"/>
        <v/>
      </c>
      <c r="BY70" s="808" t="str">
        <f t="shared" si="63"/>
        <v/>
      </c>
      <c r="BZ70" s="810">
        <f t="shared" si="64"/>
        <v>0</v>
      </c>
      <c r="CA70" s="813" t="str">
        <f>IFERROR(VLOOKUP(BZ70,'Pump Emission Factors'!$B$11:$J$88,4,FALSE),"")</f>
        <v/>
      </c>
      <c r="CB70" s="813" t="str">
        <f>IFERROR(VLOOKUP(BZ70,'Pump Emission Factors'!$B$11:$J$88,6,FALSE),"")</f>
        <v/>
      </c>
      <c r="CC70" s="813" t="str">
        <f>IFERROR(VLOOKUP(BZ70,'Pump Emission Factors'!$B$11:$J$88,8,FALSE),"")</f>
        <v/>
      </c>
      <c r="CD70" s="813" t="str">
        <f>IFERROR(VLOOKUP(BZ70,'Pump Emission Factors'!$B$11:$J$88,5,FALSE),"")</f>
        <v/>
      </c>
      <c r="CE70" s="813" t="str">
        <f>IFERROR(VLOOKUP(BZ70,'Pump Emission Factors'!$B$11:$J$88,7,FALSE),"")</f>
        <v/>
      </c>
      <c r="CF70" s="813" t="str">
        <f>IFERROR(VLOOKUP(BZ70,'Pump Emission Factors'!$B$11:$J$88,9,FALSE),"")</f>
        <v/>
      </c>
      <c r="CG70" s="814" t="str">
        <f t="shared" si="100"/>
        <v/>
      </c>
      <c r="CH70" s="814" t="str">
        <f t="shared" si="101"/>
        <v/>
      </c>
      <c r="CI70" s="813">
        <f>IFERROR(IF($X70="ELEC",((($AU70*(IF($H70="DESL",'Fuel-Specific GHG'!$C$14,IF($H70="GAS",'Fuel-Specific GHG'!$C$16,IF($H70="CNG",'Fuel-Specific GHG'!$C$13,IF(OR($H70="LPG",$H70="PROP"),'Fuel-Specific GHG'!$C$19,"")))))*(1/'Fuel-Specific GHG'!$C$15)*(1/3.4)*$F70)*'Grid Electricity'!$D$39)/454),((CA70+(CD70*CH70))*(IF(ISBLANK(AH70),Defaults!$B$19,AH70))*$AF70*$AJ70*$F70)),0)</f>
        <v>0</v>
      </c>
      <c r="CJ70" s="813">
        <f>IFERROR(IF($X70="ELEC",((($AU70*(IF($H70="DESL",'Fuel-Specific GHG'!$C$14,IF($H70="GAS",'Fuel-Specific GHG'!$C$16,IF($H70="CNG",'Fuel-Specific GHG'!$C$13,IF(OR($H70="LPG",$H70="PROP"),'Fuel-Specific GHG'!$C$19,"")))))*(1/'Fuel-Specific GHG'!$C$15)*(1/3.4)*$F70)*'Grid Electricity'!$C$39)/454),((CB70+(CE70*CH70))*(IF(ISBLANK(AH70),Defaults!$B$19,AH70))*$AF70*$AJ70*$F70)),0)</f>
        <v>0</v>
      </c>
      <c r="CK70" s="813">
        <f>IFERROR(IF($X70="ELEC",((($AU70*(IF($H70="DESL",'Fuel-Specific GHG'!$C$14,IF($H70="GAS",'Fuel-Specific GHG'!$C$16,IF($H70="CNG",'Fuel-Specific GHG'!$C$13,IF(OR($H70="LPG",$H70="PROP"),'Fuel-Specific GHG'!$C$19,"")))))*(1/'Fuel-Specific GHG'!$C$15)*(1/3.4)*$F70)*'Grid Electricity'!$F$39)/454),((CC70+(CF70*CH70))*(IF(ISBLANK(AH70),Defaults!$B$19,AH70))*$AF70*$AJ70*$F70)),0)</f>
        <v>0</v>
      </c>
      <c r="CL70" s="813">
        <f t="shared" si="102"/>
        <v>0</v>
      </c>
      <c r="CM70" s="813">
        <f t="shared" si="103"/>
        <v>0</v>
      </c>
      <c r="CN70" s="814" t="str">
        <f t="shared" si="104"/>
        <v/>
      </c>
      <c r="CO70" s="814" t="str">
        <f t="shared" si="105"/>
        <v/>
      </c>
      <c r="CP70" s="814" t="str">
        <f t="shared" si="106"/>
        <v/>
      </c>
      <c r="CQ70" s="814" t="str">
        <f t="shared" si="107"/>
        <v/>
      </c>
      <c r="CR70" s="815" t="str">
        <f>IF(AND(V70="Yes, Booster Pump VFD",AF70&lt;=75),('Pump Emission Factors'!$F$95*F70),(IF(AND(V70="Yes, Booster Pump VFD",AF70&gt;75),('Pump Emission Factors'!$F$96*F70),(IF(AND(V70="Yes, Well Pump VFD",AF70&lt;=75),('Pump Emission Factors'!$F$97*F70),(IF(AND(V70="Yes, Well Pump VFD",AF70&gt;75),('Pump Emission Factors'!$F$98*F70),"")))))))</f>
        <v/>
      </c>
      <c r="CS70" s="815" t="str">
        <f>IF(AND(V70="Yes, Booster Pump VFD",AF70&lt;=75),('Pump Emission Factors'!$G$95*F70),(IF(AND(V70="Yes, Booster Pump VFD",AF70&gt;75),('Pump Emission Factors'!$G$96*F70),(IF(AND(V70="Yes, Well Pump VFD",AF70&lt;=75),('Pump Emission Factors'!$G$97*F70),(IF(AND(V70="Yes, Well Pump VFD",AF70&gt;75),('Pump Emission Factors'!$G$98*F70),"")))))))</f>
        <v/>
      </c>
      <c r="CT70" s="815" t="str">
        <f>IF(AND(V70="Yes, Booster Pump VFD",AF70&lt;=75),('Pump Emission Factors'!$H$95*F70),(IF(AND(V70="Yes, Booster Pump VFD",AF70&gt;75),('Pump Emission Factors'!$H$96*F70),(IF(AND(V70="Yes, Well Pump VFD",AF70&lt;=75),('Pump Emission Factors'!$H$97*F70),(IF(AND(V70="Yes, Well Pump VFD",AF70&gt;75),('Pump Emission Factors'!$H$98*F70),"")))))))</f>
        <v/>
      </c>
      <c r="CU70" s="815" t="str">
        <f>IF(AND(V70="Yes, Booster Pump VFD",AF70&lt;=75),('Pump Emission Factors'!$J$95*F70),(IF(AND(V70="Yes, Booster Pump VFD",AF70&gt;75),('Pump Emission Factors'!$J$96*F70),(IF(AND(V70="Yes, Well Pump VFD",AF70&lt;=75),('Pump Emission Factors'!$J$97*F70),(IF(AND(V70="Yes, Well Pump VFD",AF70&gt;75),('Pump Emission Factors'!$J$98*F70),"")))))))</f>
        <v/>
      </c>
      <c r="CV70" s="815" t="str">
        <f>IF(AND(V70="Yes, Booster Pump VFD",AF70&lt;=75),('Pump Emission Factors'!$I$95*F70),(IF(AND(V70="Yes, Booster Pump VFD",AF70&gt;75),('Pump Emission Factors'!$I$96*F70),(IF(AND(V70="Yes, Well Pump VFD",AF70&lt;=75),('Pump Emission Factors'!$I$97*F70),(IF(AND(V70="Yes, Well Pump VFD",AF70&gt;75),('Pump Emission Factors'!$I$98*F70),"")))))))</f>
        <v/>
      </c>
      <c r="CW70" s="806">
        <f t="shared" si="108"/>
        <v>0</v>
      </c>
      <c r="CX70" s="806">
        <f t="shared" si="109"/>
        <v>0</v>
      </c>
      <c r="CY70" s="806">
        <f t="shared" si="110"/>
        <v>0</v>
      </c>
      <c r="CZ70" s="806">
        <f t="shared" si="111"/>
        <v>0</v>
      </c>
      <c r="DA70" s="806">
        <f t="shared" si="112"/>
        <v>0</v>
      </c>
      <c r="DB70" s="816" t="str">
        <f t="shared" si="65"/>
        <v/>
      </c>
      <c r="DC70" s="816" t="str">
        <f t="shared" si="65"/>
        <v/>
      </c>
      <c r="DD70" s="816" t="str">
        <f t="shared" si="65"/>
        <v/>
      </c>
      <c r="DE70" s="817" t="str">
        <f t="shared" si="113"/>
        <v/>
      </c>
      <c r="DF70" s="817" t="str">
        <f t="shared" si="114"/>
        <v/>
      </c>
      <c r="DG70" s="804" t="str">
        <f t="shared" si="115"/>
        <v/>
      </c>
      <c r="DH70" s="804" t="str">
        <f t="shared" si="116"/>
        <v/>
      </c>
      <c r="DI70" s="818" t="str">
        <f>IF(AO70="","",IF(H70="DESL",AO70*F70*'Fuel Prices'!$C$12,IF(H70="GAS",AO70*F70*'Fuel Prices'!$C$11,IF(H70="CNG",AO70*F70*'Fuel Prices'!$C$13,IF(H70="LNG",AO70*F70*'Fuel Prices'!$C$14,IF(H70="LPG",AO70*F70*'Fuel Prices'!$C$16,IF(H70="PROP",AO70*F70*'Fuel Prices'!$C$16,"0")))))))</f>
        <v/>
      </c>
      <c r="DJ70" s="818" t="str">
        <f>IF(AU70="","",IF(X70="DESL",AU70*F70*'Fuel Prices'!$C$12,IF(X70="GAS",AU70*F70*'Fuel Prices'!$C$11,IF(X70="CNG",AU70*F70*'Fuel Prices'!$C$13,IF(X70="LNG",AU70*F70*'Fuel Prices'!$C$14,IF(X70="LPG",AU70*F70*'Fuel Prices'!$C$16,IF(X70="PROP",AU70*F70*'Fuel Prices'!$C$16,IF(X70="ELEC",AU70*F70*'Fuel Prices'!$C$35,"0"))))))))</f>
        <v/>
      </c>
      <c r="DK70" s="818" t="str">
        <f t="shared" si="117"/>
        <v/>
      </c>
      <c r="DL70" s="818" t="str">
        <f t="shared" si="118"/>
        <v/>
      </c>
      <c r="DM70" s="804" t="str">
        <f t="shared" si="119"/>
        <v/>
      </c>
      <c r="DN70" s="804" t="str">
        <f t="shared" si="120"/>
        <v/>
      </c>
      <c r="DO70" s="804" t="str">
        <f>IFERROR(ROUND(CZ70*IF(COUNTIF($B$20:B70,B70)=1,1,"")/IF(B70="",0,1),0),"")</f>
        <v/>
      </c>
      <c r="DP70" s="804" t="str">
        <f>IFERROR(ROUND(CW70*IF(COUNTIF($B$20:B70,B70)=1,1,"")/IF(B70="",0,1),0),"")</f>
        <v/>
      </c>
      <c r="DQ70" s="804" t="str">
        <f>IFERROR(ROUND(DA70*IF(COUNTIF($B$20:B70,B70)=1,1,"")/IF(B70="",0,1),0),"")</f>
        <v/>
      </c>
      <c r="DR70" s="804" t="str">
        <f>IFERROR(ROUND(CX70*IF(COUNTIF($B$20:B70,B70)=1,1,"")/IF(B70="",0,1),0),"")</f>
        <v/>
      </c>
      <c r="DS70" s="804">
        <f t="shared" si="121"/>
        <v>0</v>
      </c>
      <c r="DT70" s="804">
        <f t="shared" si="122"/>
        <v>0</v>
      </c>
      <c r="DU70" s="804">
        <f t="shared" si="123"/>
        <v>0</v>
      </c>
      <c r="DV70" s="818" t="str">
        <f t="shared" si="66"/>
        <v/>
      </c>
      <c r="DW70" s="819" t="str">
        <f t="shared" si="67"/>
        <v/>
      </c>
    </row>
    <row r="71" spans="1:127" ht="18" customHeight="1" x14ac:dyDescent="0.35">
      <c r="A71" s="696"/>
      <c r="B71" s="820"/>
      <c r="C71" s="825" t="str">
        <f t="shared" si="69"/>
        <v>(Required)</v>
      </c>
      <c r="D71" s="821"/>
      <c r="E71" s="825" t="str">
        <f t="shared" si="69"/>
        <v>(Required)</v>
      </c>
      <c r="F71" s="821"/>
      <c r="G71" s="825" t="str">
        <f t="shared" si="70"/>
        <v>(Required)</v>
      </c>
      <c r="H71" s="822"/>
      <c r="I71" s="825" t="str">
        <f t="shared" si="71"/>
        <v>(Required)</v>
      </c>
      <c r="J71" s="821"/>
      <c r="K71" s="825" t="str">
        <f t="shared" si="72"/>
        <v>(Required)</v>
      </c>
      <c r="L71" s="821"/>
      <c r="M71" s="825" t="str">
        <f t="shared" si="73"/>
        <v>(Required)</v>
      </c>
      <c r="N71" s="821"/>
      <c r="O71" s="825" t="str">
        <f t="shared" si="74"/>
        <v>(Required)</v>
      </c>
      <c r="P71" s="821"/>
      <c r="Q71" s="825" t="str">
        <f t="shared" si="75"/>
        <v>(Required)</v>
      </c>
      <c r="R71" s="823"/>
      <c r="S71" s="826" t="str">
        <f t="shared" si="76"/>
        <v>(Optional)</v>
      </c>
      <c r="T71" s="821"/>
      <c r="U71" s="827" t="str">
        <f t="shared" si="77"/>
        <v>(Required)</v>
      </c>
      <c r="V71" s="828"/>
      <c r="W71" s="799" t="str">
        <f t="shared" si="9"/>
        <v>(Optional)</v>
      </c>
      <c r="X71" s="822"/>
      <c r="Y71" s="825" t="str">
        <f t="shared" si="78"/>
        <v>(Required)</v>
      </c>
      <c r="Z71" s="821"/>
      <c r="AA71" s="825" t="str">
        <f t="shared" si="79"/>
        <v>(Required)</v>
      </c>
      <c r="AB71" s="821"/>
      <c r="AC71" s="825" t="str">
        <f t="shared" si="80"/>
        <v>(Required)</v>
      </c>
      <c r="AD71" s="821"/>
      <c r="AE71" s="825" t="str">
        <f t="shared" si="81"/>
        <v>(Required)</v>
      </c>
      <c r="AF71" s="821"/>
      <c r="AG71" s="825" t="str">
        <f t="shared" si="82"/>
        <v>(Required)</v>
      </c>
      <c r="AH71" s="823"/>
      <c r="AI71" s="826" t="str">
        <f t="shared" si="83"/>
        <v>(Optional)</v>
      </c>
      <c r="AJ71" s="821"/>
      <c r="AK71" s="825" t="str">
        <f t="shared" si="84"/>
        <v>(Required)</v>
      </c>
      <c r="AL71" s="803" t="str">
        <f t="shared" si="85"/>
        <v/>
      </c>
      <c r="AM71" s="803" t="str">
        <f>IF(H71="DESL",'Fuel Density'!$C$12,IF(H71="GAS",'Fuel Density'!$C$11,IF(H71="CNG",'Fuel Density'!$C$13,IF(H71="LNG",'Fuel Density'!$C$14,IF(H71="LPG",'Fuel Density'!$C$15,IF(H71="PROP",'Fuel Density'!$C$16,IF(H71="","","")))))))</f>
        <v/>
      </c>
      <c r="AN71" s="803" t="str">
        <f>IF(H71="DESL",'Fuel-Specific GHG'!$C$14,IF(H71="GAS",'Fuel-Specific GHG'!$C$16,IF(H71="CNG",'Fuel-Specific GHG'!$C$13,IF(H71="LNG",'Fuel-Specific GHG'!$C$18,IF(OR(H71="LPG",H71="PROP"),'Fuel-Specific GHG'!$C$19,IF(H71="","",""))))))</f>
        <v/>
      </c>
      <c r="AO71" s="804" t="str">
        <f>IFERROR(((P71*(IF(ISBLANK(R71),Defaults!$B$19,R71))*T71*AL71)/AM71),"")</f>
        <v/>
      </c>
      <c r="AP71" s="805" t="str">
        <f t="shared" si="86"/>
        <v/>
      </c>
      <c r="AQ71" s="805" t="str">
        <f>IF(H71="DESL",'Fuel-Specific GHG'!$E$14,IF(H71="GAS",'Fuel-Specific GHG'!$E$16,IF(H71="CNG",'Fuel-Specific GHG'!$E$13,IF(H71="LNG",'Fuel-Specific GHG'!$E$18,IF(OR(H71="LPG",H71="PROP"),'Fuel-Specific GHG'!$E$19,"")))))</f>
        <v/>
      </c>
      <c r="AR71" s="805" t="str">
        <f t="shared" si="87"/>
        <v/>
      </c>
      <c r="AS71" s="803" t="str">
        <f t="shared" si="58"/>
        <v/>
      </c>
      <c r="AT71" s="803" t="str">
        <f>IF(X71="DESL",'Fuel Density'!$C$12,IF(X71="PROP",'Fuel Density'!$C$16,IF(X71="GAS",'Fuel Density'!$C$11,IF(X71="CNG",'Fuel Density'!$C$13,IF(X71="LNG",'Fuel Density'!$C$14,IF(X71="LPG",'Fuel Density'!$C$15,IF(X71="","","")))))))</f>
        <v/>
      </c>
      <c r="AU71" s="804" t="str">
        <f>IFERROR(IF(X71="ELEC",AO71*AN71*(1/'Fuel-Specific GHG'!$C$15)*(1/IF(H71="GAS",3.4,IF(H71="DESL",2.7,3))),((AF71*(IF(ISBLANK(AH71),Defaults!$B$19,AH71))*AJ71*AS71)/AT71)),"")</f>
        <v/>
      </c>
      <c r="AV71" s="805" t="str">
        <f t="shared" si="88"/>
        <v/>
      </c>
      <c r="AW71" s="805" t="str">
        <f>IF(X71="DESL",'Fuel-Specific GHG'!$E$14,IF(X71="PROP",'Fuel-Specific GHG'!$E$19,IF(X71="GAS",'Fuel-Specific GHG'!$E$16,IF(X71="CNG",'Fuel-Specific GHG'!$E$13,IF(X71="LNG",'Fuel-Specific GHG'!$E$18,IF(X71="LPG",'Fuel-Specific GHG'!$E$19,IF(X71="ELEC",'Fuel-Specific GHG'!$E$15,"")))))))</f>
        <v/>
      </c>
      <c r="AX71" s="805" t="str">
        <f t="shared" si="89"/>
        <v/>
      </c>
      <c r="AY71" s="806" t="str">
        <f t="shared" si="90"/>
        <v/>
      </c>
      <c r="AZ71" s="806" t="str">
        <f t="shared" si="68"/>
        <v/>
      </c>
      <c r="BA71" s="806" t="str">
        <f t="shared" si="59"/>
        <v/>
      </c>
      <c r="BB71" s="804" t="str">
        <f t="shared" si="23"/>
        <v/>
      </c>
      <c r="BC71" s="807" t="str">
        <f t="shared" si="91"/>
        <v/>
      </c>
      <c r="BD71" s="807"/>
      <c r="BE71" s="808" t="str">
        <f t="shared" si="92"/>
        <v/>
      </c>
      <c r="BF71" s="809" t="str">
        <f t="shared" si="93"/>
        <v/>
      </c>
      <c r="BG71" s="808" t="str">
        <f t="shared" si="60"/>
        <v/>
      </c>
      <c r="BH71" s="810">
        <f t="shared" si="61"/>
        <v>0</v>
      </c>
      <c r="BI71" s="803" t="str">
        <f>IFERROR(VLOOKUP(BH71,'Pump Emission Factors'!$B$11:$J$88,4,FALSE),"")</f>
        <v/>
      </c>
      <c r="BJ71" s="803" t="str">
        <f>IFERROR(VLOOKUP(BH71,'Pump Emission Factors'!$B$11:$J$88,6,FALSE),"")</f>
        <v/>
      </c>
      <c r="BK71" s="803" t="str">
        <f>IFERROR(VLOOKUP(BH71,'Pump Emission Factors'!$B$11:$J$88,8,FALSE),"")</f>
        <v/>
      </c>
      <c r="BL71" s="803" t="str">
        <f>IFERROR(VLOOKUP(BH71,'Pump Emission Factors'!$B$11:$J$88,5,FALSE),"")</f>
        <v/>
      </c>
      <c r="BM71" s="803" t="str">
        <f>IFERROR(VLOOKUP(BH71,'Pump Emission Factors'!$B$11:$J$88,7,FALSE),"")</f>
        <v/>
      </c>
      <c r="BN71" s="803" t="str">
        <f>IFERROR(VLOOKUP(BH71,'Pump Emission Factors'!$B$11:$J$88,9,FALSE),"")</f>
        <v/>
      </c>
      <c r="BO71" s="811" t="str">
        <f t="shared" si="94"/>
        <v/>
      </c>
      <c r="BP71" s="811" t="str">
        <f t="shared" si="95"/>
        <v/>
      </c>
      <c r="BQ71" s="803">
        <f>IFERROR(((BI71+(BL71*BP71))*(IF(ISBLANK(R71),Defaults!$B$19,R71))*P71*T71)*F71*(1/454),0)</f>
        <v>0</v>
      </c>
      <c r="BR71" s="803">
        <f>IFERROR(((BJ71+(BM71*BP71))*(IF(ISBLANK(R71),Defaults!$B$19,R71))*P71*T71)*F71*(1/454),0)</f>
        <v>0</v>
      </c>
      <c r="BS71" s="803">
        <f>IFERROR(((BK71+(BN71*BP71))*(IF(ISBLANK(R71),Defaults!$B$19,R71))*P71*T71)*F71*(1/454),0)</f>
        <v>0</v>
      </c>
      <c r="BT71" s="803">
        <f t="shared" si="96"/>
        <v>0</v>
      </c>
      <c r="BU71" s="803">
        <f t="shared" si="97"/>
        <v>0</v>
      </c>
      <c r="BV71" s="812" t="str">
        <f t="shared" si="98"/>
        <v/>
      </c>
      <c r="BW71" s="808" t="str">
        <f t="shared" si="99"/>
        <v/>
      </c>
      <c r="BX71" s="809" t="str">
        <f t="shared" si="32"/>
        <v/>
      </c>
      <c r="BY71" s="808" t="str">
        <f t="shared" si="63"/>
        <v/>
      </c>
      <c r="BZ71" s="810">
        <f t="shared" si="64"/>
        <v>0</v>
      </c>
      <c r="CA71" s="813" t="str">
        <f>IFERROR(VLOOKUP(BZ71,'Pump Emission Factors'!$B$11:$J$88,4,FALSE),"")</f>
        <v/>
      </c>
      <c r="CB71" s="813" t="str">
        <f>IFERROR(VLOOKUP(BZ71,'Pump Emission Factors'!$B$11:$J$88,6,FALSE),"")</f>
        <v/>
      </c>
      <c r="CC71" s="813" t="str">
        <f>IFERROR(VLOOKUP(BZ71,'Pump Emission Factors'!$B$11:$J$88,8,FALSE),"")</f>
        <v/>
      </c>
      <c r="CD71" s="813" t="str">
        <f>IFERROR(VLOOKUP(BZ71,'Pump Emission Factors'!$B$11:$J$88,5,FALSE),"")</f>
        <v/>
      </c>
      <c r="CE71" s="813" t="str">
        <f>IFERROR(VLOOKUP(BZ71,'Pump Emission Factors'!$B$11:$J$88,7,FALSE),"")</f>
        <v/>
      </c>
      <c r="CF71" s="813" t="str">
        <f>IFERROR(VLOOKUP(BZ71,'Pump Emission Factors'!$B$11:$J$88,9,FALSE),"")</f>
        <v/>
      </c>
      <c r="CG71" s="814" t="str">
        <f t="shared" si="100"/>
        <v/>
      </c>
      <c r="CH71" s="814" t="str">
        <f t="shared" si="101"/>
        <v/>
      </c>
      <c r="CI71" s="813">
        <f>IFERROR(IF($X71="ELEC",((($AU71*(IF($H71="DESL",'Fuel-Specific GHG'!$C$14,IF($H71="GAS",'Fuel-Specific GHG'!$C$16,IF($H71="CNG",'Fuel-Specific GHG'!$C$13,IF(OR($H71="LPG",$H71="PROP"),'Fuel-Specific GHG'!$C$19,"")))))*(1/'Fuel-Specific GHG'!$C$15)*(1/3.4)*$F71)*'Grid Electricity'!$D$39)/454),((CA71+(CD71*CH71))*(IF(ISBLANK(AH71),Defaults!$B$19,AH71))*$AF71*$AJ71*$F71)),0)</f>
        <v>0</v>
      </c>
      <c r="CJ71" s="813">
        <f>IFERROR(IF($X71="ELEC",((($AU71*(IF($H71="DESL",'Fuel-Specific GHG'!$C$14,IF($H71="GAS",'Fuel-Specific GHG'!$C$16,IF($H71="CNG",'Fuel-Specific GHG'!$C$13,IF(OR($H71="LPG",$H71="PROP"),'Fuel-Specific GHG'!$C$19,"")))))*(1/'Fuel-Specific GHG'!$C$15)*(1/3.4)*$F71)*'Grid Electricity'!$C$39)/454),((CB71+(CE71*CH71))*(IF(ISBLANK(AH71),Defaults!$B$19,AH71))*$AF71*$AJ71*$F71)),0)</f>
        <v>0</v>
      </c>
      <c r="CK71" s="813">
        <f>IFERROR(IF($X71="ELEC",((($AU71*(IF($H71="DESL",'Fuel-Specific GHG'!$C$14,IF($H71="GAS",'Fuel-Specific GHG'!$C$16,IF($H71="CNG",'Fuel-Specific GHG'!$C$13,IF(OR($H71="LPG",$H71="PROP"),'Fuel-Specific GHG'!$C$19,"")))))*(1/'Fuel-Specific GHG'!$C$15)*(1/3.4)*$F71)*'Grid Electricity'!$F$39)/454),((CC71+(CF71*CH71))*(IF(ISBLANK(AH71),Defaults!$B$19,AH71))*$AF71*$AJ71*$F71)),0)</f>
        <v>0</v>
      </c>
      <c r="CL71" s="813">
        <f t="shared" si="102"/>
        <v>0</v>
      </c>
      <c r="CM71" s="813">
        <f t="shared" si="103"/>
        <v>0</v>
      </c>
      <c r="CN71" s="814" t="str">
        <f t="shared" si="104"/>
        <v/>
      </c>
      <c r="CO71" s="814" t="str">
        <f t="shared" si="105"/>
        <v/>
      </c>
      <c r="CP71" s="814" t="str">
        <f t="shared" si="106"/>
        <v/>
      </c>
      <c r="CQ71" s="814" t="str">
        <f t="shared" si="107"/>
        <v/>
      </c>
      <c r="CR71" s="815" t="str">
        <f>IF(AND(V71="Yes, Booster Pump VFD",AF71&lt;=75),('Pump Emission Factors'!$F$95*F71),(IF(AND(V71="Yes, Booster Pump VFD",AF71&gt;75),('Pump Emission Factors'!$F$96*F71),(IF(AND(V71="Yes, Well Pump VFD",AF71&lt;=75),('Pump Emission Factors'!$F$97*F71),(IF(AND(V71="Yes, Well Pump VFD",AF71&gt;75),('Pump Emission Factors'!$F$98*F71),"")))))))</f>
        <v/>
      </c>
      <c r="CS71" s="815" t="str">
        <f>IF(AND(V71="Yes, Booster Pump VFD",AF71&lt;=75),('Pump Emission Factors'!$G$95*F71),(IF(AND(V71="Yes, Booster Pump VFD",AF71&gt;75),('Pump Emission Factors'!$G$96*F71),(IF(AND(V71="Yes, Well Pump VFD",AF71&lt;=75),('Pump Emission Factors'!$G$97*F71),(IF(AND(V71="Yes, Well Pump VFD",AF71&gt;75),('Pump Emission Factors'!$G$98*F71),"")))))))</f>
        <v/>
      </c>
      <c r="CT71" s="815" t="str">
        <f>IF(AND(V71="Yes, Booster Pump VFD",AF71&lt;=75),('Pump Emission Factors'!$H$95*F71),(IF(AND(V71="Yes, Booster Pump VFD",AF71&gt;75),('Pump Emission Factors'!$H$96*F71),(IF(AND(V71="Yes, Well Pump VFD",AF71&lt;=75),('Pump Emission Factors'!$H$97*F71),(IF(AND(V71="Yes, Well Pump VFD",AF71&gt;75),('Pump Emission Factors'!$H$98*F71),"")))))))</f>
        <v/>
      </c>
      <c r="CU71" s="815" t="str">
        <f>IF(AND(V71="Yes, Booster Pump VFD",AF71&lt;=75),('Pump Emission Factors'!$J$95*F71),(IF(AND(V71="Yes, Booster Pump VFD",AF71&gt;75),('Pump Emission Factors'!$J$96*F71),(IF(AND(V71="Yes, Well Pump VFD",AF71&lt;=75),('Pump Emission Factors'!$J$97*F71),(IF(AND(V71="Yes, Well Pump VFD",AF71&gt;75),('Pump Emission Factors'!$J$98*F71),"")))))))</f>
        <v/>
      </c>
      <c r="CV71" s="815" t="str">
        <f>IF(AND(V71="Yes, Booster Pump VFD",AF71&lt;=75),('Pump Emission Factors'!$I$95*F71),(IF(AND(V71="Yes, Booster Pump VFD",AF71&gt;75),('Pump Emission Factors'!$I$96*F71),(IF(AND(V71="Yes, Well Pump VFD",AF71&lt;=75),('Pump Emission Factors'!$I$97*F71),(IF(AND(V71="Yes, Well Pump VFD",AF71&gt;75),('Pump Emission Factors'!$I$98*F71),"")))))))</f>
        <v/>
      </c>
      <c r="CW71" s="806">
        <f t="shared" si="108"/>
        <v>0</v>
      </c>
      <c r="CX71" s="806">
        <f t="shared" si="109"/>
        <v>0</v>
      </c>
      <c r="CY71" s="806">
        <f t="shared" si="110"/>
        <v>0</v>
      </c>
      <c r="CZ71" s="806">
        <f t="shared" si="111"/>
        <v>0</v>
      </c>
      <c r="DA71" s="806">
        <f t="shared" si="112"/>
        <v>0</v>
      </c>
      <c r="DB71" s="816" t="str">
        <f t="shared" si="65"/>
        <v/>
      </c>
      <c r="DC71" s="816" t="str">
        <f t="shared" si="65"/>
        <v/>
      </c>
      <c r="DD71" s="816" t="str">
        <f t="shared" si="65"/>
        <v/>
      </c>
      <c r="DE71" s="817" t="str">
        <f t="shared" si="113"/>
        <v/>
      </c>
      <c r="DF71" s="817" t="str">
        <f t="shared" si="114"/>
        <v/>
      </c>
      <c r="DG71" s="804" t="str">
        <f t="shared" si="115"/>
        <v/>
      </c>
      <c r="DH71" s="804" t="str">
        <f t="shared" si="116"/>
        <v/>
      </c>
      <c r="DI71" s="818" t="str">
        <f>IF(AO71="","",IF(H71="DESL",AO71*F71*'Fuel Prices'!$C$12,IF(H71="GAS",AO71*F71*'Fuel Prices'!$C$11,IF(H71="CNG",AO71*F71*'Fuel Prices'!$C$13,IF(H71="LNG",AO71*F71*'Fuel Prices'!$C$14,IF(H71="LPG",AO71*F71*'Fuel Prices'!$C$16,IF(H71="PROP",AO71*F71*'Fuel Prices'!$C$16,"0")))))))</f>
        <v/>
      </c>
      <c r="DJ71" s="818" t="str">
        <f>IF(AU71="","",IF(X71="DESL",AU71*F71*'Fuel Prices'!$C$12,IF(X71="GAS",AU71*F71*'Fuel Prices'!$C$11,IF(X71="CNG",AU71*F71*'Fuel Prices'!$C$13,IF(X71="LNG",AU71*F71*'Fuel Prices'!$C$14,IF(X71="LPG",AU71*F71*'Fuel Prices'!$C$16,IF(X71="PROP",AU71*F71*'Fuel Prices'!$C$16,IF(X71="ELEC",AU71*F71*'Fuel Prices'!$C$35,"0"))))))))</f>
        <v/>
      </c>
      <c r="DK71" s="818" t="str">
        <f t="shared" si="117"/>
        <v/>
      </c>
      <c r="DL71" s="818" t="str">
        <f t="shared" si="118"/>
        <v/>
      </c>
      <c r="DM71" s="804" t="str">
        <f t="shared" si="119"/>
        <v/>
      </c>
      <c r="DN71" s="804" t="str">
        <f t="shared" si="120"/>
        <v/>
      </c>
      <c r="DO71" s="804" t="str">
        <f>IFERROR(ROUND(CZ71*IF(COUNTIF($B$20:B71,B71)=1,1,"")/IF(B71="",0,1),0),"")</f>
        <v/>
      </c>
      <c r="DP71" s="804" t="str">
        <f>IFERROR(ROUND(CW71*IF(COUNTIF($B$20:B71,B71)=1,1,"")/IF(B71="",0,1),0),"")</f>
        <v/>
      </c>
      <c r="DQ71" s="804" t="str">
        <f>IFERROR(ROUND(DA71*IF(COUNTIF($B$20:B71,B71)=1,1,"")/IF(B71="",0,1),0),"")</f>
        <v/>
      </c>
      <c r="DR71" s="804" t="str">
        <f>IFERROR(ROUND(CX71*IF(COUNTIF($B$20:B71,B71)=1,1,"")/IF(B71="",0,1),0),"")</f>
        <v/>
      </c>
      <c r="DS71" s="804">
        <f t="shared" si="121"/>
        <v>0</v>
      </c>
      <c r="DT71" s="804">
        <f t="shared" si="122"/>
        <v>0</v>
      </c>
      <c r="DU71" s="804">
        <f t="shared" si="123"/>
        <v>0</v>
      </c>
      <c r="DV71" s="818" t="str">
        <f t="shared" si="66"/>
        <v/>
      </c>
      <c r="DW71" s="819" t="str">
        <f t="shared" si="67"/>
        <v/>
      </c>
    </row>
    <row r="72" spans="1:127" ht="18" customHeight="1" x14ac:dyDescent="0.35">
      <c r="A72" s="635"/>
      <c r="B72" s="820"/>
      <c r="C72" s="825" t="str">
        <f t="shared" si="69"/>
        <v>(Required)</v>
      </c>
      <c r="D72" s="821"/>
      <c r="E72" s="825" t="str">
        <f t="shared" si="69"/>
        <v>(Required)</v>
      </c>
      <c r="F72" s="821"/>
      <c r="G72" s="825" t="str">
        <f t="shared" si="70"/>
        <v>(Required)</v>
      </c>
      <c r="H72" s="822"/>
      <c r="I72" s="825" t="str">
        <f t="shared" si="71"/>
        <v>(Required)</v>
      </c>
      <c r="J72" s="821"/>
      <c r="K72" s="825" t="str">
        <f t="shared" si="72"/>
        <v>(Required)</v>
      </c>
      <c r="L72" s="821"/>
      <c r="M72" s="825" t="str">
        <f t="shared" si="73"/>
        <v>(Required)</v>
      </c>
      <c r="N72" s="821"/>
      <c r="O72" s="825" t="str">
        <f t="shared" si="74"/>
        <v>(Required)</v>
      </c>
      <c r="P72" s="821"/>
      <c r="Q72" s="825" t="str">
        <f t="shared" si="75"/>
        <v>(Required)</v>
      </c>
      <c r="R72" s="823"/>
      <c r="S72" s="826" t="str">
        <f t="shared" si="76"/>
        <v>(Optional)</v>
      </c>
      <c r="T72" s="821"/>
      <c r="U72" s="827" t="str">
        <f t="shared" si="77"/>
        <v>(Required)</v>
      </c>
      <c r="V72" s="828"/>
      <c r="W72" s="799" t="str">
        <f t="shared" si="9"/>
        <v>(Optional)</v>
      </c>
      <c r="X72" s="822"/>
      <c r="Y72" s="825" t="str">
        <f t="shared" si="78"/>
        <v>(Required)</v>
      </c>
      <c r="Z72" s="821"/>
      <c r="AA72" s="825" t="str">
        <f t="shared" si="79"/>
        <v>(Required)</v>
      </c>
      <c r="AB72" s="821"/>
      <c r="AC72" s="825" t="str">
        <f t="shared" si="80"/>
        <v>(Required)</v>
      </c>
      <c r="AD72" s="821"/>
      <c r="AE72" s="825" t="str">
        <f t="shared" si="81"/>
        <v>(Required)</v>
      </c>
      <c r="AF72" s="821"/>
      <c r="AG72" s="825" t="str">
        <f t="shared" si="82"/>
        <v>(Required)</v>
      </c>
      <c r="AH72" s="823"/>
      <c r="AI72" s="826" t="str">
        <f t="shared" si="83"/>
        <v>(Optional)</v>
      </c>
      <c r="AJ72" s="821"/>
      <c r="AK72" s="825" t="str">
        <f t="shared" si="84"/>
        <v>(Required)</v>
      </c>
      <c r="AL72" s="803" t="str">
        <f t="shared" si="85"/>
        <v/>
      </c>
      <c r="AM72" s="803" t="str">
        <f>IF(H72="DESL",'Fuel Density'!$C$12,IF(H72="GAS",'Fuel Density'!$C$11,IF(H72="CNG",'Fuel Density'!$C$13,IF(H72="LNG",'Fuel Density'!$C$14,IF(H72="LPG",'Fuel Density'!$C$15,IF(H72="PROP",'Fuel Density'!$C$16,IF(H72="","","")))))))</f>
        <v/>
      </c>
      <c r="AN72" s="803" t="str">
        <f>IF(H72="DESL",'Fuel-Specific GHG'!$C$14,IF(H72="GAS",'Fuel-Specific GHG'!$C$16,IF(H72="CNG",'Fuel-Specific GHG'!$C$13,IF(H72="LNG",'Fuel-Specific GHG'!$C$18,IF(OR(H72="LPG",H72="PROP"),'Fuel-Specific GHG'!$C$19,IF(H72="","",""))))))</f>
        <v/>
      </c>
      <c r="AO72" s="804" t="str">
        <f>IFERROR(((P72*(IF(ISBLANK(R72),Defaults!$B$19,R72))*T72*AL72)/AM72),"")</f>
        <v/>
      </c>
      <c r="AP72" s="805" t="str">
        <f t="shared" si="86"/>
        <v/>
      </c>
      <c r="AQ72" s="805" t="str">
        <f>IF(H72="DESL",'Fuel-Specific GHG'!$E$14,IF(H72="GAS",'Fuel-Specific GHG'!$E$16,IF(H72="CNG",'Fuel-Specific GHG'!$E$13,IF(H72="LNG",'Fuel-Specific GHG'!$E$18,IF(OR(H72="LPG",H72="PROP"),'Fuel-Specific GHG'!$E$19,"")))))</f>
        <v/>
      </c>
      <c r="AR72" s="805" t="str">
        <f t="shared" si="87"/>
        <v/>
      </c>
      <c r="AS72" s="803" t="str">
        <f t="shared" si="58"/>
        <v/>
      </c>
      <c r="AT72" s="803" t="str">
        <f>IF(X72="DESL",'Fuel Density'!$C$12,IF(X72="PROP",'Fuel Density'!$C$16,IF(X72="GAS",'Fuel Density'!$C$11,IF(X72="CNG",'Fuel Density'!$C$13,IF(X72="LNG",'Fuel Density'!$C$14,IF(X72="LPG",'Fuel Density'!$C$15,IF(X72="","","")))))))</f>
        <v/>
      </c>
      <c r="AU72" s="804" t="str">
        <f>IFERROR(IF(X72="ELEC",AO72*AN72*(1/'Fuel-Specific GHG'!$C$15)*(1/IF(H72="GAS",3.4,IF(H72="DESL",2.7,3))),((AF72*(IF(ISBLANK(AH72),Defaults!$B$19,AH72))*AJ72*AS72)/AT72)),"")</f>
        <v/>
      </c>
      <c r="AV72" s="805" t="str">
        <f t="shared" si="88"/>
        <v/>
      </c>
      <c r="AW72" s="805" t="str">
        <f>IF(X72="DESL",'Fuel-Specific GHG'!$E$14,IF(X72="PROP",'Fuel-Specific GHG'!$E$19,IF(X72="GAS",'Fuel-Specific GHG'!$E$16,IF(X72="CNG",'Fuel-Specific GHG'!$E$13,IF(X72="LNG",'Fuel-Specific GHG'!$E$18,IF(X72="LPG",'Fuel-Specific GHG'!$E$19,IF(X72="ELEC",'Fuel-Specific GHG'!$E$15,"")))))))</f>
        <v/>
      </c>
      <c r="AX72" s="805" t="str">
        <f t="shared" si="89"/>
        <v/>
      </c>
      <c r="AY72" s="806" t="str">
        <f t="shared" si="90"/>
        <v/>
      </c>
      <c r="AZ72" s="806" t="str">
        <f t="shared" si="68"/>
        <v/>
      </c>
      <c r="BA72" s="806" t="str">
        <f t="shared" si="59"/>
        <v/>
      </c>
      <c r="BB72" s="804" t="str">
        <f t="shared" si="23"/>
        <v/>
      </c>
      <c r="BC72" s="807" t="str">
        <f t="shared" si="91"/>
        <v/>
      </c>
      <c r="BD72" s="807"/>
      <c r="BE72" s="808" t="str">
        <f t="shared" si="92"/>
        <v/>
      </c>
      <c r="BF72" s="809" t="str">
        <f t="shared" si="93"/>
        <v/>
      </c>
      <c r="BG72" s="808" t="str">
        <f t="shared" si="60"/>
        <v/>
      </c>
      <c r="BH72" s="810">
        <f t="shared" si="61"/>
        <v>0</v>
      </c>
      <c r="BI72" s="803" t="str">
        <f>IFERROR(VLOOKUP(BH72,'Pump Emission Factors'!$B$11:$J$88,4,FALSE),"")</f>
        <v/>
      </c>
      <c r="BJ72" s="803" t="str">
        <f>IFERROR(VLOOKUP(BH72,'Pump Emission Factors'!$B$11:$J$88,6,FALSE),"")</f>
        <v/>
      </c>
      <c r="BK72" s="803" t="str">
        <f>IFERROR(VLOOKUP(BH72,'Pump Emission Factors'!$B$11:$J$88,8,FALSE),"")</f>
        <v/>
      </c>
      <c r="BL72" s="803" t="str">
        <f>IFERROR(VLOOKUP(BH72,'Pump Emission Factors'!$B$11:$J$88,5,FALSE),"")</f>
        <v/>
      </c>
      <c r="BM72" s="803" t="str">
        <f>IFERROR(VLOOKUP(BH72,'Pump Emission Factors'!$B$11:$J$88,7,FALSE),"")</f>
        <v/>
      </c>
      <c r="BN72" s="803" t="str">
        <f>IFERROR(VLOOKUP(BH72,'Pump Emission Factors'!$B$11:$J$88,9,FALSE),"")</f>
        <v/>
      </c>
      <c r="BO72" s="811" t="str">
        <f t="shared" si="94"/>
        <v/>
      </c>
      <c r="BP72" s="811" t="str">
        <f t="shared" si="95"/>
        <v/>
      </c>
      <c r="BQ72" s="803">
        <f>IFERROR(((BI72+(BL72*BP72))*(IF(ISBLANK(R72),Defaults!$B$19,R72))*P72*T72)*F72*(1/454),0)</f>
        <v>0</v>
      </c>
      <c r="BR72" s="803">
        <f>IFERROR(((BJ72+(BM72*BP72))*(IF(ISBLANK(R72),Defaults!$B$19,R72))*P72*T72)*F72*(1/454),0)</f>
        <v>0</v>
      </c>
      <c r="BS72" s="803">
        <f>IFERROR(((BK72+(BN72*BP72))*(IF(ISBLANK(R72),Defaults!$B$19,R72))*P72*T72)*F72*(1/454),0)</f>
        <v>0</v>
      </c>
      <c r="BT72" s="803">
        <f t="shared" si="96"/>
        <v>0</v>
      </c>
      <c r="BU72" s="803">
        <f t="shared" si="97"/>
        <v>0</v>
      </c>
      <c r="BV72" s="812" t="str">
        <f t="shared" si="98"/>
        <v/>
      </c>
      <c r="BW72" s="808" t="str">
        <f t="shared" si="99"/>
        <v/>
      </c>
      <c r="BX72" s="809" t="str">
        <f t="shared" si="32"/>
        <v/>
      </c>
      <c r="BY72" s="808" t="str">
        <f t="shared" si="63"/>
        <v/>
      </c>
      <c r="BZ72" s="810">
        <f t="shared" si="64"/>
        <v>0</v>
      </c>
      <c r="CA72" s="813" t="str">
        <f>IFERROR(VLOOKUP(BZ72,'Pump Emission Factors'!$B$11:$J$88,4,FALSE),"")</f>
        <v/>
      </c>
      <c r="CB72" s="813" t="str">
        <f>IFERROR(VLOOKUP(BZ72,'Pump Emission Factors'!$B$11:$J$88,6,FALSE),"")</f>
        <v/>
      </c>
      <c r="CC72" s="813" t="str">
        <f>IFERROR(VLOOKUP(BZ72,'Pump Emission Factors'!$B$11:$J$88,8,FALSE),"")</f>
        <v/>
      </c>
      <c r="CD72" s="813" t="str">
        <f>IFERROR(VLOOKUP(BZ72,'Pump Emission Factors'!$B$11:$J$88,5,FALSE),"")</f>
        <v/>
      </c>
      <c r="CE72" s="813" t="str">
        <f>IFERROR(VLOOKUP(BZ72,'Pump Emission Factors'!$B$11:$J$88,7,FALSE),"")</f>
        <v/>
      </c>
      <c r="CF72" s="813" t="str">
        <f>IFERROR(VLOOKUP(BZ72,'Pump Emission Factors'!$B$11:$J$88,9,FALSE),"")</f>
        <v/>
      </c>
      <c r="CG72" s="814" t="str">
        <f t="shared" si="100"/>
        <v/>
      </c>
      <c r="CH72" s="814" t="str">
        <f t="shared" si="101"/>
        <v/>
      </c>
      <c r="CI72" s="813">
        <f>IFERROR(IF($X72="ELEC",((($AU72*(IF($H72="DESL",'Fuel-Specific GHG'!$C$14,IF($H72="GAS",'Fuel-Specific GHG'!$C$16,IF($H72="CNG",'Fuel-Specific GHG'!$C$13,IF(OR($H72="LPG",$H72="PROP"),'Fuel-Specific GHG'!$C$19,"")))))*(1/'Fuel-Specific GHG'!$C$15)*(1/3.4)*$F72)*'Grid Electricity'!$D$39)/454),((CA72+(CD72*CH72))*(IF(ISBLANK(AH72),Defaults!$B$19,AH72))*$AF72*$AJ72*$F72)),0)</f>
        <v>0</v>
      </c>
      <c r="CJ72" s="813">
        <f>IFERROR(IF($X72="ELEC",((($AU72*(IF($H72="DESL",'Fuel-Specific GHG'!$C$14,IF($H72="GAS",'Fuel-Specific GHG'!$C$16,IF($H72="CNG",'Fuel-Specific GHG'!$C$13,IF(OR($H72="LPG",$H72="PROP"),'Fuel-Specific GHG'!$C$19,"")))))*(1/'Fuel-Specific GHG'!$C$15)*(1/3.4)*$F72)*'Grid Electricity'!$C$39)/454),((CB72+(CE72*CH72))*(IF(ISBLANK(AH72),Defaults!$B$19,AH72))*$AF72*$AJ72*$F72)),0)</f>
        <v>0</v>
      </c>
      <c r="CK72" s="813">
        <f>IFERROR(IF($X72="ELEC",((($AU72*(IF($H72="DESL",'Fuel-Specific GHG'!$C$14,IF($H72="GAS",'Fuel-Specific GHG'!$C$16,IF($H72="CNG",'Fuel-Specific GHG'!$C$13,IF(OR($H72="LPG",$H72="PROP"),'Fuel-Specific GHG'!$C$19,"")))))*(1/'Fuel-Specific GHG'!$C$15)*(1/3.4)*$F72)*'Grid Electricity'!$F$39)/454),((CC72+(CF72*CH72))*(IF(ISBLANK(AH72),Defaults!$B$19,AH72))*$AF72*$AJ72*$F72)),0)</f>
        <v>0</v>
      </c>
      <c r="CL72" s="813">
        <f t="shared" si="102"/>
        <v>0</v>
      </c>
      <c r="CM72" s="813">
        <f t="shared" si="103"/>
        <v>0</v>
      </c>
      <c r="CN72" s="814" t="str">
        <f t="shared" si="104"/>
        <v/>
      </c>
      <c r="CO72" s="814" t="str">
        <f t="shared" si="105"/>
        <v/>
      </c>
      <c r="CP72" s="814" t="str">
        <f t="shared" si="106"/>
        <v/>
      </c>
      <c r="CQ72" s="814" t="str">
        <f t="shared" si="107"/>
        <v/>
      </c>
      <c r="CR72" s="815" t="str">
        <f>IF(AND(V72="Yes, Booster Pump VFD",AF72&lt;=75),('Pump Emission Factors'!$F$95*F72),(IF(AND(V72="Yes, Booster Pump VFD",AF72&gt;75),('Pump Emission Factors'!$F$96*F72),(IF(AND(V72="Yes, Well Pump VFD",AF72&lt;=75),('Pump Emission Factors'!$F$97*F72),(IF(AND(V72="Yes, Well Pump VFD",AF72&gt;75),('Pump Emission Factors'!$F$98*F72),"")))))))</f>
        <v/>
      </c>
      <c r="CS72" s="815" t="str">
        <f>IF(AND(V72="Yes, Booster Pump VFD",AF72&lt;=75),('Pump Emission Factors'!$G$95*F72),(IF(AND(V72="Yes, Booster Pump VFD",AF72&gt;75),('Pump Emission Factors'!$G$96*F72),(IF(AND(V72="Yes, Well Pump VFD",AF72&lt;=75),('Pump Emission Factors'!$G$97*F72),(IF(AND(V72="Yes, Well Pump VFD",AF72&gt;75),('Pump Emission Factors'!$G$98*F72),"")))))))</f>
        <v/>
      </c>
      <c r="CT72" s="815" t="str">
        <f>IF(AND(V72="Yes, Booster Pump VFD",AF72&lt;=75),('Pump Emission Factors'!$H$95*F72),(IF(AND(V72="Yes, Booster Pump VFD",AF72&gt;75),('Pump Emission Factors'!$H$96*F72),(IF(AND(V72="Yes, Well Pump VFD",AF72&lt;=75),('Pump Emission Factors'!$H$97*F72),(IF(AND(V72="Yes, Well Pump VFD",AF72&gt;75),('Pump Emission Factors'!$H$98*F72),"")))))))</f>
        <v/>
      </c>
      <c r="CU72" s="815" t="str">
        <f>IF(AND(V72="Yes, Booster Pump VFD",AF72&lt;=75),('Pump Emission Factors'!$J$95*F72),(IF(AND(V72="Yes, Booster Pump VFD",AF72&gt;75),('Pump Emission Factors'!$J$96*F72),(IF(AND(V72="Yes, Well Pump VFD",AF72&lt;=75),('Pump Emission Factors'!$J$97*F72),(IF(AND(V72="Yes, Well Pump VFD",AF72&gt;75),('Pump Emission Factors'!$J$98*F72),"")))))))</f>
        <v/>
      </c>
      <c r="CV72" s="815" t="str">
        <f>IF(AND(V72="Yes, Booster Pump VFD",AF72&lt;=75),('Pump Emission Factors'!$I$95*F72),(IF(AND(V72="Yes, Booster Pump VFD",AF72&gt;75),('Pump Emission Factors'!$I$96*F72),(IF(AND(V72="Yes, Well Pump VFD",AF72&lt;=75),('Pump Emission Factors'!$I$97*F72),(IF(AND(V72="Yes, Well Pump VFD",AF72&gt;75),('Pump Emission Factors'!$I$98*F72),"")))))))</f>
        <v/>
      </c>
      <c r="CW72" s="806">
        <f t="shared" si="108"/>
        <v>0</v>
      </c>
      <c r="CX72" s="806">
        <f t="shared" si="109"/>
        <v>0</v>
      </c>
      <c r="CY72" s="806">
        <f t="shared" si="110"/>
        <v>0</v>
      </c>
      <c r="CZ72" s="806">
        <f t="shared" si="111"/>
        <v>0</v>
      </c>
      <c r="DA72" s="806">
        <f t="shared" si="112"/>
        <v>0</v>
      </c>
      <c r="DB72" s="816" t="str">
        <f t="shared" si="65"/>
        <v/>
      </c>
      <c r="DC72" s="816" t="str">
        <f t="shared" si="65"/>
        <v/>
      </c>
      <c r="DD72" s="816" t="str">
        <f t="shared" si="65"/>
        <v/>
      </c>
      <c r="DE72" s="817" t="str">
        <f t="shared" si="113"/>
        <v/>
      </c>
      <c r="DF72" s="817" t="str">
        <f t="shared" si="114"/>
        <v/>
      </c>
      <c r="DG72" s="804" t="str">
        <f t="shared" si="115"/>
        <v/>
      </c>
      <c r="DH72" s="804" t="str">
        <f t="shared" si="116"/>
        <v/>
      </c>
      <c r="DI72" s="818" t="str">
        <f>IF(AO72="","",IF(H72="DESL",AO72*F72*'Fuel Prices'!$C$12,IF(H72="GAS",AO72*F72*'Fuel Prices'!$C$11,IF(H72="CNG",AO72*F72*'Fuel Prices'!$C$13,IF(H72="LNG",AO72*F72*'Fuel Prices'!$C$14,IF(H72="LPG",AO72*F72*'Fuel Prices'!$C$16,IF(H72="PROP",AO72*F72*'Fuel Prices'!$C$16,"0")))))))</f>
        <v/>
      </c>
      <c r="DJ72" s="818" t="str">
        <f>IF(AU72="","",IF(X72="DESL",AU72*F72*'Fuel Prices'!$C$12,IF(X72="GAS",AU72*F72*'Fuel Prices'!$C$11,IF(X72="CNG",AU72*F72*'Fuel Prices'!$C$13,IF(X72="LNG",AU72*F72*'Fuel Prices'!$C$14,IF(X72="LPG",AU72*F72*'Fuel Prices'!$C$16,IF(X72="PROP",AU72*F72*'Fuel Prices'!$C$16,IF(X72="ELEC",AU72*F72*'Fuel Prices'!$C$35,"0"))))))))</f>
        <v/>
      </c>
      <c r="DK72" s="818" t="str">
        <f t="shared" si="117"/>
        <v/>
      </c>
      <c r="DL72" s="818" t="str">
        <f t="shared" si="118"/>
        <v/>
      </c>
      <c r="DM72" s="804" t="str">
        <f t="shared" si="119"/>
        <v/>
      </c>
      <c r="DN72" s="804" t="str">
        <f t="shared" si="120"/>
        <v/>
      </c>
      <c r="DO72" s="804" t="str">
        <f>IFERROR(ROUND(CZ72*IF(COUNTIF($B$20:B72,B72)=1,1,"")/IF(B72="",0,1),0),"")</f>
        <v/>
      </c>
      <c r="DP72" s="804" t="str">
        <f>IFERROR(ROUND(CW72*IF(COUNTIF($B$20:B72,B72)=1,1,"")/IF(B72="",0,1),0),"")</f>
        <v/>
      </c>
      <c r="DQ72" s="804" t="str">
        <f>IFERROR(ROUND(DA72*IF(COUNTIF($B$20:B72,B72)=1,1,"")/IF(B72="",0,1),0),"")</f>
        <v/>
      </c>
      <c r="DR72" s="804" t="str">
        <f>IFERROR(ROUND(CX72*IF(COUNTIF($B$20:B72,B72)=1,1,"")/IF(B72="",0,1),0),"")</f>
        <v/>
      </c>
      <c r="DS72" s="804">
        <f t="shared" si="121"/>
        <v>0</v>
      </c>
      <c r="DT72" s="804">
        <f t="shared" si="122"/>
        <v>0</v>
      </c>
      <c r="DU72" s="804">
        <f t="shared" si="123"/>
        <v>0</v>
      </c>
      <c r="DV72" s="818" t="str">
        <f t="shared" si="66"/>
        <v/>
      </c>
      <c r="DW72" s="819" t="str">
        <f t="shared" si="67"/>
        <v/>
      </c>
    </row>
    <row r="73" spans="1:127" ht="18" customHeight="1" x14ac:dyDescent="0.35">
      <c r="A73" s="696"/>
      <c r="B73" s="820"/>
      <c r="C73" s="825" t="str">
        <f t="shared" si="69"/>
        <v>(Required)</v>
      </c>
      <c r="D73" s="821"/>
      <c r="E73" s="825" t="str">
        <f t="shared" si="69"/>
        <v>(Required)</v>
      </c>
      <c r="F73" s="821"/>
      <c r="G73" s="825" t="str">
        <f t="shared" si="70"/>
        <v>(Required)</v>
      </c>
      <c r="H73" s="822"/>
      <c r="I73" s="825" t="str">
        <f t="shared" si="71"/>
        <v>(Required)</v>
      </c>
      <c r="J73" s="821"/>
      <c r="K73" s="825" t="str">
        <f t="shared" si="72"/>
        <v>(Required)</v>
      </c>
      <c r="L73" s="821"/>
      <c r="M73" s="825" t="str">
        <f t="shared" si="73"/>
        <v>(Required)</v>
      </c>
      <c r="N73" s="821"/>
      <c r="O73" s="825" t="str">
        <f t="shared" si="74"/>
        <v>(Required)</v>
      </c>
      <c r="P73" s="821"/>
      <c r="Q73" s="825" t="str">
        <f t="shared" si="75"/>
        <v>(Required)</v>
      </c>
      <c r="R73" s="823"/>
      <c r="S73" s="826" t="str">
        <f t="shared" si="76"/>
        <v>(Optional)</v>
      </c>
      <c r="T73" s="821"/>
      <c r="U73" s="827" t="str">
        <f t="shared" si="77"/>
        <v>(Required)</v>
      </c>
      <c r="V73" s="828"/>
      <c r="W73" s="799" t="str">
        <f t="shared" si="9"/>
        <v>(Optional)</v>
      </c>
      <c r="X73" s="822"/>
      <c r="Y73" s="825" t="str">
        <f t="shared" si="78"/>
        <v>(Required)</v>
      </c>
      <c r="Z73" s="821"/>
      <c r="AA73" s="825" t="str">
        <f t="shared" si="79"/>
        <v>(Required)</v>
      </c>
      <c r="AB73" s="821"/>
      <c r="AC73" s="825" t="str">
        <f t="shared" si="80"/>
        <v>(Required)</v>
      </c>
      <c r="AD73" s="821"/>
      <c r="AE73" s="825" t="str">
        <f t="shared" si="81"/>
        <v>(Required)</v>
      </c>
      <c r="AF73" s="821"/>
      <c r="AG73" s="825" t="str">
        <f t="shared" si="82"/>
        <v>(Required)</v>
      </c>
      <c r="AH73" s="823"/>
      <c r="AI73" s="826" t="str">
        <f t="shared" si="83"/>
        <v>(Optional)</v>
      </c>
      <c r="AJ73" s="821"/>
      <c r="AK73" s="825" t="str">
        <f t="shared" si="84"/>
        <v>(Required)</v>
      </c>
      <c r="AL73" s="803" t="str">
        <f t="shared" si="85"/>
        <v/>
      </c>
      <c r="AM73" s="803" t="str">
        <f>IF(H73="DESL",'Fuel Density'!$C$12,IF(H73="GAS",'Fuel Density'!$C$11,IF(H73="CNG",'Fuel Density'!$C$13,IF(H73="LNG",'Fuel Density'!$C$14,IF(H73="LPG",'Fuel Density'!$C$15,IF(H73="PROP",'Fuel Density'!$C$16,IF(H73="","","")))))))</f>
        <v/>
      </c>
      <c r="AN73" s="803" t="str">
        <f>IF(H73="DESL",'Fuel-Specific GHG'!$C$14,IF(H73="GAS",'Fuel-Specific GHG'!$C$16,IF(H73="CNG",'Fuel-Specific GHG'!$C$13,IF(H73="LNG",'Fuel-Specific GHG'!$C$18,IF(OR(H73="LPG",H73="PROP"),'Fuel-Specific GHG'!$C$19,IF(H73="","",""))))))</f>
        <v/>
      </c>
      <c r="AO73" s="804" t="str">
        <f>IFERROR(((P73*(IF(ISBLANK(R73),Defaults!$B$19,R73))*T73*AL73)/AM73),"")</f>
        <v/>
      </c>
      <c r="AP73" s="805" t="str">
        <f t="shared" si="86"/>
        <v/>
      </c>
      <c r="AQ73" s="805" t="str">
        <f>IF(H73="DESL",'Fuel-Specific GHG'!$E$14,IF(H73="GAS",'Fuel-Specific GHG'!$E$16,IF(H73="CNG",'Fuel-Specific GHG'!$E$13,IF(H73="LNG",'Fuel-Specific GHG'!$E$18,IF(OR(H73="LPG",H73="PROP"),'Fuel-Specific GHG'!$E$19,"")))))</f>
        <v/>
      </c>
      <c r="AR73" s="805" t="str">
        <f t="shared" si="87"/>
        <v/>
      </c>
      <c r="AS73" s="803" t="str">
        <f t="shared" si="58"/>
        <v/>
      </c>
      <c r="AT73" s="803" t="str">
        <f>IF(X73="DESL",'Fuel Density'!$C$12,IF(X73="PROP",'Fuel Density'!$C$16,IF(X73="GAS",'Fuel Density'!$C$11,IF(X73="CNG",'Fuel Density'!$C$13,IF(X73="LNG",'Fuel Density'!$C$14,IF(X73="LPG",'Fuel Density'!$C$15,IF(X73="","","")))))))</f>
        <v/>
      </c>
      <c r="AU73" s="804" t="str">
        <f>IFERROR(IF(X73="ELEC",AO73*AN73*(1/'Fuel-Specific GHG'!$C$15)*(1/IF(H73="GAS",3.4,IF(H73="DESL",2.7,3))),((AF73*(IF(ISBLANK(AH73),Defaults!$B$19,AH73))*AJ73*AS73)/AT73)),"")</f>
        <v/>
      </c>
      <c r="AV73" s="805" t="str">
        <f t="shared" si="88"/>
        <v/>
      </c>
      <c r="AW73" s="805" t="str">
        <f>IF(X73="DESL",'Fuel-Specific GHG'!$E$14,IF(X73="PROP",'Fuel-Specific GHG'!$E$19,IF(X73="GAS",'Fuel-Specific GHG'!$E$16,IF(X73="CNG",'Fuel-Specific GHG'!$E$13,IF(X73="LNG",'Fuel-Specific GHG'!$E$18,IF(X73="LPG",'Fuel-Specific GHG'!$E$19,IF(X73="ELEC",'Fuel-Specific GHG'!$E$15,"")))))))</f>
        <v/>
      </c>
      <c r="AX73" s="805" t="str">
        <f t="shared" si="89"/>
        <v/>
      </c>
      <c r="AY73" s="806" t="str">
        <f t="shared" si="90"/>
        <v/>
      </c>
      <c r="AZ73" s="806" t="str">
        <f t="shared" si="68"/>
        <v/>
      </c>
      <c r="BA73" s="806" t="str">
        <f t="shared" si="59"/>
        <v/>
      </c>
      <c r="BB73" s="804" t="str">
        <f t="shared" si="23"/>
        <v/>
      </c>
      <c r="BC73" s="807" t="str">
        <f t="shared" si="91"/>
        <v/>
      </c>
      <c r="BD73" s="807"/>
      <c r="BE73" s="808" t="str">
        <f t="shared" si="92"/>
        <v/>
      </c>
      <c r="BF73" s="809" t="str">
        <f t="shared" si="93"/>
        <v/>
      </c>
      <c r="BG73" s="808" t="str">
        <f t="shared" si="60"/>
        <v/>
      </c>
      <c r="BH73" s="810">
        <f t="shared" si="61"/>
        <v>0</v>
      </c>
      <c r="BI73" s="803" t="str">
        <f>IFERROR(VLOOKUP(BH73,'Pump Emission Factors'!$B$11:$J$88,4,FALSE),"")</f>
        <v/>
      </c>
      <c r="BJ73" s="803" t="str">
        <f>IFERROR(VLOOKUP(BH73,'Pump Emission Factors'!$B$11:$J$88,6,FALSE),"")</f>
        <v/>
      </c>
      <c r="BK73" s="803" t="str">
        <f>IFERROR(VLOOKUP(BH73,'Pump Emission Factors'!$B$11:$J$88,8,FALSE),"")</f>
        <v/>
      </c>
      <c r="BL73" s="803" t="str">
        <f>IFERROR(VLOOKUP(BH73,'Pump Emission Factors'!$B$11:$J$88,5,FALSE),"")</f>
        <v/>
      </c>
      <c r="BM73" s="803" t="str">
        <f>IFERROR(VLOOKUP(BH73,'Pump Emission Factors'!$B$11:$J$88,7,FALSE),"")</f>
        <v/>
      </c>
      <c r="BN73" s="803" t="str">
        <f>IFERROR(VLOOKUP(BH73,'Pump Emission Factors'!$B$11:$J$88,9,FALSE),"")</f>
        <v/>
      </c>
      <c r="BO73" s="811" t="str">
        <f t="shared" si="94"/>
        <v/>
      </c>
      <c r="BP73" s="811" t="str">
        <f t="shared" si="95"/>
        <v/>
      </c>
      <c r="BQ73" s="803">
        <f>IFERROR(((BI73+(BL73*BP73))*(IF(ISBLANK(R73),Defaults!$B$19,R73))*P73*T73)*F73*(1/454),0)</f>
        <v>0</v>
      </c>
      <c r="BR73" s="803">
        <f>IFERROR(((BJ73+(BM73*BP73))*(IF(ISBLANK(R73),Defaults!$B$19,R73))*P73*T73)*F73*(1/454),0)</f>
        <v>0</v>
      </c>
      <c r="BS73" s="803">
        <f>IFERROR(((BK73+(BN73*BP73))*(IF(ISBLANK(R73),Defaults!$B$19,R73))*P73*T73)*F73*(1/454),0)</f>
        <v>0</v>
      </c>
      <c r="BT73" s="803">
        <f t="shared" si="96"/>
        <v>0</v>
      </c>
      <c r="BU73" s="803">
        <f t="shared" si="97"/>
        <v>0</v>
      </c>
      <c r="BV73" s="812" t="str">
        <f t="shared" si="98"/>
        <v/>
      </c>
      <c r="BW73" s="808" t="str">
        <f t="shared" si="99"/>
        <v/>
      </c>
      <c r="BX73" s="809" t="str">
        <f t="shared" si="32"/>
        <v/>
      </c>
      <c r="BY73" s="808" t="str">
        <f t="shared" si="63"/>
        <v/>
      </c>
      <c r="BZ73" s="810">
        <f t="shared" si="64"/>
        <v>0</v>
      </c>
      <c r="CA73" s="813" t="str">
        <f>IFERROR(VLOOKUP(BZ73,'Pump Emission Factors'!$B$11:$J$88,4,FALSE),"")</f>
        <v/>
      </c>
      <c r="CB73" s="813" t="str">
        <f>IFERROR(VLOOKUP(BZ73,'Pump Emission Factors'!$B$11:$J$88,6,FALSE),"")</f>
        <v/>
      </c>
      <c r="CC73" s="813" t="str">
        <f>IFERROR(VLOOKUP(BZ73,'Pump Emission Factors'!$B$11:$J$88,8,FALSE),"")</f>
        <v/>
      </c>
      <c r="CD73" s="813" t="str">
        <f>IFERROR(VLOOKUP(BZ73,'Pump Emission Factors'!$B$11:$J$88,5,FALSE),"")</f>
        <v/>
      </c>
      <c r="CE73" s="813" t="str">
        <f>IFERROR(VLOOKUP(BZ73,'Pump Emission Factors'!$B$11:$J$88,7,FALSE),"")</f>
        <v/>
      </c>
      <c r="CF73" s="813" t="str">
        <f>IFERROR(VLOOKUP(BZ73,'Pump Emission Factors'!$B$11:$J$88,9,FALSE),"")</f>
        <v/>
      </c>
      <c r="CG73" s="814" t="str">
        <f t="shared" si="100"/>
        <v/>
      </c>
      <c r="CH73" s="814" t="str">
        <f t="shared" si="101"/>
        <v/>
      </c>
      <c r="CI73" s="813">
        <f>IFERROR(IF($X73="ELEC",((($AU73*(IF($H73="DESL",'Fuel-Specific GHG'!$C$14,IF($H73="GAS",'Fuel-Specific GHG'!$C$16,IF($H73="CNG",'Fuel-Specific GHG'!$C$13,IF(OR($H73="LPG",$H73="PROP"),'Fuel-Specific GHG'!$C$19,"")))))*(1/'Fuel-Specific GHG'!$C$15)*(1/3.4)*$F73)*'Grid Electricity'!$D$39)/454),((CA73+(CD73*CH73))*(IF(ISBLANK(AH73),Defaults!$B$19,AH73))*$AF73*$AJ73*$F73)),0)</f>
        <v>0</v>
      </c>
      <c r="CJ73" s="813">
        <f>IFERROR(IF($X73="ELEC",((($AU73*(IF($H73="DESL",'Fuel-Specific GHG'!$C$14,IF($H73="GAS",'Fuel-Specific GHG'!$C$16,IF($H73="CNG",'Fuel-Specific GHG'!$C$13,IF(OR($H73="LPG",$H73="PROP"),'Fuel-Specific GHG'!$C$19,"")))))*(1/'Fuel-Specific GHG'!$C$15)*(1/3.4)*$F73)*'Grid Electricity'!$C$39)/454),((CB73+(CE73*CH73))*(IF(ISBLANK(AH73),Defaults!$B$19,AH73))*$AF73*$AJ73*$F73)),0)</f>
        <v>0</v>
      </c>
      <c r="CK73" s="813">
        <f>IFERROR(IF($X73="ELEC",((($AU73*(IF($H73="DESL",'Fuel-Specific GHG'!$C$14,IF($H73="GAS",'Fuel-Specific GHG'!$C$16,IF($H73="CNG",'Fuel-Specific GHG'!$C$13,IF(OR($H73="LPG",$H73="PROP"),'Fuel-Specific GHG'!$C$19,"")))))*(1/'Fuel-Specific GHG'!$C$15)*(1/3.4)*$F73)*'Grid Electricity'!$F$39)/454),((CC73+(CF73*CH73))*(IF(ISBLANK(AH73),Defaults!$B$19,AH73))*$AF73*$AJ73*$F73)),0)</f>
        <v>0</v>
      </c>
      <c r="CL73" s="813">
        <f t="shared" si="102"/>
        <v>0</v>
      </c>
      <c r="CM73" s="813">
        <f t="shared" si="103"/>
        <v>0</v>
      </c>
      <c r="CN73" s="814" t="str">
        <f t="shared" si="104"/>
        <v/>
      </c>
      <c r="CO73" s="814" t="str">
        <f t="shared" si="105"/>
        <v/>
      </c>
      <c r="CP73" s="814" t="str">
        <f t="shared" si="106"/>
        <v/>
      </c>
      <c r="CQ73" s="814" t="str">
        <f t="shared" si="107"/>
        <v/>
      </c>
      <c r="CR73" s="815" t="str">
        <f>IF(AND(V73="Yes, Booster Pump VFD",AF73&lt;=75),('Pump Emission Factors'!$F$95*F73),(IF(AND(V73="Yes, Booster Pump VFD",AF73&gt;75),('Pump Emission Factors'!$F$96*F73),(IF(AND(V73="Yes, Well Pump VFD",AF73&lt;=75),('Pump Emission Factors'!$F$97*F73),(IF(AND(V73="Yes, Well Pump VFD",AF73&gt;75),('Pump Emission Factors'!$F$98*F73),"")))))))</f>
        <v/>
      </c>
      <c r="CS73" s="815" t="str">
        <f>IF(AND(V73="Yes, Booster Pump VFD",AF73&lt;=75),('Pump Emission Factors'!$G$95*F73),(IF(AND(V73="Yes, Booster Pump VFD",AF73&gt;75),('Pump Emission Factors'!$G$96*F73),(IF(AND(V73="Yes, Well Pump VFD",AF73&lt;=75),('Pump Emission Factors'!$G$97*F73),(IF(AND(V73="Yes, Well Pump VFD",AF73&gt;75),('Pump Emission Factors'!$G$98*F73),"")))))))</f>
        <v/>
      </c>
      <c r="CT73" s="815" t="str">
        <f>IF(AND(V73="Yes, Booster Pump VFD",AF73&lt;=75),('Pump Emission Factors'!$H$95*F73),(IF(AND(V73="Yes, Booster Pump VFD",AF73&gt;75),('Pump Emission Factors'!$H$96*F73),(IF(AND(V73="Yes, Well Pump VFD",AF73&lt;=75),('Pump Emission Factors'!$H$97*F73),(IF(AND(V73="Yes, Well Pump VFD",AF73&gt;75),('Pump Emission Factors'!$H$98*F73),"")))))))</f>
        <v/>
      </c>
      <c r="CU73" s="815" t="str">
        <f>IF(AND(V73="Yes, Booster Pump VFD",AF73&lt;=75),('Pump Emission Factors'!$J$95*F73),(IF(AND(V73="Yes, Booster Pump VFD",AF73&gt;75),('Pump Emission Factors'!$J$96*F73),(IF(AND(V73="Yes, Well Pump VFD",AF73&lt;=75),('Pump Emission Factors'!$J$97*F73),(IF(AND(V73="Yes, Well Pump VFD",AF73&gt;75),('Pump Emission Factors'!$J$98*F73),"")))))))</f>
        <v/>
      </c>
      <c r="CV73" s="815" t="str">
        <f>IF(AND(V73="Yes, Booster Pump VFD",AF73&lt;=75),('Pump Emission Factors'!$I$95*F73),(IF(AND(V73="Yes, Booster Pump VFD",AF73&gt;75),('Pump Emission Factors'!$I$96*F73),(IF(AND(V73="Yes, Well Pump VFD",AF73&lt;=75),('Pump Emission Factors'!$I$97*F73),(IF(AND(V73="Yes, Well Pump VFD",AF73&gt;75),('Pump Emission Factors'!$I$98*F73),"")))))))</f>
        <v/>
      </c>
      <c r="CW73" s="806">
        <f t="shared" si="108"/>
        <v>0</v>
      </c>
      <c r="CX73" s="806">
        <f t="shared" si="109"/>
        <v>0</v>
      </c>
      <c r="CY73" s="806">
        <f t="shared" si="110"/>
        <v>0</v>
      </c>
      <c r="CZ73" s="806">
        <f t="shared" si="111"/>
        <v>0</v>
      </c>
      <c r="DA73" s="806">
        <f t="shared" si="112"/>
        <v>0</v>
      </c>
      <c r="DB73" s="816" t="str">
        <f t="shared" si="65"/>
        <v/>
      </c>
      <c r="DC73" s="816" t="str">
        <f t="shared" si="65"/>
        <v/>
      </c>
      <c r="DD73" s="816" t="str">
        <f t="shared" si="65"/>
        <v/>
      </c>
      <c r="DE73" s="817" t="str">
        <f t="shared" si="113"/>
        <v/>
      </c>
      <c r="DF73" s="817" t="str">
        <f t="shared" si="114"/>
        <v/>
      </c>
      <c r="DG73" s="804" t="str">
        <f t="shared" si="115"/>
        <v/>
      </c>
      <c r="DH73" s="804" t="str">
        <f t="shared" si="116"/>
        <v/>
      </c>
      <c r="DI73" s="818" t="str">
        <f>IF(AO73="","",IF(H73="DESL",AO73*F73*'Fuel Prices'!$C$12,IF(H73="GAS",AO73*F73*'Fuel Prices'!$C$11,IF(H73="CNG",AO73*F73*'Fuel Prices'!$C$13,IF(H73="LNG",AO73*F73*'Fuel Prices'!$C$14,IF(H73="LPG",AO73*F73*'Fuel Prices'!$C$16,IF(H73="PROP",AO73*F73*'Fuel Prices'!$C$16,"0")))))))</f>
        <v/>
      </c>
      <c r="DJ73" s="818" t="str">
        <f>IF(AU73="","",IF(X73="DESL",AU73*F73*'Fuel Prices'!$C$12,IF(X73="GAS",AU73*F73*'Fuel Prices'!$C$11,IF(X73="CNG",AU73*F73*'Fuel Prices'!$C$13,IF(X73="LNG",AU73*F73*'Fuel Prices'!$C$14,IF(X73="LPG",AU73*F73*'Fuel Prices'!$C$16,IF(X73="PROP",AU73*F73*'Fuel Prices'!$C$16,IF(X73="ELEC",AU73*F73*'Fuel Prices'!$C$35,"0"))))))))</f>
        <v/>
      </c>
      <c r="DK73" s="818" t="str">
        <f t="shared" si="117"/>
        <v/>
      </c>
      <c r="DL73" s="818" t="str">
        <f t="shared" si="118"/>
        <v/>
      </c>
      <c r="DM73" s="804" t="str">
        <f t="shared" si="119"/>
        <v/>
      </c>
      <c r="DN73" s="804" t="str">
        <f t="shared" si="120"/>
        <v/>
      </c>
      <c r="DO73" s="804" t="str">
        <f>IFERROR(ROUND(CZ73*IF(COUNTIF($B$20:B73,B73)=1,1,"")/IF(B73="",0,1),0),"")</f>
        <v/>
      </c>
      <c r="DP73" s="804" t="str">
        <f>IFERROR(ROUND(CW73*IF(COUNTIF($B$20:B73,B73)=1,1,"")/IF(B73="",0,1),0),"")</f>
        <v/>
      </c>
      <c r="DQ73" s="804" t="str">
        <f>IFERROR(ROUND(DA73*IF(COUNTIF($B$20:B73,B73)=1,1,"")/IF(B73="",0,1),0),"")</f>
        <v/>
      </c>
      <c r="DR73" s="804" t="str">
        <f>IFERROR(ROUND(CX73*IF(COUNTIF($B$20:B73,B73)=1,1,"")/IF(B73="",0,1),0),"")</f>
        <v/>
      </c>
      <c r="DS73" s="804">
        <f t="shared" si="121"/>
        <v>0</v>
      </c>
      <c r="DT73" s="804">
        <f t="shared" si="122"/>
        <v>0</v>
      </c>
      <c r="DU73" s="804">
        <f t="shared" si="123"/>
        <v>0</v>
      </c>
      <c r="DV73" s="818" t="str">
        <f t="shared" si="66"/>
        <v/>
      </c>
      <c r="DW73" s="819" t="str">
        <f t="shared" si="67"/>
        <v/>
      </c>
    </row>
    <row r="74" spans="1:127" ht="18" customHeight="1" x14ac:dyDescent="0.35">
      <c r="A74" s="635"/>
      <c r="B74" s="820"/>
      <c r="C74" s="825" t="str">
        <f t="shared" si="69"/>
        <v>(Required)</v>
      </c>
      <c r="D74" s="821"/>
      <c r="E74" s="825" t="str">
        <f t="shared" si="69"/>
        <v>(Required)</v>
      </c>
      <c r="F74" s="821"/>
      <c r="G74" s="825" t="str">
        <f t="shared" si="70"/>
        <v>(Required)</v>
      </c>
      <c r="H74" s="822"/>
      <c r="I74" s="825" t="str">
        <f t="shared" si="71"/>
        <v>(Required)</v>
      </c>
      <c r="J74" s="821"/>
      <c r="K74" s="825" t="str">
        <f t="shared" si="72"/>
        <v>(Required)</v>
      </c>
      <c r="L74" s="821"/>
      <c r="M74" s="825" t="str">
        <f t="shared" si="73"/>
        <v>(Required)</v>
      </c>
      <c r="N74" s="821"/>
      <c r="O74" s="825" t="str">
        <f t="shared" si="74"/>
        <v>(Required)</v>
      </c>
      <c r="P74" s="821"/>
      <c r="Q74" s="825" t="str">
        <f t="shared" si="75"/>
        <v>(Required)</v>
      </c>
      <c r="R74" s="823"/>
      <c r="S74" s="826" t="str">
        <f t="shared" si="76"/>
        <v>(Optional)</v>
      </c>
      <c r="T74" s="821"/>
      <c r="U74" s="827" t="str">
        <f t="shared" si="77"/>
        <v>(Required)</v>
      </c>
      <c r="V74" s="828"/>
      <c r="W74" s="799" t="str">
        <f t="shared" si="9"/>
        <v>(Optional)</v>
      </c>
      <c r="X74" s="822"/>
      <c r="Y74" s="825" t="str">
        <f t="shared" si="78"/>
        <v>(Required)</v>
      </c>
      <c r="Z74" s="821"/>
      <c r="AA74" s="825" t="str">
        <f t="shared" si="79"/>
        <v>(Required)</v>
      </c>
      <c r="AB74" s="821"/>
      <c r="AC74" s="825" t="str">
        <f t="shared" si="80"/>
        <v>(Required)</v>
      </c>
      <c r="AD74" s="821"/>
      <c r="AE74" s="825" t="str">
        <f t="shared" si="81"/>
        <v>(Required)</v>
      </c>
      <c r="AF74" s="821"/>
      <c r="AG74" s="825" t="str">
        <f t="shared" si="82"/>
        <v>(Required)</v>
      </c>
      <c r="AH74" s="823"/>
      <c r="AI74" s="826" t="str">
        <f t="shared" si="83"/>
        <v>(Optional)</v>
      </c>
      <c r="AJ74" s="821"/>
      <c r="AK74" s="825" t="str">
        <f t="shared" si="84"/>
        <v>(Required)</v>
      </c>
      <c r="AL74" s="803" t="str">
        <f t="shared" si="85"/>
        <v/>
      </c>
      <c r="AM74" s="803" t="str">
        <f>IF(H74="DESL",'Fuel Density'!$C$12,IF(H74="GAS",'Fuel Density'!$C$11,IF(H74="CNG",'Fuel Density'!$C$13,IF(H74="LNG",'Fuel Density'!$C$14,IF(H74="LPG",'Fuel Density'!$C$15,IF(H74="PROP",'Fuel Density'!$C$16,IF(H74="","","")))))))</f>
        <v/>
      </c>
      <c r="AN74" s="803" t="str">
        <f>IF(H74="DESL",'Fuel-Specific GHG'!$C$14,IF(H74="GAS",'Fuel-Specific GHG'!$C$16,IF(H74="CNG",'Fuel-Specific GHG'!$C$13,IF(H74="LNG",'Fuel-Specific GHG'!$C$18,IF(OR(H74="LPG",H74="PROP"),'Fuel-Specific GHG'!$C$19,IF(H74="","",""))))))</f>
        <v/>
      </c>
      <c r="AO74" s="804" t="str">
        <f>IFERROR(((P74*(IF(ISBLANK(R74),Defaults!$B$19,R74))*T74*AL74)/AM74),"")</f>
        <v/>
      </c>
      <c r="AP74" s="805" t="str">
        <f t="shared" si="86"/>
        <v/>
      </c>
      <c r="AQ74" s="805" t="str">
        <f>IF(H74="DESL",'Fuel-Specific GHG'!$E$14,IF(H74="GAS",'Fuel-Specific GHG'!$E$16,IF(H74="CNG",'Fuel-Specific GHG'!$E$13,IF(H74="LNG",'Fuel-Specific GHG'!$E$18,IF(OR(H74="LPG",H74="PROP"),'Fuel-Specific GHG'!$E$19,"")))))</f>
        <v/>
      </c>
      <c r="AR74" s="805" t="str">
        <f t="shared" si="87"/>
        <v/>
      </c>
      <c r="AS74" s="803" t="str">
        <f t="shared" si="58"/>
        <v/>
      </c>
      <c r="AT74" s="803" t="str">
        <f>IF(X74="DESL",'Fuel Density'!$C$12,IF(X74="PROP",'Fuel Density'!$C$16,IF(X74="GAS",'Fuel Density'!$C$11,IF(X74="CNG",'Fuel Density'!$C$13,IF(X74="LNG",'Fuel Density'!$C$14,IF(X74="LPG",'Fuel Density'!$C$15,IF(X74="","","")))))))</f>
        <v/>
      </c>
      <c r="AU74" s="804" t="str">
        <f>IFERROR(IF(X74="ELEC",AO74*AN74*(1/'Fuel-Specific GHG'!$C$15)*(1/IF(H74="GAS",3.4,IF(H74="DESL",2.7,3))),((AF74*(IF(ISBLANK(AH74),Defaults!$B$19,AH74))*AJ74*AS74)/AT74)),"")</f>
        <v/>
      </c>
      <c r="AV74" s="805" t="str">
        <f t="shared" si="88"/>
        <v/>
      </c>
      <c r="AW74" s="805" t="str">
        <f>IF(X74="DESL",'Fuel-Specific GHG'!$E$14,IF(X74="PROP",'Fuel-Specific GHG'!$E$19,IF(X74="GAS",'Fuel-Specific GHG'!$E$16,IF(X74="CNG",'Fuel-Specific GHG'!$E$13,IF(X74="LNG",'Fuel-Specific GHG'!$E$18,IF(X74="LPG",'Fuel-Specific GHG'!$E$19,IF(X74="ELEC",'Fuel-Specific GHG'!$E$15,"")))))))</f>
        <v/>
      </c>
      <c r="AX74" s="805" t="str">
        <f t="shared" si="89"/>
        <v/>
      </c>
      <c r="AY74" s="806" t="str">
        <f t="shared" si="90"/>
        <v/>
      </c>
      <c r="AZ74" s="806" t="str">
        <f t="shared" si="68"/>
        <v/>
      </c>
      <c r="BA74" s="806" t="str">
        <f t="shared" si="59"/>
        <v/>
      </c>
      <c r="BB74" s="804" t="str">
        <f t="shared" si="23"/>
        <v/>
      </c>
      <c r="BC74" s="807" t="str">
        <f t="shared" si="91"/>
        <v/>
      </c>
      <c r="BD74" s="807"/>
      <c r="BE74" s="808" t="str">
        <f t="shared" si="92"/>
        <v/>
      </c>
      <c r="BF74" s="809" t="str">
        <f t="shared" si="93"/>
        <v/>
      </c>
      <c r="BG74" s="808" t="str">
        <f t="shared" si="60"/>
        <v/>
      </c>
      <c r="BH74" s="810">
        <f t="shared" si="61"/>
        <v>0</v>
      </c>
      <c r="BI74" s="803" t="str">
        <f>IFERROR(VLOOKUP(BH74,'Pump Emission Factors'!$B$11:$J$88,4,FALSE),"")</f>
        <v/>
      </c>
      <c r="BJ74" s="803" t="str">
        <f>IFERROR(VLOOKUP(BH74,'Pump Emission Factors'!$B$11:$J$88,6,FALSE),"")</f>
        <v/>
      </c>
      <c r="BK74" s="803" t="str">
        <f>IFERROR(VLOOKUP(BH74,'Pump Emission Factors'!$B$11:$J$88,8,FALSE),"")</f>
        <v/>
      </c>
      <c r="BL74" s="803" t="str">
        <f>IFERROR(VLOOKUP(BH74,'Pump Emission Factors'!$B$11:$J$88,5,FALSE),"")</f>
        <v/>
      </c>
      <c r="BM74" s="803" t="str">
        <f>IFERROR(VLOOKUP(BH74,'Pump Emission Factors'!$B$11:$J$88,7,FALSE),"")</f>
        <v/>
      </c>
      <c r="BN74" s="803" t="str">
        <f>IFERROR(VLOOKUP(BH74,'Pump Emission Factors'!$B$11:$J$88,9,FALSE),"")</f>
        <v/>
      </c>
      <c r="BO74" s="811" t="str">
        <f t="shared" si="94"/>
        <v/>
      </c>
      <c r="BP74" s="811" t="str">
        <f t="shared" si="95"/>
        <v/>
      </c>
      <c r="BQ74" s="803">
        <f>IFERROR(((BI74+(BL74*BP74))*(IF(ISBLANK(R74),Defaults!$B$19,R74))*P74*T74)*F74*(1/454),0)</f>
        <v>0</v>
      </c>
      <c r="BR74" s="803">
        <f>IFERROR(((BJ74+(BM74*BP74))*(IF(ISBLANK(R74),Defaults!$B$19,R74))*P74*T74)*F74*(1/454),0)</f>
        <v>0</v>
      </c>
      <c r="BS74" s="803">
        <f>IFERROR(((BK74+(BN74*BP74))*(IF(ISBLANK(R74),Defaults!$B$19,R74))*P74*T74)*F74*(1/454),0)</f>
        <v>0</v>
      </c>
      <c r="BT74" s="803">
        <f t="shared" si="96"/>
        <v>0</v>
      </c>
      <c r="BU74" s="803">
        <f t="shared" si="97"/>
        <v>0</v>
      </c>
      <c r="BV74" s="812" t="str">
        <f t="shared" si="98"/>
        <v/>
      </c>
      <c r="BW74" s="808" t="str">
        <f t="shared" si="99"/>
        <v/>
      </c>
      <c r="BX74" s="809" t="str">
        <f t="shared" si="32"/>
        <v/>
      </c>
      <c r="BY74" s="808" t="str">
        <f t="shared" si="63"/>
        <v/>
      </c>
      <c r="BZ74" s="810">
        <f t="shared" si="64"/>
        <v>0</v>
      </c>
      <c r="CA74" s="813" t="str">
        <f>IFERROR(VLOOKUP(BZ74,'Pump Emission Factors'!$B$11:$J$88,4,FALSE),"")</f>
        <v/>
      </c>
      <c r="CB74" s="813" t="str">
        <f>IFERROR(VLOOKUP(BZ74,'Pump Emission Factors'!$B$11:$J$88,6,FALSE),"")</f>
        <v/>
      </c>
      <c r="CC74" s="813" t="str">
        <f>IFERROR(VLOOKUP(BZ74,'Pump Emission Factors'!$B$11:$J$88,8,FALSE),"")</f>
        <v/>
      </c>
      <c r="CD74" s="813" t="str">
        <f>IFERROR(VLOOKUP(BZ74,'Pump Emission Factors'!$B$11:$J$88,5,FALSE),"")</f>
        <v/>
      </c>
      <c r="CE74" s="813" t="str">
        <f>IFERROR(VLOOKUP(BZ74,'Pump Emission Factors'!$B$11:$J$88,7,FALSE),"")</f>
        <v/>
      </c>
      <c r="CF74" s="813" t="str">
        <f>IFERROR(VLOOKUP(BZ74,'Pump Emission Factors'!$B$11:$J$88,9,FALSE),"")</f>
        <v/>
      </c>
      <c r="CG74" s="814" t="str">
        <f t="shared" si="100"/>
        <v/>
      </c>
      <c r="CH74" s="814" t="str">
        <f t="shared" si="101"/>
        <v/>
      </c>
      <c r="CI74" s="813">
        <f>IFERROR(IF($X74="ELEC",((($AU74*(IF($H74="DESL",'Fuel-Specific GHG'!$C$14,IF($H74="GAS",'Fuel-Specific GHG'!$C$16,IF($H74="CNG",'Fuel-Specific GHG'!$C$13,IF(OR($H74="LPG",$H74="PROP"),'Fuel-Specific GHG'!$C$19,"")))))*(1/'Fuel-Specific GHG'!$C$15)*(1/3.4)*$F74)*'Grid Electricity'!$D$39)/454),((CA74+(CD74*CH74))*(IF(ISBLANK(AH74),Defaults!$B$19,AH74))*$AF74*$AJ74*$F74)),0)</f>
        <v>0</v>
      </c>
      <c r="CJ74" s="813">
        <f>IFERROR(IF($X74="ELEC",((($AU74*(IF($H74="DESL",'Fuel-Specific GHG'!$C$14,IF($H74="GAS",'Fuel-Specific GHG'!$C$16,IF($H74="CNG",'Fuel-Specific GHG'!$C$13,IF(OR($H74="LPG",$H74="PROP"),'Fuel-Specific GHG'!$C$19,"")))))*(1/'Fuel-Specific GHG'!$C$15)*(1/3.4)*$F74)*'Grid Electricity'!$C$39)/454),((CB74+(CE74*CH74))*(IF(ISBLANK(AH74),Defaults!$B$19,AH74))*$AF74*$AJ74*$F74)),0)</f>
        <v>0</v>
      </c>
      <c r="CK74" s="813">
        <f>IFERROR(IF($X74="ELEC",((($AU74*(IF($H74="DESL",'Fuel-Specific GHG'!$C$14,IF($H74="GAS",'Fuel-Specific GHG'!$C$16,IF($H74="CNG",'Fuel-Specific GHG'!$C$13,IF(OR($H74="LPG",$H74="PROP"),'Fuel-Specific GHG'!$C$19,"")))))*(1/'Fuel-Specific GHG'!$C$15)*(1/3.4)*$F74)*'Grid Electricity'!$F$39)/454),((CC74+(CF74*CH74))*(IF(ISBLANK(AH74),Defaults!$B$19,AH74))*$AF74*$AJ74*$F74)),0)</f>
        <v>0</v>
      </c>
      <c r="CL74" s="813">
        <f t="shared" si="102"/>
        <v>0</v>
      </c>
      <c r="CM74" s="813">
        <f t="shared" si="103"/>
        <v>0</v>
      </c>
      <c r="CN74" s="814" t="str">
        <f t="shared" si="104"/>
        <v/>
      </c>
      <c r="CO74" s="814" t="str">
        <f t="shared" si="105"/>
        <v/>
      </c>
      <c r="CP74" s="814" t="str">
        <f t="shared" si="106"/>
        <v/>
      </c>
      <c r="CQ74" s="814" t="str">
        <f t="shared" si="107"/>
        <v/>
      </c>
      <c r="CR74" s="815" t="str">
        <f>IF(AND(V74="Yes, Booster Pump VFD",AF74&lt;=75),('Pump Emission Factors'!$F$95*F74),(IF(AND(V74="Yes, Booster Pump VFD",AF74&gt;75),('Pump Emission Factors'!$F$96*F74),(IF(AND(V74="Yes, Well Pump VFD",AF74&lt;=75),('Pump Emission Factors'!$F$97*F74),(IF(AND(V74="Yes, Well Pump VFD",AF74&gt;75),('Pump Emission Factors'!$F$98*F74),"")))))))</f>
        <v/>
      </c>
      <c r="CS74" s="815" t="str">
        <f>IF(AND(V74="Yes, Booster Pump VFD",AF74&lt;=75),('Pump Emission Factors'!$G$95*F74),(IF(AND(V74="Yes, Booster Pump VFD",AF74&gt;75),('Pump Emission Factors'!$G$96*F74),(IF(AND(V74="Yes, Well Pump VFD",AF74&lt;=75),('Pump Emission Factors'!$G$97*F74),(IF(AND(V74="Yes, Well Pump VFD",AF74&gt;75),('Pump Emission Factors'!$G$98*F74),"")))))))</f>
        <v/>
      </c>
      <c r="CT74" s="815" t="str">
        <f>IF(AND(V74="Yes, Booster Pump VFD",AF74&lt;=75),('Pump Emission Factors'!$H$95*F74),(IF(AND(V74="Yes, Booster Pump VFD",AF74&gt;75),('Pump Emission Factors'!$H$96*F74),(IF(AND(V74="Yes, Well Pump VFD",AF74&lt;=75),('Pump Emission Factors'!$H$97*F74),(IF(AND(V74="Yes, Well Pump VFD",AF74&gt;75),('Pump Emission Factors'!$H$98*F74),"")))))))</f>
        <v/>
      </c>
      <c r="CU74" s="815" t="str">
        <f>IF(AND(V74="Yes, Booster Pump VFD",AF74&lt;=75),('Pump Emission Factors'!$J$95*F74),(IF(AND(V74="Yes, Booster Pump VFD",AF74&gt;75),('Pump Emission Factors'!$J$96*F74),(IF(AND(V74="Yes, Well Pump VFD",AF74&lt;=75),('Pump Emission Factors'!$J$97*F74),(IF(AND(V74="Yes, Well Pump VFD",AF74&gt;75),('Pump Emission Factors'!$J$98*F74),"")))))))</f>
        <v/>
      </c>
      <c r="CV74" s="815" t="str">
        <f>IF(AND(V74="Yes, Booster Pump VFD",AF74&lt;=75),('Pump Emission Factors'!$I$95*F74),(IF(AND(V74="Yes, Booster Pump VFD",AF74&gt;75),('Pump Emission Factors'!$I$96*F74),(IF(AND(V74="Yes, Well Pump VFD",AF74&lt;=75),('Pump Emission Factors'!$I$97*F74),(IF(AND(V74="Yes, Well Pump VFD",AF74&gt;75),('Pump Emission Factors'!$I$98*F74),"")))))))</f>
        <v/>
      </c>
      <c r="CW74" s="806">
        <f t="shared" si="108"/>
        <v>0</v>
      </c>
      <c r="CX74" s="806">
        <f t="shared" si="109"/>
        <v>0</v>
      </c>
      <c r="CY74" s="806">
        <f t="shared" si="110"/>
        <v>0</v>
      </c>
      <c r="CZ74" s="806">
        <f t="shared" si="111"/>
        <v>0</v>
      </c>
      <c r="DA74" s="806">
        <f t="shared" si="112"/>
        <v>0</v>
      </c>
      <c r="DB74" s="816" t="str">
        <f t="shared" si="65"/>
        <v/>
      </c>
      <c r="DC74" s="816" t="str">
        <f t="shared" si="65"/>
        <v/>
      </c>
      <c r="DD74" s="816" t="str">
        <f t="shared" si="65"/>
        <v/>
      </c>
      <c r="DE74" s="817" t="str">
        <f t="shared" si="113"/>
        <v/>
      </c>
      <c r="DF74" s="817" t="str">
        <f t="shared" si="114"/>
        <v/>
      </c>
      <c r="DG74" s="804" t="str">
        <f t="shared" si="115"/>
        <v/>
      </c>
      <c r="DH74" s="804" t="str">
        <f t="shared" si="116"/>
        <v/>
      </c>
      <c r="DI74" s="818" t="str">
        <f>IF(AO74="","",IF(H74="DESL",AO74*F74*'Fuel Prices'!$C$12,IF(H74="GAS",AO74*F74*'Fuel Prices'!$C$11,IF(H74="CNG",AO74*F74*'Fuel Prices'!$C$13,IF(H74="LNG",AO74*F74*'Fuel Prices'!$C$14,IF(H74="LPG",AO74*F74*'Fuel Prices'!$C$16,IF(H74="PROP",AO74*F74*'Fuel Prices'!$C$16,"0")))))))</f>
        <v/>
      </c>
      <c r="DJ74" s="818" t="str">
        <f>IF(AU74="","",IF(X74="DESL",AU74*F74*'Fuel Prices'!$C$12,IF(X74="GAS",AU74*F74*'Fuel Prices'!$C$11,IF(X74="CNG",AU74*F74*'Fuel Prices'!$C$13,IF(X74="LNG",AU74*F74*'Fuel Prices'!$C$14,IF(X74="LPG",AU74*F74*'Fuel Prices'!$C$16,IF(X74="PROP",AU74*F74*'Fuel Prices'!$C$16,IF(X74="ELEC",AU74*F74*'Fuel Prices'!$C$35,"0"))))))))</f>
        <v/>
      </c>
      <c r="DK74" s="818" t="str">
        <f t="shared" si="117"/>
        <v/>
      </c>
      <c r="DL74" s="818" t="str">
        <f t="shared" si="118"/>
        <v/>
      </c>
      <c r="DM74" s="804" t="str">
        <f t="shared" si="119"/>
        <v/>
      </c>
      <c r="DN74" s="804" t="str">
        <f t="shared" si="120"/>
        <v/>
      </c>
      <c r="DO74" s="804" t="str">
        <f>IFERROR(ROUND(CZ74*IF(COUNTIF($B$20:B74,B74)=1,1,"")/IF(B74="",0,1),0),"")</f>
        <v/>
      </c>
      <c r="DP74" s="804" t="str">
        <f>IFERROR(ROUND(CW74*IF(COUNTIF($B$20:B74,B74)=1,1,"")/IF(B74="",0,1),0),"")</f>
        <v/>
      </c>
      <c r="DQ74" s="804" t="str">
        <f>IFERROR(ROUND(DA74*IF(COUNTIF($B$20:B74,B74)=1,1,"")/IF(B74="",0,1),0),"")</f>
        <v/>
      </c>
      <c r="DR74" s="804" t="str">
        <f>IFERROR(ROUND(CX74*IF(COUNTIF($B$20:B74,B74)=1,1,"")/IF(B74="",0,1),0),"")</f>
        <v/>
      </c>
      <c r="DS74" s="804">
        <f t="shared" si="121"/>
        <v>0</v>
      </c>
      <c r="DT74" s="804">
        <f t="shared" si="122"/>
        <v>0</v>
      </c>
      <c r="DU74" s="804">
        <f t="shared" si="123"/>
        <v>0</v>
      </c>
      <c r="DV74" s="818" t="str">
        <f t="shared" si="66"/>
        <v/>
      </c>
      <c r="DW74" s="819" t="str">
        <f t="shared" si="67"/>
        <v/>
      </c>
    </row>
    <row r="75" spans="1:127" ht="18" customHeight="1" x14ac:dyDescent="0.35">
      <c r="A75" s="696"/>
      <c r="B75" s="820"/>
      <c r="C75" s="825" t="str">
        <f t="shared" si="69"/>
        <v>(Required)</v>
      </c>
      <c r="D75" s="821"/>
      <c r="E75" s="825" t="str">
        <f t="shared" si="69"/>
        <v>(Required)</v>
      </c>
      <c r="F75" s="821"/>
      <c r="G75" s="825" t="str">
        <f t="shared" si="70"/>
        <v>(Required)</v>
      </c>
      <c r="H75" s="822"/>
      <c r="I75" s="825" t="str">
        <f t="shared" si="71"/>
        <v>(Required)</v>
      </c>
      <c r="J75" s="821"/>
      <c r="K75" s="825" t="str">
        <f t="shared" si="72"/>
        <v>(Required)</v>
      </c>
      <c r="L75" s="821"/>
      <c r="M75" s="825" t="str">
        <f t="shared" si="73"/>
        <v>(Required)</v>
      </c>
      <c r="N75" s="821"/>
      <c r="O75" s="825" t="str">
        <f t="shared" si="74"/>
        <v>(Required)</v>
      </c>
      <c r="P75" s="821"/>
      <c r="Q75" s="825" t="str">
        <f t="shared" si="75"/>
        <v>(Required)</v>
      </c>
      <c r="R75" s="823"/>
      <c r="S75" s="826" t="str">
        <f t="shared" si="76"/>
        <v>(Optional)</v>
      </c>
      <c r="T75" s="821"/>
      <c r="U75" s="827" t="str">
        <f t="shared" si="77"/>
        <v>(Required)</v>
      </c>
      <c r="V75" s="828"/>
      <c r="W75" s="799" t="str">
        <f t="shared" si="9"/>
        <v>(Optional)</v>
      </c>
      <c r="X75" s="822"/>
      <c r="Y75" s="825" t="str">
        <f t="shared" si="78"/>
        <v>(Required)</v>
      </c>
      <c r="Z75" s="821"/>
      <c r="AA75" s="825" t="str">
        <f t="shared" si="79"/>
        <v>(Required)</v>
      </c>
      <c r="AB75" s="821"/>
      <c r="AC75" s="825" t="str">
        <f t="shared" si="80"/>
        <v>(Required)</v>
      </c>
      <c r="AD75" s="821"/>
      <c r="AE75" s="825" t="str">
        <f t="shared" si="81"/>
        <v>(Required)</v>
      </c>
      <c r="AF75" s="821"/>
      <c r="AG75" s="825" t="str">
        <f t="shared" si="82"/>
        <v>(Required)</v>
      </c>
      <c r="AH75" s="823"/>
      <c r="AI75" s="826" t="str">
        <f t="shared" si="83"/>
        <v>(Optional)</v>
      </c>
      <c r="AJ75" s="821"/>
      <c r="AK75" s="825" t="str">
        <f t="shared" si="84"/>
        <v>(Required)</v>
      </c>
      <c r="AL75" s="803" t="str">
        <f t="shared" si="85"/>
        <v/>
      </c>
      <c r="AM75" s="803" t="str">
        <f>IF(H75="DESL",'Fuel Density'!$C$12,IF(H75="GAS",'Fuel Density'!$C$11,IF(H75="CNG",'Fuel Density'!$C$13,IF(H75="LNG",'Fuel Density'!$C$14,IF(H75="LPG",'Fuel Density'!$C$15,IF(H75="PROP",'Fuel Density'!$C$16,IF(H75="","","")))))))</f>
        <v/>
      </c>
      <c r="AN75" s="803" t="str">
        <f>IF(H75="DESL",'Fuel-Specific GHG'!$C$14,IF(H75="GAS",'Fuel-Specific GHG'!$C$16,IF(H75="CNG",'Fuel-Specific GHG'!$C$13,IF(H75="LNG",'Fuel-Specific GHG'!$C$18,IF(OR(H75="LPG",H75="PROP"),'Fuel-Specific GHG'!$C$19,IF(H75="","",""))))))</f>
        <v/>
      </c>
      <c r="AO75" s="804" t="str">
        <f>IFERROR(((P75*(IF(ISBLANK(R75),Defaults!$B$19,R75))*T75*AL75)/AM75),"")</f>
        <v/>
      </c>
      <c r="AP75" s="805" t="str">
        <f t="shared" si="86"/>
        <v/>
      </c>
      <c r="AQ75" s="805" t="str">
        <f>IF(H75="DESL",'Fuel-Specific GHG'!$E$14,IF(H75="GAS",'Fuel-Specific GHG'!$E$16,IF(H75="CNG",'Fuel-Specific GHG'!$E$13,IF(H75="LNG",'Fuel-Specific GHG'!$E$18,IF(OR(H75="LPG",H75="PROP"),'Fuel-Specific GHG'!$E$19,"")))))</f>
        <v/>
      </c>
      <c r="AR75" s="805" t="str">
        <f t="shared" si="87"/>
        <v/>
      </c>
      <c r="AS75" s="803" t="str">
        <f t="shared" si="58"/>
        <v/>
      </c>
      <c r="AT75" s="803" t="str">
        <f>IF(X75="DESL",'Fuel Density'!$C$12,IF(X75="PROP",'Fuel Density'!$C$16,IF(X75="GAS",'Fuel Density'!$C$11,IF(X75="CNG",'Fuel Density'!$C$13,IF(X75="LNG",'Fuel Density'!$C$14,IF(X75="LPG",'Fuel Density'!$C$15,IF(X75="","","")))))))</f>
        <v/>
      </c>
      <c r="AU75" s="804" t="str">
        <f>IFERROR(IF(X75="ELEC",AO75*AN75*(1/'Fuel-Specific GHG'!$C$15)*(1/IF(H75="GAS",3.4,IF(H75="DESL",2.7,3))),((AF75*(IF(ISBLANK(AH75),Defaults!$B$19,AH75))*AJ75*AS75)/AT75)),"")</f>
        <v/>
      </c>
      <c r="AV75" s="805" t="str">
        <f t="shared" si="88"/>
        <v/>
      </c>
      <c r="AW75" s="805" t="str">
        <f>IF(X75="DESL",'Fuel-Specific GHG'!$E$14,IF(X75="PROP",'Fuel-Specific GHG'!$E$19,IF(X75="GAS",'Fuel-Specific GHG'!$E$16,IF(X75="CNG",'Fuel-Specific GHG'!$E$13,IF(X75="LNG",'Fuel-Specific GHG'!$E$18,IF(X75="LPG",'Fuel-Specific GHG'!$E$19,IF(X75="ELEC",'Fuel-Specific GHG'!$E$15,"")))))))</f>
        <v/>
      </c>
      <c r="AX75" s="805" t="str">
        <f t="shared" si="89"/>
        <v/>
      </c>
      <c r="AY75" s="806" t="str">
        <f t="shared" si="90"/>
        <v/>
      </c>
      <c r="AZ75" s="806" t="str">
        <f t="shared" si="68"/>
        <v/>
      </c>
      <c r="BA75" s="806" t="str">
        <f t="shared" si="59"/>
        <v/>
      </c>
      <c r="BB75" s="804" t="str">
        <f t="shared" si="23"/>
        <v/>
      </c>
      <c r="BC75" s="807" t="str">
        <f t="shared" si="91"/>
        <v/>
      </c>
      <c r="BD75" s="807"/>
      <c r="BE75" s="808" t="str">
        <f t="shared" si="92"/>
        <v/>
      </c>
      <c r="BF75" s="809" t="str">
        <f t="shared" si="93"/>
        <v/>
      </c>
      <c r="BG75" s="808" t="str">
        <f t="shared" si="60"/>
        <v/>
      </c>
      <c r="BH75" s="810">
        <f t="shared" si="61"/>
        <v>0</v>
      </c>
      <c r="BI75" s="803" t="str">
        <f>IFERROR(VLOOKUP(BH75,'Pump Emission Factors'!$B$11:$J$88,4,FALSE),"")</f>
        <v/>
      </c>
      <c r="BJ75" s="803" t="str">
        <f>IFERROR(VLOOKUP(BH75,'Pump Emission Factors'!$B$11:$J$88,6,FALSE),"")</f>
        <v/>
      </c>
      <c r="BK75" s="803" t="str">
        <f>IFERROR(VLOOKUP(BH75,'Pump Emission Factors'!$B$11:$J$88,8,FALSE),"")</f>
        <v/>
      </c>
      <c r="BL75" s="803" t="str">
        <f>IFERROR(VLOOKUP(BH75,'Pump Emission Factors'!$B$11:$J$88,5,FALSE),"")</f>
        <v/>
      </c>
      <c r="BM75" s="803" t="str">
        <f>IFERROR(VLOOKUP(BH75,'Pump Emission Factors'!$B$11:$J$88,7,FALSE),"")</f>
        <v/>
      </c>
      <c r="BN75" s="803" t="str">
        <f>IFERROR(VLOOKUP(BH75,'Pump Emission Factors'!$B$11:$J$88,9,FALSE),"")</f>
        <v/>
      </c>
      <c r="BO75" s="811" t="str">
        <f t="shared" si="94"/>
        <v/>
      </c>
      <c r="BP75" s="811" t="str">
        <f t="shared" si="95"/>
        <v/>
      </c>
      <c r="BQ75" s="803">
        <f>IFERROR(((BI75+(BL75*BP75))*(IF(ISBLANK(R75),Defaults!$B$19,R75))*P75*T75)*F75*(1/454),0)</f>
        <v>0</v>
      </c>
      <c r="BR75" s="803">
        <f>IFERROR(((BJ75+(BM75*BP75))*(IF(ISBLANK(R75),Defaults!$B$19,R75))*P75*T75)*F75*(1/454),0)</f>
        <v>0</v>
      </c>
      <c r="BS75" s="803">
        <f>IFERROR(((BK75+(BN75*BP75))*(IF(ISBLANK(R75),Defaults!$B$19,R75))*P75*T75)*F75*(1/454),0)</f>
        <v>0</v>
      </c>
      <c r="BT75" s="803">
        <f t="shared" si="96"/>
        <v>0</v>
      </c>
      <c r="BU75" s="803">
        <f t="shared" si="97"/>
        <v>0</v>
      </c>
      <c r="BV75" s="812" t="str">
        <f t="shared" si="98"/>
        <v/>
      </c>
      <c r="BW75" s="808" t="str">
        <f t="shared" si="99"/>
        <v/>
      </c>
      <c r="BX75" s="809" t="str">
        <f t="shared" si="32"/>
        <v/>
      </c>
      <c r="BY75" s="808" t="str">
        <f t="shared" si="63"/>
        <v/>
      </c>
      <c r="BZ75" s="810">
        <f t="shared" si="64"/>
        <v>0</v>
      </c>
      <c r="CA75" s="813" t="str">
        <f>IFERROR(VLOOKUP(BZ75,'Pump Emission Factors'!$B$11:$J$88,4,FALSE),"")</f>
        <v/>
      </c>
      <c r="CB75" s="813" t="str">
        <f>IFERROR(VLOOKUP(BZ75,'Pump Emission Factors'!$B$11:$J$88,6,FALSE),"")</f>
        <v/>
      </c>
      <c r="CC75" s="813" t="str">
        <f>IFERROR(VLOOKUP(BZ75,'Pump Emission Factors'!$B$11:$J$88,8,FALSE),"")</f>
        <v/>
      </c>
      <c r="CD75" s="813" t="str">
        <f>IFERROR(VLOOKUP(BZ75,'Pump Emission Factors'!$B$11:$J$88,5,FALSE),"")</f>
        <v/>
      </c>
      <c r="CE75" s="813" t="str">
        <f>IFERROR(VLOOKUP(BZ75,'Pump Emission Factors'!$B$11:$J$88,7,FALSE),"")</f>
        <v/>
      </c>
      <c r="CF75" s="813" t="str">
        <f>IFERROR(VLOOKUP(BZ75,'Pump Emission Factors'!$B$11:$J$88,9,FALSE),"")</f>
        <v/>
      </c>
      <c r="CG75" s="814" t="str">
        <f t="shared" si="100"/>
        <v/>
      </c>
      <c r="CH75" s="814" t="str">
        <f t="shared" si="101"/>
        <v/>
      </c>
      <c r="CI75" s="813">
        <f>IFERROR(IF($X75="ELEC",((($AU75*(IF($H75="DESL",'Fuel-Specific GHG'!$C$14,IF($H75="GAS",'Fuel-Specific GHG'!$C$16,IF($H75="CNG",'Fuel-Specific GHG'!$C$13,IF(OR($H75="LPG",$H75="PROP"),'Fuel-Specific GHG'!$C$19,"")))))*(1/'Fuel-Specific GHG'!$C$15)*(1/3.4)*$F75)*'Grid Electricity'!$D$39)/454),((CA75+(CD75*CH75))*(IF(ISBLANK(AH75),Defaults!$B$19,AH75))*$AF75*$AJ75*$F75)),0)</f>
        <v>0</v>
      </c>
      <c r="CJ75" s="813">
        <f>IFERROR(IF($X75="ELEC",((($AU75*(IF($H75="DESL",'Fuel-Specific GHG'!$C$14,IF($H75="GAS",'Fuel-Specific GHG'!$C$16,IF($H75="CNG",'Fuel-Specific GHG'!$C$13,IF(OR($H75="LPG",$H75="PROP"),'Fuel-Specific GHG'!$C$19,"")))))*(1/'Fuel-Specific GHG'!$C$15)*(1/3.4)*$F75)*'Grid Electricity'!$C$39)/454),((CB75+(CE75*CH75))*(IF(ISBLANK(AH75),Defaults!$B$19,AH75))*$AF75*$AJ75*$F75)),0)</f>
        <v>0</v>
      </c>
      <c r="CK75" s="813">
        <f>IFERROR(IF($X75="ELEC",((($AU75*(IF($H75="DESL",'Fuel-Specific GHG'!$C$14,IF($H75="GAS",'Fuel-Specific GHG'!$C$16,IF($H75="CNG",'Fuel-Specific GHG'!$C$13,IF(OR($H75="LPG",$H75="PROP"),'Fuel-Specific GHG'!$C$19,"")))))*(1/'Fuel-Specific GHG'!$C$15)*(1/3.4)*$F75)*'Grid Electricity'!$F$39)/454),((CC75+(CF75*CH75))*(IF(ISBLANK(AH75),Defaults!$B$19,AH75))*$AF75*$AJ75*$F75)),0)</f>
        <v>0</v>
      </c>
      <c r="CL75" s="813">
        <f t="shared" si="102"/>
        <v>0</v>
      </c>
      <c r="CM75" s="813">
        <f t="shared" si="103"/>
        <v>0</v>
      </c>
      <c r="CN75" s="814" t="str">
        <f t="shared" si="104"/>
        <v/>
      </c>
      <c r="CO75" s="814" t="str">
        <f t="shared" si="105"/>
        <v/>
      </c>
      <c r="CP75" s="814" t="str">
        <f t="shared" si="106"/>
        <v/>
      </c>
      <c r="CQ75" s="814" t="str">
        <f t="shared" si="107"/>
        <v/>
      </c>
      <c r="CR75" s="815" t="str">
        <f>IF(AND(V75="Yes, Booster Pump VFD",AF75&lt;=75),('Pump Emission Factors'!$F$95*F75),(IF(AND(V75="Yes, Booster Pump VFD",AF75&gt;75),('Pump Emission Factors'!$F$96*F75),(IF(AND(V75="Yes, Well Pump VFD",AF75&lt;=75),('Pump Emission Factors'!$F$97*F75),(IF(AND(V75="Yes, Well Pump VFD",AF75&gt;75),('Pump Emission Factors'!$F$98*F75),"")))))))</f>
        <v/>
      </c>
      <c r="CS75" s="815" t="str">
        <f>IF(AND(V75="Yes, Booster Pump VFD",AF75&lt;=75),('Pump Emission Factors'!$G$95*F75),(IF(AND(V75="Yes, Booster Pump VFD",AF75&gt;75),('Pump Emission Factors'!$G$96*F75),(IF(AND(V75="Yes, Well Pump VFD",AF75&lt;=75),('Pump Emission Factors'!$G$97*F75),(IF(AND(V75="Yes, Well Pump VFD",AF75&gt;75),('Pump Emission Factors'!$G$98*F75),"")))))))</f>
        <v/>
      </c>
      <c r="CT75" s="815" t="str">
        <f>IF(AND(V75="Yes, Booster Pump VFD",AF75&lt;=75),('Pump Emission Factors'!$H$95*F75),(IF(AND(V75="Yes, Booster Pump VFD",AF75&gt;75),('Pump Emission Factors'!$H$96*F75),(IF(AND(V75="Yes, Well Pump VFD",AF75&lt;=75),('Pump Emission Factors'!$H$97*F75),(IF(AND(V75="Yes, Well Pump VFD",AF75&gt;75),('Pump Emission Factors'!$H$98*F75),"")))))))</f>
        <v/>
      </c>
      <c r="CU75" s="815" t="str">
        <f>IF(AND(V75="Yes, Booster Pump VFD",AF75&lt;=75),('Pump Emission Factors'!$J$95*F75),(IF(AND(V75="Yes, Booster Pump VFD",AF75&gt;75),('Pump Emission Factors'!$J$96*F75),(IF(AND(V75="Yes, Well Pump VFD",AF75&lt;=75),('Pump Emission Factors'!$J$97*F75),(IF(AND(V75="Yes, Well Pump VFD",AF75&gt;75),('Pump Emission Factors'!$J$98*F75),"")))))))</f>
        <v/>
      </c>
      <c r="CV75" s="815" t="str">
        <f>IF(AND(V75="Yes, Booster Pump VFD",AF75&lt;=75),('Pump Emission Factors'!$I$95*F75),(IF(AND(V75="Yes, Booster Pump VFD",AF75&gt;75),('Pump Emission Factors'!$I$96*F75),(IF(AND(V75="Yes, Well Pump VFD",AF75&lt;=75),('Pump Emission Factors'!$I$97*F75),(IF(AND(V75="Yes, Well Pump VFD",AF75&gt;75),('Pump Emission Factors'!$I$98*F75),"")))))))</f>
        <v/>
      </c>
      <c r="CW75" s="806">
        <f t="shared" si="108"/>
        <v>0</v>
      </c>
      <c r="CX75" s="806">
        <f t="shared" si="109"/>
        <v>0</v>
      </c>
      <c r="CY75" s="806">
        <f t="shared" si="110"/>
        <v>0</v>
      </c>
      <c r="CZ75" s="806">
        <f t="shared" si="111"/>
        <v>0</v>
      </c>
      <c r="DA75" s="806">
        <f t="shared" si="112"/>
        <v>0</v>
      </c>
      <c r="DB75" s="816" t="str">
        <f t="shared" si="65"/>
        <v/>
      </c>
      <c r="DC75" s="816" t="str">
        <f t="shared" si="65"/>
        <v/>
      </c>
      <c r="DD75" s="816" t="str">
        <f t="shared" si="65"/>
        <v/>
      </c>
      <c r="DE75" s="817" t="str">
        <f t="shared" si="113"/>
        <v/>
      </c>
      <c r="DF75" s="817" t="str">
        <f t="shared" si="114"/>
        <v/>
      </c>
      <c r="DG75" s="804" t="str">
        <f t="shared" si="115"/>
        <v/>
      </c>
      <c r="DH75" s="804" t="str">
        <f t="shared" si="116"/>
        <v/>
      </c>
      <c r="DI75" s="818" t="str">
        <f>IF(AO75="","",IF(H75="DESL",AO75*F75*'Fuel Prices'!$C$12,IF(H75="GAS",AO75*F75*'Fuel Prices'!$C$11,IF(H75="CNG",AO75*F75*'Fuel Prices'!$C$13,IF(H75="LNG",AO75*F75*'Fuel Prices'!$C$14,IF(H75="LPG",AO75*F75*'Fuel Prices'!$C$16,IF(H75="PROP",AO75*F75*'Fuel Prices'!$C$16,"0")))))))</f>
        <v/>
      </c>
      <c r="DJ75" s="818" t="str">
        <f>IF(AU75="","",IF(X75="DESL",AU75*F75*'Fuel Prices'!$C$12,IF(X75="GAS",AU75*F75*'Fuel Prices'!$C$11,IF(X75="CNG",AU75*F75*'Fuel Prices'!$C$13,IF(X75="LNG",AU75*F75*'Fuel Prices'!$C$14,IF(X75="LPG",AU75*F75*'Fuel Prices'!$C$16,IF(X75="PROP",AU75*F75*'Fuel Prices'!$C$16,IF(X75="ELEC",AU75*F75*'Fuel Prices'!$C$35,"0"))))))))</f>
        <v/>
      </c>
      <c r="DK75" s="818" t="str">
        <f t="shared" si="117"/>
        <v/>
      </c>
      <c r="DL75" s="818" t="str">
        <f t="shared" si="118"/>
        <v/>
      </c>
      <c r="DM75" s="804" t="str">
        <f t="shared" si="119"/>
        <v/>
      </c>
      <c r="DN75" s="804" t="str">
        <f t="shared" si="120"/>
        <v/>
      </c>
      <c r="DO75" s="804" t="str">
        <f>IFERROR(ROUND(CZ75*IF(COUNTIF($B$20:B75,B75)=1,1,"")/IF(B75="",0,1),0),"")</f>
        <v/>
      </c>
      <c r="DP75" s="804" t="str">
        <f>IFERROR(ROUND(CW75*IF(COUNTIF($B$20:B75,B75)=1,1,"")/IF(B75="",0,1),0),"")</f>
        <v/>
      </c>
      <c r="DQ75" s="804" t="str">
        <f>IFERROR(ROUND(DA75*IF(COUNTIF($B$20:B75,B75)=1,1,"")/IF(B75="",0,1),0),"")</f>
        <v/>
      </c>
      <c r="DR75" s="804" t="str">
        <f>IFERROR(ROUND(CX75*IF(COUNTIF($B$20:B75,B75)=1,1,"")/IF(B75="",0,1),0),"")</f>
        <v/>
      </c>
      <c r="DS75" s="804">
        <f t="shared" si="121"/>
        <v>0</v>
      </c>
      <c r="DT75" s="804">
        <f t="shared" si="122"/>
        <v>0</v>
      </c>
      <c r="DU75" s="804">
        <f t="shared" si="123"/>
        <v>0</v>
      </c>
      <c r="DV75" s="818" t="str">
        <f t="shared" si="66"/>
        <v/>
      </c>
      <c r="DW75" s="819" t="str">
        <f t="shared" si="67"/>
        <v/>
      </c>
    </row>
    <row r="76" spans="1:127" ht="18" customHeight="1" x14ac:dyDescent="0.35">
      <c r="A76" s="635"/>
      <c r="B76" s="820"/>
      <c r="C76" s="825" t="str">
        <f t="shared" si="69"/>
        <v>(Required)</v>
      </c>
      <c r="D76" s="821"/>
      <c r="E76" s="825" t="str">
        <f t="shared" si="69"/>
        <v>(Required)</v>
      </c>
      <c r="F76" s="821"/>
      <c r="G76" s="825" t="str">
        <f t="shared" si="70"/>
        <v>(Required)</v>
      </c>
      <c r="H76" s="822"/>
      <c r="I76" s="825" t="str">
        <f t="shared" si="71"/>
        <v>(Required)</v>
      </c>
      <c r="J76" s="821"/>
      <c r="K76" s="825" t="str">
        <f t="shared" si="72"/>
        <v>(Required)</v>
      </c>
      <c r="L76" s="821"/>
      <c r="M76" s="825" t="str">
        <f t="shared" si="73"/>
        <v>(Required)</v>
      </c>
      <c r="N76" s="821"/>
      <c r="O76" s="825" t="str">
        <f t="shared" si="74"/>
        <v>(Required)</v>
      </c>
      <c r="P76" s="821"/>
      <c r="Q76" s="825" t="str">
        <f t="shared" si="75"/>
        <v>(Required)</v>
      </c>
      <c r="R76" s="823"/>
      <c r="S76" s="826" t="str">
        <f t="shared" si="76"/>
        <v>(Optional)</v>
      </c>
      <c r="T76" s="821"/>
      <c r="U76" s="827" t="str">
        <f t="shared" si="77"/>
        <v>(Required)</v>
      </c>
      <c r="V76" s="828"/>
      <c r="W76" s="799" t="str">
        <f t="shared" si="9"/>
        <v>(Optional)</v>
      </c>
      <c r="X76" s="822"/>
      <c r="Y76" s="825" t="str">
        <f t="shared" si="78"/>
        <v>(Required)</v>
      </c>
      <c r="Z76" s="821"/>
      <c r="AA76" s="825" t="str">
        <f t="shared" si="79"/>
        <v>(Required)</v>
      </c>
      <c r="AB76" s="821"/>
      <c r="AC76" s="825" t="str">
        <f t="shared" si="80"/>
        <v>(Required)</v>
      </c>
      <c r="AD76" s="821"/>
      <c r="AE76" s="825" t="str">
        <f t="shared" si="81"/>
        <v>(Required)</v>
      </c>
      <c r="AF76" s="821"/>
      <c r="AG76" s="825" t="str">
        <f t="shared" si="82"/>
        <v>(Required)</v>
      </c>
      <c r="AH76" s="823"/>
      <c r="AI76" s="826" t="str">
        <f t="shared" si="83"/>
        <v>(Optional)</v>
      </c>
      <c r="AJ76" s="821"/>
      <c r="AK76" s="825" t="str">
        <f t="shared" si="84"/>
        <v>(Required)</v>
      </c>
      <c r="AL76" s="803" t="str">
        <f t="shared" si="85"/>
        <v/>
      </c>
      <c r="AM76" s="803" t="str">
        <f>IF(H76="DESL",'Fuel Density'!$C$12,IF(H76="GAS",'Fuel Density'!$C$11,IF(H76="CNG",'Fuel Density'!$C$13,IF(H76="LNG",'Fuel Density'!$C$14,IF(H76="LPG",'Fuel Density'!$C$15,IF(H76="PROP",'Fuel Density'!$C$16,IF(H76="","","")))))))</f>
        <v/>
      </c>
      <c r="AN76" s="803" t="str">
        <f>IF(H76="DESL",'Fuel-Specific GHG'!$C$14,IF(H76="GAS",'Fuel-Specific GHG'!$C$16,IF(H76="CNG",'Fuel-Specific GHG'!$C$13,IF(H76="LNG",'Fuel-Specific GHG'!$C$18,IF(OR(H76="LPG",H76="PROP"),'Fuel-Specific GHG'!$C$19,IF(H76="","",""))))))</f>
        <v/>
      </c>
      <c r="AO76" s="804" t="str">
        <f>IFERROR(((P76*(IF(ISBLANK(R76),Defaults!$B$19,R76))*T76*AL76)/AM76),"")</f>
        <v/>
      </c>
      <c r="AP76" s="805" t="str">
        <f t="shared" si="86"/>
        <v/>
      </c>
      <c r="AQ76" s="805" t="str">
        <f>IF(H76="DESL",'Fuel-Specific GHG'!$E$14,IF(H76="GAS",'Fuel-Specific GHG'!$E$16,IF(H76="CNG",'Fuel-Specific GHG'!$E$13,IF(H76="LNG",'Fuel-Specific GHG'!$E$18,IF(OR(H76="LPG",H76="PROP"),'Fuel-Specific GHG'!$E$19,"")))))</f>
        <v/>
      </c>
      <c r="AR76" s="805" t="str">
        <f t="shared" si="87"/>
        <v/>
      </c>
      <c r="AS76" s="803" t="str">
        <f t="shared" si="58"/>
        <v/>
      </c>
      <c r="AT76" s="803" t="str">
        <f>IF(X76="DESL",'Fuel Density'!$C$12,IF(X76="PROP",'Fuel Density'!$C$16,IF(X76="GAS",'Fuel Density'!$C$11,IF(X76="CNG",'Fuel Density'!$C$13,IF(X76="LNG",'Fuel Density'!$C$14,IF(X76="LPG",'Fuel Density'!$C$15,IF(X76="","","")))))))</f>
        <v/>
      </c>
      <c r="AU76" s="804" t="str">
        <f>IFERROR(IF(X76="ELEC",AO76*AN76*(1/'Fuel-Specific GHG'!$C$15)*(1/IF(H76="GAS",3.4,IF(H76="DESL",2.7,3))),((AF76*(IF(ISBLANK(AH76),Defaults!$B$19,AH76))*AJ76*AS76)/AT76)),"")</f>
        <v/>
      </c>
      <c r="AV76" s="805" t="str">
        <f t="shared" si="88"/>
        <v/>
      </c>
      <c r="AW76" s="805" t="str">
        <f>IF(X76="DESL",'Fuel-Specific GHG'!$E$14,IF(X76="PROP",'Fuel-Specific GHG'!$E$19,IF(X76="GAS",'Fuel-Specific GHG'!$E$16,IF(X76="CNG",'Fuel-Specific GHG'!$E$13,IF(X76="LNG",'Fuel-Specific GHG'!$E$18,IF(X76="LPG",'Fuel-Specific GHG'!$E$19,IF(X76="ELEC",'Fuel-Specific GHG'!$E$15,"")))))))</f>
        <v/>
      </c>
      <c r="AX76" s="805" t="str">
        <f t="shared" si="89"/>
        <v/>
      </c>
      <c r="AY76" s="806" t="str">
        <f t="shared" si="90"/>
        <v/>
      </c>
      <c r="AZ76" s="806" t="str">
        <f t="shared" si="68"/>
        <v/>
      </c>
      <c r="BA76" s="806" t="str">
        <f t="shared" si="59"/>
        <v/>
      </c>
      <c r="BB76" s="804" t="str">
        <f t="shared" si="23"/>
        <v/>
      </c>
      <c r="BC76" s="807" t="str">
        <f t="shared" si="91"/>
        <v/>
      </c>
      <c r="BD76" s="807"/>
      <c r="BE76" s="808" t="str">
        <f t="shared" si="92"/>
        <v/>
      </c>
      <c r="BF76" s="809" t="str">
        <f t="shared" si="93"/>
        <v/>
      </c>
      <c r="BG76" s="808" t="str">
        <f t="shared" si="60"/>
        <v/>
      </c>
      <c r="BH76" s="810">
        <f t="shared" si="61"/>
        <v>0</v>
      </c>
      <c r="BI76" s="803" t="str">
        <f>IFERROR(VLOOKUP(BH76,'Pump Emission Factors'!$B$11:$J$88,4,FALSE),"")</f>
        <v/>
      </c>
      <c r="BJ76" s="803" t="str">
        <f>IFERROR(VLOOKUP(BH76,'Pump Emission Factors'!$B$11:$J$88,6,FALSE),"")</f>
        <v/>
      </c>
      <c r="BK76" s="803" t="str">
        <f>IFERROR(VLOOKUP(BH76,'Pump Emission Factors'!$B$11:$J$88,8,FALSE),"")</f>
        <v/>
      </c>
      <c r="BL76" s="803" t="str">
        <f>IFERROR(VLOOKUP(BH76,'Pump Emission Factors'!$B$11:$J$88,5,FALSE),"")</f>
        <v/>
      </c>
      <c r="BM76" s="803" t="str">
        <f>IFERROR(VLOOKUP(BH76,'Pump Emission Factors'!$B$11:$J$88,7,FALSE),"")</f>
        <v/>
      </c>
      <c r="BN76" s="803" t="str">
        <f>IFERROR(VLOOKUP(BH76,'Pump Emission Factors'!$B$11:$J$88,9,FALSE),"")</f>
        <v/>
      </c>
      <c r="BO76" s="811" t="str">
        <f t="shared" si="94"/>
        <v/>
      </c>
      <c r="BP76" s="811" t="str">
        <f t="shared" si="95"/>
        <v/>
      </c>
      <c r="BQ76" s="803">
        <f>IFERROR(((BI76+(BL76*BP76))*(IF(ISBLANK(R76),Defaults!$B$19,R76))*P76*T76)*F76*(1/454),0)</f>
        <v>0</v>
      </c>
      <c r="BR76" s="803">
        <f>IFERROR(((BJ76+(BM76*BP76))*(IF(ISBLANK(R76),Defaults!$B$19,R76))*P76*T76)*F76*(1/454),0)</f>
        <v>0</v>
      </c>
      <c r="BS76" s="803">
        <f>IFERROR(((BK76+(BN76*BP76))*(IF(ISBLANK(R76),Defaults!$B$19,R76))*P76*T76)*F76*(1/454),0)</f>
        <v>0</v>
      </c>
      <c r="BT76" s="803">
        <f t="shared" si="96"/>
        <v>0</v>
      </c>
      <c r="BU76" s="803">
        <f t="shared" si="97"/>
        <v>0</v>
      </c>
      <c r="BV76" s="812" t="str">
        <f t="shared" si="98"/>
        <v/>
      </c>
      <c r="BW76" s="808" t="str">
        <f t="shared" si="99"/>
        <v/>
      </c>
      <c r="BX76" s="809" t="str">
        <f t="shared" si="32"/>
        <v/>
      </c>
      <c r="BY76" s="808" t="str">
        <f t="shared" si="63"/>
        <v/>
      </c>
      <c r="BZ76" s="810">
        <f t="shared" si="64"/>
        <v>0</v>
      </c>
      <c r="CA76" s="813" t="str">
        <f>IFERROR(VLOOKUP(BZ76,'Pump Emission Factors'!$B$11:$J$88,4,FALSE),"")</f>
        <v/>
      </c>
      <c r="CB76" s="813" t="str">
        <f>IFERROR(VLOOKUP(BZ76,'Pump Emission Factors'!$B$11:$J$88,6,FALSE),"")</f>
        <v/>
      </c>
      <c r="CC76" s="813" t="str">
        <f>IFERROR(VLOOKUP(BZ76,'Pump Emission Factors'!$B$11:$J$88,8,FALSE),"")</f>
        <v/>
      </c>
      <c r="CD76" s="813" t="str">
        <f>IFERROR(VLOOKUP(BZ76,'Pump Emission Factors'!$B$11:$J$88,5,FALSE),"")</f>
        <v/>
      </c>
      <c r="CE76" s="813" t="str">
        <f>IFERROR(VLOOKUP(BZ76,'Pump Emission Factors'!$B$11:$J$88,7,FALSE),"")</f>
        <v/>
      </c>
      <c r="CF76" s="813" t="str">
        <f>IFERROR(VLOOKUP(BZ76,'Pump Emission Factors'!$B$11:$J$88,9,FALSE),"")</f>
        <v/>
      </c>
      <c r="CG76" s="814" t="str">
        <f t="shared" si="100"/>
        <v/>
      </c>
      <c r="CH76" s="814" t="str">
        <f t="shared" si="101"/>
        <v/>
      </c>
      <c r="CI76" s="813">
        <f>IFERROR(IF($X76="ELEC",((($AU76*(IF($H76="DESL",'Fuel-Specific GHG'!$C$14,IF($H76="GAS",'Fuel-Specific GHG'!$C$16,IF($H76="CNG",'Fuel-Specific GHG'!$C$13,IF(OR($H76="LPG",$H76="PROP"),'Fuel-Specific GHG'!$C$19,"")))))*(1/'Fuel-Specific GHG'!$C$15)*(1/3.4)*$F76)*'Grid Electricity'!$D$39)/454),((CA76+(CD76*CH76))*(IF(ISBLANK(AH76),Defaults!$B$19,AH76))*$AF76*$AJ76*$F76)),0)</f>
        <v>0</v>
      </c>
      <c r="CJ76" s="813">
        <f>IFERROR(IF($X76="ELEC",((($AU76*(IF($H76="DESL",'Fuel-Specific GHG'!$C$14,IF($H76="GAS",'Fuel-Specific GHG'!$C$16,IF($H76="CNG",'Fuel-Specific GHG'!$C$13,IF(OR($H76="LPG",$H76="PROP"),'Fuel-Specific GHG'!$C$19,"")))))*(1/'Fuel-Specific GHG'!$C$15)*(1/3.4)*$F76)*'Grid Electricity'!$C$39)/454),((CB76+(CE76*CH76))*(IF(ISBLANK(AH76),Defaults!$B$19,AH76))*$AF76*$AJ76*$F76)),0)</f>
        <v>0</v>
      </c>
      <c r="CK76" s="813">
        <f>IFERROR(IF($X76="ELEC",((($AU76*(IF($H76="DESL",'Fuel-Specific GHG'!$C$14,IF($H76="GAS",'Fuel-Specific GHG'!$C$16,IF($H76="CNG",'Fuel-Specific GHG'!$C$13,IF(OR($H76="LPG",$H76="PROP"),'Fuel-Specific GHG'!$C$19,"")))))*(1/'Fuel-Specific GHG'!$C$15)*(1/3.4)*$F76)*'Grid Electricity'!$F$39)/454),((CC76+(CF76*CH76))*(IF(ISBLANK(AH76),Defaults!$B$19,AH76))*$AF76*$AJ76*$F76)),0)</f>
        <v>0</v>
      </c>
      <c r="CL76" s="813">
        <f t="shared" si="102"/>
        <v>0</v>
      </c>
      <c r="CM76" s="813">
        <f t="shared" si="103"/>
        <v>0</v>
      </c>
      <c r="CN76" s="814" t="str">
        <f t="shared" si="104"/>
        <v/>
      </c>
      <c r="CO76" s="814" t="str">
        <f t="shared" si="105"/>
        <v/>
      </c>
      <c r="CP76" s="814" t="str">
        <f t="shared" si="106"/>
        <v/>
      </c>
      <c r="CQ76" s="814" t="str">
        <f t="shared" si="107"/>
        <v/>
      </c>
      <c r="CR76" s="815" t="str">
        <f>IF(AND(V76="Yes, Booster Pump VFD",AF76&lt;=75),('Pump Emission Factors'!$F$95*F76),(IF(AND(V76="Yes, Booster Pump VFD",AF76&gt;75),('Pump Emission Factors'!$F$96*F76),(IF(AND(V76="Yes, Well Pump VFD",AF76&lt;=75),('Pump Emission Factors'!$F$97*F76),(IF(AND(V76="Yes, Well Pump VFD",AF76&gt;75),('Pump Emission Factors'!$F$98*F76),"")))))))</f>
        <v/>
      </c>
      <c r="CS76" s="815" t="str">
        <f>IF(AND(V76="Yes, Booster Pump VFD",AF76&lt;=75),('Pump Emission Factors'!$G$95*F76),(IF(AND(V76="Yes, Booster Pump VFD",AF76&gt;75),('Pump Emission Factors'!$G$96*F76),(IF(AND(V76="Yes, Well Pump VFD",AF76&lt;=75),('Pump Emission Factors'!$G$97*F76),(IF(AND(V76="Yes, Well Pump VFD",AF76&gt;75),('Pump Emission Factors'!$G$98*F76),"")))))))</f>
        <v/>
      </c>
      <c r="CT76" s="815" t="str">
        <f>IF(AND(V76="Yes, Booster Pump VFD",AF76&lt;=75),('Pump Emission Factors'!$H$95*F76),(IF(AND(V76="Yes, Booster Pump VFD",AF76&gt;75),('Pump Emission Factors'!$H$96*F76),(IF(AND(V76="Yes, Well Pump VFD",AF76&lt;=75),('Pump Emission Factors'!$H$97*F76),(IF(AND(V76="Yes, Well Pump VFD",AF76&gt;75),('Pump Emission Factors'!$H$98*F76),"")))))))</f>
        <v/>
      </c>
      <c r="CU76" s="815" t="str">
        <f>IF(AND(V76="Yes, Booster Pump VFD",AF76&lt;=75),('Pump Emission Factors'!$J$95*F76),(IF(AND(V76="Yes, Booster Pump VFD",AF76&gt;75),('Pump Emission Factors'!$J$96*F76),(IF(AND(V76="Yes, Well Pump VFD",AF76&lt;=75),('Pump Emission Factors'!$J$97*F76),(IF(AND(V76="Yes, Well Pump VFD",AF76&gt;75),('Pump Emission Factors'!$J$98*F76),"")))))))</f>
        <v/>
      </c>
      <c r="CV76" s="815" t="str">
        <f>IF(AND(V76="Yes, Booster Pump VFD",AF76&lt;=75),('Pump Emission Factors'!$I$95*F76),(IF(AND(V76="Yes, Booster Pump VFD",AF76&gt;75),('Pump Emission Factors'!$I$96*F76),(IF(AND(V76="Yes, Well Pump VFD",AF76&lt;=75),('Pump Emission Factors'!$I$97*F76),(IF(AND(V76="Yes, Well Pump VFD",AF76&gt;75),('Pump Emission Factors'!$I$98*F76),"")))))))</f>
        <v/>
      </c>
      <c r="CW76" s="806">
        <f t="shared" si="108"/>
        <v>0</v>
      </c>
      <c r="CX76" s="806">
        <f t="shared" si="109"/>
        <v>0</v>
      </c>
      <c r="CY76" s="806">
        <f t="shared" si="110"/>
        <v>0</v>
      </c>
      <c r="CZ76" s="806">
        <f t="shared" si="111"/>
        <v>0</v>
      </c>
      <c r="DA76" s="806">
        <f t="shared" si="112"/>
        <v>0</v>
      </c>
      <c r="DB76" s="816" t="str">
        <f t="shared" si="65"/>
        <v/>
      </c>
      <c r="DC76" s="816" t="str">
        <f t="shared" si="65"/>
        <v/>
      </c>
      <c r="DD76" s="816" t="str">
        <f t="shared" si="65"/>
        <v/>
      </c>
      <c r="DE76" s="817" t="str">
        <f t="shared" si="113"/>
        <v/>
      </c>
      <c r="DF76" s="817" t="str">
        <f t="shared" si="114"/>
        <v/>
      </c>
      <c r="DG76" s="804" t="str">
        <f t="shared" si="115"/>
        <v/>
      </c>
      <c r="DH76" s="804" t="str">
        <f t="shared" si="116"/>
        <v/>
      </c>
      <c r="DI76" s="818" t="str">
        <f>IF(AO76="","",IF(H76="DESL",AO76*F76*'Fuel Prices'!$C$12,IF(H76="GAS",AO76*F76*'Fuel Prices'!$C$11,IF(H76="CNG",AO76*F76*'Fuel Prices'!$C$13,IF(H76="LNG",AO76*F76*'Fuel Prices'!$C$14,IF(H76="LPG",AO76*F76*'Fuel Prices'!$C$16,IF(H76="PROP",AO76*F76*'Fuel Prices'!$C$16,"0")))))))</f>
        <v/>
      </c>
      <c r="DJ76" s="818" t="str">
        <f>IF(AU76="","",IF(X76="DESL",AU76*F76*'Fuel Prices'!$C$12,IF(X76="GAS",AU76*F76*'Fuel Prices'!$C$11,IF(X76="CNG",AU76*F76*'Fuel Prices'!$C$13,IF(X76="LNG",AU76*F76*'Fuel Prices'!$C$14,IF(X76="LPG",AU76*F76*'Fuel Prices'!$C$16,IF(X76="PROP",AU76*F76*'Fuel Prices'!$C$16,IF(X76="ELEC",AU76*F76*'Fuel Prices'!$C$35,"0"))))))))</f>
        <v/>
      </c>
      <c r="DK76" s="818" t="str">
        <f t="shared" si="117"/>
        <v/>
      </c>
      <c r="DL76" s="818" t="str">
        <f t="shared" si="118"/>
        <v/>
      </c>
      <c r="DM76" s="804" t="str">
        <f t="shared" si="119"/>
        <v/>
      </c>
      <c r="DN76" s="804" t="str">
        <f t="shared" si="120"/>
        <v/>
      </c>
      <c r="DO76" s="804" t="str">
        <f>IFERROR(ROUND(CZ76*IF(COUNTIF($B$20:B76,B76)=1,1,"")/IF(B76="",0,1),0),"")</f>
        <v/>
      </c>
      <c r="DP76" s="804" t="str">
        <f>IFERROR(ROUND(CW76*IF(COUNTIF($B$20:B76,B76)=1,1,"")/IF(B76="",0,1),0),"")</f>
        <v/>
      </c>
      <c r="DQ76" s="804" t="str">
        <f>IFERROR(ROUND(DA76*IF(COUNTIF($B$20:B76,B76)=1,1,"")/IF(B76="",0,1),0),"")</f>
        <v/>
      </c>
      <c r="DR76" s="804" t="str">
        <f>IFERROR(ROUND(CX76*IF(COUNTIF($B$20:B76,B76)=1,1,"")/IF(B76="",0,1),0),"")</f>
        <v/>
      </c>
      <c r="DS76" s="804">
        <f t="shared" si="121"/>
        <v>0</v>
      </c>
      <c r="DT76" s="804">
        <f t="shared" si="122"/>
        <v>0</v>
      </c>
      <c r="DU76" s="804">
        <f t="shared" si="123"/>
        <v>0</v>
      </c>
      <c r="DV76" s="818" t="str">
        <f t="shared" si="66"/>
        <v/>
      </c>
      <c r="DW76" s="819" t="str">
        <f t="shared" si="67"/>
        <v/>
      </c>
    </row>
    <row r="77" spans="1:127" ht="18" customHeight="1" x14ac:dyDescent="0.35">
      <c r="A77" s="696"/>
      <c r="B77" s="820"/>
      <c r="C77" s="825" t="str">
        <f t="shared" si="69"/>
        <v>(Required)</v>
      </c>
      <c r="D77" s="821"/>
      <c r="E77" s="825" t="str">
        <f t="shared" si="69"/>
        <v>(Required)</v>
      </c>
      <c r="F77" s="821"/>
      <c r="G77" s="825" t="str">
        <f t="shared" si="70"/>
        <v>(Required)</v>
      </c>
      <c r="H77" s="822"/>
      <c r="I77" s="825" t="str">
        <f t="shared" si="71"/>
        <v>(Required)</v>
      </c>
      <c r="J77" s="821"/>
      <c r="K77" s="825" t="str">
        <f t="shared" si="72"/>
        <v>(Required)</v>
      </c>
      <c r="L77" s="821"/>
      <c r="M77" s="825" t="str">
        <f t="shared" si="73"/>
        <v>(Required)</v>
      </c>
      <c r="N77" s="821"/>
      <c r="O77" s="825" t="str">
        <f t="shared" si="74"/>
        <v>(Required)</v>
      </c>
      <c r="P77" s="821"/>
      <c r="Q77" s="825" t="str">
        <f t="shared" si="75"/>
        <v>(Required)</v>
      </c>
      <c r="R77" s="823"/>
      <c r="S77" s="826" t="str">
        <f t="shared" si="76"/>
        <v>(Optional)</v>
      </c>
      <c r="T77" s="821"/>
      <c r="U77" s="827" t="str">
        <f t="shared" si="77"/>
        <v>(Required)</v>
      </c>
      <c r="V77" s="828"/>
      <c r="W77" s="799" t="str">
        <f t="shared" si="9"/>
        <v>(Optional)</v>
      </c>
      <c r="X77" s="822"/>
      <c r="Y77" s="825" t="str">
        <f t="shared" si="78"/>
        <v>(Required)</v>
      </c>
      <c r="Z77" s="821"/>
      <c r="AA77" s="825" t="str">
        <f t="shared" si="79"/>
        <v>(Required)</v>
      </c>
      <c r="AB77" s="821"/>
      <c r="AC77" s="825" t="str">
        <f t="shared" si="80"/>
        <v>(Required)</v>
      </c>
      <c r="AD77" s="821"/>
      <c r="AE77" s="825" t="str">
        <f t="shared" si="81"/>
        <v>(Required)</v>
      </c>
      <c r="AF77" s="821"/>
      <c r="AG77" s="825" t="str">
        <f t="shared" si="82"/>
        <v>(Required)</v>
      </c>
      <c r="AH77" s="823"/>
      <c r="AI77" s="826" t="str">
        <f t="shared" si="83"/>
        <v>(Optional)</v>
      </c>
      <c r="AJ77" s="821"/>
      <c r="AK77" s="825" t="str">
        <f t="shared" si="84"/>
        <v>(Required)</v>
      </c>
      <c r="AL77" s="803" t="str">
        <f t="shared" si="85"/>
        <v/>
      </c>
      <c r="AM77" s="803" t="str">
        <f>IF(H77="DESL",'Fuel Density'!$C$12,IF(H77="GAS",'Fuel Density'!$C$11,IF(H77="CNG",'Fuel Density'!$C$13,IF(H77="LNG",'Fuel Density'!$C$14,IF(H77="LPG",'Fuel Density'!$C$15,IF(H77="PROP",'Fuel Density'!$C$16,IF(H77="","","")))))))</f>
        <v/>
      </c>
      <c r="AN77" s="803" t="str">
        <f>IF(H77="DESL",'Fuel-Specific GHG'!$C$14,IF(H77="GAS",'Fuel-Specific GHG'!$C$16,IF(H77="CNG",'Fuel-Specific GHG'!$C$13,IF(H77="LNG",'Fuel-Specific GHG'!$C$18,IF(OR(H77="LPG",H77="PROP"),'Fuel-Specific GHG'!$C$19,IF(H77="","",""))))))</f>
        <v/>
      </c>
      <c r="AO77" s="804" t="str">
        <f>IFERROR(((P77*(IF(ISBLANK(R77),Defaults!$B$19,R77))*T77*AL77)/AM77),"")</f>
        <v/>
      </c>
      <c r="AP77" s="805" t="str">
        <f t="shared" si="86"/>
        <v/>
      </c>
      <c r="AQ77" s="805" t="str">
        <f>IF(H77="DESL",'Fuel-Specific GHG'!$E$14,IF(H77="GAS",'Fuel-Specific GHG'!$E$16,IF(H77="CNG",'Fuel-Specific GHG'!$E$13,IF(H77="LNG",'Fuel-Specific GHG'!$E$18,IF(OR(H77="LPG",H77="PROP"),'Fuel-Specific GHG'!$E$19,"")))))</f>
        <v/>
      </c>
      <c r="AR77" s="805" t="str">
        <f t="shared" si="87"/>
        <v/>
      </c>
      <c r="AS77" s="803" t="str">
        <f t="shared" si="58"/>
        <v/>
      </c>
      <c r="AT77" s="803" t="str">
        <f>IF(X77="DESL",'Fuel Density'!$C$12,IF(X77="PROP",'Fuel Density'!$C$16,IF(X77="GAS",'Fuel Density'!$C$11,IF(X77="CNG",'Fuel Density'!$C$13,IF(X77="LNG",'Fuel Density'!$C$14,IF(X77="LPG",'Fuel Density'!$C$15,IF(X77="","","")))))))</f>
        <v/>
      </c>
      <c r="AU77" s="804" t="str">
        <f>IFERROR(IF(X77="ELEC",AO77*AN77*(1/'Fuel-Specific GHG'!$C$15)*(1/IF(H77="GAS",3.4,IF(H77="DESL",2.7,3))),((AF77*(IF(ISBLANK(AH77),Defaults!$B$19,AH77))*AJ77*AS77)/AT77)),"")</f>
        <v/>
      </c>
      <c r="AV77" s="805" t="str">
        <f t="shared" si="88"/>
        <v/>
      </c>
      <c r="AW77" s="805" t="str">
        <f>IF(X77="DESL",'Fuel-Specific GHG'!$E$14,IF(X77="PROP",'Fuel-Specific GHG'!$E$19,IF(X77="GAS",'Fuel-Specific GHG'!$E$16,IF(X77="CNG",'Fuel-Specific GHG'!$E$13,IF(X77="LNG",'Fuel-Specific GHG'!$E$18,IF(X77="LPG",'Fuel-Specific GHG'!$E$19,IF(X77="ELEC",'Fuel-Specific GHG'!$E$15,"")))))))</f>
        <v/>
      </c>
      <c r="AX77" s="805" t="str">
        <f t="shared" si="89"/>
        <v/>
      </c>
      <c r="AY77" s="806" t="str">
        <f t="shared" si="90"/>
        <v/>
      </c>
      <c r="AZ77" s="806" t="str">
        <f t="shared" si="68"/>
        <v/>
      </c>
      <c r="BA77" s="806" t="str">
        <f t="shared" si="59"/>
        <v/>
      </c>
      <c r="BB77" s="804" t="str">
        <f t="shared" si="23"/>
        <v/>
      </c>
      <c r="BC77" s="807" t="str">
        <f t="shared" si="91"/>
        <v/>
      </c>
      <c r="BD77" s="807"/>
      <c r="BE77" s="808" t="str">
        <f t="shared" si="92"/>
        <v/>
      </c>
      <c r="BF77" s="809" t="str">
        <f t="shared" si="93"/>
        <v/>
      </c>
      <c r="BG77" s="808" t="str">
        <f t="shared" si="60"/>
        <v/>
      </c>
      <c r="BH77" s="810">
        <f t="shared" si="61"/>
        <v>0</v>
      </c>
      <c r="BI77" s="803" t="str">
        <f>IFERROR(VLOOKUP(BH77,'Pump Emission Factors'!$B$11:$J$88,4,FALSE),"")</f>
        <v/>
      </c>
      <c r="BJ77" s="803" t="str">
        <f>IFERROR(VLOOKUP(BH77,'Pump Emission Factors'!$B$11:$J$88,6,FALSE),"")</f>
        <v/>
      </c>
      <c r="BK77" s="803" t="str">
        <f>IFERROR(VLOOKUP(BH77,'Pump Emission Factors'!$B$11:$J$88,8,FALSE),"")</f>
        <v/>
      </c>
      <c r="BL77" s="803" t="str">
        <f>IFERROR(VLOOKUP(BH77,'Pump Emission Factors'!$B$11:$J$88,5,FALSE),"")</f>
        <v/>
      </c>
      <c r="BM77" s="803" t="str">
        <f>IFERROR(VLOOKUP(BH77,'Pump Emission Factors'!$B$11:$J$88,7,FALSE),"")</f>
        <v/>
      </c>
      <c r="BN77" s="803" t="str">
        <f>IFERROR(VLOOKUP(BH77,'Pump Emission Factors'!$B$11:$J$88,9,FALSE),"")</f>
        <v/>
      </c>
      <c r="BO77" s="811" t="str">
        <f t="shared" si="94"/>
        <v/>
      </c>
      <c r="BP77" s="811" t="str">
        <f t="shared" si="95"/>
        <v/>
      </c>
      <c r="BQ77" s="803">
        <f>IFERROR(((BI77+(BL77*BP77))*(IF(ISBLANK(R77),Defaults!$B$19,R77))*P77*T77)*F77*(1/454),0)</f>
        <v>0</v>
      </c>
      <c r="BR77" s="803">
        <f>IFERROR(((BJ77+(BM77*BP77))*(IF(ISBLANK(R77),Defaults!$B$19,R77))*P77*T77)*F77*(1/454),0)</f>
        <v>0</v>
      </c>
      <c r="BS77" s="803">
        <f>IFERROR(((BK77+(BN77*BP77))*(IF(ISBLANK(R77),Defaults!$B$19,R77))*P77*T77)*F77*(1/454),0)</f>
        <v>0</v>
      </c>
      <c r="BT77" s="803">
        <f t="shared" si="96"/>
        <v>0</v>
      </c>
      <c r="BU77" s="803">
        <f t="shared" si="97"/>
        <v>0</v>
      </c>
      <c r="BV77" s="812" t="str">
        <f t="shared" si="98"/>
        <v/>
      </c>
      <c r="BW77" s="808" t="str">
        <f t="shared" si="99"/>
        <v/>
      </c>
      <c r="BX77" s="809" t="str">
        <f t="shared" si="32"/>
        <v/>
      </c>
      <c r="BY77" s="808" t="str">
        <f t="shared" si="63"/>
        <v/>
      </c>
      <c r="BZ77" s="810">
        <f t="shared" si="64"/>
        <v>0</v>
      </c>
      <c r="CA77" s="813" t="str">
        <f>IFERROR(VLOOKUP(BZ77,'Pump Emission Factors'!$B$11:$J$88,4,FALSE),"")</f>
        <v/>
      </c>
      <c r="CB77" s="813" t="str">
        <f>IFERROR(VLOOKUP(BZ77,'Pump Emission Factors'!$B$11:$J$88,6,FALSE),"")</f>
        <v/>
      </c>
      <c r="CC77" s="813" t="str">
        <f>IFERROR(VLOOKUP(BZ77,'Pump Emission Factors'!$B$11:$J$88,8,FALSE),"")</f>
        <v/>
      </c>
      <c r="CD77" s="813" t="str">
        <f>IFERROR(VLOOKUP(BZ77,'Pump Emission Factors'!$B$11:$J$88,5,FALSE),"")</f>
        <v/>
      </c>
      <c r="CE77" s="813" t="str">
        <f>IFERROR(VLOOKUP(BZ77,'Pump Emission Factors'!$B$11:$J$88,7,FALSE),"")</f>
        <v/>
      </c>
      <c r="CF77" s="813" t="str">
        <f>IFERROR(VLOOKUP(BZ77,'Pump Emission Factors'!$B$11:$J$88,9,FALSE),"")</f>
        <v/>
      </c>
      <c r="CG77" s="814" t="str">
        <f t="shared" si="100"/>
        <v/>
      </c>
      <c r="CH77" s="814" t="str">
        <f t="shared" si="101"/>
        <v/>
      </c>
      <c r="CI77" s="813">
        <f>IFERROR(IF($X77="ELEC",((($AU77*(IF($H77="DESL",'Fuel-Specific GHG'!$C$14,IF($H77="GAS",'Fuel-Specific GHG'!$C$16,IF($H77="CNG",'Fuel-Specific GHG'!$C$13,IF(OR($H77="LPG",$H77="PROP"),'Fuel-Specific GHG'!$C$19,"")))))*(1/'Fuel-Specific GHG'!$C$15)*(1/3.4)*$F77)*'Grid Electricity'!$D$39)/454),((CA77+(CD77*CH77))*(IF(ISBLANK(AH77),Defaults!$B$19,AH77))*$AF77*$AJ77*$F77)),0)</f>
        <v>0</v>
      </c>
      <c r="CJ77" s="813">
        <f>IFERROR(IF($X77="ELEC",((($AU77*(IF($H77="DESL",'Fuel-Specific GHG'!$C$14,IF($H77="GAS",'Fuel-Specific GHG'!$C$16,IF($H77="CNG",'Fuel-Specific GHG'!$C$13,IF(OR($H77="LPG",$H77="PROP"),'Fuel-Specific GHG'!$C$19,"")))))*(1/'Fuel-Specific GHG'!$C$15)*(1/3.4)*$F77)*'Grid Electricity'!$C$39)/454),((CB77+(CE77*CH77))*(IF(ISBLANK(AH77),Defaults!$B$19,AH77))*$AF77*$AJ77*$F77)),0)</f>
        <v>0</v>
      </c>
      <c r="CK77" s="813">
        <f>IFERROR(IF($X77="ELEC",((($AU77*(IF($H77="DESL",'Fuel-Specific GHG'!$C$14,IF($H77="GAS",'Fuel-Specific GHG'!$C$16,IF($H77="CNG",'Fuel-Specific GHG'!$C$13,IF(OR($H77="LPG",$H77="PROP"),'Fuel-Specific GHG'!$C$19,"")))))*(1/'Fuel-Specific GHG'!$C$15)*(1/3.4)*$F77)*'Grid Electricity'!$F$39)/454),((CC77+(CF77*CH77))*(IF(ISBLANK(AH77),Defaults!$B$19,AH77))*$AF77*$AJ77*$F77)),0)</f>
        <v>0</v>
      </c>
      <c r="CL77" s="813">
        <f t="shared" si="102"/>
        <v>0</v>
      </c>
      <c r="CM77" s="813">
        <f t="shared" si="103"/>
        <v>0</v>
      </c>
      <c r="CN77" s="814" t="str">
        <f t="shared" si="104"/>
        <v/>
      </c>
      <c r="CO77" s="814" t="str">
        <f t="shared" si="105"/>
        <v/>
      </c>
      <c r="CP77" s="814" t="str">
        <f t="shared" si="106"/>
        <v/>
      </c>
      <c r="CQ77" s="814" t="str">
        <f t="shared" si="107"/>
        <v/>
      </c>
      <c r="CR77" s="815" t="str">
        <f>IF(AND(V77="Yes, Booster Pump VFD",AF77&lt;=75),('Pump Emission Factors'!$F$95*F77),(IF(AND(V77="Yes, Booster Pump VFD",AF77&gt;75),('Pump Emission Factors'!$F$96*F77),(IF(AND(V77="Yes, Well Pump VFD",AF77&lt;=75),('Pump Emission Factors'!$F$97*F77),(IF(AND(V77="Yes, Well Pump VFD",AF77&gt;75),('Pump Emission Factors'!$F$98*F77),"")))))))</f>
        <v/>
      </c>
      <c r="CS77" s="815" t="str">
        <f>IF(AND(V77="Yes, Booster Pump VFD",AF77&lt;=75),('Pump Emission Factors'!$G$95*F77),(IF(AND(V77="Yes, Booster Pump VFD",AF77&gt;75),('Pump Emission Factors'!$G$96*F77),(IF(AND(V77="Yes, Well Pump VFD",AF77&lt;=75),('Pump Emission Factors'!$G$97*F77),(IF(AND(V77="Yes, Well Pump VFD",AF77&gt;75),('Pump Emission Factors'!$G$98*F77),"")))))))</f>
        <v/>
      </c>
      <c r="CT77" s="815" t="str">
        <f>IF(AND(V77="Yes, Booster Pump VFD",AF77&lt;=75),('Pump Emission Factors'!$H$95*F77),(IF(AND(V77="Yes, Booster Pump VFD",AF77&gt;75),('Pump Emission Factors'!$H$96*F77),(IF(AND(V77="Yes, Well Pump VFD",AF77&lt;=75),('Pump Emission Factors'!$H$97*F77),(IF(AND(V77="Yes, Well Pump VFD",AF77&gt;75),('Pump Emission Factors'!$H$98*F77),"")))))))</f>
        <v/>
      </c>
      <c r="CU77" s="815" t="str">
        <f>IF(AND(V77="Yes, Booster Pump VFD",AF77&lt;=75),('Pump Emission Factors'!$J$95*F77),(IF(AND(V77="Yes, Booster Pump VFD",AF77&gt;75),('Pump Emission Factors'!$J$96*F77),(IF(AND(V77="Yes, Well Pump VFD",AF77&lt;=75),('Pump Emission Factors'!$J$97*F77),(IF(AND(V77="Yes, Well Pump VFD",AF77&gt;75),('Pump Emission Factors'!$J$98*F77),"")))))))</f>
        <v/>
      </c>
      <c r="CV77" s="815" t="str">
        <f>IF(AND(V77="Yes, Booster Pump VFD",AF77&lt;=75),('Pump Emission Factors'!$I$95*F77),(IF(AND(V77="Yes, Booster Pump VFD",AF77&gt;75),('Pump Emission Factors'!$I$96*F77),(IF(AND(V77="Yes, Well Pump VFD",AF77&lt;=75),('Pump Emission Factors'!$I$97*F77),(IF(AND(V77="Yes, Well Pump VFD",AF77&gt;75),('Pump Emission Factors'!$I$98*F77),"")))))))</f>
        <v/>
      </c>
      <c r="CW77" s="806">
        <f t="shared" si="108"/>
        <v>0</v>
      </c>
      <c r="CX77" s="806">
        <f t="shared" si="109"/>
        <v>0</v>
      </c>
      <c r="CY77" s="806">
        <f t="shared" si="110"/>
        <v>0</v>
      </c>
      <c r="CZ77" s="806">
        <f t="shared" si="111"/>
        <v>0</v>
      </c>
      <c r="DA77" s="806">
        <f t="shared" si="112"/>
        <v>0</v>
      </c>
      <c r="DB77" s="816" t="str">
        <f t="shared" si="65"/>
        <v/>
      </c>
      <c r="DC77" s="816" t="str">
        <f t="shared" si="65"/>
        <v/>
      </c>
      <c r="DD77" s="816" t="str">
        <f t="shared" si="65"/>
        <v/>
      </c>
      <c r="DE77" s="817" t="str">
        <f t="shared" si="113"/>
        <v/>
      </c>
      <c r="DF77" s="817" t="str">
        <f t="shared" si="114"/>
        <v/>
      </c>
      <c r="DG77" s="804" t="str">
        <f t="shared" si="115"/>
        <v/>
      </c>
      <c r="DH77" s="804" t="str">
        <f t="shared" si="116"/>
        <v/>
      </c>
      <c r="DI77" s="818" t="str">
        <f>IF(AO77="","",IF(H77="DESL",AO77*F77*'Fuel Prices'!$C$12,IF(H77="GAS",AO77*F77*'Fuel Prices'!$C$11,IF(H77="CNG",AO77*F77*'Fuel Prices'!$C$13,IF(H77="LNG",AO77*F77*'Fuel Prices'!$C$14,IF(H77="LPG",AO77*F77*'Fuel Prices'!$C$16,IF(H77="PROP",AO77*F77*'Fuel Prices'!$C$16,"0")))))))</f>
        <v/>
      </c>
      <c r="DJ77" s="818" t="str">
        <f>IF(AU77="","",IF(X77="DESL",AU77*F77*'Fuel Prices'!$C$12,IF(X77="GAS",AU77*F77*'Fuel Prices'!$C$11,IF(X77="CNG",AU77*F77*'Fuel Prices'!$C$13,IF(X77="LNG",AU77*F77*'Fuel Prices'!$C$14,IF(X77="LPG",AU77*F77*'Fuel Prices'!$C$16,IF(X77="PROP",AU77*F77*'Fuel Prices'!$C$16,IF(X77="ELEC",AU77*F77*'Fuel Prices'!$C$35,"0"))))))))</f>
        <v/>
      </c>
      <c r="DK77" s="818" t="str">
        <f t="shared" si="117"/>
        <v/>
      </c>
      <c r="DL77" s="818" t="str">
        <f t="shared" si="118"/>
        <v/>
      </c>
      <c r="DM77" s="804" t="str">
        <f t="shared" si="119"/>
        <v/>
      </c>
      <c r="DN77" s="804" t="str">
        <f t="shared" si="120"/>
        <v/>
      </c>
      <c r="DO77" s="804" t="str">
        <f>IFERROR(ROUND(CZ77*IF(COUNTIF($B$20:B77,B77)=1,1,"")/IF(B77="",0,1),0),"")</f>
        <v/>
      </c>
      <c r="DP77" s="804" t="str">
        <f>IFERROR(ROUND(CW77*IF(COUNTIF($B$20:B77,B77)=1,1,"")/IF(B77="",0,1),0),"")</f>
        <v/>
      </c>
      <c r="DQ77" s="804" t="str">
        <f>IFERROR(ROUND(DA77*IF(COUNTIF($B$20:B77,B77)=1,1,"")/IF(B77="",0,1),0),"")</f>
        <v/>
      </c>
      <c r="DR77" s="804" t="str">
        <f>IFERROR(ROUND(CX77*IF(COUNTIF($B$20:B77,B77)=1,1,"")/IF(B77="",0,1),0),"")</f>
        <v/>
      </c>
      <c r="DS77" s="804">
        <f t="shared" si="121"/>
        <v>0</v>
      </c>
      <c r="DT77" s="804">
        <f t="shared" si="122"/>
        <v>0</v>
      </c>
      <c r="DU77" s="804">
        <f t="shared" si="123"/>
        <v>0</v>
      </c>
      <c r="DV77" s="818" t="str">
        <f t="shared" si="66"/>
        <v/>
      </c>
      <c r="DW77" s="819" t="str">
        <f t="shared" si="67"/>
        <v/>
      </c>
    </row>
    <row r="78" spans="1:127" ht="18" customHeight="1" x14ac:dyDescent="0.35">
      <c r="A78" s="635"/>
      <c r="B78" s="820"/>
      <c r="C78" s="825" t="str">
        <f t="shared" si="69"/>
        <v>(Required)</v>
      </c>
      <c r="D78" s="821"/>
      <c r="E78" s="825" t="str">
        <f t="shared" si="69"/>
        <v>(Required)</v>
      </c>
      <c r="F78" s="821"/>
      <c r="G78" s="825" t="str">
        <f t="shared" si="70"/>
        <v>(Required)</v>
      </c>
      <c r="H78" s="822"/>
      <c r="I78" s="825" t="str">
        <f t="shared" si="71"/>
        <v>(Required)</v>
      </c>
      <c r="J78" s="821"/>
      <c r="K78" s="825" t="str">
        <f t="shared" si="72"/>
        <v>(Required)</v>
      </c>
      <c r="L78" s="821"/>
      <c r="M78" s="825" t="str">
        <f t="shared" si="73"/>
        <v>(Required)</v>
      </c>
      <c r="N78" s="821"/>
      <c r="O78" s="825" t="str">
        <f t="shared" si="74"/>
        <v>(Required)</v>
      </c>
      <c r="P78" s="821"/>
      <c r="Q78" s="825" t="str">
        <f t="shared" si="75"/>
        <v>(Required)</v>
      </c>
      <c r="R78" s="823"/>
      <c r="S78" s="826" t="str">
        <f t="shared" si="76"/>
        <v>(Optional)</v>
      </c>
      <c r="T78" s="821"/>
      <c r="U78" s="827" t="str">
        <f t="shared" si="77"/>
        <v>(Required)</v>
      </c>
      <c r="V78" s="828"/>
      <c r="W78" s="799" t="str">
        <f t="shared" si="9"/>
        <v>(Optional)</v>
      </c>
      <c r="X78" s="822"/>
      <c r="Y78" s="825" t="str">
        <f t="shared" si="78"/>
        <v>(Required)</v>
      </c>
      <c r="Z78" s="821"/>
      <c r="AA78" s="825" t="str">
        <f t="shared" si="79"/>
        <v>(Required)</v>
      </c>
      <c r="AB78" s="821"/>
      <c r="AC78" s="825" t="str">
        <f t="shared" si="80"/>
        <v>(Required)</v>
      </c>
      <c r="AD78" s="821"/>
      <c r="AE78" s="825" t="str">
        <f t="shared" si="81"/>
        <v>(Required)</v>
      </c>
      <c r="AF78" s="821"/>
      <c r="AG78" s="825" t="str">
        <f t="shared" si="82"/>
        <v>(Required)</v>
      </c>
      <c r="AH78" s="823"/>
      <c r="AI78" s="826" t="str">
        <f t="shared" si="83"/>
        <v>(Optional)</v>
      </c>
      <c r="AJ78" s="821"/>
      <c r="AK78" s="825" t="str">
        <f t="shared" si="84"/>
        <v>(Required)</v>
      </c>
      <c r="AL78" s="803" t="str">
        <f t="shared" si="85"/>
        <v/>
      </c>
      <c r="AM78" s="803" t="str">
        <f>IF(H78="DESL",'Fuel Density'!$C$12,IF(H78="GAS",'Fuel Density'!$C$11,IF(H78="CNG",'Fuel Density'!$C$13,IF(H78="LNG",'Fuel Density'!$C$14,IF(H78="LPG",'Fuel Density'!$C$15,IF(H78="PROP",'Fuel Density'!$C$16,IF(H78="","","")))))))</f>
        <v/>
      </c>
      <c r="AN78" s="803" t="str">
        <f>IF(H78="DESL",'Fuel-Specific GHG'!$C$14,IF(H78="GAS",'Fuel-Specific GHG'!$C$16,IF(H78="CNG",'Fuel-Specific GHG'!$C$13,IF(H78="LNG",'Fuel-Specific GHG'!$C$18,IF(OR(H78="LPG",H78="PROP"),'Fuel-Specific GHG'!$C$19,IF(H78="","",""))))))</f>
        <v/>
      </c>
      <c r="AO78" s="804" t="str">
        <f>IFERROR(((P78*(IF(ISBLANK(R78),Defaults!$B$19,R78))*T78*AL78)/AM78),"")</f>
        <v/>
      </c>
      <c r="AP78" s="805" t="str">
        <f t="shared" si="86"/>
        <v/>
      </c>
      <c r="AQ78" s="805" t="str">
        <f>IF(H78="DESL",'Fuel-Specific GHG'!$E$14,IF(H78="GAS",'Fuel-Specific GHG'!$E$16,IF(H78="CNG",'Fuel-Specific GHG'!$E$13,IF(H78="LNG",'Fuel-Specific GHG'!$E$18,IF(OR(H78="LPG",H78="PROP"),'Fuel-Specific GHG'!$E$19,"")))))</f>
        <v/>
      </c>
      <c r="AR78" s="805" t="str">
        <f t="shared" si="87"/>
        <v/>
      </c>
      <c r="AS78" s="803" t="str">
        <f t="shared" si="58"/>
        <v/>
      </c>
      <c r="AT78" s="803" t="str">
        <f>IF(X78="DESL",'Fuel Density'!$C$12,IF(X78="PROP",'Fuel Density'!$C$16,IF(X78="GAS",'Fuel Density'!$C$11,IF(X78="CNG",'Fuel Density'!$C$13,IF(X78="LNG",'Fuel Density'!$C$14,IF(X78="LPG",'Fuel Density'!$C$15,IF(X78="","","")))))))</f>
        <v/>
      </c>
      <c r="AU78" s="804" t="str">
        <f>IFERROR(IF(X78="ELEC",AO78*AN78*(1/'Fuel-Specific GHG'!$C$15)*(1/IF(H78="GAS",3.4,IF(H78="DESL",2.7,3))),((AF78*(IF(ISBLANK(AH78),Defaults!$B$19,AH78))*AJ78*AS78)/AT78)),"")</f>
        <v/>
      </c>
      <c r="AV78" s="805" t="str">
        <f t="shared" si="88"/>
        <v/>
      </c>
      <c r="AW78" s="805" t="str">
        <f>IF(X78="DESL",'Fuel-Specific GHG'!$E$14,IF(X78="PROP",'Fuel-Specific GHG'!$E$19,IF(X78="GAS",'Fuel-Specific GHG'!$E$16,IF(X78="CNG",'Fuel-Specific GHG'!$E$13,IF(X78="LNG",'Fuel-Specific GHG'!$E$18,IF(X78="LPG",'Fuel-Specific GHG'!$E$19,IF(X78="ELEC",'Fuel-Specific GHG'!$E$15,"")))))))</f>
        <v/>
      </c>
      <c r="AX78" s="805" t="str">
        <f t="shared" si="89"/>
        <v/>
      </c>
      <c r="AY78" s="806" t="str">
        <f t="shared" si="90"/>
        <v/>
      </c>
      <c r="AZ78" s="806" t="str">
        <f t="shared" si="68"/>
        <v/>
      </c>
      <c r="BA78" s="806" t="str">
        <f t="shared" si="59"/>
        <v/>
      </c>
      <c r="BB78" s="804" t="str">
        <f t="shared" si="23"/>
        <v/>
      </c>
      <c r="BC78" s="807" t="str">
        <f t="shared" si="91"/>
        <v/>
      </c>
      <c r="BD78" s="807"/>
      <c r="BE78" s="808" t="str">
        <f t="shared" si="92"/>
        <v/>
      </c>
      <c r="BF78" s="809" t="str">
        <f t="shared" si="93"/>
        <v/>
      </c>
      <c r="BG78" s="808" t="str">
        <f t="shared" si="60"/>
        <v/>
      </c>
      <c r="BH78" s="810">
        <f t="shared" si="61"/>
        <v>0</v>
      </c>
      <c r="BI78" s="803" t="str">
        <f>IFERROR(VLOOKUP(BH78,'Pump Emission Factors'!$B$11:$J$88,4,FALSE),"")</f>
        <v/>
      </c>
      <c r="BJ78" s="803" t="str">
        <f>IFERROR(VLOOKUP(BH78,'Pump Emission Factors'!$B$11:$J$88,6,FALSE),"")</f>
        <v/>
      </c>
      <c r="BK78" s="803" t="str">
        <f>IFERROR(VLOOKUP(BH78,'Pump Emission Factors'!$B$11:$J$88,8,FALSE),"")</f>
        <v/>
      </c>
      <c r="BL78" s="803" t="str">
        <f>IFERROR(VLOOKUP(BH78,'Pump Emission Factors'!$B$11:$J$88,5,FALSE),"")</f>
        <v/>
      </c>
      <c r="BM78" s="803" t="str">
        <f>IFERROR(VLOOKUP(BH78,'Pump Emission Factors'!$B$11:$J$88,7,FALSE),"")</f>
        <v/>
      </c>
      <c r="BN78" s="803" t="str">
        <f>IFERROR(VLOOKUP(BH78,'Pump Emission Factors'!$B$11:$J$88,9,FALSE),"")</f>
        <v/>
      </c>
      <c r="BO78" s="811" t="str">
        <f t="shared" si="94"/>
        <v/>
      </c>
      <c r="BP78" s="811" t="str">
        <f t="shared" si="95"/>
        <v/>
      </c>
      <c r="BQ78" s="803">
        <f>IFERROR(((BI78+(BL78*BP78))*(IF(ISBLANK(R78),Defaults!$B$19,R78))*P78*T78)*F78*(1/454),0)</f>
        <v>0</v>
      </c>
      <c r="BR78" s="803">
        <f>IFERROR(((BJ78+(BM78*BP78))*(IF(ISBLANK(R78),Defaults!$B$19,R78))*P78*T78)*F78*(1/454),0)</f>
        <v>0</v>
      </c>
      <c r="BS78" s="803">
        <f>IFERROR(((BK78+(BN78*BP78))*(IF(ISBLANK(R78),Defaults!$B$19,R78))*P78*T78)*F78*(1/454),0)</f>
        <v>0</v>
      </c>
      <c r="BT78" s="803">
        <f t="shared" si="96"/>
        <v>0</v>
      </c>
      <c r="BU78" s="803">
        <f t="shared" si="97"/>
        <v>0</v>
      </c>
      <c r="BV78" s="812" t="str">
        <f t="shared" si="98"/>
        <v/>
      </c>
      <c r="BW78" s="808" t="str">
        <f t="shared" si="99"/>
        <v/>
      </c>
      <c r="BX78" s="809" t="str">
        <f t="shared" si="32"/>
        <v/>
      </c>
      <c r="BY78" s="808" t="str">
        <f t="shared" si="63"/>
        <v/>
      </c>
      <c r="BZ78" s="810">
        <f t="shared" si="64"/>
        <v>0</v>
      </c>
      <c r="CA78" s="813" t="str">
        <f>IFERROR(VLOOKUP(BZ78,'Pump Emission Factors'!$B$11:$J$88,4,FALSE),"")</f>
        <v/>
      </c>
      <c r="CB78" s="813" t="str">
        <f>IFERROR(VLOOKUP(BZ78,'Pump Emission Factors'!$B$11:$J$88,6,FALSE),"")</f>
        <v/>
      </c>
      <c r="CC78" s="813" t="str">
        <f>IFERROR(VLOOKUP(BZ78,'Pump Emission Factors'!$B$11:$J$88,8,FALSE),"")</f>
        <v/>
      </c>
      <c r="CD78" s="813" t="str">
        <f>IFERROR(VLOOKUP(BZ78,'Pump Emission Factors'!$B$11:$J$88,5,FALSE),"")</f>
        <v/>
      </c>
      <c r="CE78" s="813" t="str">
        <f>IFERROR(VLOOKUP(BZ78,'Pump Emission Factors'!$B$11:$J$88,7,FALSE),"")</f>
        <v/>
      </c>
      <c r="CF78" s="813" t="str">
        <f>IFERROR(VLOOKUP(BZ78,'Pump Emission Factors'!$B$11:$J$88,9,FALSE),"")</f>
        <v/>
      </c>
      <c r="CG78" s="814" t="str">
        <f t="shared" si="100"/>
        <v/>
      </c>
      <c r="CH78" s="814" t="str">
        <f t="shared" si="101"/>
        <v/>
      </c>
      <c r="CI78" s="813">
        <f>IFERROR(IF($X78="ELEC",((($AU78*(IF($H78="DESL",'Fuel-Specific GHG'!$C$14,IF($H78="GAS",'Fuel-Specific GHG'!$C$16,IF($H78="CNG",'Fuel-Specific GHG'!$C$13,IF(OR($H78="LPG",$H78="PROP"),'Fuel-Specific GHG'!$C$19,"")))))*(1/'Fuel-Specific GHG'!$C$15)*(1/3.4)*$F78)*'Grid Electricity'!$D$39)/454),((CA78+(CD78*CH78))*(IF(ISBLANK(AH78),Defaults!$B$19,AH78))*$AF78*$AJ78*$F78)),0)</f>
        <v>0</v>
      </c>
      <c r="CJ78" s="813">
        <f>IFERROR(IF($X78="ELEC",((($AU78*(IF($H78="DESL",'Fuel-Specific GHG'!$C$14,IF($H78="GAS",'Fuel-Specific GHG'!$C$16,IF($H78="CNG",'Fuel-Specific GHG'!$C$13,IF(OR($H78="LPG",$H78="PROP"),'Fuel-Specific GHG'!$C$19,"")))))*(1/'Fuel-Specific GHG'!$C$15)*(1/3.4)*$F78)*'Grid Electricity'!$C$39)/454),((CB78+(CE78*CH78))*(IF(ISBLANK(AH78),Defaults!$B$19,AH78))*$AF78*$AJ78*$F78)),0)</f>
        <v>0</v>
      </c>
      <c r="CK78" s="813">
        <f>IFERROR(IF($X78="ELEC",((($AU78*(IF($H78="DESL",'Fuel-Specific GHG'!$C$14,IF($H78="GAS",'Fuel-Specific GHG'!$C$16,IF($H78="CNG",'Fuel-Specific GHG'!$C$13,IF(OR($H78="LPG",$H78="PROP"),'Fuel-Specific GHG'!$C$19,"")))))*(1/'Fuel-Specific GHG'!$C$15)*(1/3.4)*$F78)*'Grid Electricity'!$F$39)/454),((CC78+(CF78*CH78))*(IF(ISBLANK(AH78),Defaults!$B$19,AH78))*$AF78*$AJ78*$F78)),0)</f>
        <v>0</v>
      </c>
      <c r="CL78" s="813">
        <f t="shared" si="102"/>
        <v>0</v>
      </c>
      <c r="CM78" s="813">
        <f t="shared" si="103"/>
        <v>0</v>
      </c>
      <c r="CN78" s="814" t="str">
        <f t="shared" si="104"/>
        <v/>
      </c>
      <c r="CO78" s="814" t="str">
        <f t="shared" si="105"/>
        <v/>
      </c>
      <c r="CP78" s="814" t="str">
        <f t="shared" si="106"/>
        <v/>
      </c>
      <c r="CQ78" s="814" t="str">
        <f t="shared" si="107"/>
        <v/>
      </c>
      <c r="CR78" s="815" t="str">
        <f>IF(AND(V78="Yes, Booster Pump VFD",AF78&lt;=75),('Pump Emission Factors'!$F$95*F78),(IF(AND(V78="Yes, Booster Pump VFD",AF78&gt;75),('Pump Emission Factors'!$F$96*F78),(IF(AND(V78="Yes, Well Pump VFD",AF78&lt;=75),('Pump Emission Factors'!$F$97*F78),(IF(AND(V78="Yes, Well Pump VFD",AF78&gt;75),('Pump Emission Factors'!$F$98*F78),"")))))))</f>
        <v/>
      </c>
      <c r="CS78" s="815" t="str">
        <f>IF(AND(V78="Yes, Booster Pump VFD",AF78&lt;=75),('Pump Emission Factors'!$G$95*F78),(IF(AND(V78="Yes, Booster Pump VFD",AF78&gt;75),('Pump Emission Factors'!$G$96*F78),(IF(AND(V78="Yes, Well Pump VFD",AF78&lt;=75),('Pump Emission Factors'!$G$97*F78),(IF(AND(V78="Yes, Well Pump VFD",AF78&gt;75),('Pump Emission Factors'!$G$98*F78),"")))))))</f>
        <v/>
      </c>
      <c r="CT78" s="815" t="str">
        <f>IF(AND(V78="Yes, Booster Pump VFD",AF78&lt;=75),('Pump Emission Factors'!$H$95*F78),(IF(AND(V78="Yes, Booster Pump VFD",AF78&gt;75),('Pump Emission Factors'!$H$96*F78),(IF(AND(V78="Yes, Well Pump VFD",AF78&lt;=75),('Pump Emission Factors'!$H$97*F78),(IF(AND(V78="Yes, Well Pump VFD",AF78&gt;75),('Pump Emission Factors'!$H$98*F78),"")))))))</f>
        <v/>
      </c>
      <c r="CU78" s="815" t="str">
        <f>IF(AND(V78="Yes, Booster Pump VFD",AF78&lt;=75),('Pump Emission Factors'!$J$95*F78),(IF(AND(V78="Yes, Booster Pump VFD",AF78&gt;75),('Pump Emission Factors'!$J$96*F78),(IF(AND(V78="Yes, Well Pump VFD",AF78&lt;=75),('Pump Emission Factors'!$J$97*F78),(IF(AND(V78="Yes, Well Pump VFD",AF78&gt;75),('Pump Emission Factors'!$J$98*F78),"")))))))</f>
        <v/>
      </c>
      <c r="CV78" s="815" t="str">
        <f>IF(AND(V78="Yes, Booster Pump VFD",AF78&lt;=75),('Pump Emission Factors'!$I$95*F78),(IF(AND(V78="Yes, Booster Pump VFD",AF78&gt;75),('Pump Emission Factors'!$I$96*F78),(IF(AND(V78="Yes, Well Pump VFD",AF78&lt;=75),('Pump Emission Factors'!$I$97*F78),(IF(AND(V78="Yes, Well Pump VFD",AF78&gt;75),('Pump Emission Factors'!$I$98*F78),"")))))))</f>
        <v/>
      </c>
      <c r="CW78" s="806">
        <f t="shared" si="108"/>
        <v>0</v>
      </c>
      <c r="CX78" s="806">
        <f t="shared" si="109"/>
        <v>0</v>
      </c>
      <c r="CY78" s="806">
        <f t="shared" si="110"/>
        <v>0</v>
      </c>
      <c r="CZ78" s="806">
        <f t="shared" si="111"/>
        <v>0</v>
      </c>
      <c r="DA78" s="806">
        <f t="shared" si="112"/>
        <v>0</v>
      </c>
      <c r="DB78" s="816" t="str">
        <f t="shared" si="65"/>
        <v/>
      </c>
      <c r="DC78" s="816" t="str">
        <f t="shared" si="65"/>
        <v/>
      </c>
      <c r="DD78" s="816" t="str">
        <f t="shared" si="65"/>
        <v/>
      </c>
      <c r="DE78" s="817" t="str">
        <f t="shared" si="113"/>
        <v/>
      </c>
      <c r="DF78" s="817" t="str">
        <f t="shared" si="114"/>
        <v/>
      </c>
      <c r="DG78" s="804" t="str">
        <f t="shared" si="115"/>
        <v/>
      </c>
      <c r="DH78" s="804" t="str">
        <f t="shared" si="116"/>
        <v/>
      </c>
      <c r="DI78" s="818" t="str">
        <f>IF(AO78="","",IF(H78="DESL",AO78*F78*'Fuel Prices'!$C$12,IF(H78="GAS",AO78*F78*'Fuel Prices'!$C$11,IF(H78="CNG",AO78*F78*'Fuel Prices'!$C$13,IF(H78="LNG",AO78*F78*'Fuel Prices'!$C$14,IF(H78="LPG",AO78*F78*'Fuel Prices'!$C$16,IF(H78="PROP",AO78*F78*'Fuel Prices'!$C$16,"0")))))))</f>
        <v/>
      </c>
      <c r="DJ78" s="818" t="str">
        <f>IF(AU78="","",IF(X78="DESL",AU78*F78*'Fuel Prices'!$C$12,IF(X78="GAS",AU78*F78*'Fuel Prices'!$C$11,IF(X78="CNG",AU78*F78*'Fuel Prices'!$C$13,IF(X78="LNG",AU78*F78*'Fuel Prices'!$C$14,IF(X78="LPG",AU78*F78*'Fuel Prices'!$C$16,IF(X78="PROP",AU78*F78*'Fuel Prices'!$C$16,IF(X78="ELEC",AU78*F78*'Fuel Prices'!$C$35,"0"))))))))</f>
        <v/>
      </c>
      <c r="DK78" s="818" t="str">
        <f t="shared" si="117"/>
        <v/>
      </c>
      <c r="DL78" s="818" t="str">
        <f t="shared" si="118"/>
        <v/>
      </c>
      <c r="DM78" s="804" t="str">
        <f t="shared" si="119"/>
        <v/>
      </c>
      <c r="DN78" s="804" t="str">
        <f t="shared" si="120"/>
        <v/>
      </c>
      <c r="DO78" s="804" t="str">
        <f>IFERROR(ROUND(CZ78*IF(COUNTIF($B$20:B78,B78)=1,1,"")/IF(B78="",0,1),0),"")</f>
        <v/>
      </c>
      <c r="DP78" s="804" t="str">
        <f>IFERROR(ROUND(CW78*IF(COUNTIF($B$20:B78,B78)=1,1,"")/IF(B78="",0,1),0),"")</f>
        <v/>
      </c>
      <c r="DQ78" s="804" t="str">
        <f>IFERROR(ROUND(DA78*IF(COUNTIF($B$20:B78,B78)=1,1,"")/IF(B78="",0,1),0),"")</f>
        <v/>
      </c>
      <c r="DR78" s="804" t="str">
        <f>IFERROR(ROUND(CX78*IF(COUNTIF($B$20:B78,B78)=1,1,"")/IF(B78="",0,1),0),"")</f>
        <v/>
      </c>
      <c r="DS78" s="804">
        <f t="shared" si="121"/>
        <v>0</v>
      </c>
      <c r="DT78" s="804">
        <f t="shared" si="122"/>
        <v>0</v>
      </c>
      <c r="DU78" s="804">
        <f t="shared" si="123"/>
        <v>0</v>
      </c>
      <c r="DV78" s="818" t="str">
        <f t="shared" si="66"/>
        <v/>
      </c>
      <c r="DW78" s="819" t="str">
        <f t="shared" si="67"/>
        <v/>
      </c>
    </row>
    <row r="79" spans="1:127" ht="18" customHeight="1" x14ac:dyDescent="0.35">
      <c r="A79" s="696"/>
      <c r="B79" s="820"/>
      <c r="C79" s="825" t="str">
        <f t="shared" si="69"/>
        <v>(Required)</v>
      </c>
      <c r="D79" s="821"/>
      <c r="E79" s="825" t="str">
        <f t="shared" si="69"/>
        <v>(Required)</v>
      </c>
      <c r="F79" s="821"/>
      <c r="G79" s="825" t="str">
        <f t="shared" si="70"/>
        <v>(Required)</v>
      </c>
      <c r="H79" s="822"/>
      <c r="I79" s="825" t="str">
        <f t="shared" si="71"/>
        <v>(Required)</v>
      </c>
      <c r="J79" s="821"/>
      <c r="K79" s="825" t="str">
        <f t="shared" si="72"/>
        <v>(Required)</v>
      </c>
      <c r="L79" s="821"/>
      <c r="M79" s="825" t="str">
        <f t="shared" si="73"/>
        <v>(Required)</v>
      </c>
      <c r="N79" s="821"/>
      <c r="O79" s="825" t="str">
        <f t="shared" si="74"/>
        <v>(Required)</v>
      </c>
      <c r="P79" s="821"/>
      <c r="Q79" s="825" t="str">
        <f t="shared" si="75"/>
        <v>(Required)</v>
      </c>
      <c r="R79" s="823"/>
      <c r="S79" s="826" t="str">
        <f t="shared" si="76"/>
        <v>(Optional)</v>
      </c>
      <c r="T79" s="821"/>
      <c r="U79" s="827" t="str">
        <f t="shared" si="77"/>
        <v>(Required)</v>
      </c>
      <c r="V79" s="828"/>
      <c r="W79" s="799" t="str">
        <f t="shared" si="9"/>
        <v>(Optional)</v>
      </c>
      <c r="X79" s="822"/>
      <c r="Y79" s="825" t="str">
        <f t="shared" si="78"/>
        <v>(Required)</v>
      </c>
      <c r="Z79" s="821"/>
      <c r="AA79" s="825" t="str">
        <f t="shared" si="79"/>
        <v>(Required)</v>
      </c>
      <c r="AB79" s="821"/>
      <c r="AC79" s="825" t="str">
        <f t="shared" si="80"/>
        <v>(Required)</v>
      </c>
      <c r="AD79" s="821"/>
      <c r="AE79" s="825" t="str">
        <f t="shared" si="81"/>
        <v>(Required)</v>
      </c>
      <c r="AF79" s="821"/>
      <c r="AG79" s="825" t="str">
        <f t="shared" si="82"/>
        <v>(Required)</v>
      </c>
      <c r="AH79" s="823"/>
      <c r="AI79" s="826" t="str">
        <f t="shared" si="83"/>
        <v>(Optional)</v>
      </c>
      <c r="AJ79" s="821"/>
      <c r="AK79" s="825" t="str">
        <f t="shared" si="84"/>
        <v>(Required)</v>
      </c>
      <c r="AL79" s="803" t="str">
        <f t="shared" si="85"/>
        <v/>
      </c>
      <c r="AM79" s="803" t="str">
        <f>IF(H79="DESL",'Fuel Density'!$C$12,IF(H79="GAS",'Fuel Density'!$C$11,IF(H79="CNG",'Fuel Density'!$C$13,IF(H79="LNG",'Fuel Density'!$C$14,IF(H79="LPG",'Fuel Density'!$C$15,IF(H79="PROP",'Fuel Density'!$C$16,IF(H79="","","")))))))</f>
        <v/>
      </c>
      <c r="AN79" s="803" t="str">
        <f>IF(H79="DESL",'Fuel-Specific GHG'!$C$14,IF(H79="GAS",'Fuel-Specific GHG'!$C$16,IF(H79="CNG",'Fuel-Specific GHG'!$C$13,IF(H79="LNG",'Fuel-Specific GHG'!$C$18,IF(OR(H79="LPG",H79="PROP"),'Fuel-Specific GHG'!$C$19,IF(H79="","",""))))))</f>
        <v/>
      </c>
      <c r="AO79" s="804" t="str">
        <f>IFERROR(((P79*(IF(ISBLANK(R79),Defaults!$B$19,R79))*T79*AL79)/AM79),"")</f>
        <v/>
      </c>
      <c r="AP79" s="805" t="str">
        <f t="shared" si="86"/>
        <v/>
      </c>
      <c r="AQ79" s="805" t="str">
        <f>IF(H79="DESL",'Fuel-Specific GHG'!$E$14,IF(H79="GAS",'Fuel-Specific GHG'!$E$16,IF(H79="CNG",'Fuel-Specific GHG'!$E$13,IF(H79="LNG",'Fuel-Specific GHG'!$E$18,IF(OR(H79="LPG",H79="PROP"),'Fuel-Specific GHG'!$E$19,"")))))</f>
        <v/>
      </c>
      <c r="AR79" s="805" t="str">
        <f t="shared" si="87"/>
        <v/>
      </c>
      <c r="AS79" s="803" t="str">
        <f t="shared" si="58"/>
        <v/>
      </c>
      <c r="AT79" s="803" t="str">
        <f>IF(X79="DESL",'Fuel Density'!$C$12,IF(X79="PROP",'Fuel Density'!$C$16,IF(X79="GAS",'Fuel Density'!$C$11,IF(X79="CNG",'Fuel Density'!$C$13,IF(X79="LNG",'Fuel Density'!$C$14,IF(X79="LPG",'Fuel Density'!$C$15,IF(X79="","","")))))))</f>
        <v/>
      </c>
      <c r="AU79" s="804" t="str">
        <f>IFERROR(IF(X79="ELEC",AO79*AN79*(1/'Fuel-Specific GHG'!$C$15)*(1/IF(H79="GAS",3.4,IF(H79="DESL",2.7,3))),((AF79*(IF(ISBLANK(AH79),Defaults!$B$19,AH79))*AJ79*AS79)/AT79)),"")</f>
        <v/>
      </c>
      <c r="AV79" s="805" t="str">
        <f t="shared" si="88"/>
        <v/>
      </c>
      <c r="AW79" s="805" t="str">
        <f>IF(X79="DESL",'Fuel-Specific GHG'!$E$14,IF(X79="PROP",'Fuel-Specific GHG'!$E$19,IF(X79="GAS",'Fuel-Specific GHG'!$E$16,IF(X79="CNG",'Fuel-Specific GHG'!$E$13,IF(X79="LNG",'Fuel-Specific GHG'!$E$18,IF(X79="LPG",'Fuel-Specific GHG'!$E$19,IF(X79="ELEC",'Fuel-Specific GHG'!$E$15,"")))))))</f>
        <v/>
      </c>
      <c r="AX79" s="805" t="str">
        <f t="shared" si="89"/>
        <v/>
      </c>
      <c r="AY79" s="806" t="str">
        <f t="shared" si="90"/>
        <v/>
      </c>
      <c r="AZ79" s="806" t="str">
        <f t="shared" si="68"/>
        <v/>
      </c>
      <c r="BA79" s="806" t="str">
        <f t="shared" si="59"/>
        <v/>
      </c>
      <c r="BB79" s="804" t="str">
        <f t="shared" si="23"/>
        <v/>
      </c>
      <c r="BC79" s="807" t="str">
        <f t="shared" si="91"/>
        <v/>
      </c>
      <c r="BD79" s="807"/>
      <c r="BE79" s="808" t="str">
        <f t="shared" si="92"/>
        <v/>
      </c>
      <c r="BF79" s="809" t="str">
        <f t="shared" si="93"/>
        <v/>
      </c>
      <c r="BG79" s="808" t="str">
        <f t="shared" si="60"/>
        <v/>
      </c>
      <c r="BH79" s="810">
        <f t="shared" si="61"/>
        <v>0</v>
      </c>
      <c r="BI79" s="803" t="str">
        <f>IFERROR(VLOOKUP(BH79,'Pump Emission Factors'!$B$11:$J$88,4,FALSE),"")</f>
        <v/>
      </c>
      <c r="BJ79" s="803" t="str">
        <f>IFERROR(VLOOKUP(BH79,'Pump Emission Factors'!$B$11:$J$88,6,FALSE),"")</f>
        <v/>
      </c>
      <c r="BK79" s="803" t="str">
        <f>IFERROR(VLOOKUP(BH79,'Pump Emission Factors'!$B$11:$J$88,8,FALSE),"")</f>
        <v/>
      </c>
      <c r="BL79" s="803" t="str">
        <f>IFERROR(VLOOKUP(BH79,'Pump Emission Factors'!$B$11:$J$88,5,FALSE),"")</f>
        <v/>
      </c>
      <c r="BM79" s="803" t="str">
        <f>IFERROR(VLOOKUP(BH79,'Pump Emission Factors'!$B$11:$J$88,7,FALSE),"")</f>
        <v/>
      </c>
      <c r="BN79" s="803" t="str">
        <f>IFERROR(VLOOKUP(BH79,'Pump Emission Factors'!$B$11:$J$88,9,FALSE),"")</f>
        <v/>
      </c>
      <c r="BO79" s="811" t="str">
        <f t="shared" si="94"/>
        <v/>
      </c>
      <c r="BP79" s="811" t="str">
        <f t="shared" si="95"/>
        <v/>
      </c>
      <c r="BQ79" s="803">
        <f>IFERROR(((BI79+(BL79*BP79))*(IF(ISBLANK(R79),Defaults!$B$19,R79))*P79*T79)*F79*(1/454),0)</f>
        <v>0</v>
      </c>
      <c r="BR79" s="803">
        <f>IFERROR(((BJ79+(BM79*BP79))*(IF(ISBLANK(R79),Defaults!$B$19,R79))*P79*T79)*F79*(1/454),0)</f>
        <v>0</v>
      </c>
      <c r="BS79" s="803">
        <f>IFERROR(((BK79+(BN79*BP79))*(IF(ISBLANK(R79),Defaults!$B$19,R79))*P79*T79)*F79*(1/454),0)</f>
        <v>0</v>
      </c>
      <c r="BT79" s="803">
        <f t="shared" si="96"/>
        <v>0</v>
      </c>
      <c r="BU79" s="803">
        <f t="shared" si="97"/>
        <v>0</v>
      </c>
      <c r="BV79" s="812" t="str">
        <f t="shared" si="98"/>
        <v/>
      </c>
      <c r="BW79" s="808" t="str">
        <f t="shared" si="99"/>
        <v/>
      </c>
      <c r="BX79" s="809" t="str">
        <f t="shared" si="32"/>
        <v/>
      </c>
      <c r="BY79" s="808" t="str">
        <f t="shared" si="63"/>
        <v/>
      </c>
      <c r="BZ79" s="810">
        <f t="shared" si="64"/>
        <v>0</v>
      </c>
      <c r="CA79" s="813" t="str">
        <f>IFERROR(VLOOKUP(BZ79,'Pump Emission Factors'!$B$11:$J$88,4,FALSE),"")</f>
        <v/>
      </c>
      <c r="CB79" s="813" t="str">
        <f>IFERROR(VLOOKUP(BZ79,'Pump Emission Factors'!$B$11:$J$88,6,FALSE),"")</f>
        <v/>
      </c>
      <c r="CC79" s="813" t="str">
        <f>IFERROR(VLOOKUP(BZ79,'Pump Emission Factors'!$B$11:$J$88,8,FALSE),"")</f>
        <v/>
      </c>
      <c r="CD79" s="813" t="str">
        <f>IFERROR(VLOOKUP(BZ79,'Pump Emission Factors'!$B$11:$J$88,5,FALSE),"")</f>
        <v/>
      </c>
      <c r="CE79" s="813" t="str">
        <f>IFERROR(VLOOKUP(BZ79,'Pump Emission Factors'!$B$11:$J$88,7,FALSE),"")</f>
        <v/>
      </c>
      <c r="CF79" s="813" t="str">
        <f>IFERROR(VLOOKUP(BZ79,'Pump Emission Factors'!$B$11:$J$88,9,FALSE),"")</f>
        <v/>
      </c>
      <c r="CG79" s="814" t="str">
        <f t="shared" si="100"/>
        <v/>
      </c>
      <c r="CH79" s="814" t="str">
        <f t="shared" si="101"/>
        <v/>
      </c>
      <c r="CI79" s="813">
        <f>IFERROR(IF($X79="ELEC",((($AU79*(IF($H79="DESL",'Fuel-Specific GHG'!$C$14,IF($H79="GAS",'Fuel-Specific GHG'!$C$16,IF($H79="CNG",'Fuel-Specific GHG'!$C$13,IF(OR($H79="LPG",$H79="PROP"),'Fuel-Specific GHG'!$C$19,"")))))*(1/'Fuel-Specific GHG'!$C$15)*(1/3.4)*$F79)*'Grid Electricity'!$D$39)/454),((CA79+(CD79*CH79))*(IF(ISBLANK(AH79),Defaults!$B$19,AH79))*$AF79*$AJ79*$F79)),0)</f>
        <v>0</v>
      </c>
      <c r="CJ79" s="813">
        <f>IFERROR(IF($X79="ELEC",((($AU79*(IF($H79="DESL",'Fuel-Specific GHG'!$C$14,IF($H79="GAS",'Fuel-Specific GHG'!$C$16,IF($H79="CNG",'Fuel-Specific GHG'!$C$13,IF(OR($H79="LPG",$H79="PROP"),'Fuel-Specific GHG'!$C$19,"")))))*(1/'Fuel-Specific GHG'!$C$15)*(1/3.4)*$F79)*'Grid Electricity'!$C$39)/454),((CB79+(CE79*CH79))*(IF(ISBLANK(AH79),Defaults!$B$19,AH79))*$AF79*$AJ79*$F79)),0)</f>
        <v>0</v>
      </c>
      <c r="CK79" s="813">
        <f>IFERROR(IF($X79="ELEC",((($AU79*(IF($H79="DESL",'Fuel-Specific GHG'!$C$14,IF($H79="GAS",'Fuel-Specific GHG'!$C$16,IF($H79="CNG",'Fuel-Specific GHG'!$C$13,IF(OR($H79="LPG",$H79="PROP"),'Fuel-Specific GHG'!$C$19,"")))))*(1/'Fuel-Specific GHG'!$C$15)*(1/3.4)*$F79)*'Grid Electricity'!$F$39)/454),((CC79+(CF79*CH79))*(IF(ISBLANK(AH79),Defaults!$B$19,AH79))*$AF79*$AJ79*$F79)),0)</f>
        <v>0</v>
      </c>
      <c r="CL79" s="813">
        <f t="shared" si="102"/>
        <v>0</v>
      </c>
      <c r="CM79" s="813">
        <f t="shared" si="103"/>
        <v>0</v>
      </c>
      <c r="CN79" s="814" t="str">
        <f t="shared" si="104"/>
        <v/>
      </c>
      <c r="CO79" s="814" t="str">
        <f t="shared" si="105"/>
        <v/>
      </c>
      <c r="CP79" s="814" t="str">
        <f t="shared" si="106"/>
        <v/>
      </c>
      <c r="CQ79" s="814" t="str">
        <f t="shared" si="107"/>
        <v/>
      </c>
      <c r="CR79" s="815" t="str">
        <f>IF(AND(V79="Yes, Booster Pump VFD",AF79&lt;=75),('Pump Emission Factors'!$F$95*F79),(IF(AND(V79="Yes, Booster Pump VFD",AF79&gt;75),('Pump Emission Factors'!$F$96*F79),(IF(AND(V79="Yes, Well Pump VFD",AF79&lt;=75),('Pump Emission Factors'!$F$97*F79),(IF(AND(V79="Yes, Well Pump VFD",AF79&gt;75),('Pump Emission Factors'!$F$98*F79),"")))))))</f>
        <v/>
      </c>
      <c r="CS79" s="815" t="str">
        <f>IF(AND(V79="Yes, Booster Pump VFD",AF79&lt;=75),('Pump Emission Factors'!$G$95*F79),(IF(AND(V79="Yes, Booster Pump VFD",AF79&gt;75),('Pump Emission Factors'!$G$96*F79),(IF(AND(V79="Yes, Well Pump VFD",AF79&lt;=75),('Pump Emission Factors'!$G$97*F79),(IF(AND(V79="Yes, Well Pump VFD",AF79&gt;75),('Pump Emission Factors'!$G$98*F79),"")))))))</f>
        <v/>
      </c>
      <c r="CT79" s="815" t="str">
        <f>IF(AND(V79="Yes, Booster Pump VFD",AF79&lt;=75),('Pump Emission Factors'!$H$95*F79),(IF(AND(V79="Yes, Booster Pump VFD",AF79&gt;75),('Pump Emission Factors'!$H$96*F79),(IF(AND(V79="Yes, Well Pump VFD",AF79&lt;=75),('Pump Emission Factors'!$H$97*F79),(IF(AND(V79="Yes, Well Pump VFD",AF79&gt;75),('Pump Emission Factors'!$H$98*F79),"")))))))</f>
        <v/>
      </c>
      <c r="CU79" s="815" t="str">
        <f>IF(AND(V79="Yes, Booster Pump VFD",AF79&lt;=75),('Pump Emission Factors'!$J$95*F79),(IF(AND(V79="Yes, Booster Pump VFD",AF79&gt;75),('Pump Emission Factors'!$J$96*F79),(IF(AND(V79="Yes, Well Pump VFD",AF79&lt;=75),('Pump Emission Factors'!$J$97*F79),(IF(AND(V79="Yes, Well Pump VFD",AF79&gt;75),('Pump Emission Factors'!$J$98*F79),"")))))))</f>
        <v/>
      </c>
      <c r="CV79" s="815" t="str">
        <f>IF(AND(V79="Yes, Booster Pump VFD",AF79&lt;=75),('Pump Emission Factors'!$I$95*F79),(IF(AND(V79="Yes, Booster Pump VFD",AF79&gt;75),('Pump Emission Factors'!$I$96*F79),(IF(AND(V79="Yes, Well Pump VFD",AF79&lt;=75),('Pump Emission Factors'!$I$97*F79),(IF(AND(V79="Yes, Well Pump VFD",AF79&gt;75),('Pump Emission Factors'!$I$98*F79),"")))))))</f>
        <v/>
      </c>
      <c r="CW79" s="806">
        <f t="shared" si="108"/>
        <v>0</v>
      </c>
      <c r="CX79" s="806">
        <f t="shared" si="109"/>
        <v>0</v>
      </c>
      <c r="CY79" s="806">
        <f t="shared" si="110"/>
        <v>0</v>
      </c>
      <c r="CZ79" s="806">
        <f t="shared" si="111"/>
        <v>0</v>
      </c>
      <c r="DA79" s="806">
        <f t="shared" si="112"/>
        <v>0</v>
      </c>
      <c r="DB79" s="816" t="str">
        <f t="shared" si="65"/>
        <v/>
      </c>
      <c r="DC79" s="816" t="str">
        <f t="shared" si="65"/>
        <v/>
      </c>
      <c r="DD79" s="816" t="str">
        <f t="shared" si="65"/>
        <v/>
      </c>
      <c r="DE79" s="817" t="str">
        <f t="shared" si="113"/>
        <v/>
      </c>
      <c r="DF79" s="817" t="str">
        <f t="shared" si="114"/>
        <v/>
      </c>
      <c r="DG79" s="804" t="str">
        <f t="shared" si="115"/>
        <v/>
      </c>
      <c r="DH79" s="804" t="str">
        <f t="shared" si="116"/>
        <v/>
      </c>
      <c r="DI79" s="818" t="str">
        <f>IF(AO79="","",IF(H79="DESL",AO79*F79*'Fuel Prices'!$C$12,IF(H79="GAS",AO79*F79*'Fuel Prices'!$C$11,IF(H79="CNG",AO79*F79*'Fuel Prices'!$C$13,IF(H79="LNG",AO79*F79*'Fuel Prices'!$C$14,IF(H79="LPG",AO79*F79*'Fuel Prices'!$C$16,IF(H79="PROP",AO79*F79*'Fuel Prices'!$C$16,"0")))))))</f>
        <v/>
      </c>
      <c r="DJ79" s="818" t="str">
        <f>IF(AU79="","",IF(X79="DESL",AU79*F79*'Fuel Prices'!$C$12,IF(X79="GAS",AU79*F79*'Fuel Prices'!$C$11,IF(X79="CNG",AU79*F79*'Fuel Prices'!$C$13,IF(X79="LNG",AU79*F79*'Fuel Prices'!$C$14,IF(X79="LPG",AU79*F79*'Fuel Prices'!$C$16,IF(X79="PROP",AU79*F79*'Fuel Prices'!$C$16,IF(X79="ELEC",AU79*F79*'Fuel Prices'!$C$35,"0"))))))))</f>
        <v/>
      </c>
      <c r="DK79" s="818" t="str">
        <f t="shared" si="117"/>
        <v/>
      </c>
      <c r="DL79" s="818" t="str">
        <f t="shared" si="118"/>
        <v/>
      </c>
      <c r="DM79" s="804" t="str">
        <f t="shared" si="119"/>
        <v/>
      </c>
      <c r="DN79" s="804" t="str">
        <f t="shared" si="120"/>
        <v/>
      </c>
      <c r="DO79" s="804" t="str">
        <f>IFERROR(ROUND(CZ79*IF(COUNTIF($B$20:B79,B79)=1,1,"")/IF(B79="",0,1),0),"")</f>
        <v/>
      </c>
      <c r="DP79" s="804" t="str">
        <f>IFERROR(ROUND(CW79*IF(COUNTIF($B$20:B79,B79)=1,1,"")/IF(B79="",0,1),0),"")</f>
        <v/>
      </c>
      <c r="DQ79" s="804" t="str">
        <f>IFERROR(ROUND(DA79*IF(COUNTIF($B$20:B79,B79)=1,1,"")/IF(B79="",0,1),0),"")</f>
        <v/>
      </c>
      <c r="DR79" s="804" t="str">
        <f>IFERROR(ROUND(CX79*IF(COUNTIF($B$20:B79,B79)=1,1,"")/IF(B79="",0,1),0),"")</f>
        <v/>
      </c>
      <c r="DS79" s="804">
        <f t="shared" si="121"/>
        <v>0</v>
      </c>
      <c r="DT79" s="804">
        <f t="shared" si="122"/>
        <v>0</v>
      </c>
      <c r="DU79" s="804">
        <f t="shared" si="123"/>
        <v>0</v>
      </c>
      <c r="DV79" s="818" t="str">
        <f t="shared" si="66"/>
        <v/>
      </c>
      <c r="DW79" s="819" t="str">
        <f t="shared" si="67"/>
        <v/>
      </c>
    </row>
    <row r="80" spans="1:127" ht="18" customHeight="1" x14ac:dyDescent="0.35">
      <c r="A80" s="635"/>
      <c r="B80" s="820"/>
      <c r="C80" s="825" t="str">
        <f t="shared" si="69"/>
        <v>(Required)</v>
      </c>
      <c r="D80" s="821"/>
      <c r="E80" s="825" t="str">
        <f t="shared" si="69"/>
        <v>(Required)</v>
      </c>
      <c r="F80" s="821"/>
      <c r="G80" s="825" t="str">
        <f t="shared" si="70"/>
        <v>(Required)</v>
      </c>
      <c r="H80" s="822"/>
      <c r="I80" s="825" t="str">
        <f t="shared" si="71"/>
        <v>(Required)</v>
      </c>
      <c r="J80" s="821"/>
      <c r="K80" s="825" t="str">
        <f t="shared" si="72"/>
        <v>(Required)</v>
      </c>
      <c r="L80" s="821"/>
      <c r="M80" s="825" t="str">
        <f t="shared" si="73"/>
        <v>(Required)</v>
      </c>
      <c r="N80" s="821"/>
      <c r="O80" s="825" t="str">
        <f t="shared" si="74"/>
        <v>(Required)</v>
      </c>
      <c r="P80" s="821"/>
      <c r="Q80" s="825" t="str">
        <f t="shared" si="75"/>
        <v>(Required)</v>
      </c>
      <c r="R80" s="823"/>
      <c r="S80" s="826" t="str">
        <f t="shared" si="76"/>
        <v>(Optional)</v>
      </c>
      <c r="T80" s="821"/>
      <c r="U80" s="827" t="str">
        <f t="shared" si="77"/>
        <v>(Required)</v>
      </c>
      <c r="V80" s="828"/>
      <c r="W80" s="799" t="str">
        <f t="shared" si="9"/>
        <v>(Optional)</v>
      </c>
      <c r="X80" s="822"/>
      <c r="Y80" s="825" t="str">
        <f t="shared" si="78"/>
        <v>(Required)</v>
      </c>
      <c r="Z80" s="821"/>
      <c r="AA80" s="825" t="str">
        <f t="shared" si="79"/>
        <v>(Required)</v>
      </c>
      <c r="AB80" s="821"/>
      <c r="AC80" s="825" t="str">
        <f t="shared" si="80"/>
        <v>(Required)</v>
      </c>
      <c r="AD80" s="821"/>
      <c r="AE80" s="825" t="str">
        <f t="shared" si="81"/>
        <v>(Required)</v>
      </c>
      <c r="AF80" s="821"/>
      <c r="AG80" s="825" t="str">
        <f t="shared" si="82"/>
        <v>(Required)</v>
      </c>
      <c r="AH80" s="823"/>
      <c r="AI80" s="826" t="str">
        <f t="shared" si="83"/>
        <v>(Optional)</v>
      </c>
      <c r="AJ80" s="821"/>
      <c r="AK80" s="825" t="str">
        <f t="shared" si="84"/>
        <v>(Required)</v>
      </c>
      <c r="AL80" s="803" t="str">
        <f t="shared" si="85"/>
        <v/>
      </c>
      <c r="AM80" s="803" t="str">
        <f>IF(H80="DESL",'Fuel Density'!$C$12,IF(H80="GAS",'Fuel Density'!$C$11,IF(H80="CNG",'Fuel Density'!$C$13,IF(H80="LNG",'Fuel Density'!$C$14,IF(H80="LPG",'Fuel Density'!$C$15,IF(H80="PROP",'Fuel Density'!$C$16,IF(H80="","","")))))))</f>
        <v/>
      </c>
      <c r="AN80" s="803" t="str">
        <f>IF(H80="DESL",'Fuel-Specific GHG'!$C$14,IF(H80="GAS",'Fuel-Specific GHG'!$C$16,IF(H80="CNG",'Fuel-Specific GHG'!$C$13,IF(H80="LNG",'Fuel-Specific GHG'!$C$18,IF(OR(H80="LPG",H80="PROP"),'Fuel-Specific GHG'!$C$19,IF(H80="","",""))))))</f>
        <v/>
      </c>
      <c r="AO80" s="804" t="str">
        <f>IFERROR(((P80*(IF(ISBLANK(R80),Defaults!$B$19,R80))*T80*AL80)/AM80),"")</f>
        <v/>
      </c>
      <c r="AP80" s="805" t="str">
        <f t="shared" si="86"/>
        <v/>
      </c>
      <c r="AQ80" s="805" t="str">
        <f>IF(H80="DESL",'Fuel-Specific GHG'!$E$14,IF(H80="GAS",'Fuel-Specific GHG'!$E$16,IF(H80="CNG",'Fuel-Specific GHG'!$E$13,IF(H80="LNG",'Fuel-Specific GHG'!$E$18,IF(OR(H80="LPG",H80="PROP"),'Fuel-Specific GHG'!$E$19,"")))))</f>
        <v/>
      </c>
      <c r="AR80" s="805" t="str">
        <f t="shared" si="87"/>
        <v/>
      </c>
      <c r="AS80" s="803" t="str">
        <f t="shared" si="58"/>
        <v/>
      </c>
      <c r="AT80" s="803" t="str">
        <f>IF(X80="DESL",'Fuel Density'!$C$12,IF(X80="PROP",'Fuel Density'!$C$16,IF(X80="GAS",'Fuel Density'!$C$11,IF(X80="CNG",'Fuel Density'!$C$13,IF(X80="LNG",'Fuel Density'!$C$14,IF(X80="LPG",'Fuel Density'!$C$15,IF(X80="","","")))))))</f>
        <v/>
      </c>
      <c r="AU80" s="804" t="str">
        <f>IFERROR(IF(X80="ELEC",AO80*AN80*(1/'Fuel-Specific GHG'!$C$15)*(1/IF(H80="GAS",3.4,IF(H80="DESL",2.7,3))),((AF80*(IF(ISBLANK(AH80),Defaults!$B$19,AH80))*AJ80*AS80)/AT80)),"")</f>
        <v/>
      </c>
      <c r="AV80" s="805" t="str">
        <f t="shared" si="88"/>
        <v/>
      </c>
      <c r="AW80" s="805" t="str">
        <f>IF(X80="DESL",'Fuel-Specific GHG'!$E$14,IF(X80="PROP",'Fuel-Specific GHG'!$E$19,IF(X80="GAS",'Fuel-Specific GHG'!$E$16,IF(X80="CNG",'Fuel-Specific GHG'!$E$13,IF(X80="LNG",'Fuel-Specific GHG'!$E$18,IF(X80="LPG",'Fuel-Specific GHG'!$E$19,IF(X80="ELEC",'Fuel-Specific GHG'!$E$15,"")))))))</f>
        <v/>
      </c>
      <c r="AX80" s="805" t="str">
        <f t="shared" si="89"/>
        <v/>
      </c>
      <c r="AY80" s="806" t="str">
        <f t="shared" si="90"/>
        <v/>
      </c>
      <c r="AZ80" s="806" t="str">
        <f t="shared" si="68"/>
        <v/>
      </c>
      <c r="BA80" s="806" t="str">
        <f t="shared" si="59"/>
        <v/>
      </c>
      <c r="BB80" s="804" t="str">
        <f t="shared" si="23"/>
        <v/>
      </c>
      <c r="BC80" s="807" t="str">
        <f t="shared" si="91"/>
        <v/>
      </c>
      <c r="BD80" s="807"/>
      <c r="BE80" s="808" t="str">
        <f t="shared" si="92"/>
        <v/>
      </c>
      <c r="BF80" s="809" t="str">
        <f t="shared" si="93"/>
        <v/>
      </c>
      <c r="BG80" s="808" t="str">
        <f t="shared" si="60"/>
        <v/>
      </c>
      <c r="BH80" s="810">
        <f t="shared" si="61"/>
        <v>0</v>
      </c>
      <c r="BI80" s="803" t="str">
        <f>IFERROR(VLOOKUP(BH80,'Pump Emission Factors'!$B$11:$J$88,4,FALSE),"")</f>
        <v/>
      </c>
      <c r="BJ80" s="803" t="str">
        <f>IFERROR(VLOOKUP(BH80,'Pump Emission Factors'!$B$11:$J$88,6,FALSE),"")</f>
        <v/>
      </c>
      <c r="BK80" s="803" t="str">
        <f>IFERROR(VLOOKUP(BH80,'Pump Emission Factors'!$B$11:$J$88,8,FALSE),"")</f>
        <v/>
      </c>
      <c r="BL80" s="803" t="str">
        <f>IFERROR(VLOOKUP(BH80,'Pump Emission Factors'!$B$11:$J$88,5,FALSE),"")</f>
        <v/>
      </c>
      <c r="BM80" s="803" t="str">
        <f>IFERROR(VLOOKUP(BH80,'Pump Emission Factors'!$B$11:$J$88,7,FALSE),"")</f>
        <v/>
      </c>
      <c r="BN80" s="803" t="str">
        <f>IFERROR(VLOOKUP(BH80,'Pump Emission Factors'!$B$11:$J$88,9,FALSE),"")</f>
        <v/>
      </c>
      <c r="BO80" s="811" t="str">
        <f t="shared" si="94"/>
        <v/>
      </c>
      <c r="BP80" s="811" t="str">
        <f t="shared" si="95"/>
        <v/>
      </c>
      <c r="BQ80" s="803">
        <f>IFERROR(((BI80+(BL80*BP80))*(IF(ISBLANK(R80),Defaults!$B$19,R80))*P80*T80)*F80*(1/454),0)</f>
        <v>0</v>
      </c>
      <c r="BR80" s="803">
        <f>IFERROR(((BJ80+(BM80*BP80))*(IF(ISBLANK(R80),Defaults!$B$19,R80))*P80*T80)*F80*(1/454),0)</f>
        <v>0</v>
      </c>
      <c r="BS80" s="803">
        <f>IFERROR(((BK80+(BN80*BP80))*(IF(ISBLANK(R80),Defaults!$B$19,R80))*P80*T80)*F80*(1/454),0)</f>
        <v>0</v>
      </c>
      <c r="BT80" s="803">
        <f t="shared" si="96"/>
        <v>0</v>
      </c>
      <c r="BU80" s="803">
        <f t="shared" si="97"/>
        <v>0</v>
      </c>
      <c r="BV80" s="812" t="str">
        <f t="shared" si="98"/>
        <v/>
      </c>
      <c r="BW80" s="808" t="str">
        <f t="shared" si="99"/>
        <v/>
      </c>
      <c r="BX80" s="809" t="str">
        <f t="shared" si="32"/>
        <v/>
      </c>
      <c r="BY80" s="808" t="str">
        <f t="shared" si="63"/>
        <v/>
      </c>
      <c r="BZ80" s="810">
        <f t="shared" si="64"/>
        <v>0</v>
      </c>
      <c r="CA80" s="813" t="str">
        <f>IFERROR(VLOOKUP(BZ80,'Pump Emission Factors'!$B$11:$J$88,4,FALSE),"")</f>
        <v/>
      </c>
      <c r="CB80" s="813" t="str">
        <f>IFERROR(VLOOKUP(BZ80,'Pump Emission Factors'!$B$11:$J$88,6,FALSE),"")</f>
        <v/>
      </c>
      <c r="CC80" s="813" t="str">
        <f>IFERROR(VLOOKUP(BZ80,'Pump Emission Factors'!$B$11:$J$88,8,FALSE),"")</f>
        <v/>
      </c>
      <c r="CD80" s="813" t="str">
        <f>IFERROR(VLOOKUP(BZ80,'Pump Emission Factors'!$B$11:$J$88,5,FALSE),"")</f>
        <v/>
      </c>
      <c r="CE80" s="813" t="str">
        <f>IFERROR(VLOOKUP(BZ80,'Pump Emission Factors'!$B$11:$J$88,7,FALSE),"")</f>
        <v/>
      </c>
      <c r="CF80" s="813" t="str">
        <f>IFERROR(VLOOKUP(BZ80,'Pump Emission Factors'!$B$11:$J$88,9,FALSE),"")</f>
        <v/>
      </c>
      <c r="CG80" s="814" t="str">
        <f t="shared" si="100"/>
        <v/>
      </c>
      <c r="CH80" s="814" t="str">
        <f t="shared" si="101"/>
        <v/>
      </c>
      <c r="CI80" s="813">
        <f>IFERROR(IF($X80="ELEC",((($AU80*(IF($H80="DESL",'Fuel-Specific GHG'!$C$14,IF($H80="GAS",'Fuel-Specific GHG'!$C$16,IF($H80="CNG",'Fuel-Specific GHG'!$C$13,IF(OR($H80="LPG",$H80="PROP"),'Fuel-Specific GHG'!$C$19,"")))))*(1/'Fuel-Specific GHG'!$C$15)*(1/3.4)*$F80)*'Grid Electricity'!$D$39)/454),((CA80+(CD80*CH80))*(IF(ISBLANK(AH80),Defaults!$B$19,AH80))*$AF80*$AJ80*$F80)),0)</f>
        <v>0</v>
      </c>
      <c r="CJ80" s="813">
        <f>IFERROR(IF($X80="ELEC",((($AU80*(IF($H80="DESL",'Fuel-Specific GHG'!$C$14,IF($H80="GAS",'Fuel-Specific GHG'!$C$16,IF($H80="CNG",'Fuel-Specific GHG'!$C$13,IF(OR($H80="LPG",$H80="PROP"),'Fuel-Specific GHG'!$C$19,"")))))*(1/'Fuel-Specific GHG'!$C$15)*(1/3.4)*$F80)*'Grid Electricity'!$C$39)/454),((CB80+(CE80*CH80))*(IF(ISBLANK(AH80),Defaults!$B$19,AH80))*$AF80*$AJ80*$F80)),0)</f>
        <v>0</v>
      </c>
      <c r="CK80" s="813">
        <f>IFERROR(IF($X80="ELEC",((($AU80*(IF($H80="DESL",'Fuel-Specific GHG'!$C$14,IF($H80="GAS",'Fuel-Specific GHG'!$C$16,IF($H80="CNG",'Fuel-Specific GHG'!$C$13,IF(OR($H80="LPG",$H80="PROP"),'Fuel-Specific GHG'!$C$19,"")))))*(1/'Fuel-Specific GHG'!$C$15)*(1/3.4)*$F80)*'Grid Electricity'!$F$39)/454),((CC80+(CF80*CH80))*(IF(ISBLANK(AH80),Defaults!$B$19,AH80))*$AF80*$AJ80*$F80)),0)</f>
        <v>0</v>
      </c>
      <c r="CL80" s="813">
        <f t="shared" si="102"/>
        <v>0</v>
      </c>
      <c r="CM80" s="813">
        <f t="shared" si="103"/>
        <v>0</v>
      </c>
      <c r="CN80" s="814" t="str">
        <f t="shared" si="104"/>
        <v/>
      </c>
      <c r="CO80" s="814" t="str">
        <f t="shared" si="105"/>
        <v/>
      </c>
      <c r="CP80" s="814" t="str">
        <f t="shared" si="106"/>
        <v/>
      </c>
      <c r="CQ80" s="814" t="str">
        <f t="shared" si="107"/>
        <v/>
      </c>
      <c r="CR80" s="815" t="str">
        <f>IF(AND(V80="Yes, Booster Pump VFD",AF80&lt;=75),('Pump Emission Factors'!$F$95*F80),(IF(AND(V80="Yes, Booster Pump VFD",AF80&gt;75),('Pump Emission Factors'!$F$96*F80),(IF(AND(V80="Yes, Well Pump VFD",AF80&lt;=75),('Pump Emission Factors'!$F$97*F80),(IF(AND(V80="Yes, Well Pump VFD",AF80&gt;75),('Pump Emission Factors'!$F$98*F80),"")))))))</f>
        <v/>
      </c>
      <c r="CS80" s="815" t="str">
        <f>IF(AND(V80="Yes, Booster Pump VFD",AF80&lt;=75),('Pump Emission Factors'!$G$95*F80),(IF(AND(V80="Yes, Booster Pump VFD",AF80&gt;75),('Pump Emission Factors'!$G$96*F80),(IF(AND(V80="Yes, Well Pump VFD",AF80&lt;=75),('Pump Emission Factors'!$G$97*F80),(IF(AND(V80="Yes, Well Pump VFD",AF80&gt;75),('Pump Emission Factors'!$G$98*F80),"")))))))</f>
        <v/>
      </c>
      <c r="CT80" s="815" t="str">
        <f>IF(AND(V80="Yes, Booster Pump VFD",AF80&lt;=75),('Pump Emission Factors'!$H$95*F80),(IF(AND(V80="Yes, Booster Pump VFD",AF80&gt;75),('Pump Emission Factors'!$H$96*F80),(IF(AND(V80="Yes, Well Pump VFD",AF80&lt;=75),('Pump Emission Factors'!$H$97*F80),(IF(AND(V80="Yes, Well Pump VFD",AF80&gt;75),('Pump Emission Factors'!$H$98*F80),"")))))))</f>
        <v/>
      </c>
      <c r="CU80" s="815" t="str">
        <f>IF(AND(V80="Yes, Booster Pump VFD",AF80&lt;=75),('Pump Emission Factors'!$J$95*F80),(IF(AND(V80="Yes, Booster Pump VFD",AF80&gt;75),('Pump Emission Factors'!$J$96*F80),(IF(AND(V80="Yes, Well Pump VFD",AF80&lt;=75),('Pump Emission Factors'!$J$97*F80),(IF(AND(V80="Yes, Well Pump VFD",AF80&gt;75),('Pump Emission Factors'!$J$98*F80),"")))))))</f>
        <v/>
      </c>
      <c r="CV80" s="815" t="str">
        <f>IF(AND(V80="Yes, Booster Pump VFD",AF80&lt;=75),('Pump Emission Factors'!$I$95*F80),(IF(AND(V80="Yes, Booster Pump VFD",AF80&gt;75),('Pump Emission Factors'!$I$96*F80),(IF(AND(V80="Yes, Well Pump VFD",AF80&lt;=75),('Pump Emission Factors'!$I$97*F80),(IF(AND(V80="Yes, Well Pump VFD",AF80&gt;75),('Pump Emission Factors'!$I$98*F80),"")))))))</f>
        <v/>
      </c>
      <c r="CW80" s="806">
        <f t="shared" si="108"/>
        <v>0</v>
      </c>
      <c r="CX80" s="806">
        <f t="shared" si="109"/>
        <v>0</v>
      </c>
      <c r="CY80" s="806">
        <f t="shared" si="110"/>
        <v>0</v>
      </c>
      <c r="CZ80" s="806">
        <f t="shared" si="111"/>
        <v>0</v>
      </c>
      <c r="DA80" s="806">
        <f t="shared" si="112"/>
        <v>0</v>
      </c>
      <c r="DB80" s="816" t="str">
        <f t="shared" si="65"/>
        <v/>
      </c>
      <c r="DC80" s="816" t="str">
        <f t="shared" si="65"/>
        <v/>
      </c>
      <c r="DD80" s="816" t="str">
        <f t="shared" si="65"/>
        <v/>
      </c>
      <c r="DE80" s="817" t="str">
        <f t="shared" si="113"/>
        <v/>
      </c>
      <c r="DF80" s="817" t="str">
        <f t="shared" si="114"/>
        <v/>
      </c>
      <c r="DG80" s="804" t="str">
        <f t="shared" si="115"/>
        <v/>
      </c>
      <c r="DH80" s="804" t="str">
        <f t="shared" si="116"/>
        <v/>
      </c>
      <c r="DI80" s="818" t="str">
        <f>IF(AO80="","",IF(H80="DESL",AO80*F80*'Fuel Prices'!$C$12,IF(H80="GAS",AO80*F80*'Fuel Prices'!$C$11,IF(H80="CNG",AO80*F80*'Fuel Prices'!$C$13,IF(H80="LNG",AO80*F80*'Fuel Prices'!$C$14,IF(H80="LPG",AO80*F80*'Fuel Prices'!$C$16,IF(H80="PROP",AO80*F80*'Fuel Prices'!$C$16,"0")))))))</f>
        <v/>
      </c>
      <c r="DJ80" s="818" t="str">
        <f>IF(AU80="","",IF(X80="DESL",AU80*F80*'Fuel Prices'!$C$12,IF(X80="GAS",AU80*F80*'Fuel Prices'!$C$11,IF(X80="CNG",AU80*F80*'Fuel Prices'!$C$13,IF(X80="LNG",AU80*F80*'Fuel Prices'!$C$14,IF(X80="LPG",AU80*F80*'Fuel Prices'!$C$16,IF(X80="PROP",AU80*F80*'Fuel Prices'!$C$16,IF(X80="ELEC",AU80*F80*'Fuel Prices'!$C$35,"0"))))))))</f>
        <v/>
      </c>
      <c r="DK80" s="818" t="str">
        <f t="shared" si="117"/>
        <v/>
      </c>
      <c r="DL80" s="818" t="str">
        <f t="shared" si="118"/>
        <v/>
      </c>
      <c r="DM80" s="804" t="str">
        <f t="shared" si="119"/>
        <v/>
      </c>
      <c r="DN80" s="804" t="str">
        <f t="shared" si="120"/>
        <v/>
      </c>
      <c r="DO80" s="804" t="str">
        <f>IFERROR(ROUND(CZ80*IF(COUNTIF($B$20:B80,B80)=1,1,"")/IF(B80="",0,1),0),"")</f>
        <v/>
      </c>
      <c r="DP80" s="804" t="str">
        <f>IFERROR(ROUND(CW80*IF(COUNTIF($B$20:B80,B80)=1,1,"")/IF(B80="",0,1),0),"")</f>
        <v/>
      </c>
      <c r="DQ80" s="804" t="str">
        <f>IFERROR(ROUND(DA80*IF(COUNTIF($B$20:B80,B80)=1,1,"")/IF(B80="",0,1),0),"")</f>
        <v/>
      </c>
      <c r="DR80" s="804" t="str">
        <f>IFERROR(ROUND(CX80*IF(COUNTIF($B$20:B80,B80)=1,1,"")/IF(B80="",0,1),0),"")</f>
        <v/>
      </c>
      <c r="DS80" s="804">
        <f t="shared" si="121"/>
        <v>0</v>
      </c>
      <c r="DT80" s="804">
        <f t="shared" si="122"/>
        <v>0</v>
      </c>
      <c r="DU80" s="804">
        <f t="shared" si="123"/>
        <v>0</v>
      </c>
      <c r="DV80" s="818" t="str">
        <f t="shared" si="66"/>
        <v/>
      </c>
      <c r="DW80" s="819" t="str">
        <f t="shared" si="67"/>
        <v/>
      </c>
    </row>
    <row r="81" spans="1:127" ht="18" customHeight="1" x14ac:dyDescent="0.35">
      <c r="A81" s="696"/>
      <c r="B81" s="820"/>
      <c r="C81" s="825" t="str">
        <f t="shared" si="69"/>
        <v>(Required)</v>
      </c>
      <c r="D81" s="821"/>
      <c r="E81" s="825" t="str">
        <f t="shared" si="69"/>
        <v>(Required)</v>
      </c>
      <c r="F81" s="821"/>
      <c r="G81" s="825" t="str">
        <f t="shared" si="70"/>
        <v>(Required)</v>
      </c>
      <c r="H81" s="822"/>
      <c r="I81" s="825" t="str">
        <f t="shared" si="71"/>
        <v>(Required)</v>
      </c>
      <c r="J81" s="821"/>
      <c r="K81" s="825" t="str">
        <f t="shared" si="72"/>
        <v>(Required)</v>
      </c>
      <c r="L81" s="821"/>
      <c r="M81" s="825" t="str">
        <f t="shared" si="73"/>
        <v>(Required)</v>
      </c>
      <c r="N81" s="821"/>
      <c r="O81" s="825" t="str">
        <f t="shared" si="74"/>
        <v>(Required)</v>
      </c>
      <c r="P81" s="821"/>
      <c r="Q81" s="825" t="str">
        <f t="shared" si="75"/>
        <v>(Required)</v>
      </c>
      <c r="R81" s="823"/>
      <c r="S81" s="826" t="str">
        <f t="shared" si="76"/>
        <v>(Optional)</v>
      </c>
      <c r="T81" s="821"/>
      <c r="U81" s="827" t="str">
        <f t="shared" si="77"/>
        <v>(Required)</v>
      </c>
      <c r="V81" s="828"/>
      <c r="W81" s="799" t="str">
        <f t="shared" si="9"/>
        <v>(Optional)</v>
      </c>
      <c r="X81" s="822"/>
      <c r="Y81" s="825" t="str">
        <f t="shared" si="78"/>
        <v>(Required)</v>
      </c>
      <c r="Z81" s="821"/>
      <c r="AA81" s="825" t="str">
        <f t="shared" si="79"/>
        <v>(Required)</v>
      </c>
      <c r="AB81" s="821"/>
      <c r="AC81" s="825" t="str">
        <f t="shared" si="80"/>
        <v>(Required)</v>
      </c>
      <c r="AD81" s="821"/>
      <c r="AE81" s="825" t="str">
        <f t="shared" si="81"/>
        <v>(Required)</v>
      </c>
      <c r="AF81" s="821"/>
      <c r="AG81" s="825" t="str">
        <f t="shared" si="82"/>
        <v>(Required)</v>
      </c>
      <c r="AH81" s="823"/>
      <c r="AI81" s="826" t="str">
        <f t="shared" si="83"/>
        <v>(Optional)</v>
      </c>
      <c r="AJ81" s="821"/>
      <c r="AK81" s="825" t="str">
        <f t="shared" si="84"/>
        <v>(Required)</v>
      </c>
      <c r="AL81" s="803" t="str">
        <f t="shared" si="85"/>
        <v/>
      </c>
      <c r="AM81" s="803" t="str">
        <f>IF(H81="DESL",'Fuel Density'!$C$12,IF(H81="GAS",'Fuel Density'!$C$11,IF(H81="CNG",'Fuel Density'!$C$13,IF(H81="LNG",'Fuel Density'!$C$14,IF(H81="LPG",'Fuel Density'!$C$15,IF(H81="PROP",'Fuel Density'!$C$16,IF(H81="","","")))))))</f>
        <v/>
      </c>
      <c r="AN81" s="803" t="str">
        <f>IF(H81="DESL",'Fuel-Specific GHG'!$C$14,IF(H81="GAS",'Fuel-Specific GHG'!$C$16,IF(H81="CNG",'Fuel-Specific GHG'!$C$13,IF(H81="LNG",'Fuel-Specific GHG'!$C$18,IF(OR(H81="LPG",H81="PROP"),'Fuel-Specific GHG'!$C$19,IF(H81="","",""))))))</f>
        <v/>
      </c>
      <c r="AO81" s="804" t="str">
        <f>IFERROR(((P81*(IF(ISBLANK(R81),Defaults!$B$19,R81))*T81*AL81)/AM81),"")</f>
        <v/>
      </c>
      <c r="AP81" s="805" t="str">
        <f t="shared" si="86"/>
        <v/>
      </c>
      <c r="AQ81" s="805" t="str">
        <f>IF(H81="DESL",'Fuel-Specific GHG'!$E$14,IF(H81="GAS",'Fuel-Specific GHG'!$E$16,IF(H81="CNG",'Fuel-Specific GHG'!$E$13,IF(H81="LNG",'Fuel-Specific GHG'!$E$18,IF(OR(H81="LPG",H81="PROP"),'Fuel-Specific GHG'!$E$19,"")))))</f>
        <v/>
      </c>
      <c r="AR81" s="805" t="str">
        <f t="shared" si="87"/>
        <v/>
      </c>
      <c r="AS81" s="803" t="str">
        <f t="shared" si="58"/>
        <v/>
      </c>
      <c r="AT81" s="803" t="str">
        <f>IF(X81="DESL",'Fuel Density'!$C$12,IF(X81="PROP",'Fuel Density'!$C$16,IF(X81="GAS",'Fuel Density'!$C$11,IF(X81="CNG",'Fuel Density'!$C$13,IF(X81="LNG",'Fuel Density'!$C$14,IF(X81="LPG",'Fuel Density'!$C$15,IF(X81="","","")))))))</f>
        <v/>
      </c>
      <c r="AU81" s="804" t="str">
        <f>IFERROR(IF(X81="ELEC",AO81*AN81*(1/'Fuel-Specific GHG'!$C$15)*(1/IF(H81="GAS",3.4,IF(H81="DESL",2.7,3))),((AF81*(IF(ISBLANK(AH81),Defaults!$B$19,AH81))*AJ81*AS81)/AT81)),"")</f>
        <v/>
      </c>
      <c r="AV81" s="805" t="str">
        <f t="shared" si="88"/>
        <v/>
      </c>
      <c r="AW81" s="805" t="str">
        <f>IF(X81="DESL",'Fuel-Specific GHG'!$E$14,IF(X81="PROP",'Fuel-Specific GHG'!$E$19,IF(X81="GAS",'Fuel-Specific GHG'!$E$16,IF(X81="CNG",'Fuel-Specific GHG'!$E$13,IF(X81="LNG",'Fuel-Specific GHG'!$E$18,IF(X81="LPG",'Fuel-Specific GHG'!$E$19,IF(X81="ELEC",'Fuel-Specific GHG'!$E$15,"")))))))</f>
        <v/>
      </c>
      <c r="AX81" s="805" t="str">
        <f t="shared" si="89"/>
        <v/>
      </c>
      <c r="AY81" s="806" t="str">
        <f t="shared" si="90"/>
        <v/>
      </c>
      <c r="AZ81" s="806" t="str">
        <f t="shared" si="68"/>
        <v/>
      </c>
      <c r="BA81" s="806" t="str">
        <f t="shared" si="59"/>
        <v/>
      </c>
      <c r="BB81" s="804" t="str">
        <f t="shared" si="23"/>
        <v/>
      </c>
      <c r="BC81" s="807" t="str">
        <f t="shared" si="91"/>
        <v/>
      </c>
      <c r="BD81" s="807"/>
      <c r="BE81" s="808" t="str">
        <f t="shared" si="92"/>
        <v/>
      </c>
      <c r="BF81" s="809" t="str">
        <f t="shared" si="93"/>
        <v/>
      </c>
      <c r="BG81" s="808" t="str">
        <f t="shared" si="60"/>
        <v/>
      </c>
      <c r="BH81" s="810">
        <f t="shared" si="61"/>
        <v>0</v>
      </c>
      <c r="BI81" s="803" t="str">
        <f>IFERROR(VLOOKUP(BH81,'Pump Emission Factors'!$B$11:$J$88,4,FALSE),"")</f>
        <v/>
      </c>
      <c r="BJ81" s="803" t="str">
        <f>IFERROR(VLOOKUP(BH81,'Pump Emission Factors'!$B$11:$J$88,6,FALSE),"")</f>
        <v/>
      </c>
      <c r="BK81" s="803" t="str">
        <f>IFERROR(VLOOKUP(BH81,'Pump Emission Factors'!$B$11:$J$88,8,FALSE),"")</f>
        <v/>
      </c>
      <c r="BL81" s="803" t="str">
        <f>IFERROR(VLOOKUP(BH81,'Pump Emission Factors'!$B$11:$J$88,5,FALSE),"")</f>
        <v/>
      </c>
      <c r="BM81" s="803" t="str">
        <f>IFERROR(VLOOKUP(BH81,'Pump Emission Factors'!$B$11:$J$88,7,FALSE),"")</f>
        <v/>
      </c>
      <c r="BN81" s="803" t="str">
        <f>IFERROR(VLOOKUP(BH81,'Pump Emission Factors'!$B$11:$J$88,9,FALSE),"")</f>
        <v/>
      </c>
      <c r="BO81" s="811" t="str">
        <f t="shared" si="94"/>
        <v/>
      </c>
      <c r="BP81" s="811" t="str">
        <f t="shared" si="95"/>
        <v/>
      </c>
      <c r="BQ81" s="803">
        <f>IFERROR(((BI81+(BL81*BP81))*(IF(ISBLANK(R81),Defaults!$B$19,R81))*P81*T81)*F81*(1/454),0)</f>
        <v>0</v>
      </c>
      <c r="BR81" s="803">
        <f>IFERROR(((BJ81+(BM81*BP81))*(IF(ISBLANK(R81),Defaults!$B$19,R81))*P81*T81)*F81*(1/454),0)</f>
        <v>0</v>
      </c>
      <c r="BS81" s="803">
        <f>IFERROR(((BK81+(BN81*BP81))*(IF(ISBLANK(R81),Defaults!$B$19,R81))*P81*T81)*F81*(1/454),0)</f>
        <v>0</v>
      </c>
      <c r="BT81" s="803">
        <f t="shared" si="96"/>
        <v>0</v>
      </c>
      <c r="BU81" s="803">
        <f t="shared" si="97"/>
        <v>0</v>
      </c>
      <c r="BV81" s="812" t="str">
        <f t="shared" si="98"/>
        <v/>
      </c>
      <c r="BW81" s="808" t="str">
        <f t="shared" si="99"/>
        <v/>
      </c>
      <c r="BX81" s="809" t="str">
        <f t="shared" si="32"/>
        <v/>
      </c>
      <c r="BY81" s="808" t="str">
        <f t="shared" si="63"/>
        <v/>
      </c>
      <c r="BZ81" s="810">
        <f t="shared" si="64"/>
        <v>0</v>
      </c>
      <c r="CA81" s="813" t="str">
        <f>IFERROR(VLOOKUP(BZ81,'Pump Emission Factors'!$B$11:$J$88,4,FALSE),"")</f>
        <v/>
      </c>
      <c r="CB81" s="813" t="str">
        <f>IFERROR(VLOOKUP(BZ81,'Pump Emission Factors'!$B$11:$J$88,6,FALSE),"")</f>
        <v/>
      </c>
      <c r="CC81" s="813" t="str">
        <f>IFERROR(VLOOKUP(BZ81,'Pump Emission Factors'!$B$11:$J$88,8,FALSE),"")</f>
        <v/>
      </c>
      <c r="CD81" s="813" t="str">
        <f>IFERROR(VLOOKUP(BZ81,'Pump Emission Factors'!$B$11:$J$88,5,FALSE),"")</f>
        <v/>
      </c>
      <c r="CE81" s="813" t="str">
        <f>IFERROR(VLOOKUP(BZ81,'Pump Emission Factors'!$B$11:$J$88,7,FALSE),"")</f>
        <v/>
      </c>
      <c r="CF81" s="813" t="str">
        <f>IFERROR(VLOOKUP(BZ81,'Pump Emission Factors'!$B$11:$J$88,9,FALSE),"")</f>
        <v/>
      </c>
      <c r="CG81" s="814" t="str">
        <f t="shared" si="100"/>
        <v/>
      </c>
      <c r="CH81" s="814" t="str">
        <f t="shared" si="101"/>
        <v/>
      </c>
      <c r="CI81" s="813">
        <f>IFERROR(IF($X81="ELEC",((($AU81*(IF($H81="DESL",'Fuel-Specific GHG'!$C$14,IF($H81="GAS",'Fuel-Specific GHG'!$C$16,IF($H81="CNG",'Fuel-Specific GHG'!$C$13,IF(OR($H81="LPG",$H81="PROP"),'Fuel-Specific GHG'!$C$19,"")))))*(1/'Fuel-Specific GHG'!$C$15)*(1/3.4)*$F81)*'Grid Electricity'!$D$39)/454),((CA81+(CD81*CH81))*(IF(ISBLANK(AH81),Defaults!$B$19,AH81))*$AF81*$AJ81*$F81)),0)</f>
        <v>0</v>
      </c>
      <c r="CJ81" s="813">
        <f>IFERROR(IF($X81="ELEC",((($AU81*(IF($H81="DESL",'Fuel-Specific GHG'!$C$14,IF($H81="GAS",'Fuel-Specific GHG'!$C$16,IF($H81="CNG",'Fuel-Specific GHG'!$C$13,IF(OR($H81="LPG",$H81="PROP"),'Fuel-Specific GHG'!$C$19,"")))))*(1/'Fuel-Specific GHG'!$C$15)*(1/3.4)*$F81)*'Grid Electricity'!$C$39)/454),((CB81+(CE81*CH81))*(IF(ISBLANK(AH81),Defaults!$B$19,AH81))*$AF81*$AJ81*$F81)),0)</f>
        <v>0</v>
      </c>
      <c r="CK81" s="813">
        <f>IFERROR(IF($X81="ELEC",((($AU81*(IF($H81="DESL",'Fuel-Specific GHG'!$C$14,IF($H81="GAS",'Fuel-Specific GHG'!$C$16,IF($H81="CNG",'Fuel-Specific GHG'!$C$13,IF(OR($H81="LPG",$H81="PROP"),'Fuel-Specific GHG'!$C$19,"")))))*(1/'Fuel-Specific GHG'!$C$15)*(1/3.4)*$F81)*'Grid Electricity'!$F$39)/454),((CC81+(CF81*CH81))*(IF(ISBLANK(AH81),Defaults!$B$19,AH81))*$AF81*$AJ81*$F81)),0)</f>
        <v>0</v>
      </c>
      <c r="CL81" s="813">
        <f t="shared" si="102"/>
        <v>0</v>
      </c>
      <c r="CM81" s="813">
        <f t="shared" si="103"/>
        <v>0</v>
      </c>
      <c r="CN81" s="814" t="str">
        <f t="shared" si="104"/>
        <v/>
      </c>
      <c r="CO81" s="814" t="str">
        <f t="shared" si="105"/>
        <v/>
      </c>
      <c r="CP81" s="814" t="str">
        <f t="shared" si="106"/>
        <v/>
      </c>
      <c r="CQ81" s="814" t="str">
        <f t="shared" si="107"/>
        <v/>
      </c>
      <c r="CR81" s="815" t="str">
        <f>IF(AND(V81="Yes, Booster Pump VFD",AF81&lt;=75),('Pump Emission Factors'!$F$95*F81),(IF(AND(V81="Yes, Booster Pump VFD",AF81&gt;75),('Pump Emission Factors'!$F$96*F81),(IF(AND(V81="Yes, Well Pump VFD",AF81&lt;=75),('Pump Emission Factors'!$F$97*F81),(IF(AND(V81="Yes, Well Pump VFD",AF81&gt;75),('Pump Emission Factors'!$F$98*F81),"")))))))</f>
        <v/>
      </c>
      <c r="CS81" s="815" t="str">
        <f>IF(AND(V81="Yes, Booster Pump VFD",AF81&lt;=75),('Pump Emission Factors'!$G$95*F81),(IF(AND(V81="Yes, Booster Pump VFD",AF81&gt;75),('Pump Emission Factors'!$G$96*F81),(IF(AND(V81="Yes, Well Pump VFD",AF81&lt;=75),('Pump Emission Factors'!$G$97*F81),(IF(AND(V81="Yes, Well Pump VFD",AF81&gt;75),('Pump Emission Factors'!$G$98*F81),"")))))))</f>
        <v/>
      </c>
      <c r="CT81" s="815" t="str">
        <f>IF(AND(V81="Yes, Booster Pump VFD",AF81&lt;=75),('Pump Emission Factors'!$H$95*F81),(IF(AND(V81="Yes, Booster Pump VFD",AF81&gt;75),('Pump Emission Factors'!$H$96*F81),(IF(AND(V81="Yes, Well Pump VFD",AF81&lt;=75),('Pump Emission Factors'!$H$97*F81),(IF(AND(V81="Yes, Well Pump VFD",AF81&gt;75),('Pump Emission Factors'!$H$98*F81),"")))))))</f>
        <v/>
      </c>
      <c r="CU81" s="815" t="str">
        <f>IF(AND(V81="Yes, Booster Pump VFD",AF81&lt;=75),('Pump Emission Factors'!$J$95*F81),(IF(AND(V81="Yes, Booster Pump VFD",AF81&gt;75),('Pump Emission Factors'!$J$96*F81),(IF(AND(V81="Yes, Well Pump VFD",AF81&lt;=75),('Pump Emission Factors'!$J$97*F81),(IF(AND(V81="Yes, Well Pump VFD",AF81&gt;75),('Pump Emission Factors'!$J$98*F81),"")))))))</f>
        <v/>
      </c>
      <c r="CV81" s="815" t="str">
        <f>IF(AND(V81="Yes, Booster Pump VFD",AF81&lt;=75),('Pump Emission Factors'!$I$95*F81),(IF(AND(V81="Yes, Booster Pump VFD",AF81&gt;75),('Pump Emission Factors'!$I$96*F81),(IF(AND(V81="Yes, Well Pump VFD",AF81&lt;=75),('Pump Emission Factors'!$I$97*F81),(IF(AND(V81="Yes, Well Pump VFD",AF81&gt;75),('Pump Emission Factors'!$I$98*F81),"")))))))</f>
        <v/>
      </c>
      <c r="CW81" s="806">
        <f t="shared" si="108"/>
        <v>0</v>
      </c>
      <c r="CX81" s="806">
        <f t="shared" si="109"/>
        <v>0</v>
      </c>
      <c r="CY81" s="806">
        <f t="shared" si="110"/>
        <v>0</v>
      </c>
      <c r="CZ81" s="806">
        <f t="shared" si="111"/>
        <v>0</v>
      </c>
      <c r="DA81" s="806">
        <f t="shared" si="112"/>
        <v>0</v>
      </c>
      <c r="DB81" s="816" t="str">
        <f t="shared" si="65"/>
        <v/>
      </c>
      <c r="DC81" s="816" t="str">
        <f t="shared" si="65"/>
        <v/>
      </c>
      <c r="DD81" s="816" t="str">
        <f t="shared" si="65"/>
        <v/>
      </c>
      <c r="DE81" s="817" t="str">
        <f t="shared" si="113"/>
        <v/>
      </c>
      <c r="DF81" s="817" t="str">
        <f t="shared" si="114"/>
        <v/>
      </c>
      <c r="DG81" s="804" t="str">
        <f t="shared" si="115"/>
        <v/>
      </c>
      <c r="DH81" s="804" t="str">
        <f t="shared" si="116"/>
        <v/>
      </c>
      <c r="DI81" s="818" t="str">
        <f>IF(AO81="","",IF(H81="DESL",AO81*F81*'Fuel Prices'!$C$12,IF(H81="GAS",AO81*F81*'Fuel Prices'!$C$11,IF(H81="CNG",AO81*F81*'Fuel Prices'!$C$13,IF(H81="LNG",AO81*F81*'Fuel Prices'!$C$14,IF(H81="LPG",AO81*F81*'Fuel Prices'!$C$16,IF(H81="PROP",AO81*F81*'Fuel Prices'!$C$16,"0")))))))</f>
        <v/>
      </c>
      <c r="DJ81" s="818" t="str">
        <f>IF(AU81="","",IF(X81="DESL",AU81*F81*'Fuel Prices'!$C$12,IF(X81="GAS",AU81*F81*'Fuel Prices'!$C$11,IF(X81="CNG",AU81*F81*'Fuel Prices'!$C$13,IF(X81="LNG",AU81*F81*'Fuel Prices'!$C$14,IF(X81="LPG",AU81*F81*'Fuel Prices'!$C$16,IF(X81="PROP",AU81*F81*'Fuel Prices'!$C$16,IF(X81="ELEC",AU81*F81*'Fuel Prices'!$C$35,"0"))))))))</f>
        <v/>
      </c>
      <c r="DK81" s="818" t="str">
        <f t="shared" si="117"/>
        <v/>
      </c>
      <c r="DL81" s="818" t="str">
        <f t="shared" si="118"/>
        <v/>
      </c>
      <c r="DM81" s="804" t="str">
        <f t="shared" si="119"/>
        <v/>
      </c>
      <c r="DN81" s="804" t="str">
        <f t="shared" si="120"/>
        <v/>
      </c>
      <c r="DO81" s="804" t="str">
        <f>IFERROR(ROUND(CZ81*IF(COUNTIF($B$20:B81,B81)=1,1,"")/IF(B81="",0,1),0),"")</f>
        <v/>
      </c>
      <c r="DP81" s="804" t="str">
        <f>IFERROR(ROUND(CW81*IF(COUNTIF($B$20:B81,B81)=1,1,"")/IF(B81="",0,1),0),"")</f>
        <v/>
      </c>
      <c r="DQ81" s="804" t="str">
        <f>IFERROR(ROUND(DA81*IF(COUNTIF($B$20:B81,B81)=1,1,"")/IF(B81="",0,1),0),"")</f>
        <v/>
      </c>
      <c r="DR81" s="804" t="str">
        <f>IFERROR(ROUND(CX81*IF(COUNTIF($B$20:B81,B81)=1,1,"")/IF(B81="",0,1),0),"")</f>
        <v/>
      </c>
      <c r="DS81" s="804">
        <f t="shared" si="121"/>
        <v>0</v>
      </c>
      <c r="DT81" s="804">
        <f t="shared" si="122"/>
        <v>0</v>
      </c>
      <c r="DU81" s="804">
        <f t="shared" si="123"/>
        <v>0</v>
      </c>
      <c r="DV81" s="818" t="str">
        <f t="shared" si="66"/>
        <v/>
      </c>
      <c r="DW81" s="819" t="str">
        <f t="shared" si="67"/>
        <v/>
      </c>
    </row>
    <row r="82" spans="1:127" ht="18" customHeight="1" x14ac:dyDescent="0.35">
      <c r="A82" s="635"/>
      <c r="B82" s="820"/>
      <c r="C82" s="825" t="str">
        <f t="shared" si="69"/>
        <v>(Required)</v>
      </c>
      <c r="D82" s="821"/>
      <c r="E82" s="825" t="str">
        <f t="shared" si="69"/>
        <v>(Required)</v>
      </c>
      <c r="F82" s="821"/>
      <c r="G82" s="825" t="str">
        <f t="shared" si="70"/>
        <v>(Required)</v>
      </c>
      <c r="H82" s="822"/>
      <c r="I82" s="825" t="str">
        <f t="shared" si="71"/>
        <v>(Required)</v>
      </c>
      <c r="J82" s="821"/>
      <c r="K82" s="825" t="str">
        <f t="shared" si="72"/>
        <v>(Required)</v>
      </c>
      <c r="L82" s="821"/>
      <c r="M82" s="825" t="str">
        <f t="shared" si="73"/>
        <v>(Required)</v>
      </c>
      <c r="N82" s="821"/>
      <c r="O82" s="825" t="str">
        <f t="shared" si="74"/>
        <v>(Required)</v>
      </c>
      <c r="P82" s="821"/>
      <c r="Q82" s="825" t="str">
        <f t="shared" si="75"/>
        <v>(Required)</v>
      </c>
      <c r="R82" s="823"/>
      <c r="S82" s="826" t="str">
        <f t="shared" si="76"/>
        <v>(Optional)</v>
      </c>
      <c r="T82" s="821"/>
      <c r="U82" s="827" t="str">
        <f t="shared" si="77"/>
        <v>(Required)</v>
      </c>
      <c r="V82" s="828"/>
      <c r="W82" s="799" t="str">
        <f t="shared" si="9"/>
        <v>(Optional)</v>
      </c>
      <c r="X82" s="822"/>
      <c r="Y82" s="825" t="str">
        <f t="shared" si="78"/>
        <v>(Required)</v>
      </c>
      <c r="Z82" s="821"/>
      <c r="AA82" s="825" t="str">
        <f t="shared" si="79"/>
        <v>(Required)</v>
      </c>
      <c r="AB82" s="821"/>
      <c r="AC82" s="825" t="str">
        <f t="shared" si="80"/>
        <v>(Required)</v>
      </c>
      <c r="AD82" s="821"/>
      <c r="AE82" s="825" t="str">
        <f t="shared" si="81"/>
        <v>(Required)</v>
      </c>
      <c r="AF82" s="821"/>
      <c r="AG82" s="825" t="str">
        <f t="shared" si="82"/>
        <v>(Required)</v>
      </c>
      <c r="AH82" s="823"/>
      <c r="AI82" s="826" t="str">
        <f t="shared" si="83"/>
        <v>(Optional)</v>
      </c>
      <c r="AJ82" s="821"/>
      <c r="AK82" s="825" t="str">
        <f t="shared" si="84"/>
        <v>(Required)</v>
      </c>
      <c r="AL82" s="803" t="str">
        <f t="shared" si="85"/>
        <v/>
      </c>
      <c r="AM82" s="803" t="str">
        <f>IF(H82="DESL",'Fuel Density'!$C$12,IF(H82="GAS",'Fuel Density'!$C$11,IF(H82="CNG",'Fuel Density'!$C$13,IF(H82="LNG",'Fuel Density'!$C$14,IF(H82="LPG",'Fuel Density'!$C$15,IF(H82="PROP",'Fuel Density'!$C$16,IF(H82="","","")))))))</f>
        <v/>
      </c>
      <c r="AN82" s="803" t="str">
        <f>IF(H82="DESL",'Fuel-Specific GHG'!$C$14,IF(H82="GAS",'Fuel-Specific GHG'!$C$16,IF(H82="CNG",'Fuel-Specific GHG'!$C$13,IF(H82="LNG",'Fuel-Specific GHG'!$C$18,IF(OR(H82="LPG",H82="PROP"),'Fuel-Specific GHG'!$C$19,IF(H82="","",""))))))</f>
        <v/>
      </c>
      <c r="AO82" s="804" t="str">
        <f>IFERROR(((P82*(IF(ISBLANK(R82),Defaults!$B$19,R82))*T82*AL82)/AM82),"")</f>
        <v/>
      </c>
      <c r="AP82" s="805" t="str">
        <f t="shared" si="86"/>
        <v/>
      </c>
      <c r="AQ82" s="805" t="str">
        <f>IF(H82="DESL",'Fuel-Specific GHG'!$E$14,IF(H82="GAS",'Fuel-Specific GHG'!$E$16,IF(H82="CNG",'Fuel-Specific GHG'!$E$13,IF(H82="LNG",'Fuel-Specific GHG'!$E$18,IF(OR(H82="LPG",H82="PROP"),'Fuel-Specific GHG'!$E$19,"")))))</f>
        <v/>
      </c>
      <c r="AR82" s="805" t="str">
        <f t="shared" si="87"/>
        <v/>
      </c>
      <c r="AS82" s="803" t="str">
        <f t="shared" si="58"/>
        <v/>
      </c>
      <c r="AT82" s="803" t="str">
        <f>IF(X82="DESL",'Fuel Density'!$C$12,IF(X82="PROP",'Fuel Density'!$C$16,IF(X82="GAS",'Fuel Density'!$C$11,IF(X82="CNG",'Fuel Density'!$C$13,IF(X82="LNG",'Fuel Density'!$C$14,IF(X82="LPG",'Fuel Density'!$C$15,IF(X82="","","")))))))</f>
        <v/>
      </c>
      <c r="AU82" s="804" t="str">
        <f>IFERROR(IF(X82="ELEC",AO82*AN82*(1/'Fuel-Specific GHG'!$C$15)*(1/IF(H82="GAS",3.4,IF(H82="DESL",2.7,3))),((AF82*(IF(ISBLANK(AH82),Defaults!$B$19,AH82))*AJ82*AS82)/AT82)),"")</f>
        <v/>
      </c>
      <c r="AV82" s="805" t="str">
        <f t="shared" si="88"/>
        <v/>
      </c>
      <c r="AW82" s="805" t="str">
        <f>IF(X82="DESL",'Fuel-Specific GHG'!$E$14,IF(X82="PROP",'Fuel-Specific GHG'!$E$19,IF(X82="GAS",'Fuel-Specific GHG'!$E$16,IF(X82="CNG",'Fuel-Specific GHG'!$E$13,IF(X82="LNG",'Fuel-Specific GHG'!$E$18,IF(X82="LPG",'Fuel-Specific GHG'!$E$19,IF(X82="ELEC",'Fuel-Specific GHG'!$E$15,"")))))))</f>
        <v/>
      </c>
      <c r="AX82" s="805" t="str">
        <f t="shared" si="89"/>
        <v/>
      </c>
      <c r="AY82" s="806" t="str">
        <f t="shared" si="90"/>
        <v/>
      </c>
      <c r="AZ82" s="806" t="str">
        <f t="shared" si="68"/>
        <v/>
      </c>
      <c r="BA82" s="806" t="str">
        <f t="shared" si="59"/>
        <v/>
      </c>
      <c r="BB82" s="804" t="str">
        <f t="shared" si="23"/>
        <v/>
      </c>
      <c r="BC82" s="807" t="str">
        <f t="shared" si="91"/>
        <v/>
      </c>
      <c r="BD82" s="807"/>
      <c r="BE82" s="808" t="str">
        <f t="shared" si="92"/>
        <v/>
      </c>
      <c r="BF82" s="809" t="str">
        <f t="shared" si="93"/>
        <v/>
      </c>
      <c r="BG82" s="808" t="str">
        <f t="shared" si="60"/>
        <v/>
      </c>
      <c r="BH82" s="810">
        <f t="shared" si="61"/>
        <v>0</v>
      </c>
      <c r="BI82" s="803" t="str">
        <f>IFERROR(VLOOKUP(BH82,'Pump Emission Factors'!$B$11:$J$88,4,FALSE),"")</f>
        <v/>
      </c>
      <c r="BJ82" s="803" t="str">
        <f>IFERROR(VLOOKUP(BH82,'Pump Emission Factors'!$B$11:$J$88,6,FALSE),"")</f>
        <v/>
      </c>
      <c r="BK82" s="803" t="str">
        <f>IFERROR(VLOOKUP(BH82,'Pump Emission Factors'!$B$11:$J$88,8,FALSE),"")</f>
        <v/>
      </c>
      <c r="BL82" s="803" t="str">
        <f>IFERROR(VLOOKUP(BH82,'Pump Emission Factors'!$B$11:$J$88,5,FALSE),"")</f>
        <v/>
      </c>
      <c r="BM82" s="803" t="str">
        <f>IFERROR(VLOOKUP(BH82,'Pump Emission Factors'!$B$11:$J$88,7,FALSE),"")</f>
        <v/>
      </c>
      <c r="BN82" s="803" t="str">
        <f>IFERROR(VLOOKUP(BH82,'Pump Emission Factors'!$B$11:$J$88,9,FALSE),"")</f>
        <v/>
      </c>
      <c r="BO82" s="811" t="str">
        <f t="shared" si="94"/>
        <v/>
      </c>
      <c r="BP82" s="811" t="str">
        <f t="shared" si="95"/>
        <v/>
      </c>
      <c r="BQ82" s="803">
        <f>IFERROR(((BI82+(BL82*BP82))*(IF(ISBLANK(R82),Defaults!$B$19,R82))*P82*T82)*F82*(1/454),0)</f>
        <v>0</v>
      </c>
      <c r="BR82" s="803">
        <f>IFERROR(((BJ82+(BM82*BP82))*(IF(ISBLANK(R82),Defaults!$B$19,R82))*P82*T82)*F82*(1/454),0)</f>
        <v>0</v>
      </c>
      <c r="BS82" s="803">
        <f>IFERROR(((BK82+(BN82*BP82))*(IF(ISBLANK(R82),Defaults!$B$19,R82))*P82*T82)*F82*(1/454),0)</f>
        <v>0</v>
      </c>
      <c r="BT82" s="803">
        <f t="shared" si="96"/>
        <v>0</v>
      </c>
      <c r="BU82" s="803">
        <f t="shared" si="97"/>
        <v>0</v>
      </c>
      <c r="BV82" s="812" t="str">
        <f t="shared" si="98"/>
        <v/>
      </c>
      <c r="BW82" s="808" t="str">
        <f t="shared" si="99"/>
        <v/>
      </c>
      <c r="BX82" s="809" t="str">
        <f t="shared" si="32"/>
        <v/>
      </c>
      <c r="BY82" s="808" t="str">
        <f t="shared" si="63"/>
        <v/>
      </c>
      <c r="BZ82" s="810">
        <f t="shared" si="64"/>
        <v>0</v>
      </c>
      <c r="CA82" s="813" t="str">
        <f>IFERROR(VLOOKUP(BZ82,'Pump Emission Factors'!$B$11:$J$88,4,FALSE),"")</f>
        <v/>
      </c>
      <c r="CB82" s="813" t="str">
        <f>IFERROR(VLOOKUP(BZ82,'Pump Emission Factors'!$B$11:$J$88,6,FALSE),"")</f>
        <v/>
      </c>
      <c r="CC82" s="813" t="str">
        <f>IFERROR(VLOOKUP(BZ82,'Pump Emission Factors'!$B$11:$J$88,8,FALSE),"")</f>
        <v/>
      </c>
      <c r="CD82" s="813" t="str">
        <f>IFERROR(VLOOKUP(BZ82,'Pump Emission Factors'!$B$11:$J$88,5,FALSE),"")</f>
        <v/>
      </c>
      <c r="CE82" s="813" t="str">
        <f>IFERROR(VLOOKUP(BZ82,'Pump Emission Factors'!$B$11:$J$88,7,FALSE),"")</f>
        <v/>
      </c>
      <c r="CF82" s="813" t="str">
        <f>IFERROR(VLOOKUP(BZ82,'Pump Emission Factors'!$B$11:$J$88,9,FALSE),"")</f>
        <v/>
      </c>
      <c r="CG82" s="814" t="str">
        <f t="shared" si="100"/>
        <v/>
      </c>
      <c r="CH82" s="814" t="str">
        <f t="shared" si="101"/>
        <v/>
      </c>
      <c r="CI82" s="813">
        <f>IFERROR(IF($X82="ELEC",((($AU82*(IF($H82="DESL",'Fuel-Specific GHG'!$C$14,IF($H82="GAS",'Fuel-Specific GHG'!$C$16,IF($H82="CNG",'Fuel-Specific GHG'!$C$13,IF(OR($H82="LPG",$H82="PROP"),'Fuel-Specific GHG'!$C$19,"")))))*(1/'Fuel-Specific GHG'!$C$15)*(1/3.4)*$F82)*'Grid Electricity'!$D$39)/454),((CA82+(CD82*CH82))*(IF(ISBLANK(AH82),Defaults!$B$19,AH82))*$AF82*$AJ82*$F82)),0)</f>
        <v>0</v>
      </c>
      <c r="CJ82" s="813">
        <f>IFERROR(IF($X82="ELEC",((($AU82*(IF($H82="DESL",'Fuel-Specific GHG'!$C$14,IF($H82="GAS",'Fuel-Specific GHG'!$C$16,IF($H82="CNG",'Fuel-Specific GHG'!$C$13,IF(OR($H82="LPG",$H82="PROP"),'Fuel-Specific GHG'!$C$19,"")))))*(1/'Fuel-Specific GHG'!$C$15)*(1/3.4)*$F82)*'Grid Electricity'!$C$39)/454),((CB82+(CE82*CH82))*(IF(ISBLANK(AH82),Defaults!$B$19,AH82))*$AF82*$AJ82*$F82)),0)</f>
        <v>0</v>
      </c>
      <c r="CK82" s="813">
        <f>IFERROR(IF($X82="ELEC",((($AU82*(IF($H82="DESL",'Fuel-Specific GHG'!$C$14,IF($H82="GAS",'Fuel-Specific GHG'!$C$16,IF($H82="CNG",'Fuel-Specific GHG'!$C$13,IF(OR($H82="LPG",$H82="PROP"),'Fuel-Specific GHG'!$C$19,"")))))*(1/'Fuel-Specific GHG'!$C$15)*(1/3.4)*$F82)*'Grid Electricity'!$F$39)/454),((CC82+(CF82*CH82))*(IF(ISBLANK(AH82),Defaults!$B$19,AH82))*$AF82*$AJ82*$F82)),0)</f>
        <v>0</v>
      </c>
      <c r="CL82" s="813">
        <f t="shared" si="102"/>
        <v>0</v>
      </c>
      <c r="CM82" s="813">
        <f t="shared" si="103"/>
        <v>0</v>
      </c>
      <c r="CN82" s="814" t="str">
        <f t="shared" si="104"/>
        <v/>
      </c>
      <c r="CO82" s="814" t="str">
        <f t="shared" si="105"/>
        <v/>
      </c>
      <c r="CP82" s="814" t="str">
        <f t="shared" si="106"/>
        <v/>
      </c>
      <c r="CQ82" s="814" t="str">
        <f t="shared" si="107"/>
        <v/>
      </c>
      <c r="CR82" s="815" t="str">
        <f>IF(AND(V82="Yes, Booster Pump VFD",AF82&lt;=75),('Pump Emission Factors'!$F$95*F82),(IF(AND(V82="Yes, Booster Pump VFD",AF82&gt;75),('Pump Emission Factors'!$F$96*F82),(IF(AND(V82="Yes, Well Pump VFD",AF82&lt;=75),('Pump Emission Factors'!$F$97*F82),(IF(AND(V82="Yes, Well Pump VFD",AF82&gt;75),('Pump Emission Factors'!$F$98*F82),"")))))))</f>
        <v/>
      </c>
      <c r="CS82" s="815" t="str">
        <f>IF(AND(V82="Yes, Booster Pump VFD",AF82&lt;=75),('Pump Emission Factors'!$G$95*F82),(IF(AND(V82="Yes, Booster Pump VFD",AF82&gt;75),('Pump Emission Factors'!$G$96*F82),(IF(AND(V82="Yes, Well Pump VFD",AF82&lt;=75),('Pump Emission Factors'!$G$97*F82),(IF(AND(V82="Yes, Well Pump VFD",AF82&gt;75),('Pump Emission Factors'!$G$98*F82),"")))))))</f>
        <v/>
      </c>
      <c r="CT82" s="815" t="str">
        <f>IF(AND(V82="Yes, Booster Pump VFD",AF82&lt;=75),('Pump Emission Factors'!$H$95*F82),(IF(AND(V82="Yes, Booster Pump VFD",AF82&gt;75),('Pump Emission Factors'!$H$96*F82),(IF(AND(V82="Yes, Well Pump VFD",AF82&lt;=75),('Pump Emission Factors'!$H$97*F82),(IF(AND(V82="Yes, Well Pump VFD",AF82&gt;75),('Pump Emission Factors'!$H$98*F82),"")))))))</f>
        <v/>
      </c>
      <c r="CU82" s="815" t="str">
        <f>IF(AND(V82="Yes, Booster Pump VFD",AF82&lt;=75),('Pump Emission Factors'!$J$95*F82),(IF(AND(V82="Yes, Booster Pump VFD",AF82&gt;75),('Pump Emission Factors'!$J$96*F82),(IF(AND(V82="Yes, Well Pump VFD",AF82&lt;=75),('Pump Emission Factors'!$J$97*F82),(IF(AND(V82="Yes, Well Pump VFD",AF82&gt;75),('Pump Emission Factors'!$J$98*F82),"")))))))</f>
        <v/>
      </c>
      <c r="CV82" s="815" t="str">
        <f>IF(AND(V82="Yes, Booster Pump VFD",AF82&lt;=75),('Pump Emission Factors'!$I$95*F82),(IF(AND(V82="Yes, Booster Pump VFD",AF82&gt;75),('Pump Emission Factors'!$I$96*F82),(IF(AND(V82="Yes, Well Pump VFD",AF82&lt;=75),('Pump Emission Factors'!$I$97*F82),(IF(AND(V82="Yes, Well Pump VFD",AF82&gt;75),('Pump Emission Factors'!$I$98*F82),"")))))))</f>
        <v/>
      </c>
      <c r="CW82" s="806">
        <f t="shared" si="108"/>
        <v>0</v>
      </c>
      <c r="CX82" s="806">
        <f t="shared" si="109"/>
        <v>0</v>
      </c>
      <c r="CY82" s="806">
        <f t="shared" si="110"/>
        <v>0</v>
      </c>
      <c r="CZ82" s="806">
        <f t="shared" si="111"/>
        <v>0</v>
      </c>
      <c r="DA82" s="806">
        <f t="shared" si="112"/>
        <v>0</v>
      </c>
      <c r="DB82" s="816" t="str">
        <f t="shared" si="65"/>
        <v/>
      </c>
      <c r="DC82" s="816" t="str">
        <f t="shared" si="65"/>
        <v/>
      </c>
      <c r="DD82" s="816" t="str">
        <f t="shared" si="65"/>
        <v/>
      </c>
      <c r="DE82" s="817" t="str">
        <f t="shared" si="113"/>
        <v/>
      </c>
      <c r="DF82" s="817" t="str">
        <f t="shared" si="114"/>
        <v/>
      </c>
      <c r="DG82" s="804" t="str">
        <f t="shared" si="115"/>
        <v/>
      </c>
      <c r="DH82" s="804" t="str">
        <f t="shared" si="116"/>
        <v/>
      </c>
      <c r="DI82" s="818" t="str">
        <f>IF(AO82="","",IF(H82="DESL",AO82*F82*'Fuel Prices'!$C$12,IF(H82="GAS",AO82*F82*'Fuel Prices'!$C$11,IF(H82="CNG",AO82*F82*'Fuel Prices'!$C$13,IF(H82="LNG",AO82*F82*'Fuel Prices'!$C$14,IF(H82="LPG",AO82*F82*'Fuel Prices'!$C$16,IF(H82="PROP",AO82*F82*'Fuel Prices'!$C$16,"0")))))))</f>
        <v/>
      </c>
      <c r="DJ82" s="818" t="str">
        <f>IF(AU82="","",IF(X82="DESL",AU82*F82*'Fuel Prices'!$C$12,IF(X82="GAS",AU82*F82*'Fuel Prices'!$C$11,IF(X82="CNG",AU82*F82*'Fuel Prices'!$C$13,IF(X82="LNG",AU82*F82*'Fuel Prices'!$C$14,IF(X82="LPG",AU82*F82*'Fuel Prices'!$C$16,IF(X82="PROP",AU82*F82*'Fuel Prices'!$C$16,IF(X82="ELEC",AU82*F82*'Fuel Prices'!$C$35,"0"))))))))</f>
        <v/>
      </c>
      <c r="DK82" s="818" t="str">
        <f t="shared" si="117"/>
        <v/>
      </c>
      <c r="DL82" s="818" t="str">
        <f t="shared" si="118"/>
        <v/>
      </c>
      <c r="DM82" s="804" t="str">
        <f t="shared" si="119"/>
        <v/>
      </c>
      <c r="DN82" s="804" t="str">
        <f t="shared" si="120"/>
        <v/>
      </c>
      <c r="DO82" s="804" t="str">
        <f>IFERROR(ROUND(CZ82*IF(COUNTIF($B$20:B82,B82)=1,1,"")/IF(B82="",0,1),0),"")</f>
        <v/>
      </c>
      <c r="DP82" s="804" t="str">
        <f>IFERROR(ROUND(CW82*IF(COUNTIF($B$20:B82,B82)=1,1,"")/IF(B82="",0,1),0),"")</f>
        <v/>
      </c>
      <c r="DQ82" s="804" t="str">
        <f>IFERROR(ROUND(DA82*IF(COUNTIF($B$20:B82,B82)=1,1,"")/IF(B82="",0,1),0),"")</f>
        <v/>
      </c>
      <c r="DR82" s="804" t="str">
        <f>IFERROR(ROUND(CX82*IF(COUNTIF($B$20:B82,B82)=1,1,"")/IF(B82="",0,1),0),"")</f>
        <v/>
      </c>
      <c r="DS82" s="804">
        <f t="shared" si="121"/>
        <v>0</v>
      </c>
      <c r="DT82" s="804">
        <f t="shared" si="122"/>
        <v>0</v>
      </c>
      <c r="DU82" s="804">
        <f t="shared" si="123"/>
        <v>0</v>
      </c>
      <c r="DV82" s="818" t="str">
        <f t="shared" si="66"/>
        <v/>
      </c>
      <c r="DW82" s="819" t="str">
        <f t="shared" si="67"/>
        <v/>
      </c>
    </row>
    <row r="83" spans="1:127" ht="18" customHeight="1" x14ac:dyDescent="0.35">
      <c r="A83" s="696"/>
      <c r="B83" s="820"/>
      <c r="C83" s="825" t="str">
        <f t="shared" si="69"/>
        <v>(Required)</v>
      </c>
      <c r="D83" s="821"/>
      <c r="E83" s="825" t="str">
        <f t="shared" si="69"/>
        <v>(Required)</v>
      </c>
      <c r="F83" s="821"/>
      <c r="G83" s="825" t="str">
        <f t="shared" si="70"/>
        <v>(Required)</v>
      </c>
      <c r="H83" s="822"/>
      <c r="I83" s="825" t="str">
        <f t="shared" si="71"/>
        <v>(Required)</v>
      </c>
      <c r="J83" s="821"/>
      <c r="K83" s="825" t="str">
        <f t="shared" si="72"/>
        <v>(Required)</v>
      </c>
      <c r="L83" s="821"/>
      <c r="M83" s="825" t="str">
        <f t="shared" si="73"/>
        <v>(Required)</v>
      </c>
      <c r="N83" s="821"/>
      <c r="O83" s="825" t="str">
        <f t="shared" si="74"/>
        <v>(Required)</v>
      </c>
      <c r="P83" s="821"/>
      <c r="Q83" s="825" t="str">
        <f t="shared" si="75"/>
        <v>(Required)</v>
      </c>
      <c r="R83" s="823"/>
      <c r="S83" s="826" t="str">
        <f t="shared" si="76"/>
        <v>(Optional)</v>
      </c>
      <c r="T83" s="821"/>
      <c r="U83" s="827" t="str">
        <f t="shared" si="77"/>
        <v>(Required)</v>
      </c>
      <c r="V83" s="828"/>
      <c r="W83" s="799" t="str">
        <f t="shared" si="9"/>
        <v>(Optional)</v>
      </c>
      <c r="X83" s="822"/>
      <c r="Y83" s="825" t="str">
        <f t="shared" si="78"/>
        <v>(Required)</v>
      </c>
      <c r="Z83" s="821"/>
      <c r="AA83" s="825" t="str">
        <f t="shared" si="79"/>
        <v>(Required)</v>
      </c>
      <c r="AB83" s="821"/>
      <c r="AC83" s="825" t="str">
        <f t="shared" si="80"/>
        <v>(Required)</v>
      </c>
      <c r="AD83" s="821"/>
      <c r="AE83" s="825" t="str">
        <f t="shared" si="81"/>
        <v>(Required)</v>
      </c>
      <c r="AF83" s="821"/>
      <c r="AG83" s="825" t="str">
        <f t="shared" si="82"/>
        <v>(Required)</v>
      </c>
      <c r="AH83" s="823"/>
      <c r="AI83" s="826" t="str">
        <f t="shared" si="83"/>
        <v>(Optional)</v>
      </c>
      <c r="AJ83" s="821"/>
      <c r="AK83" s="825" t="str">
        <f t="shared" si="84"/>
        <v>(Required)</v>
      </c>
      <c r="AL83" s="803" t="str">
        <f t="shared" si="85"/>
        <v/>
      </c>
      <c r="AM83" s="803" t="str">
        <f>IF(H83="DESL",'Fuel Density'!$C$12,IF(H83="GAS",'Fuel Density'!$C$11,IF(H83="CNG",'Fuel Density'!$C$13,IF(H83="LNG",'Fuel Density'!$C$14,IF(H83="LPG",'Fuel Density'!$C$15,IF(H83="PROP",'Fuel Density'!$C$16,IF(H83="","","")))))))</f>
        <v/>
      </c>
      <c r="AN83" s="803" t="str">
        <f>IF(H83="DESL",'Fuel-Specific GHG'!$C$14,IF(H83="GAS",'Fuel-Specific GHG'!$C$16,IF(H83="CNG",'Fuel-Specific GHG'!$C$13,IF(H83="LNG",'Fuel-Specific GHG'!$C$18,IF(OR(H83="LPG",H83="PROP"),'Fuel-Specific GHG'!$C$19,IF(H83="","",""))))))</f>
        <v/>
      </c>
      <c r="AO83" s="804" t="str">
        <f>IFERROR(((P83*(IF(ISBLANK(R83),Defaults!$B$19,R83))*T83*AL83)/AM83),"")</f>
        <v/>
      </c>
      <c r="AP83" s="805" t="str">
        <f t="shared" si="86"/>
        <v/>
      </c>
      <c r="AQ83" s="805" t="str">
        <f>IF(H83="DESL",'Fuel-Specific GHG'!$E$14,IF(H83="GAS",'Fuel-Specific GHG'!$E$16,IF(H83="CNG",'Fuel-Specific GHG'!$E$13,IF(H83="LNG",'Fuel-Specific GHG'!$E$18,IF(OR(H83="LPG",H83="PROP"),'Fuel-Specific GHG'!$E$19,"")))))</f>
        <v/>
      </c>
      <c r="AR83" s="805" t="str">
        <f t="shared" si="87"/>
        <v/>
      </c>
      <c r="AS83" s="803" t="str">
        <f t="shared" si="58"/>
        <v/>
      </c>
      <c r="AT83" s="803" t="str">
        <f>IF(X83="DESL",'Fuel Density'!$C$12,IF(X83="PROP",'Fuel Density'!$C$16,IF(X83="GAS",'Fuel Density'!$C$11,IF(X83="CNG",'Fuel Density'!$C$13,IF(X83="LNG",'Fuel Density'!$C$14,IF(X83="LPG",'Fuel Density'!$C$15,IF(X83="","","")))))))</f>
        <v/>
      </c>
      <c r="AU83" s="804" t="str">
        <f>IFERROR(IF(X83="ELEC",AO83*AN83*(1/'Fuel-Specific GHG'!$C$15)*(1/IF(H83="GAS",3.4,IF(H83="DESL",2.7,3))),((AF83*(IF(ISBLANK(AH83),Defaults!$B$19,AH83))*AJ83*AS83)/AT83)),"")</f>
        <v/>
      </c>
      <c r="AV83" s="805" t="str">
        <f t="shared" si="88"/>
        <v/>
      </c>
      <c r="AW83" s="805" t="str">
        <f>IF(X83="DESL",'Fuel-Specific GHG'!$E$14,IF(X83="PROP",'Fuel-Specific GHG'!$E$19,IF(X83="GAS",'Fuel-Specific GHG'!$E$16,IF(X83="CNG",'Fuel-Specific GHG'!$E$13,IF(X83="LNG",'Fuel-Specific GHG'!$E$18,IF(X83="LPG",'Fuel-Specific GHG'!$E$19,IF(X83="ELEC",'Fuel-Specific GHG'!$E$15,"")))))))</f>
        <v/>
      </c>
      <c r="AX83" s="805" t="str">
        <f t="shared" si="89"/>
        <v/>
      </c>
      <c r="AY83" s="806" t="str">
        <f t="shared" si="90"/>
        <v/>
      </c>
      <c r="AZ83" s="806" t="str">
        <f t="shared" si="68"/>
        <v/>
      </c>
      <c r="BA83" s="806" t="str">
        <f t="shared" si="59"/>
        <v/>
      </c>
      <c r="BB83" s="804" t="str">
        <f t="shared" si="23"/>
        <v/>
      </c>
      <c r="BC83" s="807" t="str">
        <f t="shared" si="91"/>
        <v/>
      </c>
      <c r="BD83" s="807"/>
      <c r="BE83" s="808" t="str">
        <f t="shared" si="92"/>
        <v/>
      </c>
      <c r="BF83" s="809" t="str">
        <f t="shared" si="93"/>
        <v/>
      </c>
      <c r="BG83" s="808" t="str">
        <f t="shared" si="60"/>
        <v/>
      </c>
      <c r="BH83" s="810">
        <f t="shared" si="61"/>
        <v>0</v>
      </c>
      <c r="BI83" s="803" t="str">
        <f>IFERROR(VLOOKUP(BH83,'Pump Emission Factors'!$B$11:$J$88,4,FALSE),"")</f>
        <v/>
      </c>
      <c r="BJ83" s="803" t="str">
        <f>IFERROR(VLOOKUP(BH83,'Pump Emission Factors'!$B$11:$J$88,6,FALSE),"")</f>
        <v/>
      </c>
      <c r="BK83" s="803" t="str">
        <f>IFERROR(VLOOKUP(BH83,'Pump Emission Factors'!$B$11:$J$88,8,FALSE),"")</f>
        <v/>
      </c>
      <c r="BL83" s="803" t="str">
        <f>IFERROR(VLOOKUP(BH83,'Pump Emission Factors'!$B$11:$J$88,5,FALSE),"")</f>
        <v/>
      </c>
      <c r="BM83" s="803" t="str">
        <f>IFERROR(VLOOKUP(BH83,'Pump Emission Factors'!$B$11:$J$88,7,FALSE),"")</f>
        <v/>
      </c>
      <c r="BN83" s="803" t="str">
        <f>IFERROR(VLOOKUP(BH83,'Pump Emission Factors'!$B$11:$J$88,9,FALSE),"")</f>
        <v/>
      </c>
      <c r="BO83" s="811" t="str">
        <f t="shared" si="94"/>
        <v/>
      </c>
      <c r="BP83" s="811" t="str">
        <f t="shared" si="95"/>
        <v/>
      </c>
      <c r="BQ83" s="803">
        <f>IFERROR(((BI83+(BL83*BP83))*(IF(ISBLANK(R83),Defaults!$B$19,R83))*P83*T83)*F83*(1/454),0)</f>
        <v>0</v>
      </c>
      <c r="BR83" s="803">
        <f>IFERROR(((BJ83+(BM83*BP83))*(IF(ISBLANK(R83),Defaults!$B$19,R83))*P83*T83)*F83*(1/454),0)</f>
        <v>0</v>
      </c>
      <c r="BS83" s="803">
        <f>IFERROR(((BK83+(BN83*BP83))*(IF(ISBLANK(R83),Defaults!$B$19,R83))*P83*T83)*F83*(1/454),0)</f>
        <v>0</v>
      </c>
      <c r="BT83" s="803">
        <f t="shared" si="96"/>
        <v>0</v>
      </c>
      <c r="BU83" s="803">
        <f t="shared" si="97"/>
        <v>0</v>
      </c>
      <c r="BV83" s="812" t="str">
        <f t="shared" si="98"/>
        <v/>
      </c>
      <c r="BW83" s="808" t="str">
        <f t="shared" si="99"/>
        <v/>
      </c>
      <c r="BX83" s="809" t="str">
        <f t="shared" si="32"/>
        <v/>
      </c>
      <c r="BY83" s="808" t="str">
        <f t="shared" si="63"/>
        <v/>
      </c>
      <c r="BZ83" s="810">
        <f t="shared" si="64"/>
        <v>0</v>
      </c>
      <c r="CA83" s="813" t="str">
        <f>IFERROR(VLOOKUP(BZ83,'Pump Emission Factors'!$B$11:$J$88,4,FALSE),"")</f>
        <v/>
      </c>
      <c r="CB83" s="813" t="str">
        <f>IFERROR(VLOOKUP(BZ83,'Pump Emission Factors'!$B$11:$J$88,6,FALSE),"")</f>
        <v/>
      </c>
      <c r="CC83" s="813" t="str">
        <f>IFERROR(VLOOKUP(BZ83,'Pump Emission Factors'!$B$11:$J$88,8,FALSE),"")</f>
        <v/>
      </c>
      <c r="CD83" s="813" t="str">
        <f>IFERROR(VLOOKUP(BZ83,'Pump Emission Factors'!$B$11:$J$88,5,FALSE),"")</f>
        <v/>
      </c>
      <c r="CE83" s="813" t="str">
        <f>IFERROR(VLOOKUP(BZ83,'Pump Emission Factors'!$B$11:$J$88,7,FALSE),"")</f>
        <v/>
      </c>
      <c r="CF83" s="813" t="str">
        <f>IFERROR(VLOOKUP(BZ83,'Pump Emission Factors'!$B$11:$J$88,9,FALSE),"")</f>
        <v/>
      </c>
      <c r="CG83" s="814" t="str">
        <f t="shared" si="100"/>
        <v/>
      </c>
      <c r="CH83" s="814" t="str">
        <f t="shared" si="101"/>
        <v/>
      </c>
      <c r="CI83" s="813">
        <f>IFERROR(IF($X83="ELEC",((($AU83*(IF($H83="DESL",'Fuel-Specific GHG'!$C$14,IF($H83="GAS",'Fuel-Specific GHG'!$C$16,IF($H83="CNG",'Fuel-Specific GHG'!$C$13,IF(OR($H83="LPG",$H83="PROP"),'Fuel-Specific GHG'!$C$19,"")))))*(1/'Fuel-Specific GHG'!$C$15)*(1/3.4)*$F83)*'Grid Electricity'!$D$39)/454),((CA83+(CD83*CH83))*(IF(ISBLANK(AH83),Defaults!$B$19,AH83))*$AF83*$AJ83*$F83)),0)</f>
        <v>0</v>
      </c>
      <c r="CJ83" s="813">
        <f>IFERROR(IF($X83="ELEC",((($AU83*(IF($H83="DESL",'Fuel-Specific GHG'!$C$14,IF($H83="GAS",'Fuel-Specific GHG'!$C$16,IF($H83="CNG",'Fuel-Specific GHG'!$C$13,IF(OR($H83="LPG",$H83="PROP"),'Fuel-Specific GHG'!$C$19,"")))))*(1/'Fuel-Specific GHG'!$C$15)*(1/3.4)*$F83)*'Grid Electricity'!$C$39)/454),((CB83+(CE83*CH83))*(IF(ISBLANK(AH83),Defaults!$B$19,AH83))*$AF83*$AJ83*$F83)),0)</f>
        <v>0</v>
      </c>
      <c r="CK83" s="813">
        <f>IFERROR(IF($X83="ELEC",((($AU83*(IF($H83="DESL",'Fuel-Specific GHG'!$C$14,IF($H83="GAS",'Fuel-Specific GHG'!$C$16,IF($H83="CNG",'Fuel-Specific GHG'!$C$13,IF(OR($H83="LPG",$H83="PROP"),'Fuel-Specific GHG'!$C$19,"")))))*(1/'Fuel-Specific GHG'!$C$15)*(1/3.4)*$F83)*'Grid Electricity'!$F$39)/454),((CC83+(CF83*CH83))*(IF(ISBLANK(AH83),Defaults!$B$19,AH83))*$AF83*$AJ83*$F83)),0)</f>
        <v>0</v>
      </c>
      <c r="CL83" s="813">
        <f t="shared" si="102"/>
        <v>0</v>
      </c>
      <c r="CM83" s="813">
        <f t="shared" si="103"/>
        <v>0</v>
      </c>
      <c r="CN83" s="814" t="str">
        <f t="shared" si="104"/>
        <v/>
      </c>
      <c r="CO83" s="814" t="str">
        <f t="shared" si="105"/>
        <v/>
      </c>
      <c r="CP83" s="814" t="str">
        <f t="shared" si="106"/>
        <v/>
      </c>
      <c r="CQ83" s="814" t="str">
        <f t="shared" si="107"/>
        <v/>
      </c>
      <c r="CR83" s="815" t="str">
        <f>IF(AND(V83="Yes, Booster Pump VFD",AF83&lt;=75),('Pump Emission Factors'!$F$95*F83),(IF(AND(V83="Yes, Booster Pump VFD",AF83&gt;75),('Pump Emission Factors'!$F$96*F83),(IF(AND(V83="Yes, Well Pump VFD",AF83&lt;=75),('Pump Emission Factors'!$F$97*F83),(IF(AND(V83="Yes, Well Pump VFD",AF83&gt;75),('Pump Emission Factors'!$F$98*F83),"")))))))</f>
        <v/>
      </c>
      <c r="CS83" s="815" t="str">
        <f>IF(AND(V83="Yes, Booster Pump VFD",AF83&lt;=75),('Pump Emission Factors'!$G$95*F83),(IF(AND(V83="Yes, Booster Pump VFD",AF83&gt;75),('Pump Emission Factors'!$G$96*F83),(IF(AND(V83="Yes, Well Pump VFD",AF83&lt;=75),('Pump Emission Factors'!$G$97*F83),(IF(AND(V83="Yes, Well Pump VFD",AF83&gt;75),('Pump Emission Factors'!$G$98*F83),"")))))))</f>
        <v/>
      </c>
      <c r="CT83" s="815" t="str">
        <f>IF(AND(V83="Yes, Booster Pump VFD",AF83&lt;=75),('Pump Emission Factors'!$H$95*F83),(IF(AND(V83="Yes, Booster Pump VFD",AF83&gt;75),('Pump Emission Factors'!$H$96*F83),(IF(AND(V83="Yes, Well Pump VFD",AF83&lt;=75),('Pump Emission Factors'!$H$97*F83),(IF(AND(V83="Yes, Well Pump VFD",AF83&gt;75),('Pump Emission Factors'!$H$98*F83),"")))))))</f>
        <v/>
      </c>
      <c r="CU83" s="815" t="str">
        <f>IF(AND(V83="Yes, Booster Pump VFD",AF83&lt;=75),('Pump Emission Factors'!$J$95*F83),(IF(AND(V83="Yes, Booster Pump VFD",AF83&gt;75),('Pump Emission Factors'!$J$96*F83),(IF(AND(V83="Yes, Well Pump VFD",AF83&lt;=75),('Pump Emission Factors'!$J$97*F83),(IF(AND(V83="Yes, Well Pump VFD",AF83&gt;75),('Pump Emission Factors'!$J$98*F83),"")))))))</f>
        <v/>
      </c>
      <c r="CV83" s="815" t="str">
        <f>IF(AND(V83="Yes, Booster Pump VFD",AF83&lt;=75),('Pump Emission Factors'!$I$95*F83),(IF(AND(V83="Yes, Booster Pump VFD",AF83&gt;75),('Pump Emission Factors'!$I$96*F83),(IF(AND(V83="Yes, Well Pump VFD",AF83&lt;=75),('Pump Emission Factors'!$I$97*F83),(IF(AND(V83="Yes, Well Pump VFD",AF83&gt;75),('Pump Emission Factors'!$I$98*F83),"")))))))</f>
        <v/>
      </c>
      <c r="CW83" s="806">
        <f t="shared" si="108"/>
        <v>0</v>
      </c>
      <c r="CX83" s="806">
        <f t="shared" si="109"/>
        <v>0</v>
      </c>
      <c r="CY83" s="806">
        <f t="shared" si="110"/>
        <v>0</v>
      </c>
      <c r="CZ83" s="806">
        <f t="shared" si="111"/>
        <v>0</v>
      </c>
      <c r="DA83" s="806">
        <f t="shared" si="112"/>
        <v>0</v>
      </c>
      <c r="DB83" s="816" t="str">
        <f t="shared" si="65"/>
        <v/>
      </c>
      <c r="DC83" s="816" t="str">
        <f t="shared" si="65"/>
        <v/>
      </c>
      <c r="DD83" s="816" t="str">
        <f t="shared" si="65"/>
        <v/>
      </c>
      <c r="DE83" s="817" t="str">
        <f t="shared" si="113"/>
        <v/>
      </c>
      <c r="DF83" s="817" t="str">
        <f t="shared" si="114"/>
        <v/>
      </c>
      <c r="DG83" s="804" t="str">
        <f t="shared" si="115"/>
        <v/>
      </c>
      <c r="DH83" s="804" t="str">
        <f t="shared" si="116"/>
        <v/>
      </c>
      <c r="DI83" s="818" t="str">
        <f>IF(AO83="","",IF(H83="DESL",AO83*F83*'Fuel Prices'!$C$12,IF(H83="GAS",AO83*F83*'Fuel Prices'!$C$11,IF(H83="CNG",AO83*F83*'Fuel Prices'!$C$13,IF(H83="LNG",AO83*F83*'Fuel Prices'!$C$14,IF(H83="LPG",AO83*F83*'Fuel Prices'!$C$16,IF(H83="PROP",AO83*F83*'Fuel Prices'!$C$16,"0")))))))</f>
        <v/>
      </c>
      <c r="DJ83" s="818" t="str">
        <f>IF(AU83="","",IF(X83="DESL",AU83*F83*'Fuel Prices'!$C$12,IF(X83="GAS",AU83*F83*'Fuel Prices'!$C$11,IF(X83="CNG",AU83*F83*'Fuel Prices'!$C$13,IF(X83="LNG",AU83*F83*'Fuel Prices'!$C$14,IF(X83="LPG",AU83*F83*'Fuel Prices'!$C$16,IF(X83="PROP",AU83*F83*'Fuel Prices'!$C$16,IF(X83="ELEC",AU83*F83*'Fuel Prices'!$C$35,"0"))))))))</f>
        <v/>
      </c>
      <c r="DK83" s="818" t="str">
        <f t="shared" si="117"/>
        <v/>
      </c>
      <c r="DL83" s="818" t="str">
        <f t="shared" si="118"/>
        <v/>
      </c>
      <c r="DM83" s="804" t="str">
        <f t="shared" si="119"/>
        <v/>
      </c>
      <c r="DN83" s="804" t="str">
        <f t="shared" si="120"/>
        <v/>
      </c>
      <c r="DO83" s="804" t="str">
        <f>IFERROR(ROUND(CZ83*IF(COUNTIF($B$20:B83,B83)=1,1,"")/IF(B83="",0,1),0),"")</f>
        <v/>
      </c>
      <c r="DP83" s="804" t="str">
        <f>IFERROR(ROUND(CW83*IF(COUNTIF($B$20:B83,B83)=1,1,"")/IF(B83="",0,1),0),"")</f>
        <v/>
      </c>
      <c r="DQ83" s="804" t="str">
        <f>IFERROR(ROUND(DA83*IF(COUNTIF($B$20:B83,B83)=1,1,"")/IF(B83="",0,1),0),"")</f>
        <v/>
      </c>
      <c r="DR83" s="804" t="str">
        <f>IFERROR(ROUND(CX83*IF(COUNTIF($B$20:B83,B83)=1,1,"")/IF(B83="",0,1),0),"")</f>
        <v/>
      </c>
      <c r="DS83" s="804">
        <f t="shared" si="121"/>
        <v>0</v>
      </c>
      <c r="DT83" s="804">
        <f t="shared" si="122"/>
        <v>0</v>
      </c>
      <c r="DU83" s="804">
        <f t="shared" si="123"/>
        <v>0</v>
      </c>
      <c r="DV83" s="818" t="str">
        <f t="shared" si="66"/>
        <v/>
      </c>
      <c r="DW83" s="819" t="str">
        <f t="shared" si="67"/>
        <v/>
      </c>
    </row>
    <row r="84" spans="1:127" ht="18" customHeight="1" x14ac:dyDescent="0.35">
      <c r="A84" s="635"/>
      <c r="B84" s="820"/>
      <c r="C84" s="825" t="str">
        <f t="shared" ref="C84:E103" si="124">IF(ISBLANK(B84),"(Required)","")</f>
        <v>(Required)</v>
      </c>
      <c r="D84" s="821"/>
      <c r="E84" s="825" t="str">
        <f t="shared" si="124"/>
        <v>(Required)</v>
      </c>
      <c r="F84" s="821"/>
      <c r="G84" s="825" t="str">
        <f t="shared" ref="G84:G103" si="125">IF(ISBLANK(F84),"(Required)","")</f>
        <v>(Required)</v>
      </c>
      <c r="H84" s="822"/>
      <c r="I84" s="825" t="str">
        <f t="shared" ref="I84:I103" si="126">IF(ISBLANK(H84),"(Required)","")</f>
        <v>(Required)</v>
      </c>
      <c r="J84" s="821"/>
      <c r="K84" s="825" t="str">
        <f t="shared" ref="K84:K103" si="127">IF(ISBLANK(J84),"(Required)","")</f>
        <v>(Required)</v>
      </c>
      <c r="L84" s="821"/>
      <c r="M84" s="825" t="str">
        <f t="shared" ref="M84:M103" si="128">IF(ISBLANK(L84),"(Required)","")</f>
        <v>(Required)</v>
      </c>
      <c r="N84" s="821"/>
      <c r="O84" s="825" t="str">
        <f t="shared" ref="O84:O103" si="129">IF(ISBLANK(N84),"(Required)","")</f>
        <v>(Required)</v>
      </c>
      <c r="P84" s="821"/>
      <c r="Q84" s="825" t="str">
        <f t="shared" ref="Q84:Q103" si="130">IF(ISBLANK(P84),"(Required)","")</f>
        <v>(Required)</v>
      </c>
      <c r="R84" s="823"/>
      <c r="S84" s="826" t="str">
        <f t="shared" ref="S84:S103" si="131">IF(ISBLANK(R84),"(Optional)","")</f>
        <v>(Optional)</v>
      </c>
      <c r="T84" s="821"/>
      <c r="U84" s="827" t="str">
        <f t="shared" ref="U84:U103" si="132">IF(ISBLANK(T84),"(Required)","")</f>
        <v>(Required)</v>
      </c>
      <c r="V84" s="828"/>
      <c r="W84" s="799" t="str">
        <f t="shared" ref="W84:W103" si="133">IF(ISBLANK(V84),"(Optional)","")</f>
        <v>(Optional)</v>
      </c>
      <c r="X84" s="822"/>
      <c r="Y84" s="825" t="str">
        <f t="shared" ref="Y84:Y103" si="134">IF(ISBLANK(X84),"(Required)","")</f>
        <v>(Required)</v>
      </c>
      <c r="Z84" s="821"/>
      <c r="AA84" s="825" t="str">
        <f t="shared" ref="AA84:AA103" si="135">IF(ISBLANK(Z84),"(Required)","")</f>
        <v>(Required)</v>
      </c>
      <c r="AB84" s="821"/>
      <c r="AC84" s="825" t="str">
        <f t="shared" ref="AC84:AC103" si="136">IF(ISBLANK(AB84),"(Required)","")</f>
        <v>(Required)</v>
      </c>
      <c r="AD84" s="821"/>
      <c r="AE84" s="825" t="str">
        <f t="shared" ref="AE84:AE103" si="137">IF(ISBLANK(AD84),"(Required)","")</f>
        <v>(Required)</v>
      </c>
      <c r="AF84" s="821"/>
      <c r="AG84" s="825" t="str">
        <f t="shared" ref="AG84:AG103" si="138">IF(ISBLANK(AF84),"(Required)","")</f>
        <v>(Required)</v>
      </c>
      <c r="AH84" s="823"/>
      <c r="AI84" s="826" t="str">
        <f t="shared" ref="AI84:AI103" si="139">IF(ISBLANK(AH84),"(Optional)","")</f>
        <v>(Optional)</v>
      </c>
      <c r="AJ84" s="821"/>
      <c r="AK84" s="825" t="str">
        <f t="shared" ref="AK84:AK103" si="140">IF(ISBLANK(AJ84),"(Required)","")</f>
        <v>(Required)</v>
      </c>
      <c r="AL84" s="803" t="str">
        <f t="shared" ref="AL84:AL103" si="141">IF(P84="","",IF(AND(H84="DESL",P84&gt;100),"0.367",IF(AND(H84="DESL",P84&lt;=100),"0.408",IF(H84="CNG","0.507",IF(H84="LPG","0.507",IF(AND(H84="PROP",P84&gt;100),"0.367",IF(AND(H84="PROP",P84&lt;=100),"0.408",IF(H84="LNG","0.507",IF(H84="GAS","0.605")))))))))</f>
        <v/>
      </c>
      <c r="AM84" s="803" t="str">
        <f>IF(H84="DESL",'Fuel Density'!$C$12,IF(H84="GAS",'Fuel Density'!$C$11,IF(H84="CNG",'Fuel Density'!$C$13,IF(H84="LNG",'Fuel Density'!$C$14,IF(H84="LPG",'Fuel Density'!$C$15,IF(H84="PROP",'Fuel Density'!$C$16,IF(H84="","","")))))))</f>
        <v/>
      </c>
      <c r="AN84" s="803" t="str">
        <f>IF(H84="DESL",'Fuel-Specific GHG'!$C$14,IF(H84="GAS",'Fuel-Specific GHG'!$C$16,IF(H84="CNG",'Fuel-Specific GHG'!$C$13,IF(H84="LNG",'Fuel-Specific GHG'!$C$18,IF(OR(H84="LPG",H84="PROP"),'Fuel-Specific GHG'!$C$19,IF(H84="","",""))))))</f>
        <v/>
      </c>
      <c r="AO84" s="804" t="str">
        <f>IFERROR(((P84*(IF(ISBLANK(R84),Defaults!$B$19,R84))*T84*AL84)/AM84),"")</f>
        <v/>
      </c>
      <c r="AP84" s="805" t="str">
        <f t="shared" ref="AP84:AP103" si="142">IF(H84="CNG","scf/year",IF(H84="Electric","kWh/year",IF(H84="Hydrogen","kg/year",IF(H84="","","gallons/year"))))</f>
        <v/>
      </c>
      <c r="AQ84" s="805" t="str">
        <f>IF(H84="DESL",'Fuel-Specific GHG'!$E$14,IF(H84="GAS",'Fuel-Specific GHG'!$E$16,IF(H84="CNG",'Fuel-Specific GHG'!$E$13,IF(H84="LNG",'Fuel-Specific GHG'!$E$18,IF(OR(H84="LPG",H84="PROP"),'Fuel-Specific GHG'!$E$19,"")))))</f>
        <v/>
      </c>
      <c r="AR84" s="805" t="str">
        <f t="shared" ref="AR84:AR103" si="143">IF(H84="CNG","gCO2e/scf",IF(H84="","","gCO2e/gallon"))</f>
        <v/>
      </c>
      <c r="AS84" s="803" t="str">
        <f t="shared" si="58"/>
        <v/>
      </c>
      <c r="AT84" s="803" t="str">
        <f>IF(X84="DESL",'Fuel Density'!$C$12,IF(X84="PROP",'Fuel Density'!$C$16,IF(X84="GAS",'Fuel Density'!$C$11,IF(X84="CNG",'Fuel Density'!$C$13,IF(X84="LNG",'Fuel Density'!$C$14,IF(X84="LPG",'Fuel Density'!$C$15,IF(X84="","","")))))))</f>
        <v/>
      </c>
      <c r="AU84" s="804" t="str">
        <f>IFERROR(IF(X84="ELEC",AO84*AN84*(1/'Fuel-Specific GHG'!$C$15)*(1/IF(H84="GAS",3.4,IF(H84="DESL",2.7,3))),((AF84*(IF(ISBLANK(AH84),Defaults!$B$19,AH84))*AJ84*AS84)/AT84)),"")</f>
        <v/>
      </c>
      <c r="AV84" s="805" t="str">
        <f t="shared" ref="AV84:AV103" si="144">IF(X84="CNG","scf/year",IF(X84="ELEC","kWh/year",IF(X84="","","gallons/year")))</f>
        <v/>
      </c>
      <c r="AW84" s="805" t="str">
        <f>IF(X84="DESL",'Fuel-Specific GHG'!$E$14,IF(X84="PROP",'Fuel-Specific GHG'!$E$19,IF(X84="GAS",'Fuel-Specific GHG'!$E$16,IF(X84="CNG",'Fuel-Specific GHG'!$E$13,IF(X84="LNG",'Fuel-Specific GHG'!$E$18,IF(X84="LPG",'Fuel-Specific GHG'!$E$19,IF(X84="ELEC",'Fuel-Specific GHG'!$E$15,"")))))))</f>
        <v/>
      </c>
      <c r="AX84" s="805" t="str">
        <f t="shared" ref="AX84:AX103" si="145">IF(X84="CNG","gCO2e/scf",IF(X84="ELEC","gCO2e/kWh",IF(X84="","","gCO2e/gallon")))</f>
        <v/>
      </c>
      <c r="AY84" s="806" t="str">
        <f t="shared" ref="AY84:AY103" si="146">IFERROR((AO84*AQ84)/1000000,"")</f>
        <v/>
      </c>
      <c r="AZ84" s="806" t="str">
        <f t="shared" si="68"/>
        <v/>
      </c>
      <c r="BA84" s="806" t="str">
        <f t="shared" si="59"/>
        <v/>
      </c>
      <c r="BB84" s="804" t="str">
        <f t="shared" ref="BB84:BB103" si="147">IFERROR(SUM((BA84*F84),CR84),"")</f>
        <v/>
      </c>
      <c r="BC84" s="807" t="str">
        <f t="shared" ref="BC84:BC103" si="148">IF(AND(H84="",X84=""),"",IF(H84="DESL",0.92, IF(X84="DESL",0.92,0.76)))</f>
        <v/>
      </c>
      <c r="BD84" s="807"/>
      <c r="BE84" s="808" t="str">
        <f t="shared" ref="BE84:BE103" si="149">IF(ISBLANK(H84),"",IF(AND(H84="DESL",L84="Uncontrolled"),"1",(IF(AND(H84="DESL",L84="Controlled"),"2",(IF(H84="GAS","3","4"))))))</f>
        <v/>
      </c>
      <c r="BF84" s="809" t="str">
        <f t="shared" ref="BF84:BF103" si="150">IF(AND(BE84="1",P84&gt;=25,P84&lt;=49),"1",(IF(AND(BE84="1",P84&gt;=50,P84&lt;=119),"2",(IF(AND(BE84="1",P84&lt;=120),"3",(IF(AND(BE84="2",P84&gt;=25,P84&lt;=49),"1",(IF(AND(BE84="2",P84&gt;=50,P84&lt;=74),"2",(IF(AND(BE84="2",P84&gt;=75,P84&lt;=99),"3",(IF(AND(BE84="2",P84&gt;=100,P84&lt;=174),"4",(IF(AND(BE84="2",P84&gt;=175,P84&lt;=299),"5",(IF(AND(BE84="2",P84&gt;=300,P84&lt;=750),"6",(IF(AND(BE84="2",P84&gt;=751),"7",(IF(AND(OR(BE84="3",BE84="4"),P84&gt;=25,P84&lt;=50),"1",(IF(AND(OR(BE84="3",BE84="4"),P84&gt;=51,P84&lt;=120),"2",(IF(AND(OR(BE84="3",BE84="4"),P84&gt;=121),"3","")))))))))))))))))))))))))</f>
        <v/>
      </c>
      <c r="BG84" s="808" t="str">
        <f t="shared" si="60"/>
        <v/>
      </c>
      <c r="BH84" s="810">
        <f t="shared" si="61"/>
        <v>0</v>
      </c>
      <c r="BI84" s="803" t="str">
        <f>IFERROR(VLOOKUP(BH84,'Pump Emission Factors'!$B$11:$J$88,4,FALSE),"")</f>
        <v/>
      </c>
      <c r="BJ84" s="803" t="str">
        <f>IFERROR(VLOOKUP(BH84,'Pump Emission Factors'!$B$11:$J$88,6,FALSE),"")</f>
        <v/>
      </c>
      <c r="BK84" s="803" t="str">
        <f>IFERROR(VLOOKUP(BH84,'Pump Emission Factors'!$B$11:$J$88,8,FALSE),"")</f>
        <v/>
      </c>
      <c r="BL84" s="803" t="str">
        <f>IFERROR(VLOOKUP(BH84,'Pump Emission Factors'!$B$11:$J$88,5,FALSE),"")</f>
        <v/>
      </c>
      <c r="BM84" s="803" t="str">
        <f>IFERROR(VLOOKUP(BH84,'Pump Emission Factors'!$B$11:$J$88,7,FALSE),"")</f>
        <v/>
      </c>
      <c r="BN84" s="803" t="str">
        <f>IFERROR(VLOOKUP(BH84,'Pump Emission Factors'!$B$11:$J$88,9,FALSE),"")</f>
        <v/>
      </c>
      <c r="BO84" s="811" t="str">
        <f t="shared" ref="BO84:BO103" si="151">IF(ISBLANK(F84),"",(D84-J84+(F84/2)))</f>
        <v/>
      </c>
      <c r="BP84" s="811" t="str">
        <f t="shared" ref="BP84:BP103" si="152">IFERROR(T84*BO84,"")</f>
        <v/>
      </c>
      <c r="BQ84" s="803">
        <f>IFERROR(((BI84+(BL84*BP84))*(IF(ISBLANK(R84),Defaults!$B$19,R84))*P84*T84)*F84*(1/454),0)</f>
        <v>0</v>
      </c>
      <c r="BR84" s="803">
        <f>IFERROR(((BJ84+(BM84*BP84))*(IF(ISBLANK(R84),Defaults!$B$19,R84))*P84*T84)*F84*(1/454),0)</f>
        <v>0</v>
      </c>
      <c r="BS84" s="803">
        <f>IFERROR(((BK84+(BN84*BP84))*(IF(ISBLANK(R84),Defaults!$B$19,R84))*P84*T84)*F84*(1/454),0)</f>
        <v>0</v>
      </c>
      <c r="BT84" s="803">
        <f t="shared" ref="BT84:BT103" si="153">IF(BS84="","",IF(H84="DESL",BS84,0))</f>
        <v>0</v>
      </c>
      <c r="BU84" s="803">
        <f t="shared" ref="BU84:BU103" si="154">IF(BS84=0,0,BS84*BC84)</f>
        <v>0</v>
      </c>
      <c r="BV84" s="812" t="str">
        <f t="shared" ref="BV84:BV103" si="155">IF(AND(Z84&gt;=1970,Z84&lt;=1979),"1970-1979",IF(AND(Z84&gt;=1980,Z84&lt;=1987),"1980-1987",IF(AND(Z84&gt;=1988,Z84&lt;=2000),"1988-2000",IF(AND(Z84&gt;=2001,Z84&lt;=2006),"2001-2006",IF(AND(Z84&gt;=2007,Z84&lt;=2009),"2007-2009",IF(Z84&gt;=2010,"2010+",""))))))</f>
        <v/>
      </c>
      <c r="BW84" s="808" t="str">
        <f t="shared" ref="BW84:BW103" si="156">IF(ISBLANK(X84),"",IF(AND(X84="DESL",AB84="Uncontrolled"),"1",(IF(AND(X84="DESL",AB84="Controlled"),"2",(IF(X84="GAS","3","4"))))))</f>
        <v/>
      </c>
      <c r="BX84" s="809" t="str">
        <f t="shared" ref="BX84:BX103" si="157">IF(AND(BW84="1",AF84&gt;=25,AF84&lt;=49),"1",(IF(AND(BW84="1",AF84&gt;=50,AF84&lt;=119),"2",(IF(AND(BW84="1",AF84&lt;=120),"3",(IF(AND(BW84="2",AF84&gt;=25,AF84&lt;=49),"1",(IF(AND(BW84="2",AF84&gt;=50,AF84&lt;=74),"2",(IF(AND(BW84="2",AF84&gt;=75,AF84&lt;=99),"3",(IF(AND(BW84="2",AF84&gt;=100,AF84&lt;=174),"4",(IF(AND(BW84="2",AF84&gt;=175,AF84&lt;=299),"5",(IF(AND(BW84="2",AF84&gt;=300,AF84&lt;=750),"6",(IF(AND(BW84="2",AF84&gt;=751),"7",(IF(AND(OR(BW84="3",BW84="4"),AF84&gt;=25,AF84&lt;=50),"1",(IF(AND(OR(BW84="3",BW84="4"),AF84&gt;=51,AF84&lt;=120),"2",(IF(AND(OR(BW84="3",BW84="4"),AF84&gt;=121),"3","")))))))))))))))))))))))))</f>
        <v/>
      </c>
      <c r="BY84" s="808" t="str">
        <f t="shared" si="63"/>
        <v/>
      </c>
      <c r="BZ84" s="810">
        <f t="shared" si="64"/>
        <v>0</v>
      </c>
      <c r="CA84" s="813" t="str">
        <f>IFERROR(VLOOKUP(BZ84,'Pump Emission Factors'!$B$11:$J$88,4,FALSE),"")</f>
        <v/>
      </c>
      <c r="CB84" s="813" t="str">
        <f>IFERROR(VLOOKUP(BZ84,'Pump Emission Factors'!$B$11:$J$88,6,FALSE),"")</f>
        <v/>
      </c>
      <c r="CC84" s="813" t="str">
        <f>IFERROR(VLOOKUP(BZ84,'Pump Emission Factors'!$B$11:$J$88,8,FALSE),"")</f>
        <v/>
      </c>
      <c r="CD84" s="813" t="str">
        <f>IFERROR(VLOOKUP(BZ84,'Pump Emission Factors'!$B$11:$J$88,5,FALSE),"")</f>
        <v/>
      </c>
      <c r="CE84" s="813" t="str">
        <f>IFERROR(VLOOKUP(BZ84,'Pump Emission Factors'!$B$11:$J$88,7,FALSE),"")</f>
        <v/>
      </c>
      <c r="CF84" s="813" t="str">
        <f>IFERROR(VLOOKUP(BZ84,'Pump Emission Factors'!$B$11:$J$88,9,FALSE),"")</f>
        <v/>
      </c>
      <c r="CG84" s="814" t="str">
        <f t="shared" ref="CG84:CG103" si="158">IF(ISBLANK(F84),"",(F84/2))</f>
        <v/>
      </c>
      <c r="CH84" s="814" t="str">
        <f t="shared" ref="CH84:CH103" si="159">IFERROR(AJ84*CG84,"")</f>
        <v/>
      </c>
      <c r="CI84" s="813">
        <f>IFERROR(IF($X84="ELEC",((($AU84*(IF($H84="DESL",'Fuel-Specific GHG'!$C$14,IF($H84="GAS",'Fuel-Specific GHG'!$C$16,IF($H84="CNG",'Fuel-Specific GHG'!$C$13,IF(OR($H84="LPG",$H84="PROP"),'Fuel-Specific GHG'!$C$19,"")))))*(1/'Fuel-Specific GHG'!$C$15)*(1/3.4)*$F84)*'Grid Electricity'!$D$39)/454),((CA84+(CD84*CH84))*(IF(ISBLANK(AH84),Defaults!$B$19,AH84))*$AF84*$AJ84*$F84)),0)</f>
        <v>0</v>
      </c>
      <c r="CJ84" s="813">
        <f>IFERROR(IF($X84="ELEC",((($AU84*(IF($H84="DESL",'Fuel-Specific GHG'!$C$14,IF($H84="GAS",'Fuel-Specific GHG'!$C$16,IF($H84="CNG",'Fuel-Specific GHG'!$C$13,IF(OR($H84="LPG",$H84="PROP"),'Fuel-Specific GHG'!$C$19,"")))))*(1/'Fuel-Specific GHG'!$C$15)*(1/3.4)*$F84)*'Grid Electricity'!$C$39)/454),((CB84+(CE84*CH84))*(IF(ISBLANK(AH84),Defaults!$B$19,AH84))*$AF84*$AJ84*$F84)),0)</f>
        <v>0</v>
      </c>
      <c r="CK84" s="813">
        <f>IFERROR(IF($X84="ELEC",((($AU84*(IF($H84="DESL",'Fuel-Specific GHG'!$C$14,IF($H84="GAS",'Fuel-Specific GHG'!$C$16,IF($H84="CNG",'Fuel-Specific GHG'!$C$13,IF(OR($H84="LPG",$H84="PROP"),'Fuel-Specific GHG'!$C$19,"")))))*(1/'Fuel-Specific GHG'!$C$15)*(1/3.4)*$F84)*'Grid Electricity'!$F$39)/454),((CC84+(CF84*CH84))*(IF(ISBLANK(AH84),Defaults!$B$19,AH84))*$AF84*$AJ84*$F84)),0)</f>
        <v>0</v>
      </c>
      <c r="CL84" s="813">
        <f t="shared" ref="CL84:CL103" si="160">IF(CK84="","",IF(X84="DESL",CK84,0))</f>
        <v>0</v>
      </c>
      <c r="CM84" s="813">
        <f t="shared" ref="CM84:CM103" si="161">IF(CK84=0,0,CK84*BC84)</f>
        <v>0</v>
      </c>
      <c r="CN84" s="814" t="str">
        <f t="shared" ref="CN84:CN103" si="162">IFERROR(IF($X84="ELEC",CI84,""),"")</f>
        <v/>
      </c>
      <c r="CO84" s="814" t="str">
        <f t="shared" ref="CO84:CO103" si="163">IFERROR(IF($X84="ELEC",CJ84,""),"")</f>
        <v/>
      </c>
      <c r="CP84" s="814" t="str">
        <f t="shared" ref="CP84:CP103" si="164">IFERROR(IF($X84="ELEC",CK84,""),"")</f>
        <v/>
      </c>
      <c r="CQ84" s="814" t="str">
        <f t="shared" ref="CQ84:CQ103" si="165">IFERROR(IF($X84="ELEC",CM84,""),"")</f>
        <v/>
      </c>
      <c r="CR84" s="815" t="str">
        <f>IF(AND(V84="Yes, Booster Pump VFD",AF84&lt;=75),('Pump Emission Factors'!$F$95*F84),(IF(AND(V84="Yes, Booster Pump VFD",AF84&gt;75),('Pump Emission Factors'!$F$96*F84),(IF(AND(V84="Yes, Well Pump VFD",AF84&lt;=75),('Pump Emission Factors'!$F$97*F84),(IF(AND(V84="Yes, Well Pump VFD",AF84&gt;75),('Pump Emission Factors'!$F$98*F84),"")))))))</f>
        <v/>
      </c>
      <c r="CS84" s="815" t="str">
        <f>IF(AND(V84="Yes, Booster Pump VFD",AF84&lt;=75),('Pump Emission Factors'!$G$95*F84),(IF(AND(V84="Yes, Booster Pump VFD",AF84&gt;75),('Pump Emission Factors'!$G$96*F84),(IF(AND(V84="Yes, Well Pump VFD",AF84&lt;=75),('Pump Emission Factors'!$G$97*F84),(IF(AND(V84="Yes, Well Pump VFD",AF84&gt;75),('Pump Emission Factors'!$G$98*F84),"")))))))</f>
        <v/>
      </c>
      <c r="CT84" s="815" t="str">
        <f>IF(AND(V84="Yes, Booster Pump VFD",AF84&lt;=75),('Pump Emission Factors'!$H$95*F84),(IF(AND(V84="Yes, Booster Pump VFD",AF84&gt;75),('Pump Emission Factors'!$H$96*F84),(IF(AND(V84="Yes, Well Pump VFD",AF84&lt;=75),('Pump Emission Factors'!$H$97*F84),(IF(AND(V84="Yes, Well Pump VFD",AF84&gt;75),('Pump Emission Factors'!$H$98*F84),"")))))))</f>
        <v/>
      </c>
      <c r="CU84" s="815" t="str">
        <f>IF(AND(V84="Yes, Booster Pump VFD",AF84&lt;=75),('Pump Emission Factors'!$J$95*F84),(IF(AND(V84="Yes, Booster Pump VFD",AF84&gt;75),('Pump Emission Factors'!$J$96*F84),(IF(AND(V84="Yes, Well Pump VFD",AF84&lt;=75),('Pump Emission Factors'!$J$97*F84),(IF(AND(V84="Yes, Well Pump VFD",AF84&gt;75),('Pump Emission Factors'!$J$98*F84),"")))))))</f>
        <v/>
      </c>
      <c r="CV84" s="815" t="str">
        <f>IF(AND(V84="Yes, Booster Pump VFD",AF84&lt;=75),('Pump Emission Factors'!$I$95*F84),(IF(AND(V84="Yes, Booster Pump VFD",AF84&gt;75),('Pump Emission Factors'!$I$96*F84),(IF(AND(V84="Yes, Well Pump VFD",AF84&lt;=75),('Pump Emission Factors'!$I$97*F84),(IF(AND(V84="Yes, Well Pump VFD",AF84&gt;75),('Pump Emission Factors'!$I$98*F84),"")))))))</f>
        <v/>
      </c>
      <c r="CW84" s="806">
        <f t="shared" ref="CW84:CW103" si="166">IFERROR(SUM((BQ84-CI84),CS84),"")</f>
        <v>0</v>
      </c>
      <c r="CX84" s="806">
        <f t="shared" ref="CX84:CX103" si="167">IFERROR(SUM((BR84-CJ84),CT84),"")</f>
        <v>0</v>
      </c>
      <c r="CY84" s="806">
        <f t="shared" ref="CY84:CY103" si="168">IFERROR(SUM((BS84-CK84),CU84),"")</f>
        <v>0</v>
      </c>
      <c r="CZ84" s="806">
        <f t="shared" ref="CZ84:CZ103" si="169">IFERROR(BT84-CL84,"")</f>
        <v>0</v>
      </c>
      <c r="DA84" s="806">
        <f t="shared" ref="DA84:DA103" si="170">IFERROR(SUM((BU84-CM84),CV84),"")</f>
        <v>0</v>
      </c>
      <c r="DB84" s="816" t="str">
        <f t="shared" si="65"/>
        <v/>
      </c>
      <c r="DC84" s="816" t="str">
        <f t="shared" si="65"/>
        <v/>
      </c>
      <c r="DD84" s="816" t="str">
        <f t="shared" si="65"/>
        <v/>
      </c>
      <c r="DE84" s="817" t="str">
        <f t="shared" ref="DE84:DE103" si="171">IF(H84="DESL",AO84*F84,IF(H84="GAS",AO84*F84,""))</f>
        <v/>
      </c>
      <c r="DF84" s="817" t="str">
        <f t="shared" ref="DF84:DF103" si="172">IF(X84="DESL",AU84*F84,IF(X84="GAS",AU84*F84,""))</f>
        <v/>
      </c>
      <c r="DG84" s="804" t="str">
        <f t="shared" ref="DG84:DG103" si="173">IFERROR(DH84/F84,"")</f>
        <v/>
      </c>
      <c r="DH84" s="804" t="str">
        <f t="shared" ref="DH84:DH103" si="174">IF(B84="","",IF(AND(DE84="",DF84=""),0,IFERROR(SUM(DE84)-SUM(DF84),0)))</f>
        <v/>
      </c>
      <c r="DI84" s="818" t="str">
        <f>IF(AO84="","",IF(H84="DESL",AO84*F84*'Fuel Prices'!$C$12,IF(H84="GAS",AO84*F84*'Fuel Prices'!$C$11,IF(H84="CNG",AO84*F84*'Fuel Prices'!$C$13,IF(H84="LNG",AO84*F84*'Fuel Prices'!$C$14,IF(H84="LPG",AO84*F84*'Fuel Prices'!$C$16,IF(H84="PROP",AO84*F84*'Fuel Prices'!$C$16,"0")))))))</f>
        <v/>
      </c>
      <c r="DJ84" s="818" t="str">
        <f>IF(AU84="","",IF(X84="DESL",AU84*F84*'Fuel Prices'!$C$12,IF(X84="GAS",AU84*F84*'Fuel Prices'!$C$11,IF(X84="CNG",AU84*F84*'Fuel Prices'!$C$13,IF(X84="LNG",AU84*F84*'Fuel Prices'!$C$14,IF(X84="LPG",AU84*F84*'Fuel Prices'!$C$16,IF(X84="PROP",AU84*F84*'Fuel Prices'!$C$16,IF(X84="ELEC",AU84*F84*'Fuel Prices'!$C$35,"0"))))))))</f>
        <v/>
      </c>
      <c r="DK84" s="818" t="str">
        <f t="shared" ref="DK84:DK104" si="175">IFERROR(DL84/F84,"")</f>
        <v/>
      </c>
      <c r="DL84" s="818" t="str">
        <f t="shared" si="118"/>
        <v/>
      </c>
      <c r="DM84" s="804" t="str">
        <f t="shared" ref="DM84:DM103" si="176">IF(OR(F84="",DN84=""),"",IFERROR(ROUND(F84,0),""))</f>
        <v/>
      </c>
      <c r="DN84" s="804" t="str">
        <f t="shared" ref="DN84:DN103" si="177">IFERROR(ROUND(BB84,0),"")</f>
        <v/>
      </c>
      <c r="DO84" s="804" t="str">
        <f>IFERROR(ROUND(CZ84*IF(COUNTIF($B$20:B84,B84)=1,1,"")/IF(B84="",0,1),0),"")</f>
        <v/>
      </c>
      <c r="DP84" s="804" t="str">
        <f>IFERROR(ROUND(CW84*IF(COUNTIF($B$20:B84,B84)=1,1,"")/IF(B84="",0,1),0),"")</f>
        <v/>
      </c>
      <c r="DQ84" s="804" t="str">
        <f>IFERROR(ROUND(DA84*IF(COUNTIF($B$20:B84,B84)=1,1,"")/IF(B84="",0,1),0),"")</f>
        <v/>
      </c>
      <c r="DR84" s="804" t="str">
        <f>IFERROR(ROUND(CX84*IF(COUNTIF($B$20:B84,B84)=1,1,"")/IF(B84="",0,1),0),"")</f>
        <v/>
      </c>
      <c r="DS84" s="804">
        <f t="shared" ref="DS84:DS103" si="178">SUM(CN84,CS84)</f>
        <v>0</v>
      </c>
      <c r="DT84" s="804">
        <f t="shared" ref="DT84:DT103" si="179">SUM(CQ84,CV84)</f>
        <v>0</v>
      </c>
      <c r="DU84" s="804">
        <f t="shared" ref="DU84:DU103" si="180">SUM(CO84,CT84)</f>
        <v>0</v>
      </c>
      <c r="DV84" s="818" t="str">
        <f t="shared" si="66"/>
        <v/>
      </c>
      <c r="DW84" s="819" t="str">
        <f t="shared" si="67"/>
        <v/>
      </c>
    </row>
    <row r="85" spans="1:127" ht="18" customHeight="1" x14ac:dyDescent="0.35">
      <c r="A85" s="696"/>
      <c r="B85" s="820"/>
      <c r="C85" s="825" t="str">
        <f t="shared" si="124"/>
        <v>(Required)</v>
      </c>
      <c r="D85" s="821"/>
      <c r="E85" s="825" t="str">
        <f t="shared" si="124"/>
        <v>(Required)</v>
      </c>
      <c r="F85" s="821"/>
      <c r="G85" s="825" t="str">
        <f t="shared" si="125"/>
        <v>(Required)</v>
      </c>
      <c r="H85" s="822"/>
      <c r="I85" s="825" t="str">
        <f t="shared" si="126"/>
        <v>(Required)</v>
      </c>
      <c r="J85" s="821"/>
      <c r="K85" s="825" t="str">
        <f t="shared" si="127"/>
        <v>(Required)</v>
      </c>
      <c r="L85" s="821"/>
      <c r="M85" s="825" t="str">
        <f t="shared" si="128"/>
        <v>(Required)</v>
      </c>
      <c r="N85" s="821"/>
      <c r="O85" s="825" t="str">
        <f t="shared" si="129"/>
        <v>(Required)</v>
      </c>
      <c r="P85" s="821"/>
      <c r="Q85" s="825" t="str">
        <f t="shared" si="130"/>
        <v>(Required)</v>
      </c>
      <c r="R85" s="823"/>
      <c r="S85" s="826" t="str">
        <f t="shared" si="131"/>
        <v>(Optional)</v>
      </c>
      <c r="T85" s="821"/>
      <c r="U85" s="827" t="str">
        <f t="shared" si="132"/>
        <v>(Required)</v>
      </c>
      <c r="V85" s="828"/>
      <c r="W85" s="799" t="str">
        <f t="shared" si="133"/>
        <v>(Optional)</v>
      </c>
      <c r="X85" s="822"/>
      <c r="Y85" s="825" t="str">
        <f t="shared" si="134"/>
        <v>(Required)</v>
      </c>
      <c r="Z85" s="821"/>
      <c r="AA85" s="825" t="str">
        <f t="shared" si="135"/>
        <v>(Required)</v>
      </c>
      <c r="AB85" s="821"/>
      <c r="AC85" s="825" t="str">
        <f t="shared" si="136"/>
        <v>(Required)</v>
      </c>
      <c r="AD85" s="821"/>
      <c r="AE85" s="825" t="str">
        <f t="shared" si="137"/>
        <v>(Required)</v>
      </c>
      <c r="AF85" s="821"/>
      <c r="AG85" s="825" t="str">
        <f t="shared" si="138"/>
        <v>(Required)</v>
      </c>
      <c r="AH85" s="823"/>
      <c r="AI85" s="826" t="str">
        <f t="shared" si="139"/>
        <v>(Optional)</v>
      </c>
      <c r="AJ85" s="821"/>
      <c r="AK85" s="825" t="str">
        <f t="shared" si="140"/>
        <v>(Required)</v>
      </c>
      <c r="AL85" s="803" t="str">
        <f t="shared" si="141"/>
        <v/>
      </c>
      <c r="AM85" s="803" t="str">
        <f>IF(H85="DESL",'Fuel Density'!$C$12,IF(H85="GAS",'Fuel Density'!$C$11,IF(H85="CNG",'Fuel Density'!$C$13,IF(H85="LNG",'Fuel Density'!$C$14,IF(H85="LPG",'Fuel Density'!$C$15,IF(H85="PROP",'Fuel Density'!$C$16,IF(H85="","","")))))))</f>
        <v/>
      </c>
      <c r="AN85" s="803" t="str">
        <f>IF(H85="DESL",'Fuel-Specific GHG'!$C$14,IF(H85="GAS",'Fuel-Specific GHG'!$C$16,IF(H85="CNG",'Fuel-Specific GHG'!$C$13,IF(H85="LNG",'Fuel-Specific GHG'!$C$18,IF(OR(H85="LPG",H85="PROP"),'Fuel-Specific GHG'!$C$19,IF(H85="","",""))))))</f>
        <v/>
      </c>
      <c r="AO85" s="804" t="str">
        <f>IFERROR(((P85*(IF(ISBLANK(R85),Defaults!$B$19,R85))*T85*AL85)/AM85),"")</f>
        <v/>
      </c>
      <c r="AP85" s="805" t="str">
        <f t="shared" si="142"/>
        <v/>
      </c>
      <c r="AQ85" s="805" t="str">
        <f>IF(H85="DESL",'Fuel-Specific GHG'!$E$14,IF(H85="GAS",'Fuel-Specific GHG'!$E$16,IF(H85="CNG",'Fuel-Specific GHG'!$E$13,IF(H85="LNG",'Fuel-Specific GHG'!$E$18,IF(OR(H85="LPG",H85="PROP"),'Fuel-Specific GHG'!$E$19,"")))))</f>
        <v/>
      </c>
      <c r="AR85" s="805" t="str">
        <f t="shared" si="143"/>
        <v/>
      </c>
      <c r="AS85" s="803" t="str">
        <f t="shared" ref="AS85:AS103" si="181">IF(AF85="","",IF(AND(X85="DESL",AF85&gt;100),"0.367",IF(AND(X85="DESL",AF85&lt;=100),"0.408",IF(AND(X85="PROP",AF85&gt;100),"0.367",IF(AND(X85="PROP",AF85&lt;=100),"0.408",IF(X85="CNG","0.507",IF(X85="LPG","0.507",IF(X85="LNG","0.507",IF(X85="GAS","0.605")))))))))</f>
        <v/>
      </c>
      <c r="AT85" s="803" t="str">
        <f>IF(X85="DESL",'Fuel Density'!$C$12,IF(X85="PROP",'Fuel Density'!$C$16,IF(X85="GAS",'Fuel Density'!$C$11,IF(X85="CNG",'Fuel Density'!$C$13,IF(X85="LNG",'Fuel Density'!$C$14,IF(X85="LPG",'Fuel Density'!$C$15,IF(X85="","","")))))))</f>
        <v/>
      </c>
      <c r="AU85" s="804" t="str">
        <f>IFERROR(IF(X85="ELEC",AO85*AN85*(1/'Fuel-Specific GHG'!$C$15)*(1/IF(H85="GAS",3.4,IF(H85="DESL",2.7,3))),((AF85*(IF(ISBLANK(AH85),Defaults!$B$19,AH85))*AJ85*AS85)/AT85)),"")</f>
        <v/>
      </c>
      <c r="AV85" s="805" t="str">
        <f t="shared" si="144"/>
        <v/>
      </c>
      <c r="AW85" s="805" t="str">
        <f>IF(X85="DESL",'Fuel-Specific GHG'!$E$14,IF(X85="PROP",'Fuel-Specific GHG'!$E$19,IF(X85="GAS",'Fuel-Specific GHG'!$E$16,IF(X85="CNG",'Fuel-Specific GHG'!$E$13,IF(X85="LNG",'Fuel-Specific GHG'!$E$18,IF(X85="LPG",'Fuel-Specific GHG'!$E$19,IF(X85="ELEC",'Fuel-Specific GHG'!$E$15,"")))))))</f>
        <v/>
      </c>
      <c r="AX85" s="805" t="str">
        <f t="shared" si="145"/>
        <v/>
      </c>
      <c r="AY85" s="806" t="str">
        <f t="shared" si="146"/>
        <v/>
      </c>
      <c r="AZ85" s="806" t="str">
        <f t="shared" si="68"/>
        <v/>
      </c>
      <c r="BA85" s="806" t="str">
        <f t="shared" ref="BA85:BA103" si="182">IF(AND(AY85="",AZ85=""),"",SUM(AY85)-SUM(AZ85))</f>
        <v/>
      </c>
      <c r="BB85" s="804" t="str">
        <f t="shared" si="147"/>
        <v/>
      </c>
      <c r="BC85" s="807" t="str">
        <f t="shared" si="148"/>
        <v/>
      </c>
      <c r="BD85" s="807"/>
      <c r="BE85" s="808" t="str">
        <f t="shared" si="149"/>
        <v/>
      </c>
      <c r="BF85" s="809" t="str">
        <f t="shared" si="150"/>
        <v/>
      </c>
      <c r="BG85" s="808" t="str">
        <f t="shared" ref="BG85:BG103" si="183">IF(AND(BE85="1",OR(BF85="1",BF85="2"),OR(BD85="1980-1987",BD85="1970-1979")),"1",(IF(AND(BE85="1",OR(BF85="1",BF85="2"),OR(BD85="1988-2000",BD85="2001-2006",BD85="2007-2009",BD85="2010+")),"2",(IF(AND(BE85="1",BF85="3",BD85="1970-1979"),"2",(IF(AND(BE85="1",BF85="3",BD85="1980-1987"),"3",(IF(AND(BE85="1",BF85="3",BD85="1988-2000"),"4",(IF(AND(BE85="2",N85=1),"1",(IF(AND(BE85="2",N85=2),"2",(IF(AND(BE85="2",N85=3),"3",(IF(AND(BE85="2",N85="4 (Phase-Out)"),"4",(IF(AND(OR(BF85="1",BF85="2",BF85="7"),BE85="2",N85="4 (Phase-In or Alt. NOx)"),"4",(IF(AND(OR(BF85="3",BF85="4",BF85="5", BF85="6"),BE85="2",N85="4 (Phase-In or Alt. NOx)"),"5",(IF(AND(BE85="2",N85="4 (Final)"),"6",(IF(AND(OR(BE85="3",BE85="4"),L85="Uncontrolled"),"1",(IF(AND(OR(BE85="3",BE85="4"),L85="Controlled",BD85="2001-2006"),"2",(IF(AND(OR(BE85="3",BE85="4"),L85="Controlled",BD85="2007-2009"),"3",(IF(AND(OR(BE85="3",BE85="4"),L85="Controlled",BD85="2010+"),"4","")))))))))))))))))))))))))))))))</f>
        <v/>
      </c>
      <c r="BH85" s="810">
        <f t="shared" ref="BH85:BH103" si="184">_xlfn.NUMBERVALUE(CONCATENATE(BE85,BF85,BG85))</f>
        <v>0</v>
      </c>
      <c r="BI85" s="803" t="str">
        <f>IFERROR(VLOOKUP(BH85,'Pump Emission Factors'!$B$11:$J$88,4,FALSE),"")</f>
        <v/>
      </c>
      <c r="BJ85" s="803" t="str">
        <f>IFERROR(VLOOKUP(BH85,'Pump Emission Factors'!$B$11:$J$88,6,FALSE),"")</f>
        <v/>
      </c>
      <c r="BK85" s="803" t="str">
        <f>IFERROR(VLOOKUP(BH85,'Pump Emission Factors'!$B$11:$J$88,8,FALSE),"")</f>
        <v/>
      </c>
      <c r="BL85" s="803" t="str">
        <f>IFERROR(VLOOKUP(BH85,'Pump Emission Factors'!$B$11:$J$88,5,FALSE),"")</f>
        <v/>
      </c>
      <c r="BM85" s="803" t="str">
        <f>IFERROR(VLOOKUP(BH85,'Pump Emission Factors'!$B$11:$J$88,7,FALSE),"")</f>
        <v/>
      </c>
      <c r="BN85" s="803" t="str">
        <f>IFERROR(VLOOKUP(BH85,'Pump Emission Factors'!$B$11:$J$88,9,FALSE),"")</f>
        <v/>
      </c>
      <c r="BO85" s="811" t="str">
        <f t="shared" si="151"/>
        <v/>
      </c>
      <c r="BP85" s="811" t="str">
        <f t="shared" si="152"/>
        <v/>
      </c>
      <c r="BQ85" s="803">
        <f>IFERROR(((BI85+(BL85*BP85))*(IF(ISBLANK(R85),Defaults!$B$19,R85))*P85*T85)*F85*(1/454),0)</f>
        <v>0</v>
      </c>
      <c r="BR85" s="803">
        <f>IFERROR(((BJ85+(BM85*BP85))*(IF(ISBLANK(R85),Defaults!$B$19,R85))*P85*T85)*F85*(1/454),0)</f>
        <v>0</v>
      </c>
      <c r="BS85" s="803">
        <f>IFERROR(((BK85+(BN85*BP85))*(IF(ISBLANK(R85),Defaults!$B$19,R85))*P85*T85)*F85*(1/454),0)</f>
        <v>0</v>
      </c>
      <c r="BT85" s="803">
        <f t="shared" si="153"/>
        <v>0</v>
      </c>
      <c r="BU85" s="803">
        <f t="shared" si="154"/>
        <v>0</v>
      </c>
      <c r="BV85" s="812" t="str">
        <f t="shared" si="155"/>
        <v/>
      </c>
      <c r="BW85" s="808" t="str">
        <f t="shared" si="156"/>
        <v/>
      </c>
      <c r="BX85" s="809" t="str">
        <f t="shared" si="157"/>
        <v/>
      </c>
      <c r="BY85" s="808" t="str">
        <f t="shared" ref="BY85:BY103" si="185">IF(AND(BW85="1",OR(BX85="1",BX85="2"),OR(BV85="1980-1987",BV85="1970-1979")),"1",(IF(AND(BW85="1",OR(BX85="1",BX85="2"),OR(BV85="1988-2000",BV85="2001-2006",BV85="2007-2009",BV85="2010+")),"2",(IF(AND(BW85="1",BX85="3",BV85="1970-1979"),"2",(IF(AND(BW85="1",BX85="3",BV85="1980-1987"),"3",(IF(AND(BW85="1",BX85="3",BV85="1988-2000"),"4",(IF(AND(BW85="2",AD85=1),"1",(IF(AND(BW85="2",AD85=2),"2",(IF(AND(BW85="2",AD85=3),"3",(IF(AND(BW85="2",AD85="4 (Phase-Out)"),"4",(IF(AND(OR(BX85="1",BX85="2",BX85="7"),BW85="2",AD85="4 (Phase-In or Alt. NOx)"),"4",(IF(AND(OR(BX85="3",BX85="4",BX85="5", BX85="6"),BW85="2",AD85="4 (Phase-In or Alt. NOx)"),"5",(IF(AND(BW85="2",AD85="4 (Final)"),"6",(IF(AND(OR(BW85="3",BW85="4"),AB85="Uncontrolled"),"1",(IF(AND(OR(BW85="3",BW85="4"),AB85="Controlled",BV85="2001-2006"),"2",(IF(AND(OR(BW85="3",BW85="4"),AB85="Controlled",BV85="2007-2009"),"3",(IF(AND(OR(BW85="3",BW85="4"),AB85="Controlled",BV85="2010+"),"4","")))))))))))))))))))))))))))))))</f>
        <v/>
      </c>
      <c r="BZ85" s="810">
        <f t="shared" ref="BZ85:BZ103" si="186">_xlfn.NUMBERVALUE(CONCATENATE(BW85,BX85,BY85))</f>
        <v>0</v>
      </c>
      <c r="CA85" s="813" t="str">
        <f>IFERROR(VLOOKUP(BZ85,'Pump Emission Factors'!$B$11:$J$88,4,FALSE),"")</f>
        <v/>
      </c>
      <c r="CB85" s="813" t="str">
        <f>IFERROR(VLOOKUP(BZ85,'Pump Emission Factors'!$B$11:$J$88,6,FALSE),"")</f>
        <v/>
      </c>
      <c r="CC85" s="813" t="str">
        <f>IFERROR(VLOOKUP(BZ85,'Pump Emission Factors'!$B$11:$J$88,8,FALSE),"")</f>
        <v/>
      </c>
      <c r="CD85" s="813" t="str">
        <f>IFERROR(VLOOKUP(BZ85,'Pump Emission Factors'!$B$11:$J$88,5,FALSE),"")</f>
        <v/>
      </c>
      <c r="CE85" s="813" t="str">
        <f>IFERROR(VLOOKUP(BZ85,'Pump Emission Factors'!$B$11:$J$88,7,FALSE),"")</f>
        <v/>
      </c>
      <c r="CF85" s="813" t="str">
        <f>IFERROR(VLOOKUP(BZ85,'Pump Emission Factors'!$B$11:$J$88,9,FALSE),"")</f>
        <v/>
      </c>
      <c r="CG85" s="814" t="str">
        <f t="shared" si="158"/>
        <v/>
      </c>
      <c r="CH85" s="814" t="str">
        <f t="shared" si="159"/>
        <v/>
      </c>
      <c r="CI85" s="813">
        <f>IFERROR(IF($X85="ELEC",((($AU85*(IF($H85="DESL",'Fuel-Specific GHG'!$C$14,IF($H85="GAS",'Fuel-Specific GHG'!$C$16,IF($H85="CNG",'Fuel-Specific GHG'!$C$13,IF(OR($H85="LPG",$H85="PROP"),'Fuel-Specific GHG'!$C$19,"")))))*(1/'Fuel-Specific GHG'!$C$15)*(1/3.4)*$F85)*'Grid Electricity'!$D$39)/454),((CA85+(CD85*CH85))*(IF(ISBLANK(AH85),Defaults!$B$19,AH85))*$AF85*$AJ85*$F85)),0)</f>
        <v>0</v>
      </c>
      <c r="CJ85" s="813">
        <f>IFERROR(IF($X85="ELEC",((($AU85*(IF($H85="DESL",'Fuel-Specific GHG'!$C$14,IF($H85="GAS",'Fuel-Specific GHG'!$C$16,IF($H85="CNG",'Fuel-Specific GHG'!$C$13,IF(OR($H85="LPG",$H85="PROP"),'Fuel-Specific GHG'!$C$19,"")))))*(1/'Fuel-Specific GHG'!$C$15)*(1/3.4)*$F85)*'Grid Electricity'!$C$39)/454),((CB85+(CE85*CH85))*(IF(ISBLANK(AH85),Defaults!$B$19,AH85))*$AF85*$AJ85*$F85)),0)</f>
        <v>0</v>
      </c>
      <c r="CK85" s="813">
        <f>IFERROR(IF($X85="ELEC",((($AU85*(IF($H85="DESL",'Fuel-Specific GHG'!$C$14,IF($H85="GAS",'Fuel-Specific GHG'!$C$16,IF($H85="CNG",'Fuel-Specific GHG'!$C$13,IF(OR($H85="LPG",$H85="PROP"),'Fuel-Specific GHG'!$C$19,"")))))*(1/'Fuel-Specific GHG'!$C$15)*(1/3.4)*$F85)*'Grid Electricity'!$F$39)/454),((CC85+(CF85*CH85))*(IF(ISBLANK(AH85),Defaults!$B$19,AH85))*$AF85*$AJ85*$F85)),0)</f>
        <v>0</v>
      </c>
      <c r="CL85" s="813">
        <f t="shared" si="160"/>
        <v>0</v>
      </c>
      <c r="CM85" s="813">
        <f t="shared" si="161"/>
        <v>0</v>
      </c>
      <c r="CN85" s="814" t="str">
        <f t="shared" si="162"/>
        <v/>
      </c>
      <c r="CO85" s="814" t="str">
        <f t="shared" si="163"/>
        <v/>
      </c>
      <c r="CP85" s="814" t="str">
        <f t="shared" si="164"/>
        <v/>
      </c>
      <c r="CQ85" s="814" t="str">
        <f t="shared" si="165"/>
        <v/>
      </c>
      <c r="CR85" s="815" t="str">
        <f>IF(AND(V85="Yes, Booster Pump VFD",AF85&lt;=75),('Pump Emission Factors'!$F$95*F85),(IF(AND(V85="Yes, Booster Pump VFD",AF85&gt;75),('Pump Emission Factors'!$F$96*F85),(IF(AND(V85="Yes, Well Pump VFD",AF85&lt;=75),('Pump Emission Factors'!$F$97*F85),(IF(AND(V85="Yes, Well Pump VFD",AF85&gt;75),('Pump Emission Factors'!$F$98*F85),"")))))))</f>
        <v/>
      </c>
      <c r="CS85" s="815" t="str">
        <f>IF(AND(V85="Yes, Booster Pump VFD",AF85&lt;=75),('Pump Emission Factors'!$G$95*F85),(IF(AND(V85="Yes, Booster Pump VFD",AF85&gt;75),('Pump Emission Factors'!$G$96*F85),(IF(AND(V85="Yes, Well Pump VFD",AF85&lt;=75),('Pump Emission Factors'!$G$97*F85),(IF(AND(V85="Yes, Well Pump VFD",AF85&gt;75),('Pump Emission Factors'!$G$98*F85),"")))))))</f>
        <v/>
      </c>
      <c r="CT85" s="815" t="str">
        <f>IF(AND(V85="Yes, Booster Pump VFD",AF85&lt;=75),('Pump Emission Factors'!$H$95*F85),(IF(AND(V85="Yes, Booster Pump VFD",AF85&gt;75),('Pump Emission Factors'!$H$96*F85),(IF(AND(V85="Yes, Well Pump VFD",AF85&lt;=75),('Pump Emission Factors'!$H$97*F85),(IF(AND(V85="Yes, Well Pump VFD",AF85&gt;75),('Pump Emission Factors'!$H$98*F85),"")))))))</f>
        <v/>
      </c>
      <c r="CU85" s="815" t="str">
        <f>IF(AND(V85="Yes, Booster Pump VFD",AF85&lt;=75),('Pump Emission Factors'!$J$95*F85),(IF(AND(V85="Yes, Booster Pump VFD",AF85&gt;75),('Pump Emission Factors'!$J$96*F85),(IF(AND(V85="Yes, Well Pump VFD",AF85&lt;=75),('Pump Emission Factors'!$J$97*F85),(IF(AND(V85="Yes, Well Pump VFD",AF85&gt;75),('Pump Emission Factors'!$J$98*F85),"")))))))</f>
        <v/>
      </c>
      <c r="CV85" s="815" t="str">
        <f>IF(AND(V85="Yes, Booster Pump VFD",AF85&lt;=75),('Pump Emission Factors'!$I$95*F85),(IF(AND(V85="Yes, Booster Pump VFD",AF85&gt;75),('Pump Emission Factors'!$I$96*F85),(IF(AND(V85="Yes, Well Pump VFD",AF85&lt;=75),('Pump Emission Factors'!$I$97*F85),(IF(AND(V85="Yes, Well Pump VFD",AF85&gt;75),('Pump Emission Factors'!$I$98*F85),"")))))))</f>
        <v/>
      </c>
      <c r="CW85" s="806">
        <f t="shared" si="166"/>
        <v>0</v>
      </c>
      <c r="CX85" s="806">
        <f t="shared" si="167"/>
        <v>0</v>
      </c>
      <c r="CY85" s="806">
        <f t="shared" si="168"/>
        <v>0</v>
      </c>
      <c r="CZ85" s="806">
        <f t="shared" si="169"/>
        <v>0</v>
      </c>
      <c r="DA85" s="806">
        <f t="shared" si="170"/>
        <v>0</v>
      </c>
      <c r="DB85" s="816" t="str">
        <f t="shared" ref="DB85:DD103" si="187">IFERROR(CW85/2000*1/$F85,"")</f>
        <v/>
      </c>
      <c r="DC85" s="816" t="str">
        <f t="shared" si="187"/>
        <v/>
      </c>
      <c r="DD85" s="816" t="str">
        <f t="shared" si="187"/>
        <v/>
      </c>
      <c r="DE85" s="817" t="str">
        <f t="shared" si="171"/>
        <v/>
      </c>
      <c r="DF85" s="817" t="str">
        <f t="shared" si="172"/>
        <v/>
      </c>
      <c r="DG85" s="804" t="str">
        <f t="shared" si="173"/>
        <v/>
      </c>
      <c r="DH85" s="804" t="str">
        <f t="shared" si="174"/>
        <v/>
      </c>
      <c r="DI85" s="818" t="str">
        <f>IF(AO85="","",IF(H85="DESL",AO85*F85*'Fuel Prices'!$C$12,IF(H85="GAS",AO85*F85*'Fuel Prices'!$C$11,IF(H85="CNG",AO85*F85*'Fuel Prices'!$C$13,IF(H85="LNG",AO85*F85*'Fuel Prices'!$C$14,IF(H85="LPG",AO85*F85*'Fuel Prices'!$C$16,IF(H85="PROP",AO85*F85*'Fuel Prices'!$C$16,"0")))))))</f>
        <v/>
      </c>
      <c r="DJ85" s="818" t="str">
        <f>IF(AU85="","",IF(X85="DESL",AU85*F85*'Fuel Prices'!$C$12,IF(X85="GAS",AU85*F85*'Fuel Prices'!$C$11,IF(X85="CNG",AU85*F85*'Fuel Prices'!$C$13,IF(X85="LNG",AU85*F85*'Fuel Prices'!$C$14,IF(X85="LPG",AU85*F85*'Fuel Prices'!$C$16,IF(X85="PROP",AU85*F85*'Fuel Prices'!$C$16,IF(X85="ELEC",AU85*F85*'Fuel Prices'!$C$35,"0"))))))))</f>
        <v/>
      </c>
      <c r="DK85" s="818" t="str">
        <f t="shared" si="175"/>
        <v/>
      </c>
      <c r="DL85" s="818" t="str">
        <f t="shared" ref="DL85:DL103" si="188">IFERROR(DI85-DJ85,"")</f>
        <v/>
      </c>
      <c r="DM85" s="804" t="str">
        <f t="shared" si="176"/>
        <v/>
      </c>
      <c r="DN85" s="804" t="str">
        <f t="shared" si="177"/>
        <v/>
      </c>
      <c r="DO85" s="804" t="str">
        <f>IFERROR(ROUND(CZ85*IF(COUNTIF($B$20:B85,B85)=1,1,"")/IF(B85="",0,1),0),"")</f>
        <v/>
      </c>
      <c r="DP85" s="804" t="str">
        <f>IFERROR(ROUND(CW85*IF(COUNTIF($B$20:B85,B85)=1,1,"")/IF(B85="",0,1),0),"")</f>
        <v/>
      </c>
      <c r="DQ85" s="804" t="str">
        <f>IFERROR(ROUND(DA85*IF(COUNTIF($B$20:B85,B85)=1,1,"")/IF(B85="",0,1),0),"")</f>
        <v/>
      </c>
      <c r="DR85" s="804" t="str">
        <f>IFERROR(ROUND(CX85*IF(COUNTIF($B$20:B85,B85)=1,1,"")/IF(B85="",0,1),0),"")</f>
        <v/>
      </c>
      <c r="DS85" s="804">
        <f t="shared" si="178"/>
        <v>0</v>
      </c>
      <c r="DT85" s="804">
        <f t="shared" si="179"/>
        <v>0</v>
      </c>
      <c r="DU85" s="804">
        <f t="shared" si="180"/>
        <v>0</v>
      </c>
      <c r="DV85" s="818" t="str">
        <f t="shared" ref="DV85:DV103" si="189">IFERROR(ROUND(DL85,0),"")</f>
        <v/>
      </c>
      <c r="DW85" s="819" t="str">
        <f t="shared" ref="DW85:DW103" si="190">IFERROR(ROUND(DH85,0),"")</f>
        <v/>
      </c>
    </row>
    <row r="86" spans="1:127" ht="18" customHeight="1" x14ac:dyDescent="0.35">
      <c r="A86" s="635"/>
      <c r="B86" s="820"/>
      <c r="C86" s="825" t="str">
        <f t="shared" si="124"/>
        <v>(Required)</v>
      </c>
      <c r="D86" s="821"/>
      <c r="E86" s="825" t="str">
        <f t="shared" si="124"/>
        <v>(Required)</v>
      </c>
      <c r="F86" s="821"/>
      <c r="G86" s="825" t="str">
        <f t="shared" si="125"/>
        <v>(Required)</v>
      </c>
      <c r="H86" s="822"/>
      <c r="I86" s="825" t="str">
        <f t="shared" si="126"/>
        <v>(Required)</v>
      </c>
      <c r="J86" s="821"/>
      <c r="K86" s="825" t="str">
        <f t="shared" si="127"/>
        <v>(Required)</v>
      </c>
      <c r="L86" s="821"/>
      <c r="M86" s="825" t="str">
        <f t="shared" si="128"/>
        <v>(Required)</v>
      </c>
      <c r="N86" s="821"/>
      <c r="O86" s="825" t="str">
        <f t="shared" si="129"/>
        <v>(Required)</v>
      </c>
      <c r="P86" s="821"/>
      <c r="Q86" s="825" t="str">
        <f t="shared" si="130"/>
        <v>(Required)</v>
      </c>
      <c r="R86" s="823"/>
      <c r="S86" s="826" t="str">
        <f t="shared" si="131"/>
        <v>(Optional)</v>
      </c>
      <c r="T86" s="821"/>
      <c r="U86" s="827" t="str">
        <f t="shared" si="132"/>
        <v>(Required)</v>
      </c>
      <c r="V86" s="828"/>
      <c r="W86" s="799" t="str">
        <f t="shared" si="133"/>
        <v>(Optional)</v>
      </c>
      <c r="X86" s="822"/>
      <c r="Y86" s="825" t="str">
        <f t="shared" si="134"/>
        <v>(Required)</v>
      </c>
      <c r="Z86" s="821"/>
      <c r="AA86" s="825" t="str">
        <f t="shared" si="135"/>
        <v>(Required)</v>
      </c>
      <c r="AB86" s="821"/>
      <c r="AC86" s="825" t="str">
        <f t="shared" si="136"/>
        <v>(Required)</v>
      </c>
      <c r="AD86" s="821"/>
      <c r="AE86" s="825" t="str">
        <f t="shared" si="137"/>
        <v>(Required)</v>
      </c>
      <c r="AF86" s="821"/>
      <c r="AG86" s="825" t="str">
        <f t="shared" si="138"/>
        <v>(Required)</v>
      </c>
      <c r="AH86" s="823"/>
      <c r="AI86" s="826" t="str">
        <f t="shared" si="139"/>
        <v>(Optional)</v>
      </c>
      <c r="AJ86" s="821"/>
      <c r="AK86" s="825" t="str">
        <f t="shared" si="140"/>
        <v>(Required)</v>
      </c>
      <c r="AL86" s="803" t="str">
        <f t="shared" si="141"/>
        <v/>
      </c>
      <c r="AM86" s="803" t="str">
        <f>IF(H86="DESL",'Fuel Density'!$C$12,IF(H86="GAS",'Fuel Density'!$C$11,IF(H86="CNG",'Fuel Density'!$C$13,IF(H86="LNG",'Fuel Density'!$C$14,IF(H86="LPG",'Fuel Density'!$C$15,IF(H86="PROP",'Fuel Density'!$C$16,IF(H86="","","")))))))</f>
        <v/>
      </c>
      <c r="AN86" s="803" t="str">
        <f>IF(H86="DESL",'Fuel-Specific GHG'!$C$14,IF(H86="GAS",'Fuel-Specific GHG'!$C$16,IF(H86="CNG",'Fuel-Specific GHG'!$C$13,IF(H86="LNG",'Fuel-Specific GHG'!$C$18,IF(OR(H86="LPG",H86="PROP"),'Fuel-Specific GHG'!$C$19,IF(H86="","",""))))))</f>
        <v/>
      </c>
      <c r="AO86" s="804" t="str">
        <f>IFERROR(((P86*(IF(ISBLANK(R86),Defaults!$B$19,R86))*T86*AL86)/AM86),"")</f>
        <v/>
      </c>
      <c r="AP86" s="805" t="str">
        <f t="shared" si="142"/>
        <v/>
      </c>
      <c r="AQ86" s="805" t="str">
        <f>IF(H86="DESL",'Fuel-Specific GHG'!$E$14,IF(H86="GAS",'Fuel-Specific GHG'!$E$16,IF(H86="CNG",'Fuel-Specific GHG'!$E$13,IF(H86="LNG",'Fuel-Specific GHG'!$E$18,IF(OR(H86="LPG",H86="PROP"),'Fuel-Specific GHG'!$E$19,"")))))</f>
        <v/>
      </c>
      <c r="AR86" s="805" t="str">
        <f t="shared" si="143"/>
        <v/>
      </c>
      <c r="AS86" s="803" t="str">
        <f t="shared" si="181"/>
        <v/>
      </c>
      <c r="AT86" s="803" t="str">
        <f>IF(X86="DESL",'Fuel Density'!$C$12,IF(X86="PROP",'Fuel Density'!$C$16,IF(X86="GAS",'Fuel Density'!$C$11,IF(X86="CNG",'Fuel Density'!$C$13,IF(X86="LNG",'Fuel Density'!$C$14,IF(X86="LPG",'Fuel Density'!$C$15,IF(X86="","","")))))))</f>
        <v/>
      </c>
      <c r="AU86" s="804" t="str">
        <f>IFERROR(IF(X86="ELEC",AO86*AN86*(1/'Fuel-Specific GHG'!$C$15)*(1/IF(H86="GAS",3.4,IF(H86="DESL",2.7,3))),((AF86*(IF(ISBLANK(AH86),Defaults!$B$19,AH86))*AJ86*AS86)/AT86)),"")</f>
        <v/>
      </c>
      <c r="AV86" s="805" t="str">
        <f t="shared" si="144"/>
        <v/>
      </c>
      <c r="AW86" s="805" t="str">
        <f>IF(X86="DESL",'Fuel-Specific GHG'!$E$14,IF(X86="PROP",'Fuel-Specific GHG'!$E$19,IF(X86="GAS",'Fuel-Specific GHG'!$E$16,IF(X86="CNG",'Fuel-Specific GHG'!$E$13,IF(X86="LNG",'Fuel-Specific GHG'!$E$18,IF(X86="LPG",'Fuel-Specific GHG'!$E$19,IF(X86="ELEC",'Fuel-Specific GHG'!$E$15,"")))))))</f>
        <v/>
      </c>
      <c r="AX86" s="805" t="str">
        <f t="shared" si="145"/>
        <v/>
      </c>
      <c r="AY86" s="806" t="str">
        <f t="shared" si="146"/>
        <v/>
      </c>
      <c r="AZ86" s="806" t="str">
        <f t="shared" ref="AZ86:AZ103" si="191">IFERROR((AU86*AW86)/1000000,"")</f>
        <v/>
      </c>
      <c r="BA86" s="806" t="str">
        <f t="shared" si="182"/>
        <v/>
      </c>
      <c r="BB86" s="804" t="str">
        <f t="shared" si="147"/>
        <v/>
      </c>
      <c r="BC86" s="807" t="str">
        <f t="shared" si="148"/>
        <v/>
      </c>
      <c r="BD86" s="807"/>
      <c r="BE86" s="808" t="str">
        <f t="shared" si="149"/>
        <v/>
      </c>
      <c r="BF86" s="809" t="str">
        <f t="shared" si="150"/>
        <v/>
      </c>
      <c r="BG86" s="808" t="str">
        <f t="shared" si="183"/>
        <v/>
      </c>
      <c r="BH86" s="810">
        <f t="shared" si="184"/>
        <v>0</v>
      </c>
      <c r="BI86" s="803" t="str">
        <f>IFERROR(VLOOKUP(BH86,'Pump Emission Factors'!$B$11:$J$88,4,FALSE),"")</f>
        <v/>
      </c>
      <c r="BJ86" s="803" t="str">
        <f>IFERROR(VLOOKUP(BH86,'Pump Emission Factors'!$B$11:$J$88,6,FALSE),"")</f>
        <v/>
      </c>
      <c r="BK86" s="803" t="str">
        <f>IFERROR(VLOOKUP(BH86,'Pump Emission Factors'!$B$11:$J$88,8,FALSE),"")</f>
        <v/>
      </c>
      <c r="BL86" s="803" t="str">
        <f>IFERROR(VLOOKUP(BH86,'Pump Emission Factors'!$B$11:$J$88,5,FALSE),"")</f>
        <v/>
      </c>
      <c r="BM86" s="803" t="str">
        <f>IFERROR(VLOOKUP(BH86,'Pump Emission Factors'!$B$11:$J$88,7,FALSE),"")</f>
        <v/>
      </c>
      <c r="BN86" s="803" t="str">
        <f>IFERROR(VLOOKUP(BH86,'Pump Emission Factors'!$B$11:$J$88,9,FALSE),"")</f>
        <v/>
      </c>
      <c r="BO86" s="811" t="str">
        <f t="shared" si="151"/>
        <v/>
      </c>
      <c r="BP86" s="811" t="str">
        <f t="shared" si="152"/>
        <v/>
      </c>
      <c r="BQ86" s="803">
        <f>IFERROR(((BI86+(BL86*BP86))*(IF(ISBLANK(R86),Defaults!$B$19,R86))*P86*T86)*F86*(1/454),0)</f>
        <v>0</v>
      </c>
      <c r="BR86" s="803">
        <f>IFERROR(((BJ86+(BM86*BP86))*(IF(ISBLANK(R86),Defaults!$B$19,R86))*P86*T86)*F86*(1/454),0)</f>
        <v>0</v>
      </c>
      <c r="BS86" s="803">
        <f>IFERROR(((BK86+(BN86*BP86))*(IF(ISBLANK(R86),Defaults!$B$19,R86))*P86*T86)*F86*(1/454),0)</f>
        <v>0</v>
      </c>
      <c r="BT86" s="803">
        <f t="shared" si="153"/>
        <v>0</v>
      </c>
      <c r="BU86" s="803">
        <f t="shared" si="154"/>
        <v>0</v>
      </c>
      <c r="BV86" s="812" t="str">
        <f t="shared" si="155"/>
        <v/>
      </c>
      <c r="BW86" s="808" t="str">
        <f t="shared" si="156"/>
        <v/>
      </c>
      <c r="BX86" s="809" t="str">
        <f t="shared" si="157"/>
        <v/>
      </c>
      <c r="BY86" s="808" t="str">
        <f t="shared" si="185"/>
        <v/>
      </c>
      <c r="BZ86" s="810">
        <f t="shared" si="186"/>
        <v>0</v>
      </c>
      <c r="CA86" s="813" t="str">
        <f>IFERROR(VLOOKUP(BZ86,'Pump Emission Factors'!$B$11:$J$88,4,FALSE),"")</f>
        <v/>
      </c>
      <c r="CB86" s="813" t="str">
        <f>IFERROR(VLOOKUP(BZ86,'Pump Emission Factors'!$B$11:$J$88,6,FALSE),"")</f>
        <v/>
      </c>
      <c r="CC86" s="813" t="str">
        <f>IFERROR(VLOOKUP(BZ86,'Pump Emission Factors'!$B$11:$J$88,8,FALSE),"")</f>
        <v/>
      </c>
      <c r="CD86" s="813" t="str">
        <f>IFERROR(VLOOKUP(BZ86,'Pump Emission Factors'!$B$11:$J$88,5,FALSE),"")</f>
        <v/>
      </c>
      <c r="CE86" s="813" t="str">
        <f>IFERROR(VLOOKUP(BZ86,'Pump Emission Factors'!$B$11:$J$88,7,FALSE),"")</f>
        <v/>
      </c>
      <c r="CF86" s="813" t="str">
        <f>IFERROR(VLOOKUP(BZ86,'Pump Emission Factors'!$B$11:$J$88,9,FALSE),"")</f>
        <v/>
      </c>
      <c r="CG86" s="814" t="str">
        <f t="shared" si="158"/>
        <v/>
      </c>
      <c r="CH86" s="814" t="str">
        <f t="shared" si="159"/>
        <v/>
      </c>
      <c r="CI86" s="813">
        <f>IFERROR(IF($X86="ELEC",((($AU86*(IF($H86="DESL",'Fuel-Specific GHG'!$C$14,IF($H86="GAS",'Fuel-Specific GHG'!$C$16,IF($H86="CNG",'Fuel-Specific GHG'!$C$13,IF(OR($H86="LPG",$H86="PROP"),'Fuel-Specific GHG'!$C$19,"")))))*(1/'Fuel-Specific GHG'!$C$15)*(1/3.4)*$F86)*'Grid Electricity'!$D$39)/454),((CA86+(CD86*CH86))*(IF(ISBLANK(AH86),Defaults!$B$19,AH86))*$AF86*$AJ86*$F86)),0)</f>
        <v>0</v>
      </c>
      <c r="CJ86" s="813">
        <f>IFERROR(IF($X86="ELEC",((($AU86*(IF($H86="DESL",'Fuel-Specific GHG'!$C$14,IF($H86="GAS",'Fuel-Specific GHG'!$C$16,IF($H86="CNG",'Fuel-Specific GHG'!$C$13,IF(OR($H86="LPG",$H86="PROP"),'Fuel-Specific GHG'!$C$19,"")))))*(1/'Fuel-Specific GHG'!$C$15)*(1/3.4)*$F86)*'Grid Electricity'!$C$39)/454),((CB86+(CE86*CH86))*(IF(ISBLANK(AH86),Defaults!$B$19,AH86))*$AF86*$AJ86*$F86)),0)</f>
        <v>0</v>
      </c>
      <c r="CK86" s="813">
        <f>IFERROR(IF($X86="ELEC",((($AU86*(IF($H86="DESL",'Fuel-Specific GHG'!$C$14,IF($H86="GAS",'Fuel-Specific GHG'!$C$16,IF($H86="CNG",'Fuel-Specific GHG'!$C$13,IF(OR($H86="LPG",$H86="PROP"),'Fuel-Specific GHG'!$C$19,"")))))*(1/'Fuel-Specific GHG'!$C$15)*(1/3.4)*$F86)*'Grid Electricity'!$F$39)/454),((CC86+(CF86*CH86))*(IF(ISBLANK(AH86),Defaults!$B$19,AH86))*$AF86*$AJ86*$F86)),0)</f>
        <v>0</v>
      </c>
      <c r="CL86" s="813">
        <f t="shared" si="160"/>
        <v>0</v>
      </c>
      <c r="CM86" s="813">
        <f t="shared" si="161"/>
        <v>0</v>
      </c>
      <c r="CN86" s="814" t="str">
        <f t="shared" si="162"/>
        <v/>
      </c>
      <c r="CO86" s="814" t="str">
        <f t="shared" si="163"/>
        <v/>
      </c>
      <c r="CP86" s="814" t="str">
        <f t="shared" si="164"/>
        <v/>
      </c>
      <c r="CQ86" s="814" t="str">
        <f t="shared" si="165"/>
        <v/>
      </c>
      <c r="CR86" s="815" t="str">
        <f>IF(AND(V86="Yes, Booster Pump VFD",AF86&lt;=75),('Pump Emission Factors'!$F$95*F86),(IF(AND(V86="Yes, Booster Pump VFD",AF86&gt;75),('Pump Emission Factors'!$F$96*F86),(IF(AND(V86="Yes, Well Pump VFD",AF86&lt;=75),('Pump Emission Factors'!$F$97*F86),(IF(AND(V86="Yes, Well Pump VFD",AF86&gt;75),('Pump Emission Factors'!$F$98*F86),"")))))))</f>
        <v/>
      </c>
      <c r="CS86" s="815" t="str">
        <f>IF(AND(V86="Yes, Booster Pump VFD",AF86&lt;=75),('Pump Emission Factors'!$G$95*F86),(IF(AND(V86="Yes, Booster Pump VFD",AF86&gt;75),('Pump Emission Factors'!$G$96*F86),(IF(AND(V86="Yes, Well Pump VFD",AF86&lt;=75),('Pump Emission Factors'!$G$97*F86),(IF(AND(V86="Yes, Well Pump VFD",AF86&gt;75),('Pump Emission Factors'!$G$98*F86),"")))))))</f>
        <v/>
      </c>
      <c r="CT86" s="815" t="str">
        <f>IF(AND(V86="Yes, Booster Pump VFD",AF86&lt;=75),('Pump Emission Factors'!$H$95*F86),(IF(AND(V86="Yes, Booster Pump VFD",AF86&gt;75),('Pump Emission Factors'!$H$96*F86),(IF(AND(V86="Yes, Well Pump VFD",AF86&lt;=75),('Pump Emission Factors'!$H$97*F86),(IF(AND(V86="Yes, Well Pump VFD",AF86&gt;75),('Pump Emission Factors'!$H$98*F86),"")))))))</f>
        <v/>
      </c>
      <c r="CU86" s="815" t="str">
        <f>IF(AND(V86="Yes, Booster Pump VFD",AF86&lt;=75),('Pump Emission Factors'!$J$95*F86),(IF(AND(V86="Yes, Booster Pump VFD",AF86&gt;75),('Pump Emission Factors'!$J$96*F86),(IF(AND(V86="Yes, Well Pump VFD",AF86&lt;=75),('Pump Emission Factors'!$J$97*F86),(IF(AND(V86="Yes, Well Pump VFD",AF86&gt;75),('Pump Emission Factors'!$J$98*F86),"")))))))</f>
        <v/>
      </c>
      <c r="CV86" s="815" t="str">
        <f>IF(AND(V86="Yes, Booster Pump VFD",AF86&lt;=75),('Pump Emission Factors'!$I$95*F86),(IF(AND(V86="Yes, Booster Pump VFD",AF86&gt;75),('Pump Emission Factors'!$I$96*F86),(IF(AND(V86="Yes, Well Pump VFD",AF86&lt;=75),('Pump Emission Factors'!$I$97*F86),(IF(AND(V86="Yes, Well Pump VFD",AF86&gt;75),('Pump Emission Factors'!$I$98*F86),"")))))))</f>
        <v/>
      </c>
      <c r="CW86" s="806">
        <f t="shared" si="166"/>
        <v>0</v>
      </c>
      <c r="CX86" s="806">
        <f t="shared" si="167"/>
        <v>0</v>
      </c>
      <c r="CY86" s="806">
        <f t="shared" si="168"/>
        <v>0</v>
      </c>
      <c r="CZ86" s="806">
        <f t="shared" si="169"/>
        <v>0</v>
      </c>
      <c r="DA86" s="806">
        <f t="shared" si="170"/>
        <v>0</v>
      </c>
      <c r="DB86" s="816" t="str">
        <f t="shared" si="187"/>
        <v/>
      </c>
      <c r="DC86" s="816" t="str">
        <f t="shared" si="187"/>
        <v/>
      </c>
      <c r="DD86" s="816" t="str">
        <f t="shared" si="187"/>
        <v/>
      </c>
      <c r="DE86" s="817" t="str">
        <f t="shared" si="171"/>
        <v/>
      </c>
      <c r="DF86" s="817" t="str">
        <f t="shared" si="172"/>
        <v/>
      </c>
      <c r="DG86" s="804" t="str">
        <f t="shared" si="173"/>
        <v/>
      </c>
      <c r="DH86" s="804" t="str">
        <f t="shared" si="174"/>
        <v/>
      </c>
      <c r="DI86" s="818" t="str">
        <f>IF(AO86="","",IF(H86="DESL",AO86*F86*'Fuel Prices'!$C$12,IF(H86="GAS",AO86*F86*'Fuel Prices'!$C$11,IF(H86="CNG",AO86*F86*'Fuel Prices'!$C$13,IF(H86="LNG",AO86*F86*'Fuel Prices'!$C$14,IF(H86="LPG",AO86*F86*'Fuel Prices'!$C$16,IF(H86="PROP",AO86*F86*'Fuel Prices'!$C$16,"0")))))))</f>
        <v/>
      </c>
      <c r="DJ86" s="818" t="str">
        <f>IF(AU86="","",IF(X86="DESL",AU86*F86*'Fuel Prices'!$C$12,IF(X86="GAS",AU86*F86*'Fuel Prices'!$C$11,IF(X86="CNG",AU86*F86*'Fuel Prices'!$C$13,IF(X86="LNG",AU86*F86*'Fuel Prices'!$C$14,IF(X86="LPG",AU86*F86*'Fuel Prices'!$C$16,IF(X86="PROP",AU86*F86*'Fuel Prices'!$C$16,IF(X86="ELEC",AU86*F86*'Fuel Prices'!$C$35,"0"))))))))</f>
        <v/>
      </c>
      <c r="DK86" s="818" t="str">
        <f t="shared" si="175"/>
        <v/>
      </c>
      <c r="DL86" s="818" t="str">
        <f t="shared" si="188"/>
        <v/>
      </c>
      <c r="DM86" s="804" t="str">
        <f t="shared" si="176"/>
        <v/>
      </c>
      <c r="DN86" s="804" t="str">
        <f t="shared" si="177"/>
        <v/>
      </c>
      <c r="DO86" s="804" t="str">
        <f>IFERROR(ROUND(CZ86*IF(COUNTIF($B$20:B86,B86)=1,1,"")/IF(B86="",0,1),0),"")</f>
        <v/>
      </c>
      <c r="DP86" s="804" t="str">
        <f>IFERROR(ROUND(CW86*IF(COUNTIF($B$20:B86,B86)=1,1,"")/IF(B86="",0,1),0),"")</f>
        <v/>
      </c>
      <c r="DQ86" s="804" t="str">
        <f>IFERROR(ROUND(DA86*IF(COUNTIF($B$20:B86,B86)=1,1,"")/IF(B86="",0,1),0),"")</f>
        <v/>
      </c>
      <c r="DR86" s="804" t="str">
        <f>IFERROR(ROUND(CX86*IF(COUNTIF($B$20:B86,B86)=1,1,"")/IF(B86="",0,1),0),"")</f>
        <v/>
      </c>
      <c r="DS86" s="804">
        <f t="shared" si="178"/>
        <v>0</v>
      </c>
      <c r="DT86" s="804">
        <f t="shared" si="179"/>
        <v>0</v>
      </c>
      <c r="DU86" s="804">
        <f t="shared" si="180"/>
        <v>0</v>
      </c>
      <c r="DV86" s="818" t="str">
        <f t="shared" si="189"/>
        <v/>
      </c>
      <c r="DW86" s="819" t="str">
        <f t="shared" si="190"/>
        <v/>
      </c>
    </row>
    <row r="87" spans="1:127" ht="18" customHeight="1" x14ac:dyDescent="0.35">
      <c r="A87" s="696"/>
      <c r="B87" s="820"/>
      <c r="C87" s="825" t="str">
        <f t="shared" si="124"/>
        <v>(Required)</v>
      </c>
      <c r="D87" s="821"/>
      <c r="E87" s="825" t="str">
        <f t="shared" si="124"/>
        <v>(Required)</v>
      </c>
      <c r="F87" s="821"/>
      <c r="G87" s="825" t="str">
        <f t="shared" si="125"/>
        <v>(Required)</v>
      </c>
      <c r="H87" s="822"/>
      <c r="I87" s="825" t="str">
        <f t="shared" si="126"/>
        <v>(Required)</v>
      </c>
      <c r="J87" s="821"/>
      <c r="K87" s="825" t="str">
        <f t="shared" si="127"/>
        <v>(Required)</v>
      </c>
      <c r="L87" s="821"/>
      <c r="M87" s="825" t="str">
        <f t="shared" si="128"/>
        <v>(Required)</v>
      </c>
      <c r="N87" s="821"/>
      <c r="O87" s="825" t="str">
        <f t="shared" si="129"/>
        <v>(Required)</v>
      </c>
      <c r="P87" s="821"/>
      <c r="Q87" s="825" t="str">
        <f t="shared" si="130"/>
        <v>(Required)</v>
      </c>
      <c r="R87" s="823"/>
      <c r="S87" s="826" t="str">
        <f t="shared" si="131"/>
        <v>(Optional)</v>
      </c>
      <c r="T87" s="821"/>
      <c r="U87" s="827" t="str">
        <f t="shared" si="132"/>
        <v>(Required)</v>
      </c>
      <c r="V87" s="828"/>
      <c r="W87" s="799" t="str">
        <f t="shared" si="133"/>
        <v>(Optional)</v>
      </c>
      <c r="X87" s="822"/>
      <c r="Y87" s="825" t="str">
        <f t="shared" si="134"/>
        <v>(Required)</v>
      </c>
      <c r="Z87" s="821"/>
      <c r="AA87" s="825" t="str">
        <f t="shared" si="135"/>
        <v>(Required)</v>
      </c>
      <c r="AB87" s="821"/>
      <c r="AC87" s="825" t="str">
        <f t="shared" si="136"/>
        <v>(Required)</v>
      </c>
      <c r="AD87" s="821"/>
      <c r="AE87" s="825" t="str">
        <f t="shared" si="137"/>
        <v>(Required)</v>
      </c>
      <c r="AF87" s="821"/>
      <c r="AG87" s="825" t="str">
        <f t="shared" si="138"/>
        <v>(Required)</v>
      </c>
      <c r="AH87" s="823"/>
      <c r="AI87" s="826" t="str">
        <f t="shared" si="139"/>
        <v>(Optional)</v>
      </c>
      <c r="AJ87" s="821"/>
      <c r="AK87" s="825" t="str">
        <f t="shared" si="140"/>
        <v>(Required)</v>
      </c>
      <c r="AL87" s="803" t="str">
        <f t="shared" si="141"/>
        <v/>
      </c>
      <c r="AM87" s="803" t="str">
        <f>IF(H87="DESL",'Fuel Density'!$C$12,IF(H87="GAS",'Fuel Density'!$C$11,IF(H87="CNG",'Fuel Density'!$C$13,IF(H87="LNG",'Fuel Density'!$C$14,IF(H87="LPG",'Fuel Density'!$C$15,IF(H87="PROP",'Fuel Density'!$C$16,IF(H87="","","")))))))</f>
        <v/>
      </c>
      <c r="AN87" s="803" t="str">
        <f>IF(H87="DESL",'Fuel-Specific GHG'!$C$14,IF(H87="GAS",'Fuel-Specific GHG'!$C$16,IF(H87="CNG",'Fuel-Specific GHG'!$C$13,IF(H87="LNG",'Fuel-Specific GHG'!$C$18,IF(OR(H87="LPG",H87="PROP"),'Fuel-Specific GHG'!$C$19,IF(H87="","",""))))))</f>
        <v/>
      </c>
      <c r="AO87" s="804" t="str">
        <f>IFERROR(((P87*(IF(ISBLANK(R87),Defaults!$B$19,R87))*T87*AL87)/AM87),"")</f>
        <v/>
      </c>
      <c r="AP87" s="805" t="str">
        <f t="shared" si="142"/>
        <v/>
      </c>
      <c r="AQ87" s="805" t="str">
        <f>IF(H87="DESL",'Fuel-Specific GHG'!$E$14,IF(H87="GAS",'Fuel-Specific GHG'!$E$16,IF(H87="CNG",'Fuel-Specific GHG'!$E$13,IF(H87="LNG",'Fuel-Specific GHG'!$E$18,IF(OR(H87="LPG",H87="PROP"),'Fuel-Specific GHG'!$E$19,"")))))</f>
        <v/>
      </c>
      <c r="AR87" s="805" t="str">
        <f t="shared" si="143"/>
        <v/>
      </c>
      <c r="AS87" s="803" t="str">
        <f t="shared" si="181"/>
        <v/>
      </c>
      <c r="AT87" s="803" t="str">
        <f>IF(X87="DESL",'Fuel Density'!$C$12,IF(X87="PROP",'Fuel Density'!$C$16,IF(X87="GAS",'Fuel Density'!$C$11,IF(X87="CNG",'Fuel Density'!$C$13,IF(X87="LNG",'Fuel Density'!$C$14,IF(X87="LPG",'Fuel Density'!$C$15,IF(X87="","","")))))))</f>
        <v/>
      </c>
      <c r="AU87" s="804" t="str">
        <f>IFERROR(IF(X87="ELEC",AO87*AN87*(1/'Fuel-Specific GHG'!$C$15)*(1/IF(H87="GAS",3.4,IF(H87="DESL",2.7,3))),((AF87*(IF(ISBLANK(AH87),Defaults!$B$19,AH87))*AJ87*AS87)/AT87)),"")</f>
        <v/>
      </c>
      <c r="AV87" s="805" t="str">
        <f t="shared" si="144"/>
        <v/>
      </c>
      <c r="AW87" s="805" t="str">
        <f>IF(X87="DESL",'Fuel-Specific GHG'!$E$14,IF(X87="PROP",'Fuel-Specific GHG'!$E$19,IF(X87="GAS",'Fuel-Specific GHG'!$E$16,IF(X87="CNG",'Fuel-Specific GHG'!$E$13,IF(X87="LNG",'Fuel-Specific GHG'!$E$18,IF(X87="LPG",'Fuel-Specific GHG'!$E$19,IF(X87="ELEC",'Fuel-Specific GHG'!$E$15,"")))))))</f>
        <v/>
      </c>
      <c r="AX87" s="805" t="str">
        <f t="shared" si="145"/>
        <v/>
      </c>
      <c r="AY87" s="806" t="str">
        <f t="shared" si="146"/>
        <v/>
      </c>
      <c r="AZ87" s="806" t="str">
        <f t="shared" si="191"/>
        <v/>
      </c>
      <c r="BA87" s="806" t="str">
        <f t="shared" si="182"/>
        <v/>
      </c>
      <c r="BB87" s="804" t="str">
        <f t="shared" si="147"/>
        <v/>
      </c>
      <c r="BC87" s="807" t="str">
        <f t="shared" si="148"/>
        <v/>
      </c>
      <c r="BD87" s="807"/>
      <c r="BE87" s="808" t="str">
        <f t="shared" si="149"/>
        <v/>
      </c>
      <c r="BF87" s="809" t="str">
        <f t="shared" si="150"/>
        <v/>
      </c>
      <c r="BG87" s="808" t="str">
        <f t="shared" si="183"/>
        <v/>
      </c>
      <c r="BH87" s="810">
        <f t="shared" si="184"/>
        <v>0</v>
      </c>
      <c r="BI87" s="803" t="str">
        <f>IFERROR(VLOOKUP(BH87,'Pump Emission Factors'!$B$11:$J$88,4,FALSE),"")</f>
        <v/>
      </c>
      <c r="BJ87" s="803" t="str">
        <f>IFERROR(VLOOKUP(BH87,'Pump Emission Factors'!$B$11:$J$88,6,FALSE),"")</f>
        <v/>
      </c>
      <c r="BK87" s="803" t="str">
        <f>IFERROR(VLOOKUP(BH87,'Pump Emission Factors'!$B$11:$J$88,8,FALSE),"")</f>
        <v/>
      </c>
      <c r="BL87" s="803" t="str">
        <f>IFERROR(VLOOKUP(BH87,'Pump Emission Factors'!$B$11:$J$88,5,FALSE),"")</f>
        <v/>
      </c>
      <c r="BM87" s="803" t="str">
        <f>IFERROR(VLOOKUP(BH87,'Pump Emission Factors'!$B$11:$J$88,7,FALSE),"")</f>
        <v/>
      </c>
      <c r="BN87" s="803" t="str">
        <f>IFERROR(VLOOKUP(BH87,'Pump Emission Factors'!$B$11:$J$88,9,FALSE),"")</f>
        <v/>
      </c>
      <c r="BO87" s="811" t="str">
        <f t="shared" si="151"/>
        <v/>
      </c>
      <c r="BP87" s="811" t="str">
        <f t="shared" si="152"/>
        <v/>
      </c>
      <c r="BQ87" s="803">
        <f>IFERROR(((BI87+(BL87*BP87))*(IF(ISBLANK(R87),Defaults!$B$19,R87))*P87*T87)*F87*(1/454),0)</f>
        <v>0</v>
      </c>
      <c r="BR87" s="803">
        <f>IFERROR(((BJ87+(BM87*BP87))*(IF(ISBLANK(R87),Defaults!$B$19,R87))*P87*T87)*F87*(1/454),0)</f>
        <v>0</v>
      </c>
      <c r="BS87" s="803">
        <f>IFERROR(((BK87+(BN87*BP87))*(IF(ISBLANK(R87),Defaults!$B$19,R87))*P87*T87)*F87*(1/454),0)</f>
        <v>0</v>
      </c>
      <c r="BT87" s="803">
        <f t="shared" si="153"/>
        <v>0</v>
      </c>
      <c r="BU87" s="803">
        <f t="shared" si="154"/>
        <v>0</v>
      </c>
      <c r="BV87" s="812" t="str">
        <f t="shared" si="155"/>
        <v/>
      </c>
      <c r="BW87" s="808" t="str">
        <f t="shared" si="156"/>
        <v/>
      </c>
      <c r="BX87" s="809" t="str">
        <f t="shared" si="157"/>
        <v/>
      </c>
      <c r="BY87" s="808" t="str">
        <f t="shared" si="185"/>
        <v/>
      </c>
      <c r="BZ87" s="810">
        <f t="shared" si="186"/>
        <v>0</v>
      </c>
      <c r="CA87" s="813" t="str">
        <f>IFERROR(VLOOKUP(BZ87,'Pump Emission Factors'!$B$11:$J$88,4,FALSE),"")</f>
        <v/>
      </c>
      <c r="CB87" s="813" t="str">
        <f>IFERROR(VLOOKUP(BZ87,'Pump Emission Factors'!$B$11:$J$88,6,FALSE),"")</f>
        <v/>
      </c>
      <c r="CC87" s="813" t="str">
        <f>IFERROR(VLOOKUP(BZ87,'Pump Emission Factors'!$B$11:$J$88,8,FALSE),"")</f>
        <v/>
      </c>
      <c r="CD87" s="813" t="str">
        <f>IFERROR(VLOOKUP(BZ87,'Pump Emission Factors'!$B$11:$J$88,5,FALSE),"")</f>
        <v/>
      </c>
      <c r="CE87" s="813" t="str">
        <f>IFERROR(VLOOKUP(BZ87,'Pump Emission Factors'!$B$11:$J$88,7,FALSE),"")</f>
        <v/>
      </c>
      <c r="CF87" s="813" t="str">
        <f>IFERROR(VLOOKUP(BZ87,'Pump Emission Factors'!$B$11:$J$88,9,FALSE),"")</f>
        <v/>
      </c>
      <c r="CG87" s="814" t="str">
        <f t="shared" si="158"/>
        <v/>
      </c>
      <c r="CH87" s="814" t="str">
        <f t="shared" si="159"/>
        <v/>
      </c>
      <c r="CI87" s="813">
        <f>IFERROR(IF($X87="ELEC",((($AU87*(IF($H87="DESL",'Fuel-Specific GHG'!$C$14,IF($H87="GAS",'Fuel-Specific GHG'!$C$16,IF($H87="CNG",'Fuel-Specific GHG'!$C$13,IF(OR($H87="LPG",$H87="PROP"),'Fuel-Specific GHG'!$C$19,"")))))*(1/'Fuel-Specific GHG'!$C$15)*(1/3.4)*$F87)*'Grid Electricity'!$D$39)/454),((CA87+(CD87*CH87))*(IF(ISBLANK(AH87),Defaults!$B$19,AH87))*$AF87*$AJ87*$F87)),0)</f>
        <v>0</v>
      </c>
      <c r="CJ87" s="813">
        <f>IFERROR(IF($X87="ELEC",((($AU87*(IF($H87="DESL",'Fuel-Specific GHG'!$C$14,IF($H87="GAS",'Fuel-Specific GHG'!$C$16,IF($H87="CNG",'Fuel-Specific GHG'!$C$13,IF(OR($H87="LPG",$H87="PROP"),'Fuel-Specific GHG'!$C$19,"")))))*(1/'Fuel-Specific GHG'!$C$15)*(1/3.4)*$F87)*'Grid Electricity'!$C$39)/454),((CB87+(CE87*CH87))*(IF(ISBLANK(AH87),Defaults!$B$19,AH87))*$AF87*$AJ87*$F87)),0)</f>
        <v>0</v>
      </c>
      <c r="CK87" s="813">
        <f>IFERROR(IF($X87="ELEC",((($AU87*(IF($H87="DESL",'Fuel-Specific GHG'!$C$14,IF($H87="GAS",'Fuel-Specific GHG'!$C$16,IF($H87="CNG",'Fuel-Specific GHG'!$C$13,IF(OR($H87="LPG",$H87="PROP"),'Fuel-Specific GHG'!$C$19,"")))))*(1/'Fuel-Specific GHG'!$C$15)*(1/3.4)*$F87)*'Grid Electricity'!$F$39)/454),((CC87+(CF87*CH87))*(IF(ISBLANK(AH87),Defaults!$B$19,AH87))*$AF87*$AJ87*$F87)),0)</f>
        <v>0</v>
      </c>
      <c r="CL87" s="813">
        <f t="shared" si="160"/>
        <v>0</v>
      </c>
      <c r="CM87" s="813">
        <f t="shared" si="161"/>
        <v>0</v>
      </c>
      <c r="CN87" s="814" t="str">
        <f t="shared" si="162"/>
        <v/>
      </c>
      <c r="CO87" s="814" t="str">
        <f t="shared" si="163"/>
        <v/>
      </c>
      <c r="CP87" s="814" t="str">
        <f t="shared" si="164"/>
        <v/>
      </c>
      <c r="CQ87" s="814" t="str">
        <f t="shared" si="165"/>
        <v/>
      </c>
      <c r="CR87" s="815" t="str">
        <f>IF(AND(V87="Yes, Booster Pump VFD",AF87&lt;=75),('Pump Emission Factors'!$F$95*F87),(IF(AND(V87="Yes, Booster Pump VFD",AF87&gt;75),('Pump Emission Factors'!$F$96*F87),(IF(AND(V87="Yes, Well Pump VFD",AF87&lt;=75),('Pump Emission Factors'!$F$97*F87),(IF(AND(V87="Yes, Well Pump VFD",AF87&gt;75),('Pump Emission Factors'!$F$98*F87),"")))))))</f>
        <v/>
      </c>
      <c r="CS87" s="815" t="str">
        <f>IF(AND(V87="Yes, Booster Pump VFD",AF87&lt;=75),('Pump Emission Factors'!$G$95*F87),(IF(AND(V87="Yes, Booster Pump VFD",AF87&gt;75),('Pump Emission Factors'!$G$96*F87),(IF(AND(V87="Yes, Well Pump VFD",AF87&lt;=75),('Pump Emission Factors'!$G$97*F87),(IF(AND(V87="Yes, Well Pump VFD",AF87&gt;75),('Pump Emission Factors'!$G$98*F87),"")))))))</f>
        <v/>
      </c>
      <c r="CT87" s="815" t="str">
        <f>IF(AND(V87="Yes, Booster Pump VFD",AF87&lt;=75),('Pump Emission Factors'!$H$95*F87),(IF(AND(V87="Yes, Booster Pump VFD",AF87&gt;75),('Pump Emission Factors'!$H$96*F87),(IF(AND(V87="Yes, Well Pump VFD",AF87&lt;=75),('Pump Emission Factors'!$H$97*F87),(IF(AND(V87="Yes, Well Pump VFD",AF87&gt;75),('Pump Emission Factors'!$H$98*F87),"")))))))</f>
        <v/>
      </c>
      <c r="CU87" s="815" t="str">
        <f>IF(AND(V87="Yes, Booster Pump VFD",AF87&lt;=75),('Pump Emission Factors'!$J$95*F87),(IF(AND(V87="Yes, Booster Pump VFD",AF87&gt;75),('Pump Emission Factors'!$J$96*F87),(IF(AND(V87="Yes, Well Pump VFD",AF87&lt;=75),('Pump Emission Factors'!$J$97*F87),(IF(AND(V87="Yes, Well Pump VFD",AF87&gt;75),('Pump Emission Factors'!$J$98*F87),"")))))))</f>
        <v/>
      </c>
      <c r="CV87" s="815" t="str">
        <f>IF(AND(V87="Yes, Booster Pump VFD",AF87&lt;=75),('Pump Emission Factors'!$I$95*F87),(IF(AND(V87="Yes, Booster Pump VFD",AF87&gt;75),('Pump Emission Factors'!$I$96*F87),(IF(AND(V87="Yes, Well Pump VFD",AF87&lt;=75),('Pump Emission Factors'!$I$97*F87),(IF(AND(V87="Yes, Well Pump VFD",AF87&gt;75),('Pump Emission Factors'!$I$98*F87),"")))))))</f>
        <v/>
      </c>
      <c r="CW87" s="806">
        <f t="shared" si="166"/>
        <v>0</v>
      </c>
      <c r="CX87" s="806">
        <f t="shared" si="167"/>
        <v>0</v>
      </c>
      <c r="CY87" s="806">
        <f t="shared" si="168"/>
        <v>0</v>
      </c>
      <c r="CZ87" s="806">
        <f t="shared" si="169"/>
        <v>0</v>
      </c>
      <c r="DA87" s="806">
        <f t="shared" si="170"/>
        <v>0</v>
      </c>
      <c r="DB87" s="816" t="str">
        <f t="shared" si="187"/>
        <v/>
      </c>
      <c r="DC87" s="816" t="str">
        <f t="shared" si="187"/>
        <v/>
      </c>
      <c r="DD87" s="816" t="str">
        <f t="shared" si="187"/>
        <v/>
      </c>
      <c r="DE87" s="817" t="str">
        <f t="shared" si="171"/>
        <v/>
      </c>
      <c r="DF87" s="817" t="str">
        <f t="shared" si="172"/>
        <v/>
      </c>
      <c r="DG87" s="804" t="str">
        <f t="shared" si="173"/>
        <v/>
      </c>
      <c r="DH87" s="804" t="str">
        <f t="shared" si="174"/>
        <v/>
      </c>
      <c r="DI87" s="818" t="str">
        <f>IF(AO87="","",IF(H87="DESL",AO87*F87*'Fuel Prices'!$C$12,IF(H87="GAS",AO87*F87*'Fuel Prices'!$C$11,IF(H87="CNG",AO87*F87*'Fuel Prices'!$C$13,IF(H87="LNG",AO87*F87*'Fuel Prices'!$C$14,IF(H87="LPG",AO87*F87*'Fuel Prices'!$C$16,IF(H87="PROP",AO87*F87*'Fuel Prices'!$C$16,"0")))))))</f>
        <v/>
      </c>
      <c r="DJ87" s="818" t="str">
        <f>IF(AU87="","",IF(X87="DESL",AU87*F87*'Fuel Prices'!$C$12,IF(X87="GAS",AU87*F87*'Fuel Prices'!$C$11,IF(X87="CNG",AU87*F87*'Fuel Prices'!$C$13,IF(X87="LNG",AU87*F87*'Fuel Prices'!$C$14,IF(X87="LPG",AU87*F87*'Fuel Prices'!$C$16,IF(X87="PROP",AU87*F87*'Fuel Prices'!$C$16,IF(X87="ELEC",AU87*F87*'Fuel Prices'!$C$35,"0"))))))))</f>
        <v/>
      </c>
      <c r="DK87" s="818" t="str">
        <f t="shared" si="175"/>
        <v/>
      </c>
      <c r="DL87" s="818" t="str">
        <f t="shared" si="188"/>
        <v/>
      </c>
      <c r="DM87" s="804" t="str">
        <f t="shared" si="176"/>
        <v/>
      </c>
      <c r="DN87" s="804" t="str">
        <f t="shared" si="177"/>
        <v/>
      </c>
      <c r="DO87" s="804" t="str">
        <f>IFERROR(ROUND(CZ87*IF(COUNTIF($B$20:B87,B87)=1,1,"")/IF(B87="",0,1),0),"")</f>
        <v/>
      </c>
      <c r="DP87" s="804" t="str">
        <f>IFERROR(ROUND(CW87*IF(COUNTIF($B$20:B87,B87)=1,1,"")/IF(B87="",0,1),0),"")</f>
        <v/>
      </c>
      <c r="DQ87" s="804" t="str">
        <f>IFERROR(ROUND(DA87*IF(COUNTIF($B$20:B87,B87)=1,1,"")/IF(B87="",0,1),0),"")</f>
        <v/>
      </c>
      <c r="DR87" s="804" t="str">
        <f>IFERROR(ROUND(CX87*IF(COUNTIF($B$20:B87,B87)=1,1,"")/IF(B87="",0,1),0),"")</f>
        <v/>
      </c>
      <c r="DS87" s="804">
        <f t="shared" si="178"/>
        <v>0</v>
      </c>
      <c r="DT87" s="804">
        <f t="shared" si="179"/>
        <v>0</v>
      </c>
      <c r="DU87" s="804">
        <f t="shared" si="180"/>
        <v>0</v>
      </c>
      <c r="DV87" s="818" t="str">
        <f t="shared" si="189"/>
        <v/>
      </c>
      <c r="DW87" s="819" t="str">
        <f t="shared" si="190"/>
        <v/>
      </c>
    </row>
    <row r="88" spans="1:127" ht="18" customHeight="1" x14ac:dyDescent="0.35">
      <c r="A88" s="635"/>
      <c r="B88" s="820"/>
      <c r="C88" s="825" t="str">
        <f t="shared" si="124"/>
        <v>(Required)</v>
      </c>
      <c r="D88" s="821"/>
      <c r="E88" s="825" t="str">
        <f t="shared" si="124"/>
        <v>(Required)</v>
      </c>
      <c r="F88" s="821"/>
      <c r="G88" s="825" t="str">
        <f t="shared" si="125"/>
        <v>(Required)</v>
      </c>
      <c r="H88" s="822"/>
      <c r="I88" s="825" t="str">
        <f t="shared" si="126"/>
        <v>(Required)</v>
      </c>
      <c r="J88" s="821"/>
      <c r="K88" s="825" t="str">
        <f t="shared" si="127"/>
        <v>(Required)</v>
      </c>
      <c r="L88" s="821"/>
      <c r="M88" s="825" t="str">
        <f t="shared" si="128"/>
        <v>(Required)</v>
      </c>
      <c r="N88" s="821"/>
      <c r="O88" s="825" t="str">
        <f t="shared" si="129"/>
        <v>(Required)</v>
      </c>
      <c r="P88" s="821"/>
      <c r="Q88" s="825" t="str">
        <f t="shared" si="130"/>
        <v>(Required)</v>
      </c>
      <c r="R88" s="823"/>
      <c r="S88" s="826" t="str">
        <f t="shared" si="131"/>
        <v>(Optional)</v>
      </c>
      <c r="T88" s="821"/>
      <c r="U88" s="827" t="str">
        <f t="shared" si="132"/>
        <v>(Required)</v>
      </c>
      <c r="V88" s="828"/>
      <c r="W88" s="799" t="str">
        <f t="shared" si="133"/>
        <v>(Optional)</v>
      </c>
      <c r="X88" s="822"/>
      <c r="Y88" s="825" t="str">
        <f t="shared" si="134"/>
        <v>(Required)</v>
      </c>
      <c r="Z88" s="821"/>
      <c r="AA88" s="825" t="str">
        <f t="shared" si="135"/>
        <v>(Required)</v>
      </c>
      <c r="AB88" s="821"/>
      <c r="AC88" s="825" t="str">
        <f t="shared" si="136"/>
        <v>(Required)</v>
      </c>
      <c r="AD88" s="821"/>
      <c r="AE88" s="825" t="str">
        <f t="shared" si="137"/>
        <v>(Required)</v>
      </c>
      <c r="AF88" s="821"/>
      <c r="AG88" s="825" t="str">
        <f t="shared" si="138"/>
        <v>(Required)</v>
      </c>
      <c r="AH88" s="823"/>
      <c r="AI88" s="826" t="str">
        <f t="shared" si="139"/>
        <v>(Optional)</v>
      </c>
      <c r="AJ88" s="821"/>
      <c r="AK88" s="825" t="str">
        <f t="shared" si="140"/>
        <v>(Required)</v>
      </c>
      <c r="AL88" s="803" t="str">
        <f t="shared" si="141"/>
        <v/>
      </c>
      <c r="AM88" s="803" t="str">
        <f>IF(H88="DESL",'Fuel Density'!$C$12,IF(H88="GAS",'Fuel Density'!$C$11,IF(H88="CNG",'Fuel Density'!$C$13,IF(H88="LNG",'Fuel Density'!$C$14,IF(H88="LPG",'Fuel Density'!$C$15,IF(H88="PROP",'Fuel Density'!$C$16,IF(H88="","","")))))))</f>
        <v/>
      </c>
      <c r="AN88" s="803" t="str">
        <f>IF(H88="DESL",'Fuel-Specific GHG'!$C$14,IF(H88="GAS",'Fuel-Specific GHG'!$C$16,IF(H88="CNG",'Fuel-Specific GHG'!$C$13,IF(H88="LNG",'Fuel-Specific GHG'!$C$18,IF(OR(H88="LPG",H88="PROP"),'Fuel-Specific GHG'!$C$19,IF(H88="","",""))))))</f>
        <v/>
      </c>
      <c r="AO88" s="804" t="str">
        <f>IFERROR(((P88*(IF(ISBLANK(R88),Defaults!$B$19,R88))*T88*AL88)/AM88),"")</f>
        <v/>
      </c>
      <c r="AP88" s="805" t="str">
        <f t="shared" si="142"/>
        <v/>
      </c>
      <c r="AQ88" s="805" t="str">
        <f>IF(H88="DESL",'Fuel-Specific GHG'!$E$14,IF(H88="GAS",'Fuel-Specific GHG'!$E$16,IF(H88="CNG",'Fuel-Specific GHG'!$E$13,IF(H88="LNG",'Fuel-Specific GHG'!$E$18,IF(OR(H88="LPG",H88="PROP"),'Fuel-Specific GHG'!$E$19,"")))))</f>
        <v/>
      </c>
      <c r="AR88" s="805" t="str">
        <f t="shared" si="143"/>
        <v/>
      </c>
      <c r="AS88" s="803" t="str">
        <f t="shared" si="181"/>
        <v/>
      </c>
      <c r="AT88" s="803" t="str">
        <f>IF(X88="DESL",'Fuel Density'!$C$12,IF(X88="PROP",'Fuel Density'!$C$16,IF(X88="GAS",'Fuel Density'!$C$11,IF(X88="CNG",'Fuel Density'!$C$13,IF(X88="LNG",'Fuel Density'!$C$14,IF(X88="LPG",'Fuel Density'!$C$15,IF(X88="","","")))))))</f>
        <v/>
      </c>
      <c r="AU88" s="804" t="str">
        <f>IFERROR(IF(X88="ELEC",AO88*AN88*(1/'Fuel-Specific GHG'!$C$15)*(1/IF(H88="GAS",3.4,IF(H88="DESL",2.7,3))),((AF88*(IF(ISBLANK(AH88),Defaults!$B$19,AH88))*AJ88*AS88)/AT88)),"")</f>
        <v/>
      </c>
      <c r="AV88" s="805" t="str">
        <f t="shared" si="144"/>
        <v/>
      </c>
      <c r="AW88" s="805" t="str">
        <f>IF(X88="DESL",'Fuel-Specific GHG'!$E$14,IF(X88="PROP",'Fuel-Specific GHG'!$E$19,IF(X88="GAS",'Fuel-Specific GHG'!$E$16,IF(X88="CNG",'Fuel-Specific GHG'!$E$13,IF(X88="LNG",'Fuel-Specific GHG'!$E$18,IF(X88="LPG",'Fuel-Specific GHG'!$E$19,IF(X88="ELEC",'Fuel-Specific GHG'!$E$15,"")))))))</f>
        <v/>
      </c>
      <c r="AX88" s="805" t="str">
        <f t="shared" si="145"/>
        <v/>
      </c>
      <c r="AY88" s="806" t="str">
        <f t="shared" si="146"/>
        <v/>
      </c>
      <c r="AZ88" s="806" t="str">
        <f t="shared" si="191"/>
        <v/>
      </c>
      <c r="BA88" s="806" t="str">
        <f t="shared" si="182"/>
        <v/>
      </c>
      <c r="BB88" s="804" t="str">
        <f t="shared" si="147"/>
        <v/>
      </c>
      <c r="BC88" s="807" t="str">
        <f t="shared" si="148"/>
        <v/>
      </c>
      <c r="BD88" s="807"/>
      <c r="BE88" s="808" t="str">
        <f t="shared" si="149"/>
        <v/>
      </c>
      <c r="BF88" s="809" t="str">
        <f t="shared" si="150"/>
        <v/>
      </c>
      <c r="BG88" s="808" t="str">
        <f t="shared" si="183"/>
        <v/>
      </c>
      <c r="BH88" s="810">
        <f t="shared" si="184"/>
        <v>0</v>
      </c>
      <c r="BI88" s="803" t="str">
        <f>IFERROR(VLOOKUP(BH88,'Pump Emission Factors'!$B$11:$J$88,4,FALSE),"")</f>
        <v/>
      </c>
      <c r="BJ88" s="803" t="str">
        <f>IFERROR(VLOOKUP(BH88,'Pump Emission Factors'!$B$11:$J$88,6,FALSE),"")</f>
        <v/>
      </c>
      <c r="BK88" s="803" t="str">
        <f>IFERROR(VLOOKUP(BH88,'Pump Emission Factors'!$B$11:$J$88,8,FALSE),"")</f>
        <v/>
      </c>
      <c r="BL88" s="803" t="str">
        <f>IFERROR(VLOOKUP(BH88,'Pump Emission Factors'!$B$11:$J$88,5,FALSE),"")</f>
        <v/>
      </c>
      <c r="BM88" s="803" t="str">
        <f>IFERROR(VLOOKUP(BH88,'Pump Emission Factors'!$B$11:$J$88,7,FALSE),"")</f>
        <v/>
      </c>
      <c r="BN88" s="803" t="str">
        <f>IFERROR(VLOOKUP(BH88,'Pump Emission Factors'!$B$11:$J$88,9,FALSE),"")</f>
        <v/>
      </c>
      <c r="BO88" s="811" t="str">
        <f t="shared" si="151"/>
        <v/>
      </c>
      <c r="BP88" s="811" t="str">
        <f t="shared" si="152"/>
        <v/>
      </c>
      <c r="BQ88" s="803">
        <f>IFERROR(((BI88+(BL88*BP88))*(IF(ISBLANK(R88),Defaults!$B$19,R88))*P88*T88)*F88*(1/454),0)</f>
        <v>0</v>
      </c>
      <c r="BR88" s="803">
        <f>IFERROR(((BJ88+(BM88*BP88))*(IF(ISBLANK(R88),Defaults!$B$19,R88))*P88*T88)*F88*(1/454),0)</f>
        <v>0</v>
      </c>
      <c r="BS88" s="803">
        <f>IFERROR(((BK88+(BN88*BP88))*(IF(ISBLANK(R88),Defaults!$B$19,R88))*P88*T88)*F88*(1/454),0)</f>
        <v>0</v>
      </c>
      <c r="BT88" s="803">
        <f t="shared" si="153"/>
        <v>0</v>
      </c>
      <c r="BU88" s="803">
        <f t="shared" si="154"/>
        <v>0</v>
      </c>
      <c r="BV88" s="812" t="str">
        <f t="shared" si="155"/>
        <v/>
      </c>
      <c r="BW88" s="808" t="str">
        <f t="shared" si="156"/>
        <v/>
      </c>
      <c r="BX88" s="809" t="str">
        <f t="shared" si="157"/>
        <v/>
      </c>
      <c r="BY88" s="808" t="str">
        <f t="shared" si="185"/>
        <v/>
      </c>
      <c r="BZ88" s="810">
        <f t="shared" si="186"/>
        <v>0</v>
      </c>
      <c r="CA88" s="813" t="str">
        <f>IFERROR(VLOOKUP(BZ88,'Pump Emission Factors'!$B$11:$J$88,4,FALSE),"")</f>
        <v/>
      </c>
      <c r="CB88" s="813" t="str">
        <f>IFERROR(VLOOKUP(BZ88,'Pump Emission Factors'!$B$11:$J$88,6,FALSE),"")</f>
        <v/>
      </c>
      <c r="CC88" s="813" t="str">
        <f>IFERROR(VLOOKUP(BZ88,'Pump Emission Factors'!$B$11:$J$88,8,FALSE),"")</f>
        <v/>
      </c>
      <c r="CD88" s="813" t="str">
        <f>IFERROR(VLOOKUP(BZ88,'Pump Emission Factors'!$B$11:$J$88,5,FALSE),"")</f>
        <v/>
      </c>
      <c r="CE88" s="813" t="str">
        <f>IFERROR(VLOOKUP(BZ88,'Pump Emission Factors'!$B$11:$J$88,7,FALSE),"")</f>
        <v/>
      </c>
      <c r="CF88" s="813" t="str">
        <f>IFERROR(VLOOKUP(BZ88,'Pump Emission Factors'!$B$11:$J$88,9,FALSE),"")</f>
        <v/>
      </c>
      <c r="CG88" s="814" t="str">
        <f t="shared" si="158"/>
        <v/>
      </c>
      <c r="CH88" s="814" t="str">
        <f t="shared" si="159"/>
        <v/>
      </c>
      <c r="CI88" s="813">
        <f>IFERROR(IF($X88="ELEC",((($AU88*(IF($H88="DESL",'Fuel-Specific GHG'!$C$14,IF($H88="GAS",'Fuel-Specific GHG'!$C$16,IF($H88="CNG",'Fuel-Specific GHG'!$C$13,IF(OR($H88="LPG",$H88="PROP"),'Fuel-Specific GHG'!$C$19,"")))))*(1/'Fuel-Specific GHG'!$C$15)*(1/3.4)*$F88)*'Grid Electricity'!$D$39)/454),((CA88+(CD88*CH88))*(IF(ISBLANK(AH88),Defaults!$B$19,AH88))*$AF88*$AJ88*$F88)),0)</f>
        <v>0</v>
      </c>
      <c r="CJ88" s="813">
        <f>IFERROR(IF($X88="ELEC",((($AU88*(IF($H88="DESL",'Fuel-Specific GHG'!$C$14,IF($H88="GAS",'Fuel-Specific GHG'!$C$16,IF($H88="CNG",'Fuel-Specific GHG'!$C$13,IF(OR($H88="LPG",$H88="PROP"),'Fuel-Specific GHG'!$C$19,"")))))*(1/'Fuel-Specific GHG'!$C$15)*(1/3.4)*$F88)*'Grid Electricity'!$C$39)/454),((CB88+(CE88*CH88))*(IF(ISBLANK(AH88),Defaults!$B$19,AH88))*$AF88*$AJ88*$F88)),0)</f>
        <v>0</v>
      </c>
      <c r="CK88" s="813">
        <f>IFERROR(IF($X88="ELEC",((($AU88*(IF($H88="DESL",'Fuel-Specific GHG'!$C$14,IF($H88="GAS",'Fuel-Specific GHG'!$C$16,IF($H88="CNG",'Fuel-Specific GHG'!$C$13,IF(OR($H88="LPG",$H88="PROP"),'Fuel-Specific GHG'!$C$19,"")))))*(1/'Fuel-Specific GHG'!$C$15)*(1/3.4)*$F88)*'Grid Electricity'!$F$39)/454),((CC88+(CF88*CH88))*(IF(ISBLANK(AH88),Defaults!$B$19,AH88))*$AF88*$AJ88*$F88)),0)</f>
        <v>0</v>
      </c>
      <c r="CL88" s="813">
        <f t="shared" si="160"/>
        <v>0</v>
      </c>
      <c r="CM88" s="813">
        <f t="shared" si="161"/>
        <v>0</v>
      </c>
      <c r="CN88" s="814" t="str">
        <f t="shared" si="162"/>
        <v/>
      </c>
      <c r="CO88" s="814" t="str">
        <f t="shared" si="163"/>
        <v/>
      </c>
      <c r="CP88" s="814" t="str">
        <f t="shared" si="164"/>
        <v/>
      </c>
      <c r="CQ88" s="814" t="str">
        <f t="shared" si="165"/>
        <v/>
      </c>
      <c r="CR88" s="815" t="str">
        <f>IF(AND(V88="Yes, Booster Pump VFD",AF88&lt;=75),('Pump Emission Factors'!$F$95*F88),(IF(AND(V88="Yes, Booster Pump VFD",AF88&gt;75),('Pump Emission Factors'!$F$96*F88),(IF(AND(V88="Yes, Well Pump VFD",AF88&lt;=75),('Pump Emission Factors'!$F$97*F88),(IF(AND(V88="Yes, Well Pump VFD",AF88&gt;75),('Pump Emission Factors'!$F$98*F88),"")))))))</f>
        <v/>
      </c>
      <c r="CS88" s="815" t="str">
        <f>IF(AND(V88="Yes, Booster Pump VFD",AF88&lt;=75),('Pump Emission Factors'!$G$95*F88),(IF(AND(V88="Yes, Booster Pump VFD",AF88&gt;75),('Pump Emission Factors'!$G$96*F88),(IF(AND(V88="Yes, Well Pump VFD",AF88&lt;=75),('Pump Emission Factors'!$G$97*F88),(IF(AND(V88="Yes, Well Pump VFD",AF88&gt;75),('Pump Emission Factors'!$G$98*F88),"")))))))</f>
        <v/>
      </c>
      <c r="CT88" s="815" t="str">
        <f>IF(AND(V88="Yes, Booster Pump VFD",AF88&lt;=75),('Pump Emission Factors'!$H$95*F88),(IF(AND(V88="Yes, Booster Pump VFD",AF88&gt;75),('Pump Emission Factors'!$H$96*F88),(IF(AND(V88="Yes, Well Pump VFD",AF88&lt;=75),('Pump Emission Factors'!$H$97*F88),(IF(AND(V88="Yes, Well Pump VFD",AF88&gt;75),('Pump Emission Factors'!$H$98*F88),"")))))))</f>
        <v/>
      </c>
      <c r="CU88" s="815" t="str">
        <f>IF(AND(V88="Yes, Booster Pump VFD",AF88&lt;=75),('Pump Emission Factors'!$J$95*F88),(IF(AND(V88="Yes, Booster Pump VFD",AF88&gt;75),('Pump Emission Factors'!$J$96*F88),(IF(AND(V88="Yes, Well Pump VFD",AF88&lt;=75),('Pump Emission Factors'!$J$97*F88),(IF(AND(V88="Yes, Well Pump VFD",AF88&gt;75),('Pump Emission Factors'!$J$98*F88),"")))))))</f>
        <v/>
      </c>
      <c r="CV88" s="815" t="str">
        <f>IF(AND(V88="Yes, Booster Pump VFD",AF88&lt;=75),('Pump Emission Factors'!$I$95*F88),(IF(AND(V88="Yes, Booster Pump VFD",AF88&gt;75),('Pump Emission Factors'!$I$96*F88),(IF(AND(V88="Yes, Well Pump VFD",AF88&lt;=75),('Pump Emission Factors'!$I$97*F88),(IF(AND(V88="Yes, Well Pump VFD",AF88&gt;75),('Pump Emission Factors'!$I$98*F88),"")))))))</f>
        <v/>
      </c>
      <c r="CW88" s="806">
        <f t="shared" si="166"/>
        <v>0</v>
      </c>
      <c r="CX88" s="806">
        <f t="shared" si="167"/>
        <v>0</v>
      </c>
      <c r="CY88" s="806">
        <f t="shared" si="168"/>
        <v>0</v>
      </c>
      <c r="CZ88" s="806">
        <f t="shared" si="169"/>
        <v>0</v>
      </c>
      <c r="DA88" s="806">
        <f t="shared" si="170"/>
        <v>0</v>
      </c>
      <c r="DB88" s="816" t="str">
        <f t="shared" si="187"/>
        <v/>
      </c>
      <c r="DC88" s="816" t="str">
        <f t="shared" si="187"/>
        <v/>
      </c>
      <c r="DD88" s="816" t="str">
        <f t="shared" si="187"/>
        <v/>
      </c>
      <c r="DE88" s="817" t="str">
        <f t="shared" si="171"/>
        <v/>
      </c>
      <c r="DF88" s="817" t="str">
        <f t="shared" si="172"/>
        <v/>
      </c>
      <c r="DG88" s="804" t="str">
        <f t="shared" si="173"/>
        <v/>
      </c>
      <c r="DH88" s="804" t="str">
        <f t="shared" si="174"/>
        <v/>
      </c>
      <c r="DI88" s="818" t="str">
        <f>IF(AO88="","",IF(H88="DESL",AO88*F88*'Fuel Prices'!$C$12,IF(H88="GAS",AO88*F88*'Fuel Prices'!$C$11,IF(H88="CNG",AO88*F88*'Fuel Prices'!$C$13,IF(H88="LNG",AO88*F88*'Fuel Prices'!$C$14,IF(H88="LPG",AO88*F88*'Fuel Prices'!$C$16,IF(H88="PROP",AO88*F88*'Fuel Prices'!$C$16,"0")))))))</f>
        <v/>
      </c>
      <c r="DJ88" s="818" t="str">
        <f>IF(AU88="","",IF(X88="DESL",AU88*F88*'Fuel Prices'!$C$12,IF(X88="GAS",AU88*F88*'Fuel Prices'!$C$11,IF(X88="CNG",AU88*F88*'Fuel Prices'!$C$13,IF(X88="LNG",AU88*F88*'Fuel Prices'!$C$14,IF(X88="LPG",AU88*F88*'Fuel Prices'!$C$16,IF(X88="PROP",AU88*F88*'Fuel Prices'!$C$16,IF(X88="ELEC",AU88*F88*'Fuel Prices'!$C$35,"0"))))))))</f>
        <v/>
      </c>
      <c r="DK88" s="818" t="str">
        <f t="shared" si="175"/>
        <v/>
      </c>
      <c r="DL88" s="818" t="str">
        <f t="shared" si="188"/>
        <v/>
      </c>
      <c r="DM88" s="804" t="str">
        <f t="shared" si="176"/>
        <v/>
      </c>
      <c r="DN88" s="804" t="str">
        <f t="shared" si="177"/>
        <v/>
      </c>
      <c r="DO88" s="804" t="str">
        <f>IFERROR(ROUND(CZ88*IF(COUNTIF($B$20:B88,B88)=1,1,"")/IF(B88="",0,1),0),"")</f>
        <v/>
      </c>
      <c r="DP88" s="804" t="str">
        <f>IFERROR(ROUND(CW88*IF(COUNTIF($B$20:B88,B88)=1,1,"")/IF(B88="",0,1),0),"")</f>
        <v/>
      </c>
      <c r="DQ88" s="804" t="str">
        <f>IFERROR(ROUND(DA88*IF(COUNTIF($B$20:B88,B88)=1,1,"")/IF(B88="",0,1),0),"")</f>
        <v/>
      </c>
      <c r="DR88" s="804" t="str">
        <f>IFERROR(ROUND(CX88*IF(COUNTIF($B$20:B88,B88)=1,1,"")/IF(B88="",0,1),0),"")</f>
        <v/>
      </c>
      <c r="DS88" s="804">
        <f t="shared" si="178"/>
        <v>0</v>
      </c>
      <c r="DT88" s="804">
        <f t="shared" si="179"/>
        <v>0</v>
      </c>
      <c r="DU88" s="804">
        <f t="shared" si="180"/>
        <v>0</v>
      </c>
      <c r="DV88" s="818" t="str">
        <f t="shared" si="189"/>
        <v/>
      </c>
      <c r="DW88" s="819" t="str">
        <f t="shared" si="190"/>
        <v/>
      </c>
    </row>
    <row r="89" spans="1:127" ht="18" customHeight="1" x14ac:dyDescent="0.35">
      <c r="A89" s="696"/>
      <c r="B89" s="820"/>
      <c r="C89" s="825" t="str">
        <f t="shared" si="124"/>
        <v>(Required)</v>
      </c>
      <c r="D89" s="821"/>
      <c r="E89" s="825" t="str">
        <f t="shared" si="124"/>
        <v>(Required)</v>
      </c>
      <c r="F89" s="821"/>
      <c r="G89" s="825" t="str">
        <f t="shared" si="125"/>
        <v>(Required)</v>
      </c>
      <c r="H89" s="822"/>
      <c r="I89" s="825" t="str">
        <f t="shared" si="126"/>
        <v>(Required)</v>
      </c>
      <c r="J89" s="821"/>
      <c r="K89" s="825" t="str">
        <f t="shared" si="127"/>
        <v>(Required)</v>
      </c>
      <c r="L89" s="821"/>
      <c r="M89" s="825" t="str">
        <f t="shared" si="128"/>
        <v>(Required)</v>
      </c>
      <c r="N89" s="821"/>
      <c r="O89" s="825" t="str">
        <f t="shared" si="129"/>
        <v>(Required)</v>
      </c>
      <c r="P89" s="821"/>
      <c r="Q89" s="825" t="str">
        <f t="shared" si="130"/>
        <v>(Required)</v>
      </c>
      <c r="R89" s="823"/>
      <c r="S89" s="826" t="str">
        <f t="shared" si="131"/>
        <v>(Optional)</v>
      </c>
      <c r="T89" s="821"/>
      <c r="U89" s="827" t="str">
        <f t="shared" si="132"/>
        <v>(Required)</v>
      </c>
      <c r="V89" s="828"/>
      <c r="W89" s="799" t="str">
        <f t="shared" si="133"/>
        <v>(Optional)</v>
      </c>
      <c r="X89" s="822"/>
      <c r="Y89" s="825" t="str">
        <f t="shared" si="134"/>
        <v>(Required)</v>
      </c>
      <c r="Z89" s="821"/>
      <c r="AA89" s="825" t="str">
        <f t="shared" si="135"/>
        <v>(Required)</v>
      </c>
      <c r="AB89" s="821"/>
      <c r="AC89" s="825" t="str">
        <f t="shared" si="136"/>
        <v>(Required)</v>
      </c>
      <c r="AD89" s="821"/>
      <c r="AE89" s="825" t="str">
        <f t="shared" si="137"/>
        <v>(Required)</v>
      </c>
      <c r="AF89" s="821"/>
      <c r="AG89" s="825" t="str">
        <f t="shared" si="138"/>
        <v>(Required)</v>
      </c>
      <c r="AH89" s="823"/>
      <c r="AI89" s="826" t="str">
        <f t="shared" si="139"/>
        <v>(Optional)</v>
      </c>
      <c r="AJ89" s="821"/>
      <c r="AK89" s="825" t="str">
        <f t="shared" si="140"/>
        <v>(Required)</v>
      </c>
      <c r="AL89" s="803" t="str">
        <f t="shared" si="141"/>
        <v/>
      </c>
      <c r="AM89" s="803" t="str">
        <f>IF(H89="DESL",'Fuel Density'!$C$12,IF(H89="GAS",'Fuel Density'!$C$11,IF(H89="CNG",'Fuel Density'!$C$13,IF(H89="LNG",'Fuel Density'!$C$14,IF(H89="LPG",'Fuel Density'!$C$15,IF(H89="PROP",'Fuel Density'!$C$16,IF(H89="","","")))))))</f>
        <v/>
      </c>
      <c r="AN89" s="803" t="str">
        <f>IF(H89="DESL",'Fuel-Specific GHG'!$C$14,IF(H89="GAS",'Fuel-Specific GHG'!$C$16,IF(H89="CNG",'Fuel-Specific GHG'!$C$13,IF(H89="LNG",'Fuel-Specific GHG'!$C$18,IF(OR(H89="LPG",H89="PROP"),'Fuel-Specific GHG'!$C$19,IF(H89="","",""))))))</f>
        <v/>
      </c>
      <c r="AO89" s="804" t="str">
        <f>IFERROR(((P89*(IF(ISBLANK(R89),Defaults!$B$19,R89))*T89*AL89)/AM89),"")</f>
        <v/>
      </c>
      <c r="AP89" s="805" t="str">
        <f t="shared" si="142"/>
        <v/>
      </c>
      <c r="AQ89" s="805" t="str">
        <f>IF(H89="DESL",'Fuel-Specific GHG'!$E$14,IF(H89="GAS",'Fuel-Specific GHG'!$E$16,IF(H89="CNG",'Fuel-Specific GHG'!$E$13,IF(H89="LNG",'Fuel-Specific GHG'!$E$18,IF(OR(H89="LPG",H89="PROP"),'Fuel-Specific GHG'!$E$19,"")))))</f>
        <v/>
      </c>
      <c r="AR89" s="805" t="str">
        <f t="shared" si="143"/>
        <v/>
      </c>
      <c r="AS89" s="803" t="str">
        <f t="shared" si="181"/>
        <v/>
      </c>
      <c r="AT89" s="803" t="str">
        <f>IF(X89="DESL",'Fuel Density'!$C$12,IF(X89="PROP",'Fuel Density'!$C$16,IF(X89="GAS",'Fuel Density'!$C$11,IF(X89="CNG",'Fuel Density'!$C$13,IF(X89="LNG",'Fuel Density'!$C$14,IF(X89="LPG",'Fuel Density'!$C$15,IF(X89="","","")))))))</f>
        <v/>
      </c>
      <c r="AU89" s="804" t="str">
        <f>IFERROR(IF(X89="ELEC",AO89*AN89*(1/'Fuel-Specific GHG'!$C$15)*(1/IF(H89="GAS",3.4,IF(H89="DESL",2.7,3))),((AF89*(IF(ISBLANK(AH89),Defaults!$B$19,AH89))*AJ89*AS89)/AT89)),"")</f>
        <v/>
      </c>
      <c r="AV89" s="805" t="str">
        <f t="shared" si="144"/>
        <v/>
      </c>
      <c r="AW89" s="805" t="str">
        <f>IF(X89="DESL",'Fuel-Specific GHG'!$E$14,IF(X89="PROP",'Fuel-Specific GHG'!$E$19,IF(X89="GAS",'Fuel-Specific GHG'!$E$16,IF(X89="CNG",'Fuel-Specific GHG'!$E$13,IF(X89="LNG",'Fuel-Specific GHG'!$E$18,IF(X89="LPG",'Fuel-Specific GHG'!$E$19,IF(X89="ELEC",'Fuel-Specific GHG'!$E$15,"")))))))</f>
        <v/>
      </c>
      <c r="AX89" s="805" t="str">
        <f t="shared" si="145"/>
        <v/>
      </c>
      <c r="AY89" s="806" t="str">
        <f t="shared" si="146"/>
        <v/>
      </c>
      <c r="AZ89" s="806" t="str">
        <f t="shared" si="191"/>
        <v/>
      </c>
      <c r="BA89" s="806" t="str">
        <f t="shared" si="182"/>
        <v/>
      </c>
      <c r="BB89" s="804" t="str">
        <f t="shared" si="147"/>
        <v/>
      </c>
      <c r="BC89" s="807" t="str">
        <f t="shared" si="148"/>
        <v/>
      </c>
      <c r="BD89" s="807"/>
      <c r="BE89" s="808" t="str">
        <f t="shared" si="149"/>
        <v/>
      </c>
      <c r="BF89" s="809" t="str">
        <f t="shared" si="150"/>
        <v/>
      </c>
      <c r="BG89" s="808" t="str">
        <f t="shared" si="183"/>
        <v/>
      </c>
      <c r="BH89" s="810">
        <f t="shared" si="184"/>
        <v>0</v>
      </c>
      <c r="BI89" s="803" t="str">
        <f>IFERROR(VLOOKUP(BH89,'Pump Emission Factors'!$B$11:$J$88,4,FALSE),"")</f>
        <v/>
      </c>
      <c r="BJ89" s="803" t="str">
        <f>IFERROR(VLOOKUP(BH89,'Pump Emission Factors'!$B$11:$J$88,6,FALSE),"")</f>
        <v/>
      </c>
      <c r="BK89" s="803" t="str">
        <f>IFERROR(VLOOKUP(BH89,'Pump Emission Factors'!$B$11:$J$88,8,FALSE),"")</f>
        <v/>
      </c>
      <c r="BL89" s="803" t="str">
        <f>IFERROR(VLOOKUP(BH89,'Pump Emission Factors'!$B$11:$J$88,5,FALSE),"")</f>
        <v/>
      </c>
      <c r="BM89" s="803" t="str">
        <f>IFERROR(VLOOKUP(BH89,'Pump Emission Factors'!$B$11:$J$88,7,FALSE),"")</f>
        <v/>
      </c>
      <c r="BN89" s="803" t="str">
        <f>IFERROR(VLOOKUP(BH89,'Pump Emission Factors'!$B$11:$J$88,9,FALSE),"")</f>
        <v/>
      </c>
      <c r="BO89" s="811" t="str">
        <f t="shared" si="151"/>
        <v/>
      </c>
      <c r="BP89" s="811" t="str">
        <f t="shared" si="152"/>
        <v/>
      </c>
      <c r="BQ89" s="803">
        <f>IFERROR(((BI89+(BL89*BP89))*(IF(ISBLANK(R89),Defaults!$B$19,R89))*P89*T89)*F89*(1/454),0)</f>
        <v>0</v>
      </c>
      <c r="BR89" s="803">
        <f>IFERROR(((BJ89+(BM89*BP89))*(IF(ISBLANK(R89),Defaults!$B$19,R89))*P89*T89)*F89*(1/454),0)</f>
        <v>0</v>
      </c>
      <c r="BS89" s="803">
        <f>IFERROR(((BK89+(BN89*BP89))*(IF(ISBLANK(R89),Defaults!$B$19,R89))*P89*T89)*F89*(1/454),0)</f>
        <v>0</v>
      </c>
      <c r="BT89" s="803">
        <f t="shared" si="153"/>
        <v>0</v>
      </c>
      <c r="BU89" s="803">
        <f t="shared" si="154"/>
        <v>0</v>
      </c>
      <c r="BV89" s="812" t="str">
        <f t="shared" si="155"/>
        <v/>
      </c>
      <c r="BW89" s="808" t="str">
        <f t="shared" si="156"/>
        <v/>
      </c>
      <c r="BX89" s="809" t="str">
        <f t="shared" si="157"/>
        <v/>
      </c>
      <c r="BY89" s="808" t="str">
        <f t="shared" si="185"/>
        <v/>
      </c>
      <c r="BZ89" s="810">
        <f t="shared" si="186"/>
        <v>0</v>
      </c>
      <c r="CA89" s="813" t="str">
        <f>IFERROR(VLOOKUP(BZ89,'Pump Emission Factors'!$B$11:$J$88,4,FALSE),"")</f>
        <v/>
      </c>
      <c r="CB89" s="813" t="str">
        <f>IFERROR(VLOOKUP(BZ89,'Pump Emission Factors'!$B$11:$J$88,6,FALSE),"")</f>
        <v/>
      </c>
      <c r="CC89" s="813" t="str">
        <f>IFERROR(VLOOKUP(BZ89,'Pump Emission Factors'!$B$11:$J$88,8,FALSE),"")</f>
        <v/>
      </c>
      <c r="CD89" s="813" t="str">
        <f>IFERROR(VLOOKUP(BZ89,'Pump Emission Factors'!$B$11:$J$88,5,FALSE),"")</f>
        <v/>
      </c>
      <c r="CE89" s="813" t="str">
        <f>IFERROR(VLOOKUP(BZ89,'Pump Emission Factors'!$B$11:$J$88,7,FALSE),"")</f>
        <v/>
      </c>
      <c r="CF89" s="813" t="str">
        <f>IFERROR(VLOOKUP(BZ89,'Pump Emission Factors'!$B$11:$J$88,9,FALSE),"")</f>
        <v/>
      </c>
      <c r="CG89" s="814" t="str">
        <f t="shared" si="158"/>
        <v/>
      </c>
      <c r="CH89" s="814" t="str">
        <f t="shared" si="159"/>
        <v/>
      </c>
      <c r="CI89" s="813">
        <f>IFERROR(IF($X89="ELEC",((($AU89*(IF($H89="DESL",'Fuel-Specific GHG'!$C$14,IF($H89="GAS",'Fuel-Specific GHG'!$C$16,IF($H89="CNG",'Fuel-Specific GHG'!$C$13,IF(OR($H89="LPG",$H89="PROP"),'Fuel-Specific GHG'!$C$19,"")))))*(1/'Fuel-Specific GHG'!$C$15)*(1/3.4)*$F89)*'Grid Electricity'!$D$39)/454),((CA89+(CD89*CH89))*(IF(ISBLANK(AH89),Defaults!$B$19,AH89))*$AF89*$AJ89*$F89)),0)</f>
        <v>0</v>
      </c>
      <c r="CJ89" s="813">
        <f>IFERROR(IF($X89="ELEC",((($AU89*(IF($H89="DESL",'Fuel-Specific GHG'!$C$14,IF($H89="GAS",'Fuel-Specific GHG'!$C$16,IF($H89="CNG",'Fuel-Specific GHG'!$C$13,IF(OR($H89="LPG",$H89="PROP"),'Fuel-Specific GHG'!$C$19,"")))))*(1/'Fuel-Specific GHG'!$C$15)*(1/3.4)*$F89)*'Grid Electricity'!$C$39)/454),((CB89+(CE89*CH89))*(IF(ISBLANK(AH89),Defaults!$B$19,AH89))*$AF89*$AJ89*$F89)),0)</f>
        <v>0</v>
      </c>
      <c r="CK89" s="813">
        <f>IFERROR(IF($X89="ELEC",((($AU89*(IF($H89="DESL",'Fuel-Specific GHG'!$C$14,IF($H89="GAS",'Fuel-Specific GHG'!$C$16,IF($H89="CNG",'Fuel-Specific GHG'!$C$13,IF(OR($H89="LPG",$H89="PROP"),'Fuel-Specific GHG'!$C$19,"")))))*(1/'Fuel-Specific GHG'!$C$15)*(1/3.4)*$F89)*'Grid Electricity'!$F$39)/454),((CC89+(CF89*CH89))*(IF(ISBLANK(AH89),Defaults!$B$19,AH89))*$AF89*$AJ89*$F89)),0)</f>
        <v>0</v>
      </c>
      <c r="CL89" s="813">
        <f t="shared" si="160"/>
        <v>0</v>
      </c>
      <c r="CM89" s="813">
        <f t="shared" si="161"/>
        <v>0</v>
      </c>
      <c r="CN89" s="814" t="str">
        <f t="shared" si="162"/>
        <v/>
      </c>
      <c r="CO89" s="814" t="str">
        <f t="shared" si="163"/>
        <v/>
      </c>
      <c r="CP89" s="814" t="str">
        <f t="shared" si="164"/>
        <v/>
      </c>
      <c r="CQ89" s="814" t="str">
        <f t="shared" si="165"/>
        <v/>
      </c>
      <c r="CR89" s="815" t="str">
        <f>IF(AND(V89="Yes, Booster Pump VFD",AF89&lt;=75),('Pump Emission Factors'!$F$95*F89),(IF(AND(V89="Yes, Booster Pump VFD",AF89&gt;75),('Pump Emission Factors'!$F$96*F89),(IF(AND(V89="Yes, Well Pump VFD",AF89&lt;=75),('Pump Emission Factors'!$F$97*F89),(IF(AND(V89="Yes, Well Pump VFD",AF89&gt;75),('Pump Emission Factors'!$F$98*F89),"")))))))</f>
        <v/>
      </c>
      <c r="CS89" s="815" t="str">
        <f>IF(AND(V89="Yes, Booster Pump VFD",AF89&lt;=75),('Pump Emission Factors'!$G$95*F89),(IF(AND(V89="Yes, Booster Pump VFD",AF89&gt;75),('Pump Emission Factors'!$G$96*F89),(IF(AND(V89="Yes, Well Pump VFD",AF89&lt;=75),('Pump Emission Factors'!$G$97*F89),(IF(AND(V89="Yes, Well Pump VFD",AF89&gt;75),('Pump Emission Factors'!$G$98*F89),"")))))))</f>
        <v/>
      </c>
      <c r="CT89" s="815" t="str">
        <f>IF(AND(V89="Yes, Booster Pump VFD",AF89&lt;=75),('Pump Emission Factors'!$H$95*F89),(IF(AND(V89="Yes, Booster Pump VFD",AF89&gt;75),('Pump Emission Factors'!$H$96*F89),(IF(AND(V89="Yes, Well Pump VFD",AF89&lt;=75),('Pump Emission Factors'!$H$97*F89),(IF(AND(V89="Yes, Well Pump VFD",AF89&gt;75),('Pump Emission Factors'!$H$98*F89),"")))))))</f>
        <v/>
      </c>
      <c r="CU89" s="815" t="str">
        <f>IF(AND(V89="Yes, Booster Pump VFD",AF89&lt;=75),('Pump Emission Factors'!$J$95*F89),(IF(AND(V89="Yes, Booster Pump VFD",AF89&gt;75),('Pump Emission Factors'!$J$96*F89),(IF(AND(V89="Yes, Well Pump VFD",AF89&lt;=75),('Pump Emission Factors'!$J$97*F89),(IF(AND(V89="Yes, Well Pump VFD",AF89&gt;75),('Pump Emission Factors'!$J$98*F89),"")))))))</f>
        <v/>
      </c>
      <c r="CV89" s="815" t="str">
        <f>IF(AND(V89="Yes, Booster Pump VFD",AF89&lt;=75),('Pump Emission Factors'!$I$95*F89),(IF(AND(V89="Yes, Booster Pump VFD",AF89&gt;75),('Pump Emission Factors'!$I$96*F89),(IF(AND(V89="Yes, Well Pump VFD",AF89&lt;=75),('Pump Emission Factors'!$I$97*F89),(IF(AND(V89="Yes, Well Pump VFD",AF89&gt;75),('Pump Emission Factors'!$I$98*F89),"")))))))</f>
        <v/>
      </c>
      <c r="CW89" s="806">
        <f t="shared" si="166"/>
        <v>0</v>
      </c>
      <c r="CX89" s="806">
        <f t="shared" si="167"/>
        <v>0</v>
      </c>
      <c r="CY89" s="806">
        <f t="shared" si="168"/>
        <v>0</v>
      </c>
      <c r="CZ89" s="806">
        <f t="shared" si="169"/>
        <v>0</v>
      </c>
      <c r="DA89" s="806">
        <f t="shared" si="170"/>
        <v>0</v>
      </c>
      <c r="DB89" s="816" t="str">
        <f t="shared" si="187"/>
        <v/>
      </c>
      <c r="DC89" s="816" t="str">
        <f t="shared" si="187"/>
        <v/>
      </c>
      <c r="DD89" s="816" t="str">
        <f t="shared" si="187"/>
        <v/>
      </c>
      <c r="DE89" s="817" t="str">
        <f t="shared" si="171"/>
        <v/>
      </c>
      <c r="DF89" s="817" t="str">
        <f t="shared" si="172"/>
        <v/>
      </c>
      <c r="DG89" s="804" t="str">
        <f t="shared" si="173"/>
        <v/>
      </c>
      <c r="DH89" s="804" t="str">
        <f t="shared" si="174"/>
        <v/>
      </c>
      <c r="DI89" s="818" t="str">
        <f>IF(AO89="","",IF(H89="DESL",AO89*F89*'Fuel Prices'!$C$12,IF(H89="GAS",AO89*F89*'Fuel Prices'!$C$11,IF(H89="CNG",AO89*F89*'Fuel Prices'!$C$13,IF(H89="LNG",AO89*F89*'Fuel Prices'!$C$14,IF(H89="LPG",AO89*F89*'Fuel Prices'!$C$16,IF(H89="PROP",AO89*F89*'Fuel Prices'!$C$16,"0")))))))</f>
        <v/>
      </c>
      <c r="DJ89" s="818" t="str">
        <f>IF(AU89="","",IF(X89="DESL",AU89*F89*'Fuel Prices'!$C$12,IF(X89="GAS",AU89*F89*'Fuel Prices'!$C$11,IF(X89="CNG",AU89*F89*'Fuel Prices'!$C$13,IF(X89="LNG",AU89*F89*'Fuel Prices'!$C$14,IF(X89="LPG",AU89*F89*'Fuel Prices'!$C$16,IF(X89="PROP",AU89*F89*'Fuel Prices'!$C$16,IF(X89="ELEC",AU89*F89*'Fuel Prices'!$C$35,"0"))))))))</f>
        <v/>
      </c>
      <c r="DK89" s="818" t="str">
        <f t="shared" si="175"/>
        <v/>
      </c>
      <c r="DL89" s="818" t="str">
        <f t="shared" si="188"/>
        <v/>
      </c>
      <c r="DM89" s="804" t="str">
        <f t="shared" si="176"/>
        <v/>
      </c>
      <c r="DN89" s="804" t="str">
        <f t="shared" si="177"/>
        <v/>
      </c>
      <c r="DO89" s="804" t="str">
        <f>IFERROR(ROUND(CZ89*IF(COUNTIF($B$20:B89,B89)=1,1,"")/IF(B89="",0,1),0),"")</f>
        <v/>
      </c>
      <c r="DP89" s="804" t="str">
        <f>IFERROR(ROUND(CW89*IF(COUNTIF($B$20:B89,B89)=1,1,"")/IF(B89="",0,1),0),"")</f>
        <v/>
      </c>
      <c r="DQ89" s="804" t="str">
        <f>IFERROR(ROUND(DA89*IF(COUNTIF($B$20:B89,B89)=1,1,"")/IF(B89="",0,1),0),"")</f>
        <v/>
      </c>
      <c r="DR89" s="804" t="str">
        <f>IFERROR(ROUND(CX89*IF(COUNTIF($B$20:B89,B89)=1,1,"")/IF(B89="",0,1),0),"")</f>
        <v/>
      </c>
      <c r="DS89" s="804">
        <f t="shared" si="178"/>
        <v>0</v>
      </c>
      <c r="DT89" s="804">
        <f t="shared" si="179"/>
        <v>0</v>
      </c>
      <c r="DU89" s="804">
        <f t="shared" si="180"/>
        <v>0</v>
      </c>
      <c r="DV89" s="818" t="str">
        <f t="shared" si="189"/>
        <v/>
      </c>
      <c r="DW89" s="819" t="str">
        <f t="shared" si="190"/>
        <v/>
      </c>
    </row>
    <row r="90" spans="1:127" ht="18" customHeight="1" x14ac:dyDescent="0.35">
      <c r="A90" s="635"/>
      <c r="B90" s="820"/>
      <c r="C90" s="825" t="str">
        <f t="shared" si="124"/>
        <v>(Required)</v>
      </c>
      <c r="D90" s="821"/>
      <c r="E90" s="825" t="str">
        <f t="shared" si="124"/>
        <v>(Required)</v>
      </c>
      <c r="F90" s="821"/>
      <c r="G90" s="825" t="str">
        <f t="shared" si="125"/>
        <v>(Required)</v>
      </c>
      <c r="H90" s="822"/>
      <c r="I90" s="825" t="str">
        <f t="shared" si="126"/>
        <v>(Required)</v>
      </c>
      <c r="J90" s="821"/>
      <c r="K90" s="825" t="str">
        <f t="shared" si="127"/>
        <v>(Required)</v>
      </c>
      <c r="L90" s="821"/>
      <c r="M90" s="825" t="str">
        <f t="shared" si="128"/>
        <v>(Required)</v>
      </c>
      <c r="N90" s="821"/>
      <c r="O90" s="825" t="str">
        <f t="shared" si="129"/>
        <v>(Required)</v>
      </c>
      <c r="P90" s="821"/>
      <c r="Q90" s="825" t="str">
        <f t="shared" si="130"/>
        <v>(Required)</v>
      </c>
      <c r="R90" s="823"/>
      <c r="S90" s="826" t="str">
        <f t="shared" si="131"/>
        <v>(Optional)</v>
      </c>
      <c r="T90" s="821"/>
      <c r="U90" s="827" t="str">
        <f t="shared" si="132"/>
        <v>(Required)</v>
      </c>
      <c r="V90" s="828"/>
      <c r="W90" s="799" t="str">
        <f t="shared" si="133"/>
        <v>(Optional)</v>
      </c>
      <c r="X90" s="822"/>
      <c r="Y90" s="825" t="str">
        <f t="shared" si="134"/>
        <v>(Required)</v>
      </c>
      <c r="Z90" s="821"/>
      <c r="AA90" s="825" t="str">
        <f t="shared" si="135"/>
        <v>(Required)</v>
      </c>
      <c r="AB90" s="821"/>
      <c r="AC90" s="825" t="str">
        <f t="shared" si="136"/>
        <v>(Required)</v>
      </c>
      <c r="AD90" s="821"/>
      <c r="AE90" s="825" t="str">
        <f t="shared" si="137"/>
        <v>(Required)</v>
      </c>
      <c r="AF90" s="821"/>
      <c r="AG90" s="825" t="str">
        <f t="shared" si="138"/>
        <v>(Required)</v>
      </c>
      <c r="AH90" s="823"/>
      <c r="AI90" s="826" t="str">
        <f t="shared" si="139"/>
        <v>(Optional)</v>
      </c>
      <c r="AJ90" s="821"/>
      <c r="AK90" s="825" t="str">
        <f t="shared" si="140"/>
        <v>(Required)</v>
      </c>
      <c r="AL90" s="803" t="str">
        <f t="shared" si="141"/>
        <v/>
      </c>
      <c r="AM90" s="803" t="str">
        <f>IF(H90="DESL",'Fuel Density'!$C$12,IF(H90="GAS",'Fuel Density'!$C$11,IF(H90="CNG",'Fuel Density'!$C$13,IF(H90="LNG",'Fuel Density'!$C$14,IF(H90="LPG",'Fuel Density'!$C$15,IF(H90="PROP",'Fuel Density'!$C$16,IF(H90="","","")))))))</f>
        <v/>
      </c>
      <c r="AN90" s="803" t="str">
        <f>IF(H90="DESL",'Fuel-Specific GHG'!$C$14,IF(H90="GAS",'Fuel-Specific GHG'!$C$16,IF(H90="CNG",'Fuel-Specific GHG'!$C$13,IF(H90="LNG",'Fuel-Specific GHG'!$C$18,IF(OR(H90="LPG",H90="PROP"),'Fuel-Specific GHG'!$C$19,IF(H90="","",""))))))</f>
        <v/>
      </c>
      <c r="AO90" s="804" t="str">
        <f>IFERROR(((P90*(IF(ISBLANK(R90),Defaults!$B$19,R90))*T90*AL90)/AM90),"")</f>
        <v/>
      </c>
      <c r="AP90" s="805" t="str">
        <f t="shared" si="142"/>
        <v/>
      </c>
      <c r="AQ90" s="805" t="str">
        <f>IF(H90="DESL",'Fuel-Specific GHG'!$E$14,IF(H90="GAS",'Fuel-Specific GHG'!$E$16,IF(H90="CNG",'Fuel-Specific GHG'!$E$13,IF(H90="LNG",'Fuel-Specific GHG'!$E$18,IF(OR(H90="LPG",H90="PROP"),'Fuel-Specific GHG'!$E$19,"")))))</f>
        <v/>
      </c>
      <c r="AR90" s="805" t="str">
        <f t="shared" si="143"/>
        <v/>
      </c>
      <c r="AS90" s="803" t="str">
        <f t="shared" si="181"/>
        <v/>
      </c>
      <c r="AT90" s="803" t="str">
        <f>IF(X90="DESL",'Fuel Density'!$C$12,IF(X90="PROP",'Fuel Density'!$C$16,IF(X90="GAS",'Fuel Density'!$C$11,IF(X90="CNG",'Fuel Density'!$C$13,IF(X90="LNG",'Fuel Density'!$C$14,IF(X90="LPG",'Fuel Density'!$C$15,IF(X90="","","")))))))</f>
        <v/>
      </c>
      <c r="AU90" s="804" t="str">
        <f>IFERROR(IF(X90="ELEC",AO90*AN90*(1/'Fuel-Specific GHG'!$C$15)*(1/IF(H90="GAS",3.4,IF(H90="DESL",2.7,3))),((AF90*(IF(ISBLANK(AH90),Defaults!$B$19,AH90))*AJ90*AS90)/AT90)),"")</f>
        <v/>
      </c>
      <c r="AV90" s="805" t="str">
        <f t="shared" si="144"/>
        <v/>
      </c>
      <c r="AW90" s="805" t="str">
        <f>IF(X90="DESL",'Fuel-Specific GHG'!$E$14,IF(X90="PROP",'Fuel-Specific GHG'!$E$19,IF(X90="GAS",'Fuel-Specific GHG'!$E$16,IF(X90="CNG",'Fuel-Specific GHG'!$E$13,IF(X90="LNG",'Fuel-Specific GHG'!$E$18,IF(X90="LPG",'Fuel-Specific GHG'!$E$19,IF(X90="ELEC",'Fuel-Specific GHG'!$E$15,"")))))))</f>
        <v/>
      </c>
      <c r="AX90" s="805" t="str">
        <f t="shared" si="145"/>
        <v/>
      </c>
      <c r="AY90" s="806" t="str">
        <f t="shared" si="146"/>
        <v/>
      </c>
      <c r="AZ90" s="806" t="str">
        <f t="shared" si="191"/>
        <v/>
      </c>
      <c r="BA90" s="806" t="str">
        <f t="shared" si="182"/>
        <v/>
      </c>
      <c r="BB90" s="804" t="str">
        <f t="shared" si="147"/>
        <v/>
      </c>
      <c r="BC90" s="807" t="str">
        <f t="shared" si="148"/>
        <v/>
      </c>
      <c r="BD90" s="807"/>
      <c r="BE90" s="808" t="str">
        <f t="shared" si="149"/>
        <v/>
      </c>
      <c r="BF90" s="809" t="str">
        <f t="shared" si="150"/>
        <v/>
      </c>
      <c r="BG90" s="808" t="str">
        <f t="shared" si="183"/>
        <v/>
      </c>
      <c r="BH90" s="810">
        <f t="shared" si="184"/>
        <v>0</v>
      </c>
      <c r="BI90" s="803" t="str">
        <f>IFERROR(VLOOKUP(BH90,'Pump Emission Factors'!$B$11:$J$88,4,FALSE),"")</f>
        <v/>
      </c>
      <c r="BJ90" s="803" t="str">
        <f>IFERROR(VLOOKUP(BH90,'Pump Emission Factors'!$B$11:$J$88,6,FALSE),"")</f>
        <v/>
      </c>
      <c r="BK90" s="803" t="str">
        <f>IFERROR(VLOOKUP(BH90,'Pump Emission Factors'!$B$11:$J$88,8,FALSE),"")</f>
        <v/>
      </c>
      <c r="BL90" s="803" t="str">
        <f>IFERROR(VLOOKUP(BH90,'Pump Emission Factors'!$B$11:$J$88,5,FALSE),"")</f>
        <v/>
      </c>
      <c r="BM90" s="803" t="str">
        <f>IFERROR(VLOOKUP(BH90,'Pump Emission Factors'!$B$11:$J$88,7,FALSE),"")</f>
        <v/>
      </c>
      <c r="BN90" s="803" t="str">
        <f>IFERROR(VLOOKUP(BH90,'Pump Emission Factors'!$B$11:$J$88,9,FALSE),"")</f>
        <v/>
      </c>
      <c r="BO90" s="811" t="str">
        <f t="shared" si="151"/>
        <v/>
      </c>
      <c r="BP90" s="811" t="str">
        <f t="shared" si="152"/>
        <v/>
      </c>
      <c r="BQ90" s="803">
        <f>IFERROR(((BI90+(BL90*BP90))*(IF(ISBLANK(R90),Defaults!$B$19,R90))*P90*T90)*F90*(1/454),0)</f>
        <v>0</v>
      </c>
      <c r="BR90" s="803">
        <f>IFERROR(((BJ90+(BM90*BP90))*(IF(ISBLANK(R90),Defaults!$B$19,R90))*P90*T90)*F90*(1/454),0)</f>
        <v>0</v>
      </c>
      <c r="BS90" s="803">
        <f>IFERROR(((BK90+(BN90*BP90))*(IF(ISBLANK(R90),Defaults!$B$19,R90))*P90*T90)*F90*(1/454),0)</f>
        <v>0</v>
      </c>
      <c r="BT90" s="803">
        <f t="shared" si="153"/>
        <v>0</v>
      </c>
      <c r="BU90" s="803">
        <f t="shared" si="154"/>
        <v>0</v>
      </c>
      <c r="BV90" s="812" t="str">
        <f t="shared" si="155"/>
        <v/>
      </c>
      <c r="BW90" s="808" t="str">
        <f t="shared" si="156"/>
        <v/>
      </c>
      <c r="BX90" s="809" t="str">
        <f t="shared" si="157"/>
        <v/>
      </c>
      <c r="BY90" s="808" t="str">
        <f t="shared" si="185"/>
        <v/>
      </c>
      <c r="BZ90" s="810">
        <f t="shared" si="186"/>
        <v>0</v>
      </c>
      <c r="CA90" s="813" t="str">
        <f>IFERROR(VLOOKUP(BZ90,'Pump Emission Factors'!$B$11:$J$88,4,FALSE),"")</f>
        <v/>
      </c>
      <c r="CB90" s="813" t="str">
        <f>IFERROR(VLOOKUP(BZ90,'Pump Emission Factors'!$B$11:$J$88,6,FALSE),"")</f>
        <v/>
      </c>
      <c r="CC90" s="813" t="str">
        <f>IFERROR(VLOOKUP(BZ90,'Pump Emission Factors'!$B$11:$J$88,8,FALSE),"")</f>
        <v/>
      </c>
      <c r="CD90" s="813" t="str">
        <f>IFERROR(VLOOKUP(BZ90,'Pump Emission Factors'!$B$11:$J$88,5,FALSE),"")</f>
        <v/>
      </c>
      <c r="CE90" s="813" t="str">
        <f>IFERROR(VLOOKUP(BZ90,'Pump Emission Factors'!$B$11:$J$88,7,FALSE),"")</f>
        <v/>
      </c>
      <c r="CF90" s="813" t="str">
        <f>IFERROR(VLOOKUP(BZ90,'Pump Emission Factors'!$B$11:$J$88,9,FALSE),"")</f>
        <v/>
      </c>
      <c r="CG90" s="814" t="str">
        <f t="shared" si="158"/>
        <v/>
      </c>
      <c r="CH90" s="814" t="str">
        <f t="shared" si="159"/>
        <v/>
      </c>
      <c r="CI90" s="813">
        <f>IFERROR(IF($X90="ELEC",((($AU90*(IF($H90="DESL",'Fuel-Specific GHG'!$C$14,IF($H90="GAS",'Fuel-Specific GHG'!$C$16,IF($H90="CNG",'Fuel-Specific GHG'!$C$13,IF(OR($H90="LPG",$H90="PROP"),'Fuel-Specific GHG'!$C$19,"")))))*(1/'Fuel-Specific GHG'!$C$15)*(1/3.4)*$F90)*'Grid Electricity'!$D$39)/454),((CA90+(CD90*CH90))*(IF(ISBLANK(AH90),Defaults!$B$19,AH90))*$AF90*$AJ90*$F90)),0)</f>
        <v>0</v>
      </c>
      <c r="CJ90" s="813">
        <f>IFERROR(IF($X90="ELEC",((($AU90*(IF($H90="DESL",'Fuel-Specific GHG'!$C$14,IF($H90="GAS",'Fuel-Specific GHG'!$C$16,IF($H90="CNG",'Fuel-Specific GHG'!$C$13,IF(OR($H90="LPG",$H90="PROP"),'Fuel-Specific GHG'!$C$19,"")))))*(1/'Fuel-Specific GHG'!$C$15)*(1/3.4)*$F90)*'Grid Electricity'!$C$39)/454),((CB90+(CE90*CH90))*(IF(ISBLANK(AH90),Defaults!$B$19,AH90))*$AF90*$AJ90*$F90)),0)</f>
        <v>0</v>
      </c>
      <c r="CK90" s="813">
        <f>IFERROR(IF($X90="ELEC",((($AU90*(IF($H90="DESL",'Fuel-Specific GHG'!$C$14,IF($H90="GAS",'Fuel-Specific GHG'!$C$16,IF($H90="CNG",'Fuel-Specific GHG'!$C$13,IF(OR($H90="LPG",$H90="PROP"),'Fuel-Specific GHG'!$C$19,"")))))*(1/'Fuel-Specific GHG'!$C$15)*(1/3.4)*$F90)*'Grid Electricity'!$F$39)/454),((CC90+(CF90*CH90))*(IF(ISBLANK(AH90),Defaults!$B$19,AH90))*$AF90*$AJ90*$F90)),0)</f>
        <v>0</v>
      </c>
      <c r="CL90" s="813">
        <f t="shared" si="160"/>
        <v>0</v>
      </c>
      <c r="CM90" s="813">
        <f t="shared" si="161"/>
        <v>0</v>
      </c>
      <c r="CN90" s="814" t="str">
        <f t="shared" si="162"/>
        <v/>
      </c>
      <c r="CO90" s="814" t="str">
        <f t="shared" si="163"/>
        <v/>
      </c>
      <c r="CP90" s="814" t="str">
        <f t="shared" si="164"/>
        <v/>
      </c>
      <c r="CQ90" s="814" t="str">
        <f t="shared" si="165"/>
        <v/>
      </c>
      <c r="CR90" s="815" t="str">
        <f>IF(AND(V90="Yes, Booster Pump VFD",AF90&lt;=75),('Pump Emission Factors'!$F$95*F90),(IF(AND(V90="Yes, Booster Pump VFD",AF90&gt;75),('Pump Emission Factors'!$F$96*F90),(IF(AND(V90="Yes, Well Pump VFD",AF90&lt;=75),('Pump Emission Factors'!$F$97*F90),(IF(AND(V90="Yes, Well Pump VFD",AF90&gt;75),('Pump Emission Factors'!$F$98*F90),"")))))))</f>
        <v/>
      </c>
      <c r="CS90" s="815" t="str">
        <f>IF(AND(V90="Yes, Booster Pump VFD",AF90&lt;=75),('Pump Emission Factors'!$G$95*F90),(IF(AND(V90="Yes, Booster Pump VFD",AF90&gt;75),('Pump Emission Factors'!$G$96*F90),(IF(AND(V90="Yes, Well Pump VFD",AF90&lt;=75),('Pump Emission Factors'!$G$97*F90),(IF(AND(V90="Yes, Well Pump VFD",AF90&gt;75),('Pump Emission Factors'!$G$98*F90),"")))))))</f>
        <v/>
      </c>
      <c r="CT90" s="815" t="str">
        <f>IF(AND(V90="Yes, Booster Pump VFD",AF90&lt;=75),('Pump Emission Factors'!$H$95*F90),(IF(AND(V90="Yes, Booster Pump VFD",AF90&gt;75),('Pump Emission Factors'!$H$96*F90),(IF(AND(V90="Yes, Well Pump VFD",AF90&lt;=75),('Pump Emission Factors'!$H$97*F90),(IF(AND(V90="Yes, Well Pump VFD",AF90&gt;75),('Pump Emission Factors'!$H$98*F90),"")))))))</f>
        <v/>
      </c>
      <c r="CU90" s="815" t="str">
        <f>IF(AND(V90="Yes, Booster Pump VFD",AF90&lt;=75),('Pump Emission Factors'!$J$95*F90),(IF(AND(V90="Yes, Booster Pump VFD",AF90&gt;75),('Pump Emission Factors'!$J$96*F90),(IF(AND(V90="Yes, Well Pump VFD",AF90&lt;=75),('Pump Emission Factors'!$J$97*F90),(IF(AND(V90="Yes, Well Pump VFD",AF90&gt;75),('Pump Emission Factors'!$J$98*F90),"")))))))</f>
        <v/>
      </c>
      <c r="CV90" s="815" t="str">
        <f>IF(AND(V90="Yes, Booster Pump VFD",AF90&lt;=75),('Pump Emission Factors'!$I$95*F90),(IF(AND(V90="Yes, Booster Pump VFD",AF90&gt;75),('Pump Emission Factors'!$I$96*F90),(IF(AND(V90="Yes, Well Pump VFD",AF90&lt;=75),('Pump Emission Factors'!$I$97*F90),(IF(AND(V90="Yes, Well Pump VFD",AF90&gt;75),('Pump Emission Factors'!$I$98*F90),"")))))))</f>
        <v/>
      </c>
      <c r="CW90" s="806">
        <f t="shared" si="166"/>
        <v>0</v>
      </c>
      <c r="CX90" s="806">
        <f t="shared" si="167"/>
        <v>0</v>
      </c>
      <c r="CY90" s="806">
        <f t="shared" si="168"/>
        <v>0</v>
      </c>
      <c r="CZ90" s="806">
        <f t="shared" si="169"/>
        <v>0</v>
      </c>
      <c r="DA90" s="806">
        <f t="shared" si="170"/>
        <v>0</v>
      </c>
      <c r="DB90" s="816" t="str">
        <f t="shared" si="187"/>
        <v/>
      </c>
      <c r="DC90" s="816" t="str">
        <f t="shared" si="187"/>
        <v/>
      </c>
      <c r="DD90" s="816" t="str">
        <f t="shared" si="187"/>
        <v/>
      </c>
      <c r="DE90" s="817" t="str">
        <f t="shared" si="171"/>
        <v/>
      </c>
      <c r="DF90" s="817" t="str">
        <f t="shared" si="172"/>
        <v/>
      </c>
      <c r="DG90" s="804" t="str">
        <f t="shared" si="173"/>
        <v/>
      </c>
      <c r="DH90" s="804" t="str">
        <f t="shared" si="174"/>
        <v/>
      </c>
      <c r="DI90" s="818" t="str">
        <f>IF(AO90="","",IF(H90="DESL",AO90*F90*'Fuel Prices'!$C$12,IF(H90="GAS",AO90*F90*'Fuel Prices'!$C$11,IF(H90="CNG",AO90*F90*'Fuel Prices'!$C$13,IF(H90="LNG",AO90*F90*'Fuel Prices'!$C$14,IF(H90="LPG",AO90*F90*'Fuel Prices'!$C$16,IF(H90="PROP",AO90*F90*'Fuel Prices'!$C$16,"0")))))))</f>
        <v/>
      </c>
      <c r="DJ90" s="818" t="str">
        <f>IF(AU90="","",IF(X90="DESL",AU90*F90*'Fuel Prices'!$C$12,IF(X90="GAS",AU90*F90*'Fuel Prices'!$C$11,IF(X90="CNG",AU90*F90*'Fuel Prices'!$C$13,IF(X90="LNG",AU90*F90*'Fuel Prices'!$C$14,IF(X90="LPG",AU90*F90*'Fuel Prices'!$C$16,IF(X90="PROP",AU90*F90*'Fuel Prices'!$C$16,IF(X90="ELEC",AU90*F90*'Fuel Prices'!$C$35,"0"))))))))</f>
        <v/>
      </c>
      <c r="DK90" s="818" t="str">
        <f t="shared" si="175"/>
        <v/>
      </c>
      <c r="DL90" s="818" t="str">
        <f t="shared" si="188"/>
        <v/>
      </c>
      <c r="DM90" s="804" t="str">
        <f t="shared" si="176"/>
        <v/>
      </c>
      <c r="DN90" s="804" t="str">
        <f t="shared" si="177"/>
        <v/>
      </c>
      <c r="DO90" s="804" t="str">
        <f>IFERROR(ROUND(CZ90*IF(COUNTIF($B$20:B90,B90)=1,1,"")/IF(B90="",0,1),0),"")</f>
        <v/>
      </c>
      <c r="DP90" s="804" t="str">
        <f>IFERROR(ROUND(CW90*IF(COUNTIF($B$20:B90,B90)=1,1,"")/IF(B90="",0,1),0),"")</f>
        <v/>
      </c>
      <c r="DQ90" s="804" t="str">
        <f>IFERROR(ROUND(DA90*IF(COUNTIF($B$20:B90,B90)=1,1,"")/IF(B90="",0,1),0),"")</f>
        <v/>
      </c>
      <c r="DR90" s="804" t="str">
        <f>IFERROR(ROUND(CX90*IF(COUNTIF($B$20:B90,B90)=1,1,"")/IF(B90="",0,1),0),"")</f>
        <v/>
      </c>
      <c r="DS90" s="804">
        <f t="shared" si="178"/>
        <v>0</v>
      </c>
      <c r="DT90" s="804">
        <f t="shared" si="179"/>
        <v>0</v>
      </c>
      <c r="DU90" s="804">
        <f t="shared" si="180"/>
        <v>0</v>
      </c>
      <c r="DV90" s="818" t="str">
        <f t="shared" si="189"/>
        <v/>
      </c>
      <c r="DW90" s="819" t="str">
        <f t="shared" si="190"/>
        <v/>
      </c>
    </row>
    <row r="91" spans="1:127" ht="18" customHeight="1" x14ac:dyDescent="0.35">
      <c r="A91" s="696"/>
      <c r="B91" s="820"/>
      <c r="C91" s="825" t="str">
        <f t="shared" si="124"/>
        <v>(Required)</v>
      </c>
      <c r="D91" s="821"/>
      <c r="E91" s="825" t="str">
        <f t="shared" si="124"/>
        <v>(Required)</v>
      </c>
      <c r="F91" s="821"/>
      <c r="G91" s="825" t="str">
        <f t="shared" si="125"/>
        <v>(Required)</v>
      </c>
      <c r="H91" s="822"/>
      <c r="I91" s="825" t="str">
        <f t="shared" si="126"/>
        <v>(Required)</v>
      </c>
      <c r="J91" s="821"/>
      <c r="K91" s="825" t="str">
        <f t="shared" si="127"/>
        <v>(Required)</v>
      </c>
      <c r="L91" s="821"/>
      <c r="M91" s="825" t="str">
        <f t="shared" si="128"/>
        <v>(Required)</v>
      </c>
      <c r="N91" s="821"/>
      <c r="O91" s="825" t="str">
        <f t="shared" si="129"/>
        <v>(Required)</v>
      </c>
      <c r="P91" s="821"/>
      <c r="Q91" s="825" t="str">
        <f t="shared" si="130"/>
        <v>(Required)</v>
      </c>
      <c r="R91" s="823"/>
      <c r="S91" s="826" t="str">
        <f t="shared" si="131"/>
        <v>(Optional)</v>
      </c>
      <c r="T91" s="821"/>
      <c r="U91" s="827" t="str">
        <f t="shared" si="132"/>
        <v>(Required)</v>
      </c>
      <c r="V91" s="828"/>
      <c r="W91" s="799" t="str">
        <f t="shared" si="133"/>
        <v>(Optional)</v>
      </c>
      <c r="X91" s="822"/>
      <c r="Y91" s="825" t="str">
        <f t="shared" si="134"/>
        <v>(Required)</v>
      </c>
      <c r="Z91" s="821"/>
      <c r="AA91" s="825" t="str">
        <f t="shared" si="135"/>
        <v>(Required)</v>
      </c>
      <c r="AB91" s="821"/>
      <c r="AC91" s="825" t="str">
        <f t="shared" si="136"/>
        <v>(Required)</v>
      </c>
      <c r="AD91" s="821"/>
      <c r="AE91" s="825" t="str">
        <f t="shared" si="137"/>
        <v>(Required)</v>
      </c>
      <c r="AF91" s="821"/>
      <c r="AG91" s="825" t="str">
        <f t="shared" si="138"/>
        <v>(Required)</v>
      </c>
      <c r="AH91" s="823"/>
      <c r="AI91" s="826" t="str">
        <f t="shared" si="139"/>
        <v>(Optional)</v>
      </c>
      <c r="AJ91" s="821"/>
      <c r="AK91" s="825" t="str">
        <f t="shared" si="140"/>
        <v>(Required)</v>
      </c>
      <c r="AL91" s="803" t="str">
        <f t="shared" si="141"/>
        <v/>
      </c>
      <c r="AM91" s="803" t="str">
        <f>IF(H91="DESL",'Fuel Density'!$C$12,IF(H91="GAS",'Fuel Density'!$C$11,IF(H91="CNG",'Fuel Density'!$C$13,IF(H91="LNG",'Fuel Density'!$C$14,IF(H91="LPG",'Fuel Density'!$C$15,IF(H91="PROP",'Fuel Density'!$C$16,IF(H91="","","")))))))</f>
        <v/>
      </c>
      <c r="AN91" s="803" t="str">
        <f>IF(H91="DESL",'Fuel-Specific GHG'!$C$14,IF(H91="GAS",'Fuel-Specific GHG'!$C$16,IF(H91="CNG",'Fuel-Specific GHG'!$C$13,IF(H91="LNG",'Fuel-Specific GHG'!$C$18,IF(OR(H91="LPG",H91="PROP"),'Fuel-Specific GHG'!$C$19,IF(H91="","",""))))))</f>
        <v/>
      </c>
      <c r="AO91" s="804" t="str">
        <f>IFERROR(((P91*(IF(ISBLANK(R91),Defaults!$B$19,R91))*T91*AL91)/AM91),"")</f>
        <v/>
      </c>
      <c r="AP91" s="805" t="str">
        <f t="shared" si="142"/>
        <v/>
      </c>
      <c r="AQ91" s="805" t="str">
        <f>IF(H91="DESL",'Fuel-Specific GHG'!$E$14,IF(H91="GAS",'Fuel-Specific GHG'!$E$16,IF(H91="CNG",'Fuel-Specific GHG'!$E$13,IF(H91="LNG",'Fuel-Specific GHG'!$E$18,IF(OR(H91="LPG",H91="PROP"),'Fuel-Specific GHG'!$E$19,"")))))</f>
        <v/>
      </c>
      <c r="AR91" s="805" t="str">
        <f t="shared" si="143"/>
        <v/>
      </c>
      <c r="AS91" s="803" t="str">
        <f t="shared" si="181"/>
        <v/>
      </c>
      <c r="AT91" s="803" t="str">
        <f>IF(X91="DESL",'Fuel Density'!$C$12,IF(X91="PROP",'Fuel Density'!$C$16,IF(X91="GAS",'Fuel Density'!$C$11,IF(X91="CNG",'Fuel Density'!$C$13,IF(X91="LNG",'Fuel Density'!$C$14,IF(X91="LPG",'Fuel Density'!$C$15,IF(X91="","","")))))))</f>
        <v/>
      </c>
      <c r="AU91" s="804" t="str">
        <f>IFERROR(IF(X91="ELEC",AO91*AN91*(1/'Fuel-Specific GHG'!$C$15)*(1/IF(H91="GAS",3.4,IF(H91="DESL",2.7,3))),((AF91*(IF(ISBLANK(AH91),Defaults!$B$19,AH91))*AJ91*AS91)/AT91)),"")</f>
        <v/>
      </c>
      <c r="AV91" s="805" t="str">
        <f t="shared" si="144"/>
        <v/>
      </c>
      <c r="AW91" s="805" t="str">
        <f>IF(X91="DESL",'Fuel-Specific GHG'!$E$14,IF(X91="PROP",'Fuel-Specific GHG'!$E$19,IF(X91="GAS",'Fuel-Specific GHG'!$E$16,IF(X91="CNG",'Fuel-Specific GHG'!$E$13,IF(X91="LNG",'Fuel-Specific GHG'!$E$18,IF(X91="LPG",'Fuel-Specific GHG'!$E$19,IF(X91="ELEC",'Fuel-Specific GHG'!$E$15,"")))))))</f>
        <v/>
      </c>
      <c r="AX91" s="805" t="str">
        <f t="shared" si="145"/>
        <v/>
      </c>
      <c r="AY91" s="806" t="str">
        <f t="shared" si="146"/>
        <v/>
      </c>
      <c r="AZ91" s="806" t="str">
        <f t="shared" si="191"/>
        <v/>
      </c>
      <c r="BA91" s="806" t="str">
        <f t="shared" si="182"/>
        <v/>
      </c>
      <c r="BB91" s="804" t="str">
        <f t="shared" si="147"/>
        <v/>
      </c>
      <c r="BC91" s="807" t="str">
        <f t="shared" si="148"/>
        <v/>
      </c>
      <c r="BD91" s="807"/>
      <c r="BE91" s="808" t="str">
        <f t="shared" si="149"/>
        <v/>
      </c>
      <c r="BF91" s="809" t="str">
        <f t="shared" si="150"/>
        <v/>
      </c>
      <c r="BG91" s="808" t="str">
        <f t="shared" si="183"/>
        <v/>
      </c>
      <c r="BH91" s="810">
        <f t="shared" si="184"/>
        <v>0</v>
      </c>
      <c r="BI91" s="803" t="str">
        <f>IFERROR(VLOOKUP(BH91,'Pump Emission Factors'!$B$11:$J$88,4,FALSE),"")</f>
        <v/>
      </c>
      <c r="BJ91" s="803" t="str">
        <f>IFERROR(VLOOKUP(BH91,'Pump Emission Factors'!$B$11:$J$88,6,FALSE),"")</f>
        <v/>
      </c>
      <c r="BK91" s="803" t="str">
        <f>IFERROR(VLOOKUP(BH91,'Pump Emission Factors'!$B$11:$J$88,8,FALSE),"")</f>
        <v/>
      </c>
      <c r="BL91" s="803" t="str">
        <f>IFERROR(VLOOKUP(BH91,'Pump Emission Factors'!$B$11:$J$88,5,FALSE),"")</f>
        <v/>
      </c>
      <c r="BM91" s="803" t="str">
        <f>IFERROR(VLOOKUP(BH91,'Pump Emission Factors'!$B$11:$J$88,7,FALSE),"")</f>
        <v/>
      </c>
      <c r="BN91" s="803" t="str">
        <f>IFERROR(VLOOKUP(BH91,'Pump Emission Factors'!$B$11:$J$88,9,FALSE),"")</f>
        <v/>
      </c>
      <c r="BO91" s="811" t="str">
        <f t="shared" si="151"/>
        <v/>
      </c>
      <c r="BP91" s="811" t="str">
        <f t="shared" si="152"/>
        <v/>
      </c>
      <c r="BQ91" s="803">
        <f>IFERROR(((BI91+(BL91*BP91))*(IF(ISBLANK(R91),Defaults!$B$19,R91))*P91*T91)*F91*(1/454),0)</f>
        <v>0</v>
      </c>
      <c r="BR91" s="803">
        <f>IFERROR(((BJ91+(BM91*BP91))*(IF(ISBLANK(R91),Defaults!$B$19,R91))*P91*T91)*F91*(1/454),0)</f>
        <v>0</v>
      </c>
      <c r="BS91" s="803">
        <f>IFERROR(((BK91+(BN91*BP91))*(IF(ISBLANK(R91),Defaults!$B$19,R91))*P91*T91)*F91*(1/454),0)</f>
        <v>0</v>
      </c>
      <c r="BT91" s="803">
        <f t="shared" si="153"/>
        <v>0</v>
      </c>
      <c r="BU91" s="803">
        <f t="shared" si="154"/>
        <v>0</v>
      </c>
      <c r="BV91" s="812" t="str">
        <f t="shared" si="155"/>
        <v/>
      </c>
      <c r="BW91" s="808" t="str">
        <f t="shared" si="156"/>
        <v/>
      </c>
      <c r="BX91" s="809" t="str">
        <f t="shared" si="157"/>
        <v/>
      </c>
      <c r="BY91" s="808" t="str">
        <f t="shared" si="185"/>
        <v/>
      </c>
      <c r="BZ91" s="810">
        <f t="shared" si="186"/>
        <v>0</v>
      </c>
      <c r="CA91" s="813" t="str">
        <f>IFERROR(VLOOKUP(BZ91,'Pump Emission Factors'!$B$11:$J$88,4,FALSE),"")</f>
        <v/>
      </c>
      <c r="CB91" s="813" t="str">
        <f>IFERROR(VLOOKUP(BZ91,'Pump Emission Factors'!$B$11:$J$88,6,FALSE),"")</f>
        <v/>
      </c>
      <c r="CC91" s="813" t="str">
        <f>IFERROR(VLOOKUP(BZ91,'Pump Emission Factors'!$B$11:$J$88,8,FALSE),"")</f>
        <v/>
      </c>
      <c r="CD91" s="813" t="str">
        <f>IFERROR(VLOOKUP(BZ91,'Pump Emission Factors'!$B$11:$J$88,5,FALSE),"")</f>
        <v/>
      </c>
      <c r="CE91" s="813" t="str">
        <f>IFERROR(VLOOKUP(BZ91,'Pump Emission Factors'!$B$11:$J$88,7,FALSE),"")</f>
        <v/>
      </c>
      <c r="CF91" s="813" t="str">
        <f>IFERROR(VLOOKUP(BZ91,'Pump Emission Factors'!$B$11:$J$88,9,FALSE),"")</f>
        <v/>
      </c>
      <c r="CG91" s="814" t="str">
        <f t="shared" si="158"/>
        <v/>
      </c>
      <c r="CH91" s="814" t="str">
        <f t="shared" si="159"/>
        <v/>
      </c>
      <c r="CI91" s="813">
        <f>IFERROR(IF($X91="ELEC",((($AU91*(IF($H91="DESL",'Fuel-Specific GHG'!$C$14,IF($H91="GAS",'Fuel-Specific GHG'!$C$16,IF($H91="CNG",'Fuel-Specific GHG'!$C$13,IF(OR($H91="LPG",$H91="PROP"),'Fuel-Specific GHG'!$C$19,"")))))*(1/'Fuel-Specific GHG'!$C$15)*(1/3.4)*$F91)*'Grid Electricity'!$D$39)/454),((CA91+(CD91*CH91))*(IF(ISBLANK(AH91),Defaults!$B$19,AH91))*$AF91*$AJ91*$F91)),0)</f>
        <v>0</v>
      </c>
      <c r="CJ91" s="813">
        <f>IFERROR(IF($X91="ELEC",((($AU91*(IF($H91="DESL",'Fuel-Specific GHG'!$C$14,IF($H91="GAS",'Fuel-Specific GHG'!$C$16,IF($H91="CNG",'Fuel-Specific GHG'!$C$13,IF(OR($H91="LPG",$H91="PROP"),'Fuel-Specific GHG'!$C$19,"")))))*(1/'Fuel-Specific GHG'!$C$15)*(1/3.4)*$F91)*'Grid Electricity'!$C$39)/454),((CB91+(CE91*CH91))*(IF(ISBLANK(AH91),Defaults!$B$19,AH91))*$AF91*$AJ91*$F91)),0)</f>
        <v>0</v>
      </c>
      <c r="CK91" s="813">
        <f>IFERROR(IF($X91="ELEC",((($AU91*(IF($H91="DESL",'Fuel-Specific GHG'!$C$14,IF($H91="GAS",'Fuel-Specific GHG'!$C$16,IF($H91="CNG",'Fuel-Specific GHG'!$C$13,IF(OR($H91="LPG",$H91="PROP"),'Fuel-Specific GHG'!$C$19,"")))))*(1/'Fuel-Specific GHG'!$C$15)*(1/3.4)*$F91)*'Grid Electricity'!$F$39)/454),((CC91+(CF91*CH91))*(IF(ISBLANK(AH91),Defaults!$B$19,AH91))*$AF91*$AJ91*$F91)),0)</f>
        <v>0</v>
      </c>
      <c r="CL91" s="813">
        <f t="shared" si="160"/>
        <v>0</v>
      </c>
      <c r="CM91" s="813">
        <f t="shared" si="161"/>
        <v>0</v>
      </c>
      <c r="CN91" s="814" t="str">
        <f t="shared" si="162"/>
        <v/>
      </c>
      <c r="CO91" s="814" t="str">
        <f t="shared" si="163"/>
        <v/>
      </c>
      <c r="CP91" s="814" t="str">
        <f t="shared" si="164"/>
        <v/>
      </c>
      <c r="CQ91" s="814" t="str">
        <f t="shared" si="165"/>
        <v/>
      </c>
      <c r="CR91" s="815" t="str">
        <f>IF(AND(V91="Yes, Booster Pump VFD",AF91&lt;=75),('Pump Emission Factors'!$F$95*F91),(IF(AND(V91="Yes, Booster Pump VFD",AF91&gt;75),('Pump Emission Factors'!$F$96*F91),(IF(AND(V91="Yes, Well Pump VFD",AF91&lt;=75),('Pump Emission Factors'!$F$97*F91),(IF(AND(V91="Yes, Well Pump VFD",AF91&gt;75),('Pump Emission Factors'!$F$98*F91),"")))))))</f>
        <v/>
      </c>
      <c r="CS91" s="815" t="str">
        <f>IF(AND(V91="Yes, Booster Pump VFD",AF91&lt;=75),('Pump Emission Factors'!$G$95*F91),(IF(AND(V91="Yes, Booster Pump VFD",AF91&gt;75),('Pump Emission Factors'!$G$96*F91),(IF(AND(V91="Yes, Well Pump VFD",AF91&lt;=75),('Pump Emission Factors'!$G$97*F91),(IF(AND(V91="Yes, Well Pump VFD",AF91&gt;75),('Pump Emission Factors'!$G$98*F91),"")))))))</f>
        <v/>
      </c>
      <c r="CT91" s="815" t="str">
        <f>IF(AND(V91="Yes, Booster Pump VFD",AF91&lt;=75),('Pump Emission Factors'!$H$95*F91),(IF(AND(V91="Yes, Booster Pump VFD",AF91&gt;75),('Pump Emission Factors'!$H$96*F91),(IF(AND(V91="Yes, Well Pump VFD",AF91&lt;=75),('Pump Emission Factors'!$H$97*F91),(IF(AND(V91="Yes, Well Pump VFD",AF91&gt;75),('Pump Emission Factors'!$H$98*F91),"")))))))</f>
        <v/>
      </c>
      <c r="CU91" s="815" t="str">
        <f>IF(AND(V91="Yes, Booster Pump VFD",AF91&lt;=75),('Pump Emission Factors'!$J$95*F91),(IF(AND(V91="Yes, Booster Pump VFD",AF91&gt;75),('Pump Emission Factors'!$J$96*F91),(IF(AND(V91="Yes, Well Pump VFD",AF91&lt;=75),('Pump Emission Factors'!$J$97*F91),(IF(AND(V91="Yes, Well Pump VFD",AF91&gt;75),('Pump Emission Factors'!$J$98*F91),"")))))))</f>
        <v/>
      </c>
      <c r="CV91" s="815" t="str">
        <f>IF(AND(V91="Yes, Booster Pump VFD",AF91&lt;=75),('Pump Emission Factors'!$I$95*F91),(IF(AND(V91="Yes, Booster Pump VFD",AF91&gt;75),('Pump Emission Factors'!$I$96*F91),(IF(AND(V91="Yes, Well Pump VFD",AF91&lt;=75),('Pump Emission Factors'!$I$97*F91),(IF(AND(V91="Yes, Well Pump VFD",AF91&gt;75),('Pump Emission Factors'!$I$98*F91),"")))))))</f>
        <v/>
      </c>
      <c r="CW91" s="806">
        <f t="shared" si="166"/>
        <v>0</v>
      </c>
      <c r="CX91" s="806">
        <f t="shared" si="167"/>
        <v>0</v>
      </c>
      <c r="CY91" s="806">
        <f t="shared" si="168"/>
        <v>0</v>
      </c>
      <c r="CZ91" s="806">
        <f t="shared" si="169"/>
        <v>0</v>
      </c>
      <c r="DA91" s="806">
        <f t="shared" si="170"/>
        <v>0</v>
      </c>
      <c r="DB91" s="816" t="str">
        <f t="shared" si="187"/>
        <v/>
      </c>
      <c r="DC91" s="816" t="str">
        <f t="shared" si="187"/>
        <v/>
      </c>
      <c r="DD91" s="816" t="str">
        <f t="shared" si="187"/>
        <v/>
      </c>
      <c r="DE91" s="817" t="str">
        <f t="shared" si="171"/>
        <v/>
      </c>
      <c r="DF91" s="817" t="str">
        <f t="shared" si="172"/>
        <v/>
      </c>
      <c r="DG91" s="804" t="str">
        <f t="shared" si="173"/>
        <v/>
      </c>
      <c r="DH91" s="804" t="str">
        <f t="shared" si="174"/>
        <v/>
      </c>
      <c r="DI91" s="818" t="str">
        <f>IF(AO91="","",IF(H91="DESL",AO91*F91*'Fuel Prices'!$C$12,IF(H91="GAS",AO91*F91*'Fuel Prices'!$C$11,IF(H91="CNG",AO91*F91*'Fuel Prices'!$C$13,IF(H91="LNG",AO91*F91*'Fuel Prices'!$C$14,IF(H91="LPG",AO91*F91*'Fuel Prices'!$C$16,IF(H91="PROP",AO91*F91*'Fuel Prices'!$C$16,"0")))))))</f>
        <v/>
      </c>
      <c r="DJ91" s="818" t="str">
        <f>IF(AU91="","",IF(X91="DESL",AU91*F91*'Fuel Prices'!$C$12,IF(X91="GAS",AU91*F91*'Fuel Prices'!$C$11,IF(X91="CNG",AU91*F91*'Fuel Prices'!$C$13,IF(X91="LNG",AU91*F91*'Fuel Prices'!$C$14,IF(X91="LPG",AU91*F91*'Fuel Prices'!$C$16,IF(X91="PROP",AU91*F91*'Fuel Prices'!$C$16,IF(X91="ELEC",AU91*F91*'Fuel Prices'!$C$35,"0"))))))))</f>
        <v/>
      </c>
      <c r="DK91" s="818" t="str">
        <f t="shared" si="175"/>
        <v/>
      </c>
      <c r="DL91" s="818" t="str">
        <f t="shared" si="188"/>
        <v/>
      </c>
      <c r="DM91" s="804" t="str">
        <f t="shared" si="176"/>
        <v/>
      </c>
      <c r="DN91" s="804" t="str">
        <f t="shared" si="177"/>
        <v/>
      </c>
      <c r="DO91" s="804" t="str">
        <f>IFERROR(ROUND(CZ91*IF(COUNTIF($B$20:B91,B91)=1,1,"")/IF(B91="",0,1),0),"")</f>
        <v/>
      </c>
      <c r="DP91" s="804" t="str">
        <f>IFERROR(ROUND(CW91*IF(COUNTIF($B$20:B91,B91)=1,1,"")/IF(B91="",0,1),0),"")</f>
        <v/>
      </c>
      <c r="DQ91" s="804" t="str">
        <f>IFERROR(ROUND(DA91*IF(COUNTIF($B$20:B91,B91)=1,1,"")/IF(B91="",0,1),0),"")</f>
        <v/>
      </c>
      <c r="DR91" s="804" t="str">
        <f>IFERROR(ROUND(CX91*IF(COUNTIF($B$20:B91,B91)=1,1,"")/IF(B91="",0,1),0),"")</f>
        <v/>
      </c>
      <c r="DS91" s="804">
        <f t="shared" si="178"/>
        <v>0</v>
      </c>
      <c r="DT91" s="804">
        <f t="shared" si="179"/>
        <v>0</v>
      </c>
      <c r="DU91" s="804">
        <f t="shared" si="180"/>
        <v>0</v>
      </c>
      <c r="DV91" s="818" t="str">
        <f t="shared" si="189"/>
        <v/>
      </c>
      <c r="DW91" s="819" t="str">
        <f t="shared" si="190"/>
        <v/>
      </c>
    </row>
    <row r="92" spans="1:127" ht="18" customHeight="1" x14ac:dyDescent="0.35">
      <c r="A92" s="635"/>
      <c r="B92" s="820"/>
      <c r="C92" s="825" t="str">
        <f t="shared" si="124"/>
        <v>(Required)</v>
      </c>
      <c r="D92" s="821"/>
      <c r="E92" s="825" t="str">
        <f t="shared" si="124"/>
        <v>(Required)</v>
      </c>
      <c r="F92" s="821"/>
      <c r="G92" s="825" t="str">
        <f t="shared" si="125"/>
        <v>(Required)</v>
      </c>
      <c r="H92" s="822"/>
      <c r="I92" s="825" t="str">
        <f t="shared" si="126"/>
        <v>(Required)</v>
      </c>
      <c r="J92" s="821"/>
      <c r="K92" s="825" t="str">
        <f t="shared" si="127"/>
        <v>(Required)</v>
      </c>
      <c r="L92" s="821"/>
      <c r="M92" s="825" t="str">
        <f t="shared" si="128"/>
        <v>(Required)</v>
      </c>
      <c r="N92" s="821"/>
      <c r="O92" s="825" t="str">
        <f t="shared" si="129"/>
        <v>(Required)</v>
      </c>
      <c r="P92" s="821"/>
      <c r="Q92" s="825" t="str">
        <f t="shared" si="130"/>
        <v>(Required)</v>
      </c>
      <c r="R92" s="823"/>
      <c r="S92" s="826" t="str">
        <f t="shared" si="131"/>
        <v>(Optional)</v>
      </c>
      <c r="T92" s="821"/>
      <c r="U92" s="827" t="str">
        <f t="shared" si="132"/>
        <v>(Required)</v>
      </c>
      <c r="V92" s="828"/>
      <c r="W92" s="799" t="str">
        <f t="shared" si="133"/>
        <v>(Optional)</v>
      </c>
      <c r="X92" s="822"/>
      <c r="Y92" s="825" t="str">
        <f t="shared" si="134"/>
        <v>(Required)</v>
      </c>
      <c r="Z92" s="821"/>
      <c r="AA92" s="825" t="str">
        <f t="shared" si="135"/>
        <v>(Required)</v>
      </c>
      <c r="AB92" s="821"/>
      <c r="AC92" s="825" t="str">
        <f t="shared" si="136"/>
        <v>(Required)</v>
      </c>
      <c r="AD92" s="821"/>
      <c r="AE92" s="825" t="str">
        <f t="shared" si="137"/>
        <v>(Required)</v>
      </c>
      <c r="AF92" s="821"/>
      <c r="AG92" s="825" t="str">
        <f t="shared" si="138"/>
        <v>(Required)</v>
      </c>
      <c r="AH92" s="823"/>
      <c r="AI92" s="826" t="str">
        <f t="shared" si="139"/>
        <v>(Optional)</v>
      </c>
      <c r="AJ92" s="821"/>
      <c r="AK92" s="825" t="str">
        <f t="shared" si="140"/>
        <v>(Required)</v>
      </c>
      <c r="AL92" s="803" t="str">
        <f t="shared" si="141"/>
        <v/>
      </c>
      <c r="AM92" s="803" t="str">
        <f>IF(H92="DESL",'Fuel Density'!$C$12,IF(H92="GAS",'Fuel Density'!$C$11,IF(H92="CNG",'Fuel Density'!$C$13,IF(H92="LNG",'Fuel Density'!$C$14,IF(H92="LPG",'Fuel Density'!$C$15,IF(H92="PROP",'Fuel Density'!$C$16,IF(H92="","","")))))))</f>
        <v/>
      </c>
      <c r="AN92" s="803" t="str">
        <f>IF(H92="DESL",'Fuel-Specific GHG'!$C$14,IF(H92="GAS",'Fuel-Specific GHG'!$C$16,IF(H92="CNG",'Fuel-Specific GHG'!$C$13,IF(H92="LNG",'Fuel-Specific GHG'!$C$18,IF(OR(H92="LPG",H92="PROP"),'Fuel-Specific GHG'!$C$19,IF(H92="","",""))))))</f>
        <v/>
      </c>
      <c r="AO92" s="804" t="str">
        <f>IFERROR(((P92*(IF(ISBLANK(R92),Defaults!$B$19,R92))*T92*AL92)/AM92),"")</f>
        <v/>
      </c>
      <c r="AP92" s="805" t="str">
        <f t="shared" si="142"/>
        <v/>
      </c>
      <c r="AQ92" s="805" t="str">
        <f>IF(H92="DESL",'Fuel-Specific GHG'!$E$14,IF(H92="GAS",'Fuel-Specific GHG'!$E$16,IF(H92="CNG",'Fuel-Specific GHG'!$E$13,IF(H92="LNG",'Fuel-Specific GHG'!$E$18,IF(OR(H92="LPG",H92="PROP"),'Fuel-Specific GHG'!$E$19,"")))))</f>
        <v/>
      </c>
      <c r="AR92" s="805" t="str">
        <f t="shared" si="143"/>
        <v/>
      </c>
      <c r="AS92" s="803" t="str">
        <f t="shared" si="181"/>
        <v/>
      </c>
      <c r="AT92" s="803" t="str">
        <f>IF(X92="DESL",'Fuel Density'!$C$12,IF(X92="PROP",'Fuel Density'!$C$16,IF(X92="GAS",'Fuel Density'!$C$11,IF(X92="CNG",'Fuel Density'!$C$13,IF(X92="LNG",'Fuel Density'!$C$14,IF(X92="LPG",'Fuel Density'!$C$15,IF(X92="","","")))))))</f>
        <v/>
      </c>
      <c r="AU92" s="804" t="str">
        <f>IFERROR(IF(X92="ELEC",AO92*AN92*(1/'Fuel-Specific GHG'!$C$15)*(1/IF(H92="GAS",3.4,IF(H92="DESL",2.7,3))),((AF92*(IF(ISBLANK(AH92),Defaults!$B$19,AH92))*AJ92*AS92)/AT92)),"")</f>
        <v/>
      </c>
      <c r="AV92" s="805" t="str">
        <f t="shared" si="144"/>
        <v/>
      </c>
      <c r="AW92" s="805" t="str">
        <f>IF(X92="DESL",'Fuel-Specific GHG'!$E$14,IF(X92="PROP",'Fuel-Specific GHG'!$E$19,IF(X92="GAS",'Fuel-Specific GHG'!$E$16,IF(X92="CNG",'Fuel-Specific GHG'!$E$13,IF(X92="LNG",'Fuel-Specific GHG'!$E$18,IF(X92="LPG",'Fuel-Specific GHG'!$E$19,IF(X92="ELEC",'Fuel-Specific GHG'!$E$15,"")))))))</f>
        <v/>
      </c>
      <c r="AX92" s="805" t="str">
        <f t="shared" si="145"/>
        <v/>
      </c>
      <c r="AY92" s="806" t="str">
        <f t="shared" si="146"/>
        <v/>
      </c>
      <c r="AZ92" s="806" t="str">
        <f t="shared" si="191"/>
        <v/>
      </c>
      <c r="BA92" s="806" t="str">
        <f t="shared" si="182"/>
        <v/>
      </c>
      <c r="BB92" s="804" t="str">
        <f t="shared" si="147"/>
        <v/>
      </c>
      <c r="BC92" s="807" t="str">
        <f t="shared" si="148"/>
        <v/>
      </c>
      <c r="BD92" s="807"/>
      <c r="BE92" s="808" t="str">
        <f t="shared" si="149"/>
        <v/>
      </c>
      <c r="BF92" s="809" t="str">
        <f t="shared" si="150"/>
        <v/>
      </c>
      <c r="BG92" s="808" t="str">
        <f t="shared" si="183"/>
        <v/>
      </c>
      <c r="BH92" s="810">
        <f t="shared" si="184"/>
        <v>0</v>
      </c>
      <c r="BI92" s="803" t="str">
        <f>IFERROR(VLOOKUP(BH92,'Pump Emission Factors'!$B$11:$J$88,4,FALSE),"")</f>
        <v/>
      </c>
      <c r="BJ92" s="803" t="str">
        <f>IFERROR(VLOOKUP(BH92,'Pump Emission Factors'!$B$11:$J$88,6,FALSE),"")</f>
        <v/>
      </c>
      <c r="BK92" s="803" t="str">
        <f>IFERROR(VLOOKUP(BH92,'Pump Emission Factors'!$B$11:$J$88,8,FALSE),"")</f>
        <v/>
      </c>
      <c r="BL92" s="803" t="str">
        <f>IFERROR(VLOOKUP(BH92,'Pump Emission Factors'!$B$11:$J$88,5,FALSE),"")</f>
        <v/>
      </c>
      <c r="BM92" s="803" t="str">
        <f>IFERROR(VLOOKUP(BH92,'Pump Emission Factors'!$B$11:$J$88,7,FALSE),"")</f>
        <v/>
      </c>
      <c r="BN92" s="803" t="str">
        <f>IFERROR(VLOOKUP(BH92,'Pump Emission Factors'!$B$11:$J$88,9,FALSE),"")</f>
        <v/>
      </c>
      <c r="BO92" s="811" t="str">
        <f t="shared" si="151"/>
        <v/>
      </c>
      <c r="BP92" s="811" t="str">
        <f t="shared" si="152"/>
        <v/>
      </c>
      <c r="BQ92" s="803">
        <f>IFERROR(((BI92+(BL92*BP92))*(IF(ISBLANK(R92),Defaults!$B$19,R92))*P92*T92)*F92*(1/454),0)</f>
        <v>0</v>
      </c>
      <c r="BR92" s="803">
        <f>IFERROR(((BJ92+(BM92*BP92))*(IF(ISBLANK(R92),Defaults!$B$19,R92))*P92*T92)*F92*(1/454),0)</f>
        <v>0</v>
      </c>
      <c r="BS92" s="803">
        <f>IFERROR(((BK92+(BN92*BP92))*(IF(ISBLANK(R92),Defaults!$B$19,R92))*P92*T92)*F92*(1/454),0)</f>
        <v>0</v>
      </c>
      <c r="BT92" s="803">
        <f t="shared" si="153"/>
        <v>0</v>
      </c>
      <c r="BU92" s="803">
        <f t="shared" si="154"/>
        <v>0</v>
      </c>
      <c r="BV92" s="812" t="str">
        <f t="shared" si="155"/>
        <v/>
      </c>
      <c r="BW92" s="808" t="str">
        <f t="shared" si="156"/>
        <v/>
      </c>
      <c r="BX92" s="809" t="str">
        <f t="shared" si="157"/>
        <v/>
      </c>
      <c r="BY92" s="808" t="str">
        <f t="shared" si="185"/>
        <v/>
      </c>
      <c r="BZ92" s="810">
        <f t="shared" si="186"/>
        <v>0</v>
      </c>
      <c r="CA92" s="813" t="str">
        <f>IFERROR(VLOOKUP(BZ92,'Pump Emission Factors'!$B$11:$J$88,4,FALSE),"")</f>
        <v/>
      </c>
      <c r="CB92" s="813" t="str">
        <f>IFERROR(VLOOKUP(BZ92,'Pump Emission Factors'!$B$11:$J$88,6,FALSE),"")</f>
        <v/>
      </c>
      <c r="CC92" s="813" t="str">
        <f>IFERROR(VLOOKUP(BZ92,'Pump Emission Factors'!$B$11:$J$88,8,FALSE),"")</f>
        <v/>
      </c>
      <c r="CD92" s="813" t="str">
        <f>IFERROR(VLOOKUP(BZ92,'Pump Emission Factors'!$B$11:$J$88,5,FALSE),"")</f>
        <v/>
      </c>
      <c r="CE92" s="813" t="str">
        <f>IFERROR(VLOOKUP(BZ92,'Pump Emission Factors'!$B$11:$J$88,7,FALSE),"")</f>
        <v/>
      </c>
      <c r="CF92" s="813" t="str">
        <f>IFERROR(VLOOKUP(BZ92,'Pump Emission Factors'!$B$11:$J$88,9,FALSE),"")</f>
        <v/>
      </c>
      <c r="CG92" s="814" t="str">
        <f t="shared" si="158"/>
        <v/>
      </c>
      <c r="CH92" s="814" t="str">
        <f t="shared" si="159"/>
        <v/>
      </c>
      <c r="CI92" s="813">
        <f>IFERROR(IF($X92="ELEC",((($AU92*(IF($H92="DESL",'Fuel-Specific GHG'!$C$14,IF($H92="GAS",'Fuel-Specific GHG'!$C$16,IF($H92="CNG",'Fuel-Specific GHG'!$C$13,IF(OR($H92="LPG",$H92="PROP"),'Fuel-Specific GHG'!$C$19,"")))))*(1/'Fuel-Specific GHG'!$C$15)*(1/3.4)*$F92)*'Grid Electricity'!$D$39)/454),((CA92+(CD92*CH92))*(IF(ISBLANK(AH92),Defaults!$B$19,AH92))*$AF92*$AJ92*$F92)),0)</f>
        <v>0</v>
      </c>
      <c r="CJ92" s="813">
        <f>IFERROR(IF($X92="ELEC",((($AU92*(IF($H92="DESL",'Fuel-Specific GHG'!$C$14,IF($H92="GAS",'Fuel-Specific GHG'!$C$16,IF($H92="CNG",'Fuel-Specific GHG'!$C$13,IF(OR($H92="LPG",$H92="PROP"),'Fuel-Specific GHG'!$C$19,"")))))*(1/'Fuel-Specific GHG'!$C$15)*(1/3.4)*$F92)*'Grid Electricity'!$C$39)/454),((CB92+(CE92*CH92))*(IF(ISBLANK(AH92),Defaults!$B$19,AH92))*$AF92*$AJ92*$F92)),0)</f>
        <v>0</v>
      </c>
      <c r="CK92" s="813">
        <f>IFERROR(IF($X92="ELEC",((($AU92*(IF($H92="DESL",'Fuel-Specific GHG'!$C$14,IF($H92="GAS",'Fuel-Specific GHG'!$C$16,IF($H92="CNG",'Fuel-Specific GHG'!$C$13,IF(OR($H92="LPG",$H92="PROP"),'Fuel-Specific GHG'!$C$19,"")))))*(1/'Fuel-Specific GHG'!$C$15)*(1/3.4)*$F92)*'Grid Electricity'!$F$39)/454),((CC92+(CF92*CH92))*(IF(ISBLANK(AH92),Defaults!$B$19,AH92))*$AF92*$AJ92*$F92)),0)</f>
        <v>0</v>
      </c>
      <c r="CL92" s="813">
        <f t="shared" si="160"/>
        <v>0</v>
      </c>
      <c r="CM92" s="813">
        <f t="shared" si="161"/>
        <v>0</v>
      </c>
      <c r="CN92" s="814" t="str">
        <f t="shared" si="162"/>
        <v/>
      </c>
      <c r="CO92" s="814" t="str">
        <f t="shared" si="163"/>
        <v/>
      </c>
      <c r="CP92" s="814" t="str">
        <f t="shared" si="164"/>
        <v/>
      </c>
      <c r="CQ92" s="814" t="str">
        <f t="shared" si="165"/>
        <v/>
      </c>
      <c r="CR92" s="815" t="str">
        <f>IF(AND(V92="Yes, Booster Pump VFD",AF92&lt;=75),('Pump Emission Factors'!$F$95*F92),(IF(AND(V92="Yes, Booster Pump VFD",AF92&gt;75),('Pump Emission Factors'!$F$96*F92),(IF(AND(V92="Yes, Well Pump VFD",AF92&lt;=75),('Pump Emission Factors'!$F$97*F92),(IF(AND(V92="Yes, Well Pump VFD",AF92&gt;75),('Pump Emission Factors'!$F$98*F92),"")))))))</f>
        <v/>
      </c>
      <c r="CS92" s="815" t="str">
        <f>IF(AND(V92="Yes, Booster Pump VFD",AF92&lt;=75),('Pump Emission Factors'!$G$95*F92),(IF(AND(V92="Yes, Booster Pump VFD",AF92&gt;75),('Pump Emission Factors'!$G$96*F92),(IF(AND(V92="Yes, Well Pump VFD",AF92&lt;=75),('Pump Emission Factors'!$G$97*F92),(IF(AND(V92="Yes, Well Pump VFD",AF92&gt;75),('Pump Emission Factors'!$G$98*F92),"")))))))</f>
        <v/>
      </c>
      <c r="CT92" s="815" t="str">
        <f>IF(AND(V92="Yes, Booster Pump VFD",AF92&lt;=75),('Pump Emission Factors'!$H$95*F92),(IF(AND(V92="Yes, Booster Pump VFD",AF92&gt;75),('Pump Emission Factors'!$H$96*F92),(IF(AND(V92="Yes, Well Pump VFD",AF92&lt;=75),('Pump Emission Factors'!$H$97*F92),(IF(AND(V92="Yes, Well Pump VFD",AF92&gt;75),('Pump Emission Factors'!$H$98*F92),"")))))))</f>
        <v/>
      </c>
      <c r="CU92" s="815" t="str">
        <f>IF(AND(V92="Yes, Booster Pump VFD",AF92&lt;=75),('Pump Emission Factors'!$J$95*F92),(IF(AND(V92="Yes, Booster Pump VFD",AF92&gt;75),('Pump Emission Factors'!$J$96*F92),(IF(AND(V92="Yes, Well Pump VFD",AF92&lt;=75),('Pump Emission Factors'!$J$97*F92),(IF(AND(V92="Yes, Well Pump VFD",AF92&gt;75),('Pump Emission Factors'!$J$98*F92),"")))))))</f>
        <v/>
      </c>
      <c r="CV92" s="815" t="str">
        <f>IF(AND(V92="Yes, Booster Pump VFD",AF92&lt;=75),('Pump Emission Factors'!$I$95*F92),(IF(AND(V92="Yes, Booster Pump VFD",AF92&gt;75),('Pump Emission Factors'!$I$96*F92),(IF(AND(V92="Yes, Well Pump VFD",AF92&lt;=75),('Pump Emission Factors'!$I$97*F92),(IF(AND(V92="Yes, Well Pump VFD",AF92&gt;75),('Pump Emission Factors'!$I$98*F92),"")))))))</f>
        <v/>
      </c>
      <c r="CW92" s="806">
        <f t="shared" si="166"/>
        <v>0</v>
      </c>
      <c r="CX92" s="806">
        <f t="shared" si="167"/>
        <v>0</v>
      </c>
      <c r="CY92" s="806">
        <f t="shared" si="168"/>
        <v>0</v>
      </c>
      <c r="CZ92" s="806">
        <f t="shared" si="169"/>
        <v>0</v>
      </c>
      <c r="DA92" s="806">
        <f t="shared" si="170"/>
        <v>0</v>
      </c>
      <c r="DB92" s="816" t="str">
        <f t="shared" si="187"/>
        <v/>
      </c>
      <c r="DC92" s="816" t="str">
        <f t="shared" si="187"/>
        <v/>
      </c>
      <c r="DD92" s="816" t="str">
        <f t="shared" si="187"/>
        <v/>
      </c>
      <c r="DE92" s="817" t="str">
        <f t="shared" si="171"/>
        <v/>
      </c>
      <c r="DF92" s="817" t="str">
        <f t="shared" si="172"/>
        <v/>
      </c>
      <c r="DG92" s="804" t="str">
        <f t="shared" si="173"/>
        <v/>
      </c>
      <c r="DH92" s="804" t="str">
        <f t="shared" si="174"/>
        <v/>
      </c>
      <c r="DI92" s="818" t="str">
        <f>IF(AO92="","",IF(H92="DESL",AO92*F92*'Fuel Prices'!$C$12,IF(H92="GAS",AO92*F92*'Fuel Prices'!$C$11,IF(H92="CNG",AO92*F92*'Fuel Prices'!$C$13,IF(H92="LNG",AO92*F92*'Fuel Prices'!$C$14,IF(H92="LPG",AO92*F92*'Fuel Prices'!$C$16,IF(H92="PROP",AO92*F92*'Fuel Prices'!$C$16,"0")))))))</f>
        <v/>
      </c>
      <c r="DJ92" s="818" t="str">
        <f>IF(AU92="","",IF(X92="DESL",AU92*F92*'Fuel Prices'!$C$12,IF(X92="GAS",AU92*F92*'Fuel Prices'!$C$11,IF(X92="CNG",AU92*F92*'Fuel Prices'!$C$13,IF(X92="LNG",AU92*F92*'Fuel Prices'!$C$14,IF(X92="LPG",AU92*F92*'Fuel Prices'!$C$16,IF(X92="PROP",AU92*F92*'Fuel Prices'!$C$16,IF(X92="ELEC",AU92*F92*'Fuel Prices'!$C$35,"0"))))))))</f>
        <v/>
      </c>
      <c r="DK92" s="818" t="str">
        <f t="shared" si="175"/>
        <v/>
      </c>
      <c r="DL92" s="818" t="str">
        <f t="shared" si="188"/>
        <v/>
      </c>
      <c r="DM92" s="804" t="str">
        <f t="shared" si="176"/>
        <v/>
      </c>
      <c r="DN92" s="804" t="str">
        <f t="shared" si="177"/>
        <v/>
      </c>
      <c r="DO92" s="804" t="str">
        <f>IFERROR(ROUND(CZ92*IF(COUNTIF($B$20:B92,B92)=1,1,"")/IF(B92="",0,1),0),"")</f>
        <v/>
      </c>
      <c r="DP92" s="804" t="str">
        <f>IFERROR(ROUND(CW92*IF(COUNTIF($B$20:B92,B92)=1,1,"")/IF(B92="",0,1),0),"")</f>
        <v/>
      </c>
      <c r="DQ92" s="804" t="str">
        <f>IFERROR(ROUND(DA92*IF(COUNTIF($B$20:B92,B92)=1,1,"")/IF(B92="",0,1),0),"")</f>
        <v/>
      </c>
      <c r="DR92" s="804" t="str">
        <f>IFERROR(ROUND(CX92*IF(COUNTIF($B$20:B92,B92)=1,1,"")/IF(B92="",0,1),0),"")</f>
        <v/>
      </c>
      <c r="DS92" s="804">
        <f t="shared" si="178"/>
        <v>0</v>
      </c>
      <c r="DT92" s="804">
        <f t="shared" si="179"/>
        <v>0</v>
      </c>
      <c r="DU92" s="804">
        <f t="shared" si="180"/>
        <v>0</v>
      </c>
      <c r="DV92" s="818" t="str">
        <f t="shared" si="189"/>
        <v/>
      </c>
      <c r="DW92" s="819" t="str">
        <f t="shared" si="190"/>
        <v/>
      </c>
    </row>
    <row r="93" spans="1:127" ht="18" customHeight="1" x14ac:dyDescent="0.35">
      <c r="A93" s="696"/>
      <c r="B93" s="820"/>
      <c r="C93" s="825" t="str">
        <f t="shared" si="124"/>
        <v>(Required)</v>
      </c>
      <c r="D93" s="821"/>
      <c r="E93" s="825" t="str">
        <f t="shared" si="124"/>
        <v>(Required)</v>
      </c>
      <c r="F93" s="821"/>
      <c r="G93" s="825" t="str">
        <f t="shared" si="125"/>
        <v>(Required)</v>
      </c>
      <c r="H93" s="822"/>
      <c r="I93" s="825" t="str">
        <f t="shared" si="126"/>
        <v>(Required)</v>
      </c>
      <c r="J93" s="821"/>
      <c r="K93" s="825" t="str">
        <f t="shared" si="127"/>
        <v>(Required)</v>
      </c>
      <c r="L93" s="821"/>
      <c r="M93" s="825" t="str">
        <f t="shared" si="128"/>
        <v>(Required)</v>
      </c>
      <c r="N93" s="821"/>
      <c r="O93" s="825" t="str">
        <f t="shared" si="129"/>
        <v>(Required)</v>
      </c>
      <c r="P93" s="821"/>
      <c r="Q93" s="825" t="str">
        <f t="shared" si="130"/>
        <v>(Required)</v>
      </c>
      <c r="R93" s="823"/>
      <c r="S93" s="826" t="str">
        <f t="shared" si="131"/>
        <v>(Optional)</v>
      </c>
      <c r="T93" s="821"/>
      <c r="U93" s="827" t="str">
        <f t="shared" si="132"/>
        <v>(Required)</v>
      </c>
      <c r="V93" s="828"/>
      <c r="W93" s="799" t="str">
        <f t="shared" si="133"/>
        <v>(Optional)</v>
      </c>
      <c r="X93" s="822"/>
      <c r="Y93" s="825" t="str">
        <f t="shared" si="134"/>
        <v>(Required)</v>
      </c>
      <c r="Z93" s="821"/>
      <c r="AA93" s="825" t="str">
        <f t="shared" si="135"/>
        <v>(Required)</v>
      </c>
      <c r="AB93" s="821"/>
      <c r="AC93" s="825" t="str">
        <f t="shared" si="136"/>
        <v>(Required)</v>
      </c>
      <c r="AD93" s="821"/>
      <c r="AE93" s="825" t="str">
        <f t="shared" si="137"/>
        <v>(Required)</v>
      </c>
      <c r="AF93" s="821"/>
      <c r="AG93" s="825" t="str">
        <f t="shared" si="138"/>
        <v>(Required)</v>
      </c>
      <c r="AH93" s="823"/>
      <c r="AI93" s="826" t="str">
        <f t="shared" si="139"/>
        <v>(Optional)</v>
      </c>
      <c r="AJ93" s="821"/>
      <c r="AK93" s="825" t="str">
        <f t="shared" si="140"/>
        <v>(Required)</v>
      </c>
      <c r="AL93" s="803" t="str">
        <f t="shared" si="141"/>
        <v/>
      </c>
      <c r="AM93" s="803" t="str">
        <f>IF(H93="DESL",'Fuel Density'!$C$12,IF(H93="GAS",'Fuel Density'!$C$11,IF(H93="CNG",'Fuel Density'!$C$13,IF(H93="LNG",'Fuel Density'!$C$14,IF(H93="LPG",'Fuel Density'!$C$15,IF(H93="PROP",'Fuel Density'!$C$16,IF(H93="","","")))))))</f>
        <v/>
      </c>
      <c r="AN93" s="803" t="str">
        <f>IF(H93="DESL",'Fuel-Specific GHG'!$C$14,IF(H93="GAS",'Fuel-Specific GHG'!$C$16,IF(H93="CNG",'Fuel-Specific GHG'!$C$13,IF(H93="LNG",'Fuel-Specific GHG'!$C$18,IF(OR(H93="LPG",H93="PROP"),'Fuel-Specific GHG'!$C$19,IF(H93="","",""))))))</f>
        <v/>
      </c>
      <c r="AO93" s="804" t="str">
        <f>IFERROR(((P93*(IF(ISBLANK(R93),Defaults!$B$19,R93))*T93*AL93)/AM93),"")</f>
        <v/>
      </c>
      <c r="AP93" s="805" t="str">
        <f t="shared" si="142"/>
        <v/>
      </c>
      <c r="AQ93" s="805" t="str">
        <f>IF(H93="DESL",'Fuel-Specific GHG'!$E$14,IF(H93="GAS",'Fuel-Specific GHG'!$E$16,IF(H93="CNG",'Fuel-Specific GHG'!$E$13,IF(H93="LNG",'Fuel-Specific GHG'!$E$18,IF(OR(H93="LPG",H93="PROP"),'Fuel-Specific GHG'!$E$19,"")))))</f>
        <v/>
      </c>
      <c r="AR93" s="805" t="str">
        <f t="shared" si="143"/>
        <v/>
      </c>
      <c r="AS93" s="803" t="str">
        <f t="shared" si="181"/>
        <v/>
      </c>
      <c r="AT93" s="803" t="str">
        <f>IF(X93="DESL",'Fuel Density'!$C$12,IF(X93="PROP",'Fuel Density'!$C$16,IF(X93="GAS",'Fuel Density'!$C$11,IF(X93="CNG",'Fuel Density'!$C$13,IF(X93="LNG",'Fuel Density'!$C$14,IF(X93="LPG",'Fuel Density'!$C$15,IF(X93="","","")))))))</f>
        <v/>
      </c>
      <c r="AU93" s="804" t="str">
        <f>IFERROR(IF(X93="ELEC",AO93*AN93*(1/'Fuel-Specific GHG'!$C$15)*(1/IF(H93="GAS",3.4,IF(H93="DESL",2.7,3))),((AF93*(IF(ISBLANK(AH93),Defaults!$B$19,AH93))*AJ93*AS93)/AT93)),"")</f>
        <v/>
      </c>
      <c r="AV93" s="805" t="str">
        <f t="shared" si="144"/>
        <v/>
      </c>
      <c r="AW93" s="805" t="str">
        <f>IF(X93="DESL",'Fuel-Specific GHG'!$E$14,IF(X93="PROP",'Fuel-Specific GHG'!$E$19,IF(X93="GAS",'Fuel-Specific GHG'!$E$16,IF(X93="CNG",'Fuel-Specific GHG'!$E$13,IF(X93="LNG",'Fuel-Specific GHG'!$E$18,IF(X93="LPG",'Fuel-Specific GHG'!$E$19,IF(X93="ELEC",'Fuel-Specific GHG'!$E$15,"")))))))</f>
        <v/>
      </c>
      <c r="AX93" s="805" t="str">
        <f t="shared" si="145"/>
        <v/>
      </c>
      <c r="AY93" s="806" t="str">
        <f t="shared" si="146"/>
        <v/>
      </c>
      <c r="AZ93" s="806" t="str">
        <f t="shared" si="191"/>
        <v/>
      </c>
      <c r="BA93" s="806" t="str">
        <f t="shared" si="182"/>
        <v/>
      </c>
      <c r="BB93" s="804" t="str">
        <f t="shared" si="147"/>
        <v/>
      </c>
      <c r="BC93" s="807" t="str">
        <f t="shared" si="148"/>
        <v/>
      </c>
      <c r="BD93" s="807"/>
      <c r="BE93" s="808" t="str">
        <f t="shared" si="149"/>
        <v/>
      </c>
      <c r="BF93" s="809" t="str">
        <f t="shared" si="150"/>
        <v/>
      </c>
      <c r="BG93" s="808" t="str">
        <f t="shared" si="183"/>
        <v/>
      </c>
      <c r="BH93" s="810">
        <f t="shared" si="184"/>
        <v>0</v>
      </c>
      <c r="BI93" s="803" t="str">
        <f>IFERROR(VLOOKUP(BH93,'Pump Emission Factors'!$B$11:$J$88,4,FALSE),"")</f>
        <v/>
      </c>
      <c r="BJ93" s="803" t="str">
        <f>IFERROR(VLOOKUP(BH93,'Pump Emission Factors'!$B$11:$J$88,6,FALSE),"")</f>
        <v/>
      </c>
      <c r="BK93" s="803" t="str">
        <f>IFERROR(VLOOKUP(BH93,'Pump Emission Factors'!$B$11:$J$88,8,FALSE),"")</f>
        <v/>
      </c>
      <c r="BL93" s="803" t="str">
        <f>IFERROR(VLOOKUP(BH93,'Pump Emission Factors'!$B$11:$J$88,5,FALSE),"")</f>
        <v/>
      </c>
      <c r="BM93" s="803" t="str">
        <f>IFERROR(VLOOKUP(BH93,'Pump Emission Factors'!$B$11:$J$88,7,FALSE),"")</f>
        <v/>
      </c>
      <c r="BN93" s="803" t="str">
        <f>IFERROR(VLOOKUP(BH93,'Pump Emission Factors'!$B$11:$J$88,9,FALSE),"")</f>
        <v/>
      </c>
      <c r="BO93" s="811" t="str">
        <f t="shared" si="151"/>
        <v/>
      </c>
      <c r="BP93" s="811" t="str">
        <f t="shared" si="152"/>
        <v/>
      </c>
      <c r="BQ93" s="803">
        <f>IFERROR(((BI93+(BL93*BP93))*(IF(ISBLANK(R93),Defaults!$B$19,R93))*P93*T93)*F93*(1/454),0)</f>
        <v>0</v>
      </c>
      <c r="BR93" s="803">
        <f>IFERROR(((BJ93+(BM93*BP93))*(IF(ISBLANK(R93),Defaults!$B$19,R93))*P93*T93)*F93*(1/454),0)</f>
        <v>0</v>
      </c>
      <c r="BS93" s="803">
        <f>IFERROR(((BK93+(BN93*BP93))*(IF(ISBLANK(R93),Defaults!$B$19,R93))*P93*T93)*F93*(1/454),0)</f>
        <v>0</v>
      </c>
      <c r="BT93" s="803">
        <f t="shared" si="153"/>
        <v>0</v>
      </c>
      <c r="BU93" s="803">
        <f t="shared" si="154"/>
        <v>0</v>
      </c>
      <c r="BV93" s="812" t="str">
        <f t="shared" si="155"/>
        <v/>
      </c>
      <c r="BW93" s="808" t="str">
        <f t="shared" si="156"/>
        <v/>
      </c>
      <c r="BX93" s="809" t="str">
        <f t="shared" si="157"/>
        <v/>
      </c>
      <c r="BY93" s="808" t="str">
        <f t="shared" si="185"/>
        <v/>
      </c>
      <c r="BZ93" s="810">
        <f t="shared" si="186"/>
        <v>0</v>
      </c>
      <c r="CA93" s="813" t="str">
        <f>IFERROR(VLOOKUP(BZ93,'Pump Emission Factors'!$B$11:$J$88,4,FALSE),"")</f>
        <v/>
      </c>
      <c r="CB93" s="813" t="str">
        <f>IFERROR(VLOOKUP(BZ93,'Pump Emission Factors'!$B$11:$J$88,6,FALSE),"")</f>
        <v/>
      </c>
      <c r="CC93" s="813" t="str">
        <f>IFERROR(VLOOKUP(BZ93,'Pump Emission Factors'!$B$11:$J$88,8,FALSE),"")</f>
        <v/>
      </c>
      <c r="CD93" s="813" t="str">
        <f>IFERROR(VLOOKUP(BZ93,'Pump Emission Factors'!$B$11:$J$88,5,FALSE),"")</f>
        <v/>
      </c>
      <c r="CE93" s="813" t="str">
        <f>IFERROR(VLOOKUP(BZ93,'Pump Emission Factors'!$B$11:$J$88,7,FALSE),"")</f>
        <v/>
      </c>
      <c r="CF93" s="813" t="str">
        <f>IFERROR(VLOOKUP(BZ93,'Pump Emission Factors'!$B$11:$J$88,9,FALSE),"")</f>
        <v/>
      </c>
      <c r="CG93" s="814" t="str">
        <f t="shared" si="158"/>
        <v/>
      </c>
      <c r="CH93" s="814" t="str">
        <f t="shared" si="159"/>
        <v/>
      </c>
      <c r="CI93" s="813">
        <f>IFERROR(IF($X93="ELEC",((($AU93*(IF($H93="DESL",'Fuel-Specific GHG'!$C$14,IF($H93="GAS",'Fuel-Specific GHG'!$C$16,IF($H93="CNG",'Fuel-Specific GHG'!$C$13,IF(OR($H93="LPG",$H93="PROP"),'Fuel-Specific GHG'!$C$19,"")))))*(1/'Fuel-Specific GHG'!$C$15)*(1/3.4)*$F93)*'Grid Electricity'!$D$39)/454),((CA93+(CD93*CH93))*(IF(ISBLANK(AH93),Defaults!$B$19,AH93))*$AF93*$AJ93*$F93)),0)</f>
        <v>0</v>
      </c>
      <c r="CJ93" s="813">
        <f>IFERROR(IF($X93="ELEC",((($AU93*(IF($H93="DESL",'Fuel-Specific GHG'!$C$14,IF($H93="GAS",'Fuel-Specific GHG'!$C$16,IF($H93="CNG",'Fuel-Specific GHG'!$C$13,IF(OR($H93="LPG",$H93="PROP"),'Fuel-Specific GHG'!$C$19,"")))))*(1/'Fuel-Specific GHG'!$C$15)*(1/3.4)*$F93)*'Grid Electricity'!$C$39)/454),((CB93+(CE93*CH93))*(IF(ISBLANK(AH93),Defaults!$B$19,AH93))*$AF93*$AJ93*$F93)),0)</f>
        <v>0</v>
      </c>
      <c r="CK93" s="813">
        <f>IFERROR(IF($X93="ELEC",((($AU93*(IF($H93="DESL",'Fuel-Specific GHG'!$C$14,IF($H93="GAS",'Fuel-Specific GHG'!$C$16,IF($H93="CNG",'Fuel-Specific GHG'!$C$13,IF(OR($H93="LPG",$H93="PROP"),'Fuel-Specific GHG'!$C$19,"")))))*(1/'Fuel-Specific GHG'!$C$15)*(1/3.4)*$F93)*'Grid Electricity'!$F$39)/454),((CC93+(CF93*CH93))*(IF(ISBLANK(AH93),Defaults!$B$19,AH93))*$AF93*$AJ93*$F93)),0)</f>
        <v>0</v>
      </c>
      <c r="CL93" s="813">
        <f t="shared" si="160"/>
        <v>0</v>
      </c>
      <c r="CM93" s="813">
        <f t="shared" si="161"/>
        <v>0</v>
      </c>
      <c r="CN93" s="814" t="str">
        <f t="shared" si="162"/>
        <v/>
      </c>
      <c r="CO93" s="814" t="str">
        <f t="shared" si="163"/>
        <v/>
      </c>
      <c r="CP93" s="814" t="str">
        <f t="shared" si="164"/>
        <v/>
      </c>
      <c r="CQ93" s="814" t="str">
        <f t="shared" si="165"/>
        <v/>
      </c>
      <c r="CR93" s="815" t="str">
        <f>IF(AND(V93="Yes, Booster Pump VFD",AF93&lt;=75),('Pump Emission Factors'!$F$95*F93),(IF(AND(V93="Yes, Booster Pump VFD",AF93&gt;75),('Pump Emission Factors'!$F$96*F93),(IF(AND(V93="Yes, Well Pump VFD",AF93&lt;=75),('Pump Emission Factors'!$F$97*F93),(IF(AND(V93="Yes, Well Pump VFD",AF93&gt;75),('Pump Emission Factors'!$F$98*F93),"")))))))</f>
        <v/>
      </c>
      <c r="CS93" s="815" t="str">
        <f>IF(AND(V93="Yes, Booster Pump VFD",AF93&lt;=75),('Pump Emission Factors'!$G$95*F93),(IF(AND(V93="Yes, Booster Pump VFD",AF93&gt;75),('Pump Emission Factors'!$G$96*F93),(IF(AND(V93="Yes, Well Pump VFD",AF93&lt;=75),('Pump Emission Factors'!$G$97*F93),(IF(AND(V93="Yes, Well Pump VFD",AF93&gt;75),('Pump Emission Factors'!$G$98*F93),"")))))))</f>
        <v/>
      </c>
      <c r="CT93" s="815" t="str">
        <f>IF(AND(V93="Yes, Booster Pump VFD",AF93&lt;=75),('Pump Emission Factors'!$H$95*F93),(IF(AND(V93="Yes, Booster Pump VFD",AF93&gt;75),('Pump Emission Factors'!$H$96*F93),(IF(AND(V93="Yes, Well Pump VFD",AF93&lt;=75),('Pump Emission Factors'!$H$97*F93),(IF(AND(V93="Yes, Well Pump VFD",AF93&gt;75),('Pump Emission Factors'!$H$98*F93),"")))))))</f>
        <v/>
      </c>
      <c r="CU93" s="815" t="str">
        <f>IF(AND(V93="Yes, Booster Pump VFD",AF93&lt;=75),('Pump Emission Factors'!$J$95*F93),(IF(AND(V93="Yes, Booster Pump VFD",AF93&gt;75),('Pump Emission Factors'!$J$96*F93),(IF(AND(V93="Yes, Well Pump VFD",AF93&lt;=75),('Pump Emission Factors'!$J$97*F93),(IF(AND(V93="Yes, Well Pump VFD",AF93&gt;75),('Pump Emission Factors'!$J$98*F93),"")))))))</f>
        <v/>
      </c>
      <c r="CV93" s="815" t="str">
        <f>IF(AND(V93="Yes, Booster Pump VFD",AF93&lt;=75),('Pump Emission Factors'!$I$95*F93),(IF(AND(V93="Yes, Booster Pump VFD",AF93&gt;75),('Pump Emission Factors'!$I$96*F93),(IF(AND(V93="Yes, Well Pump VFD",AF93&lt;=75),('Pump Emission Factors'!$I$97*F93),(IF(AND(V93="Yes, Well Pump VFD",AF93&gt;75),('Pump Emission Factors'!$I$98*F93),"")))))))</f>
        <v/>
      </c>
      <c r="CW93" s="806">
        <f t="shared" si="166"/>
        <v>0</v>
      </c>
      <c r="CX93" s="806">
        <f t="shared" si="167"/>
        <v>0</v>
      </c>
      <c r="CY93" s="806">
        <f t="shared" si="168"/>
        <v>0</v>
      </c>
      <c r="CZ93" s="806">
        <f t="shared" si="169"/>
        <v>0</v>
      </c>
      <c r="DA93" s="806">
        <f t="shared" si="170"/>
        <v>0</v>
      </c>
      <c r="DB93" s="816" t="str">
        <f t="shared" si="187"/>
        <v/>
      </c>
      <c r="DC93" s="816" t="str">
        <f t="shared" si="187"/>
        <v/>
      </c>
      <c r="DD93" s="816" t="str">
        <f t="shared" si="187"/>
        <v/>
      </c>
      <c r="DE93" s="817" t="str">
        <f t="shared" si="171"/>
        <v/>
      </c>
      <c r="DF93" s="817" t="str">
        <f t="shared" si="172"/>
        <v/>
      </c>
      <c r="DG93" s="804" t="str">
        <f t="shared" si="173"/>
        <v/>
      </c>
      <c r="DH93" s="804" t="str">
        <f t="shared" si="174"/>
        <v/>
      </c>
      <c r="DI93" s="818" t="str">
        <f>IF(AO93="","",IF(H93="DESL",AO93*F93*'Fuel Prices'!$C$12,IF(H93="GAS",AO93*F93*'Fuel Prices'!$C$11,IF(H93="CNG",AO93*F93*'Fuel Prices'!$C$13,IF(H93="LNG",AO93*F93*'Fuel Prices'!$C$14,IF(H93="LPG",AO93*F93*'Fuel Prices'!$C$16,IF(H93="PROP",AO93*F93*'Fuel Prices'!$C$16,"0")))))))</f>
        <v/>
      </c>
      <c r="DJ93" s="818" t="str">
        <f>IF(AU93="","",IF(X93="DESL",AU93*F93*'Fuel Prices'!$C$12,IF(X93="GAS",AU93*F93*'Fuel Prices'!$C$11,IF(X93="CNG",AU93*F93*'Fuel Prices'!$C$13,IF(X93="LNG",AU93*F93*'Fuel Prices'!$C$14,IF(X93="LPG",AU93*F93*'Fuel Prices'!$C$16,IF(X93="PROP",AU93*F93*'Fuel Prices'!$C$16,IF(X93="ELEC",AU93*F93*'Fuel Prices'!$C$35,"0"))))))))</f>
        <v/>
      </c>
      <c r="DK93" s="818" t="str">
        <f t="shared" si="175"/>
        <v/>
      </c>
      <c r="DL93" s="818" t="str">
        <f t="shared" si="188"/>
        <v/>
      </c>
      <c r="DM93" s="804" t="str">
        <f t="shared" si="176"/>
        <v/>
      </c>
      <c r="DN93" s="804" t="str">
        <f t="shared" si="177"/>
        <v/>
      </c>
      <c r="DO93" s="804" t="str">
        <f>IFERROR(ROUND(CZ93*IF(COUNTIF($B$20:B93,B93)=1,1,"")/IF(B93="",0,1),0),"")</f>
        <v/>
      </c>
      <c r="DP93" s="804" t="str">
        <f>IFERROR(ROUND(CW93*IF(COUNTIF($B$20:B93,B93)=1,1,"")/IF(B93="",0,1),0),"")</f>
        <v/>
      </c>
      <c r="DQ93" s="804" t="str">
        <f>IFERROR(ROUND(DA93*IF(COUNTIF($B$20:B93,B93)=1,1,"")/IF(B93="",0,1),0),"")</f>
        <v/>
      </c>
      <c r="DR93" s="804" t="str">
        <f>IFERROR(ROUND(CX93*IF(COUNTIF($B$20:B93,B93)=1,1,"")/IF(B93="",0,1),0),"")</f>
        <v/>
      </c>
      <c r="DS93" s="804">
        <f t="shared" si="178"/>
        <v>0</v>
      </c>
      <c r="DT93" s="804">
        <f t="shared" si="179"/>
        <v>0</v>
      </c>
      <c r="DU93" s="804">
        <f t="shared" si="180"/>
        <v>0</v>
      </c>
      <c r="DV93" s="818" t="str">
        <f t="shared" si="189"/>
        <v/>
      </c>
      <c r="DW93" s="819" t="str">
        <f t="shared" si="190"/>
        <v/>
      </c>
    </row>
    <row r="94" spans="1:127" ht="18" customHeight="1" x14ac:dyDescent="0.35">
      <c r="A94" s="635"/>
      <c r="B94" s="820"/>
      <c r="C94" s="825" t="str">
        <f t="shared" si="124"/>
        <v>(Required)</v>
      </c>
      <c r="D94" s="821"/>
      <c r="E94" s="825" t="str">
        <f t="shared" si="124"/>
        <v>(Required)</v>
      </c>
      <c r="F94" s="821"/>
      <c r="G94" s="825" t="str">
        <f t="shared" si="125"/>
        <v>(Required)</v>
      </c>
      <c r="H94" s="822"/>
      <c r="I94" s="825" t="str">
        <f t="shared" si="126"/>
        <v>(Required)</v>
      </c>
      <c r="J94" s="821"/>
      <c r="K94" s="825" t="str">
        <f t="shared" si="127"/>
        <v>(Required)</v>
      </c>
      <c r="L94" s="821"/>
      <c r="M94" s="825" t="str">
        <f t="shared" si="128"/>
        <v>(Required)</v>
      </c>
      <c r="N94" s="821"/>
      <c r="O94" s="825" t="str">
        <f t="shared" si="129"/>
        <v>(Required)</v>
      </c>
      <c r="P94" s="821"/>
      <c r="Q94" s="825" t="str">
        <f t="shared" si="130"/>
        <v>(Required)</v>
      </c>
      <c r="R94" s="823"/>
      <c r="S94" s="826" t="str">
        <f t="shared" si="131"/>
        <v>(Optional)</v>
      </c>
      <c r="T94" s="821"/>
      <c r="U94" s="827" t="str">
        <f t="shared" si="132"/>
        <v>(Required)</v>
      </c>
      <c r="V94" s="828"/>
      <c r="W94" s="799" t="str">
        <f t="shared" si="133"/>
        <v>(Optional)</v>
      </c>
      <c r="X94" s="822"/>
      <c r="Y94" s="825" t="str">
        <f t="shared" si="134"/>
        <v>(Required)</v>
      </c>
      <c r="Z94" s="821"/>
      <c r="AA94" s="825" t="str">
        <f t="shared" si="135"/>
        <v>(Required)</v>
      </c>
      <c r="AB94" s="821"/>
      <c r="AC94" s="825" t="str">
        <f t="shared" si="136"/>
        <v>(Required)</v>
      </c>
      <c r="AD94" s="821"/>
      <c r="AE94" s="825" t="str">
        <f t="shared" si="137"/>
        <v>(Required)</v>
      </c>
      <c r="AF94" s="821"/>
      <c r="AG94" s="825" t="str">
        <f t="shared" si="138"/>
        <v>(Required)</v>
      </c>
      <c r="AH94" s="823"/>
      <c r="AI94" s="826" t="str">
        <f t="shared" si="139"/>
        <v>(Optional)</v>
      </c>
      <c r="AJ94" s="821"/>
      <c r="AK94" s="825" t="str">
        <f t="shared" si="140"/>
        <v>(Required)</v>
      </c>
      <c r="AL94" s="803" t="str">
        <f t="shared" si="141"/>
        <v/>
      </c>
      <c r="AM94" s="803" t="str">
        <f>IF(H94="DESL",'Fuel Density'!$C$12,IF(H94="GAS",'Fuel Density'!$C$11,IF(H94="CNG",'Fuel Density'!$C$13,IF(H94="LNG",'Fuel Density'!$C$14,IF(H94="LPG",'Fuel Density'!$C$15,IF(H94="PROP",'Fuel Density'!$C$16,IF(H94="","","")))))))</f>
        <v/>
      </c>
      <c r="AN94" s="803" t="str">
        <f>IF(H94="DESL",'Fuel-Specific GHG'!$C$14,IF(H94="GAS",'Fuel-Specific GHG'!$C$16,IF(H94="CNG",'Fuel-Specific GHG'!$C$13,IF(H94="LNG",'Fuel-Specific GHG'!$C$18,IF(OR(H94="LPG",H94="PROP"),'Fuel-Specific GHG'!$C$19,IF(H94="","",""))))))</f>
        <v/>
      </c>
      <c r="AO94" s="804" t="str">
        <f>IFERROR(((P94*(IF(ISBLANK(R94),Defaults!$B$19,R94))*T94*AL94)/AM94),"")</f>
        <v/>
      </c>
      <c r="AP94" s="805" t="str">
        <f t="shared" si="142"/>
        <v/>
      </c>
      <c r="AQ94" s="805" t="str">
        <f>IF(H94="DESL",'Fuel-Specific GHG'!$E$14,IF(H94="GAS",'Fuel-Specific GHG'!$E$16,IF(H94="CNG",'Fuel-Specific GHG'!$E$13,IF(H94="LNG",'Fuel-Specific GHG'!$E$18,IF(OR(H94="LPG",H94="PROP"),'Fuel-Specific GHG'!$E$19,"")))))</f>
        <v/>
      </c>
      <c r="AR94" s="805" t="str">
        <f t="shared" si="143"/>
        <v/>
      </c>
      <c r="AS94" s="803" t="str">
        <f t="shared" si="181"/>
        <v/>
      </c>
      <c r="AT94" s="803" t="str">
        <f>IF(X94="DESL",'Fuel Density'!$C$12,IF(X94="PROP",'Fuel Density'!$C$16,IF(X94="GAS",'Fuel Density'!$C$11,IF(X94="CNG",'Fuel Density'!$C$13,IF(X94="LNG",'Fuel Density'!$C$14,IF(X94="LPG",'Fuel Density'!$C$15,IF(X94="","","")))))))</f>
        <v/>
      </c>
      <c r="AU94" s="804" t="str">
        <f>IFERROR(IF(X94="ELEC",AO94*AN94*(1/'Fuel-Specific GHG'!$C$15)*(1/IF(H94="GAS",3.4,IF(H94="DESL",2.7,3))),((AF94*(IF(ISBLANK(AH94),Defaults!$B$19,AH94))*AJ94*AS94)/AT94)),"")</f>
        <v/>
      </c>
      <c r="AV94" s="805" t="str">
        <f t="shared" si="144"/>
        <v/>
      </c>
      <c r="AW94" s="805" t="str">
        <f>IF(X94="DESL",'Fuel-Specific GHG'!$E$14,IF(X94="PROP",'Fuel-Specific GHG'!$E$19,IF(X94="GAS",'Fuel-Specific GHG'!$E$16,IF(X94="CNG",'Fuel-Specific GHG'!$E$13,IF(X94="LNG",'Fuel-Specific GHG'!$E$18,IF(X94="LPG",'Fuel-Specific GHG'!$E$19,IF(X94="ELEC",'Fuel-Specific GHG'!$E$15,"")))))))</f>
        <v/>
      </c>
      <c r="AX94" s="805" t="str">
        <f t="shared" si="145"/>
        <v/>
      </c>
      <c r="AY94" s="806" t="str">
        <f t="shared" si="146"/>
        <v/>
      </c>
      <c r="AZ94" s="806" t="str">
        <f t="shared" si="191"/>
        <v/>
      </c>
      <c r="BA94" s="806" t="str">
        <f t="shared" si="182"/>
        <v/>
      </c>
      <c r="BB94" s="804" t="str">
        <f t="shared" si="147"/>
        <v/>
      </c>
      <c r="BC94" s="807" t="str">
        <f t="shared" si="148"/>
        <v/>
      </c>
      <c r="BD94" s="807"/>
      <c r="BE94" s="808" t="str">
        <f t="shared" si="149"/>
        <v/>
      </c>
      <c r="BF94" s="809" t="str">
        <f t="shared" si="150"/>
        <v/>
      </c>
      <c r="BG94" s="808" t="str">
        <f t="shared" si="183"/>
        <v/>
      </c>
      <c r="BH94" s="810">
        <f t="shared" si="184"/>
        <v>0</v>
      </c>
      <c r="BI94" s="803" t="str">
        <f>IFERROR(VLOOKUP(BH94,'Pump Emission Factors'!$B$11:$J$88,4,FALSE),"")</f>
        <v/>
      </c>
      <c r="BJ94" s="803" t="str">
        <f>IFERROR(VLOOKUP(BH94,'Pump Emission Factors'!$B$11:$J$88,6,FALSE),"")</f>
        <v/>
      </c>
      <c r="BK94" s="803" t="str">
        <f>IFERROR(VLOOKUP(BH94,'Pump Emission Factors'!$B$11:$J$88,8,FALSE),"")</f>
        <v/>
      </c>
      <c r="BL94" s="803" t="str">
        <f>IFERROR(VLOOKUP(BH94,'Pump Emission Factors'!$B$11:$J$88,5,FALSE),"")</f>
        <v/>
      </c>
      <c r="BM94" s="803" t="str">
        <f>IFERROR(VLOOKUP(BH94,'Pump Emission Factors'!$B$11:$J$88,7,FALSE),"")</f>
        <v/>
      </c>
      <c r="BN94" s="803" t="str">
        <f>IFERROR(VLOOKUP(BH94,'Pump Emission Factors'!$B$11:$J$88,9,FALSE),"")</f>
        <v/>
      </c>
      <c r="BO94" s="811" t="str">
        <f t="shared" si="151"/>
        <v/>
      </c>
      <c r="BP94" s="811" t="str">
        <f t="shared" si="152"/>
        <v/>
      </c>
      <c r="BQ94" s="803">
        <f>IFERROR(((BI94+(BL94*BP94))*(IF(ISBLANK(R94),Defaults!$B$19,R94))*P94*T94)*F94*(1/454),0)</f>
        <v>0</v>
      </c>
      <c r="BR94" s="803">
        <f>IFERROR(((BJ94+(BM94*BP94))*(IF(ISBLANK(R94),Defaults!$B$19,R94))*P94*T94)*F94*(1/454),0)</f>
        <v>0</v>
      </c>
      <c r="BS94" s="803">
        <f>IFERROR(((BK94+(BN94*BP94))*(IF(ISBLANK(R94),Defaults!$B$19,R94))*P94*T94)*F94*(1/454),0)</f>
        <v>0</v>
      </c>
      <c r="BT94" s="803">
        <f t="shared" si="153"/>
        <v>0</v>
      </c>
      <c r="BU94" s="803">
        <f t="shared" si="154"/>
        <v>0</v>
      </c>
      <c r="BV94" s="812" t="str">
        <f t="shared" si="155"/>
        <v/>
      </c>
      <c r="BW94" s="808" t="str">
        <f t="shared" si="156"/>
        <v/>
      </c>
      <c r="BX94" s="809" t="str">
        <f t="shared" si="157"/>
        <v/>
      </c>
      <c r="BY94" s="808" t="str">
        <f t="shared" si="185"/>
        <v/>
      </c>
      <c r="BZ94" s="810">
        <f t="shared" si="186"/>
        <v>0</v>
      </c>
      <c r="CA94" s="813" t="str">
        <f>IFERROR(VLOOKUP(BZ94,'Pump Emission Factors'!$B$11:$J$88,4,FALSE),"")</f>
        <v/>
      </c>
      <c r="CB94" s="813" t="str">
        <f>IFERROR(VLOOKUP(BZ94,'Pump Emission Factors'!$B$11:$J$88,6,FALSE),"")</f>
        <v/>
      </c>
      <c r="CC94" s="813" t="str">
        <f>IFERROR(VLOOKUP(BZ94,'Pump Emission Factors'!$B$11:$J$88,8,FALSE),"")</f>
        <v/>
      </c>
      <c r="CD94" s="813" t="str">
        <f>IFERROR(VLOOKUP(BZ94,'Pump Emission Factors'!$B$11:$J$88,5,FALSE),"")</f>
        <v/>
      </c>
      <c r="CE94" s="813" t="str">
        <f>IFERROR(VLOOKUP(BZ94,'Pump Emission Factors'!$B$11:$J$88,7,FALSE),"")</f>
        <v/>
      </c>
      <c r="CF94" s="813" t="str">
        <f>IFERROR(VLOOKUP(BZ94,'Pump Emission Factors'!$B$11:$J$88,9,FALSE),"")</f>
        <v/>
      </c>
      <c r="CG94" s="814" t="str">
        <f t="shared" si="158"/>
        <v/>
      </c>
      <c r="CH94" s="814" t="str">
        <f t="shared" si="159"/>
        <v/>
      </c>
      <c r="CI94" s="813">
        <f>IFERROR(IF($X94="ELEC",((($AU94*(IF($H94="DESL",'Fuel-Specific GHG'!$C$14,IF($H94="GAS",'Fuel-Specific GHG'!$C$16,IF($H94="CNG",'Fuel-Specific GHG'!$C$13,IF(OR($H94="LPG",$H94="PROP"),'Fuel-Specific GHG'!$C$19,"")))))*(1/'Fuel-Specific GHG'!$C$15)*(1/3.4)*$F94)*'Grid Electricity'!$D$39)/454),((CA94+(CD94*CH94))*(IF(ISBLANK(AH94),Defaults!$B$19,AH94))*$AF94*$AJ94*$F94)),0)</f>
        <v>0</v>
      </c>
      <c r="CJ94" s="813">
        <f>IFERROR(IF($X94="ELEC",((($AU94*(IF($H94="DESL",'Fuel-Specific GHG'!$C$14,IF($H94="GAS",'Fuel-Specific GHG'!$C$16,IF($H94="CNG",'Fuel-Specific GHG'!$C$13,IF(OR($H94="LPG",$H94="PROP"),'Fuel-Specific GHG'!$C$19,"")))))*(1/'Fuel-Specific GHG'!$C$15)*(1/3.4)*$F94)*'Grid Electricity'!$C$39)/454),((CB94+(CE94*CH94))*(IF(ISBLANK(AH94),Defaults!$B$19,AH94))*$AF94*$AJ94*$F94)),0)</f>
        <v>0</v>
      </c>
      <c r="CK94" s="813">
        <f>IFERROR(IF($X94="ELEC",((($AU94*(IF($H94="DESL",'Fuel-Specific GHG'!$C$14,IF($H94="GAS",'Fuel-Specific GHG'!$C$16,IF($H94="CNG",'Fuel-Specific GHG'!$C$13,IF(OR($H94="LPG",$H94="PROP"),'Fuel-Specific GHG'!$C$19,"")))))*(1/'Fuel-Specific GHG'!$C$15)*(1/3.4)*$F94)*'Grid Electricity'!$F$39)/454),((CC94+(CF94*CH94))*(IF(ISBLANK(AH94),Defaults!$B$19,AH94))*$AF94*$AJ94*$F94)),0)</f>
        <v>0</v>
      </c>
      <c r="CL94" s="813">
        <f t="shared" si="160"/>
        <v>0</v>
      </c>
      <c r="CM94" s="813">
        <f t="shared" si="161"/>
        <v>0</v>
      </c>
      <c r="CN94" s="814" t="str">
        <f t="shared" si="162"/>
        <v/>
      </c>
      <c r="CO94" s="814" t="str">
        <f t="shared" si="163"/>
        <v/>
      </c>
      <c r="CP94" s="814" t="str">
        <f t="shared" si="164"/>
        <v/>
      </c>
      <c r="CQ94" s="814" t="str">
        <f t="shared" si="165"/>
        <v/>
      </c>
      <c r="CR94" s="815" t="str">
        <f>IF(AND(V94="Yes, Booster Pump VFD",AF94&lt;=75),('Pump Emission Factors'!$F$95*F94),(IF(AND(V94="Yes, Booster Pump VFD",AF94&gt;75),('Pump Emission Factors'!$F$96*F94),(IF(AND(V94="Yes, Well Pump VFD",AF94&lt;=75),('Pump Emission Factors'!$F$97*F94),(IF(AND(V94="Yes, Well Pump VFD",AF94&gt;75),('Pump Emission Factors'!$F$98*F94),"")))))))</f>
        <v/>
      </c>
      <c r="CS94" s="815" t="str">
        <f>IF(AND(V94="Yes, Booster Pump VFD",AF94&lt;=75),('Pump Emission Factors'!$G$95*F94),(IF(AND(V94="Yes, Booster Pump VFD",AF94&gt;75),('Pump Emission Factors'!$G$96*F94),(IF(AND(V94="Yes, Well Pump VFD",AF94&lt;=75),('Pump Emission Factors'!$G$97*F94),(IF(AND(V94="Yes, Well Pump VFD",AF94&gt;75),('Pump Emission Factors'!$G$98*F94),"")))))))</f>
        <v/>
      </c>
      <c r="CT94" s="815" t="str">
        <f>IF(AND(V94="Yes, Booster Pump VFD",AF94&lt;=75),('Pump Emission Factors'!$H$95*F94),(IF(AND(V94="Yes, Booster Pump VFD",AF94&gt;75),('Pump Emission Factors'!$H$96*F94),(IF(AND(V94="Yes, Well Pump VFD",AF94&lt;=75),('Pump Emission Factors'!$H$97*F94),(IF(AND(V94="Yes, Well Pump VFD",AF94&gt;75),('Pump Emission Factors'!$H$98*F94),"")))))))</f>
        <v/>
      </c>
      <c r="CU94" s="815" t="str">
        <f>IF(AND(V94="Yes, Booster Pump VFD",AF94&lt;=75),('Pump Emission Factors'!$J$95*F94),(IF(AND(V94="Yes, Booster Pump VFD",AF94&gt;75),('Pump Emission Factors'!$J$96*F94),(IF(AND(V94="Yes, Well Pump VFD",AF94&lt;=75),('Pump Emission Factors'!$J$97*F94),(IF(AND(V94="Yes, Well Pump VFD",AF94&gt;75),('Pump Emission Factors'!$J$98*F94),"")))))))</f>
        <v/>
      </c>
      <c r="CV94" s="815" t="str">
        <f>IF(AND(V94="Yes, Booster Pump VFD",AF94&lt;=75),('Pump Emission Factors'!$I$95*F94),(IF(AND(V94="Yes, Booster Pump VFD",AF94&gt;75),('Pump Emission Factors'!$I$96*F94),(IF(AND(V94="Yes, Well Pump VFD",AF94&lt;=75),('Pump Emission Factors'!$I$97*F94),(IF(AND(V94="Yes, Well Pump VFD",AF94&gt;75),('Pump Emission Factors'!$I$98*F94),"")))))))</f>
        <v/>
      </c>
      <c r="CW94" s="806">
        <f t="shared" si="166"/>
        <v>0</v>
      </c>
      <c r="CX94" s="806">
        <f t="shared" si="167"/>
        <v>0</v>
      </c>
      <c r="CY94" s="806">
        <f t="shared" si="168"/>
        <v>0</v>
      </c>
      <c r="CZ94" s="806">
        <f t="shared" si="169"/>
        <v>0</v>
      </c>
      <c r="DA94" s="806">
        <f t="shared" si="170"/>
        <v>0</v>
      </c>
      <c r="DB94" s="816" t="str">
        <f t="shared" si="187"/>
        <v/>
      </c>
      <c r="DC94" s="816" t="str">
        <f t="shared" si="187"/>
        <v/>
      </c>
      <c r="DD94" s="816" t="str">
        <f t="shared" si="187"/>
        <v/>
      </c>
      <c r="DE94" s="817" t="str">
        <f t="shared" si="171"/>
        <v/>
      </c>
      <c r="DF94" s="817" t="str">
        <f t="shared" si="172"/>
        <v/>
      </c>
      <c r="DG94" s="804" t="str">
        <f t="shared" si="173"/>
        <v/>
      </c>
      <c r="DH94" s="804" t="str">
        <f t="shared" si="174"/>
        <v/>
      </c>
      <c r="DI94" s="818" t="str">
        <f>IF(AO94="","",IF(H94="DESL",AO94*F94*'Fuel Prices'!$C$12,IF(H94="GAS",AO94*F94*'Fuel Prices'!$C$11,IF(H94="CNG",AO94*F94*'Fuel Prices'!$C$13,IF(H94="LNG",AO94*F94*'Fuel Prices'!$C$14,IF(H94="LPG",AO94*F94*'Fuel Prices'!$C$16,IF(H94="PROP",AO94*F94*'Fuel Prices'!$C$16,"0")))))))</f>
        <v/>
      </c>
      <c r="DJ94" s="818" t="str">
        <f>IF(AU94="","",IF(X94="DESL",AU94*F94*'Fuel Prices'!$C$12,IF(X94="GAS",AU94*F94*'Fuel Prices'!$C$11,IF(X94="CNG",AU94*F94*'Fuel Prices'!$C$13,IF(X94="LNG",AU94*F94*'Fuel Prices'!$C$14,IF(X94="LPG",AU94*F94*'Fuel Prices'!$C$16,IF(X94="PROP",AU94*F94*'Fuel Prices'!$C$16,IF(X94="ELEC",AU94*F94*'Fuel Prices'!$C$35,"0"))))))))</f>
        <v/>
      </c>
      <c r="DK94" s="818" t="str">
        <f t="shared" si="175"/>
        <v/>
      </c>
      <c r="DL94" s="818" t="str">
        <f t="shared" si="188"/>
        <v/>
      </c>
      <c r="DM94" s="804" t="str">
        <f t="shared" si="176"/>
        <v/>
      </c>
      <c r="DN94" s="804" t="str">
        <f t="shared" si="177"/>
        <v/>
      </c>
      <c r="DO94" s="804" t="str">
        <f>IFERROR(ROUND(CZ94*IF(COUNTIF($B$20:B94,B94)=1,1,"")/IF(B94="",0,1),0),"")</f>
        <v/>
      </c>
      <c r="DP94" s="804" t="str">
        <f>IFERROR(ROUND(CW94*IF(COUNTIF($B$20:B94,B94)=1,1,"")/IF(B94="",0,1),0),"")</f>
        <v/>
      </c>
      <c r="DQ94" s="804" t="str">
        <f>IFERROR(ROUND(DA94*IF(COUNTIF($B$20:B94,B94)=1,1,"")/IF(B94="",0,1),0),"")</f>
        <v/>
      </c>
      <c r="DR94" s="804" t="str">
        <f>IFERROR(ROUND(CX94*IF(COUNTIF($B$20:B94,B94)=1,1,"")/IF(B94="",0,1),0),"")</f>
        <v/>
      </c>
      <c r="DS94" s="804">
        <f t="shared" si="178"/>
        <v>0</v>
      </c>
      <c r="DT94" s="804">
        <f t="shared" si="179"/>
        <v>0</v>
      </c>
      <c r="DU94" s="804">
        <f t="shared" si="180"/>
        <v>0</v>
      </c>
      <c r="DV94" s="818" t="str">
        <f t="shared" si="189"/>
        <v/>
      </c>
      <c r="DW94" s="819" t="str">
        <f t="shared" si="190"/>
        <v/>
      </c>
    </row>
    <row r="95" spans="1:127" ht="18" customHeight="1" x14ac:dyDescent="0.35">
      <c r="A95" s="696"/>
      <c r="B95" s="820"/>
      <c r="C95" s="825" t="str">
        <f t="shared" si="124"/>
        <v>(Required)</v>
      </c>
      <c r="D95" s="821"/>
      <c r="E95" s="825" t="str">
        <f t="shared" si="124"/>
        <v>(Required)</v>
      </c>
      <c r="F95" s="821"/>
      <c r="G95" s="825" t="str">
        <f t="shared" si="125"/>
        <v>(Required)</v>
      </c>
      <c r="H95" s="822"/>
      <c r="I95" s="825" t="str">
        <f t="shared" si="126"/>
        <v>(Required)</v>
      </c>
      <c r="J95" s="821"/>
      <c r="K95" s="825" t="str">
        <f t="shared" si="127"/>
        <v>(Required)</v>
      </c>
      <c r="L95" s="821"/>
      <c r="M95" s="825" t="str">
        <f t="shared" si="128"/>
        <v>(Required)</v>
      </c>
      <c r="N95" s="821"/>
      <c r="O95" s="825" t="str">
        <f t="shared" si="129"/>
        <v>(Required)</v>
      </c>
      <c r="P95" s="821"/>
      <c r="Q95" s="825" t="str">
        <f t="shared" si="130"/>
        <v>(Required)</v>
      </c>
      <c r="R95" s="823"/>
      <c r="S95" s="826" t="str">
        <f t="shared" si="131"/>
        <v>(Optional)</v>
      </c>
      <c r="T95" s="821"/>
      <c r="U95" s="827" t="str">
        <f t="shared" si="132"/>
        <v>(Required)</v>
      </c>
      <c r="V95" s="828"/>
      <c r="W95" s="799" t="str">
        <f t="shared" si="133"/>
        <v>(Optional)</v>
      </c>
      <c r="X95" s="822"/>
      <c r="Y95" s="825" t="str">
        <f t="shared" si="134"/>
        <v>(Required)</v>
      </c>
      <c r="Z95" s="821"/>
      <c r="AA95" s="825" t="str">
        <f t="shared" si="135"/>
        <v>(Required)</v>
      </c>
      <c r="AB95" s="821"/>
      <c r="AC95" s="825" t="str">
        <f t="shared" si="136"/>
        <v>(Required)</v>
      </c>
      <c r="AD95" s="821"/>
      <c r="AE95" s="825" t="str">
        <f t="shared" si="137"/>
        <v>(Required)</v>
      </c>
      <c r="AF95" s="821"/>
      <c r="AG95" s="825" t="str">
        <f t="shared" si="138"/>
        <v>(Required)</v>
      </c>
      <c r="AH95" s="823"/>
      <c r="AI95" s="826" t="str">
        <f t="shared" si="139"/>
        <v>(Optional)</v>
      </c>
      <c r="AJ95" s="821"/>
      <c r="AK95" s="825" t="str">
        <f t="shared" si="140"/>
        <v>(Required)</v>
      </c>
      <c r="AL95" s="803" t="str">
        <f t="shared" si="141"/>
        <v/>
      </c>
      <c r="AM95" s="803" t="str">
        <f>IF(H95="DESL",'Fuel Density'!$C$12,IF(H95="GAS",'Fuel Density'!$C$11,IF(H95="CNG",'Fuel Density'!$C$13,IF(H95="LNG",'Fuel Density'!$C$14,IF(H95="LPG",'Fuel Density'!$C$15,IF(H95="PROP",'Fuel Density'!$C$16,IF(H95="","","")))))))</f>
        <v/>
      </c>
      <c r="AN95" s="803" t="str">
        <f>IF(H95="DESL",'Fuel-Specific GHG'!$C$14,IF(H95="GAS",'Fuel-Specific GHG'!$C$16,IF(H95="CNG",'Fuel-Specific GHG'!$C$13,IF(H95="LNG",'Fuel-Specific GHG'!$C$18,IF(OR(H95="LPG",H95="PROP"),'Fuel-Specific GHG'!$C$19,IF(H95="","",""))))))</f>
        <v/>
      </c>
      <c r="AO95" s="804" t="str">
        <f>IFERROR(((P95*(IF(ISBLANK(R95),Defaults!$B$19,R95))*T95*AL95)/AM95),"")</f>
        <v/>
      </c>
      <c r="AP95" s="805" t="str">
        <f t="shared" si="142"/>
        <v/>
      </c>
      <c r="AQ95" s="805" t="str">
        <f>IF(H95="DESL",'Fuel-Specific GHG'!$E$14,IF(H95="GAS",'Fuel-Specific GHG'!$E$16,IF(H95="CNG",'Fuel-Specific GHG'!$E$13,IF(H95="LNG",'Fuel-Specific GHG'!$E$18,IF(OR(H95="LPG",H95="PROP"),'Fuel-Specific GHG'!$E$19,"")))))</f>
        <v/>
      </c>
      <c r="AR95" s="805" t="str">
        <f t="shared" si="143"/>
        <v/>
      </c>
      <c r="AS95" s="803" t="str">
        <f t="shared" si="181"/>
        <v/>
      </c>
      <c r="AT95" s="803" t="str">
        <f>IF(X95="DESL",'Fuel Density'!$C$12,IF(X95="PROP",'Fuel Density'!$C$16,IF(X95="GAS",'Fuel Density'!$C$11,IF(X95="CNG",'Fuel Density'!$C$13,IF(X95="LNG",'Fuel Density'!$C$14,IF(X95="LPG",'Fuel Density'!$C$15,IF(X95="","","")))))))</f>
        <v/>
      </c>
      <c r="AU95" s="804" t="str">
        <f>IFERROR(IF(X95="ELEC",AO95*AN95*(1/'Fuel-Specific GHG'!$C$15)*(1/IF(H95="GAS",3.4,IF(H95="DESL",2.7,3))),((AF95*(IF(ISBLANK(AH95),Defaults!$B$19,AH95))*AJ95*AS95)/AT95)),"")</f>
        <v/>
      </c>
      <c r="AV95" s="805" t="str">
        <f t="shared" si="144"/>
        <v/>
      </c>
      <c r="AW95" s="805" t="str">
        <f>IF(X95="DESL",'Fuel-Specific GHG'!$E$14,IF(X95="PROP",'Fuel-Specific GHG'!$E$19,IF(X95="GAS",'Fuel-Specific GHG'!$E$16,IF(X95="CNG",'Fuel-Specific GHG'!$E$13,IF(X95="LNG",'Fuel-Specific GHG'!$E$18,IF(X95="LPG",'Fuel-Specific GHG'!$E$19,IF(X95="ELEC",'Fuel-Specific GHG'!$E$15,"")))))))</f>
        <v/>
      </c>
      <c r="AX95" s="805" t="str">
        <f t="shared" si="145"/>
        <v/>
      </c>
      <c r="AY95" s="806" t="str">
        <f t="shared" si="146"/>
        <v/>
      </c>
      <c r="AZ95" s="806" t="str">
        <f t="shared" si="191"/>
        <v/>
      </c>
      <c r="BA95" s="806" t="str">
        <f t="shared" si="182"/>
        <v/>
      </c>
      <c r="BB95" s="804" t="str">
        <f t="shared" si="147"/>
        <v/>
      </c>
      <c r="BC95" s="807" t="str">
        <f t="shared" si="148"/>
        <v/>
      </c>
      <c r="BD95" s="807"/>
      <c r="BE95" s="808" t="str">
        <f t="shared" si="149"/>
        <v/>
      </c>
      <c r="BF95" s="809" t="str">
        <f t="shared" si="150"/>
        <v/>
      </c>
      <c r="BG95" s="808" t="str">
        <f t="shared" si="183"/>
        <v/>
      </c>
      <c r="BH95" s="810">
        <f t="shared" si="184"/>
        <v>0</v>
      </c>
      <c r="BI95" s="803" t="str">
        <f>IFERROR(VLOOKUP(BH95,'Pump Emission Factors'!$B$11:$J$88,4,FALSE),"")</f>
        <v/>
      </c>
      <c r="BJ95" s="803" t="str">
        <f>IFERROR(VLOOKUP(BH95,'Pump Emission Factors'!$B$11:$J$88,6,FALSE),"")</f>
        <v/>
      </c>
      <c r="BK95" s="803" t="str">
        <f>IFERROR(VLOOKUP(BH95,'Pump Emission Factors'!$B$11:$J$88,8,FALSE),"")</f>
        <v/>
      </c>
      <c r="BL95" s="803" t="str">
        <f>IFERROR(VLOOKUP(BH95,'Pump Emission Factors'!$B$11:$J$88,5,FALSE),"")</f>
        <v/>
      </c>
      <c r="BM95" s="803" t="str">
        <f>IFERROR(VLOOKUP(BH95,'Pump Emission Factors'!$B$11:$J$88,7,FALSE),"")</f>
        <v/>
      </c>
      <c r="BN95" s="803" t="str">
        <f>IFERROR(VLOOKUP(BH95,'Pump Emission Factors'!$B$11:$J$88,9,FALSE),"")</f>
        <v/>
      </c>
      <c r="BO95" s="811" t="str">
        <f t="shared" si="151"/>
        <v/>
      </c>
      <c r="BP95" s="811" t="str">
        <f t="shared" si="152"/>
        <v/>
      </c>
      <c r="BQ95" s="803">
        <f>IFERROR(((BI95+(BL95*BP95))*(IF(ISBLANK(R95),Defaults!$B$19,R95))*P95*T95)*F95*(1/454),0)</f>
        <v>0</v>
      </c>
      <c r="BR95" s="803">
        <f>IFERROR(((BJ95+(BM95*BP95))*(IF(ISBLANK(R95),Defaults!$B$19,R95))*P95*T95)*F95*(1/454),0)</f>
        <v>0</v>
      </c>
      <c r="BS95" s="803">
        <f>IFERROR(((BK95+(BN95*BP95))*(IF(ISBLANK(R95),Defaults!$B$19,R95))*P95*T95)*F95*(1/454),0)</f>
        <v>0</v>
      </c>
      <c r="BT95" s="803">
        <f t="shared" si="153"/>
        <v>0</v>
      </c>
      <c r="BU95" s="803">
        <f t="shared" si="154"/>
        <v>0</v>
      </c>
      <c r="BV95" s="812" t="str">
        <f t="shared" si="155"/>
        <v/>
      </c>
      <c r="BW95" s="808" t="str">
        <f t="shared" si="156"/>
        <v/>
      </c>
      <c r="BX95" s="809" t="str">
        <f t="shared" si="157"/>
        <v/>
      </c>
      <c r="BY95" s="808" t="str">
        <f t="shared" si="185"/>
        <v/>
      </c>
      <c r="BZ95" s="810">
        <f t="shared" si="186"/>
        <v>0</v>
      </c>
      <c r="CA95" s="813" t="str">
        <f>IFERROR(VLOOKUP(BZ95,'Pump Emission Factors'!$B$11:$J$88,4,FALSE),"")</f>
        <v/>
      </c>
      <c r="CB95" s="813" t="str">
        <f>IFERROR(VLOOKUP(BZ95,'Pump Emission Factors'!$B$11:$J$88,6,FALSE),"")</f>
        <v/>
      </c>
      <c r="CC95" s="813" t="str">
        <f>IFERROR(VLOOKUP(BZ95,'Pump Emission Factors'!$B$11:$J$88,8,FALSE),"")</f>
        <v/>
      </c>
      <c r="CD95" s="813" t="str">
        <f>IFERROR(VLOOKUP(BZ95,'Pump Emission Factors'!$B$11:$J$88,5,FALSE),"")</f>
        <v/>
      </c>
      <c r="CE95" s="813" t="str">
        <f>IFERROR(VLOOKUP(BZ95,'Pump Emission Factors'!$B$11:$J$88,7,FALSE),"")</f>
        <v/>
      </c>
      <c r="CF95" s="813" t="str">
        <f>IFERROR(VLOOKUP(BZ95,'Pump Emission Factors'!$B$11:$J$88,9,FALSE),"")</f>
        <v/>
      </c>
      <c r="CG95" s="814" t="str">
        <f t="shared" si="158"/>
        <v/>
      </c>
      <c r="CH95" s="814" t="str">
        <f t="shared" si="159"/>
        <v/>
      </c>
      <c r="CI95" s="813">
        <f>IFERROR(IF($X95="ELEC",((($AU95*(IF($H95="DESL",'Fuel-Specific GHG'!$C$14,IF($H95="GAS",'Fuel-Specific GHG'!$C$16,IF($H95="CNG",'Fuel-Specific GHG'!$C$13,IF(OR($H95="LPG",$H95="PROP"),'Fuel-Specific GHG'!$C$19,"")))))*(1/'Fuel-Specific GHG'!$C$15)*(1/3.4)*$F95)*'Grid Electricity'!$D$39)/454),((CA95+(CD95*CH95))*(IF(ISBLANK(AH95),Defaults!$B$19,AH95))*$AF95*$AJ95*$F95)),0)</f>
        <v>0</v>
      </c>
      <c r="CJ95" s="813">
        <f>IFERROR(IF($X95="ELEC",((($AU95*(IF($H95="DESL",'Fuel-Specific GHG'!$C$14,IF($H95="GAS",'Fuel-Specific GHG'!$C$16,IF($H95="CNG",'Fuel-Specific GHG'!$C$13,IF(OR($H95="LPG",$H95="PROP"),'Fuel-Specific GHG'!$C$19,"")))))*(1/'Fuel-Specific GHG'!$C$15)*(1/3.4)*$F95)*'Grid Electricity'!$C$39)/454),((CB95+(CE95*CH95))*(IF(ISBLANK(AH95),Defaults!$B$19,AH95))*$AF95*$AJ95*$F95)),0)</f>
        <v>0</v>
      </c>
      <c r="CK95" s="813">
        <f>IFERROR(IF($X95="ELEC",((($AU95*(IF($H95="DESL",'Fuel-Specific GHG'!$C$14,IF($H95="GAS",'Fuel-Specific GHG'!$C$16,IF($H95="CNG",'Fuel-Specific GHG'!$C$13,IF(OR($H95="LPG",$H95="PROP"),'Fuel-Specific GHG'!$C$19,"")))))*(1/'Fuel-Specific GHG'!$C$15)*(1/3.4)*$F95)*'Grid Electricity'!$F$39)/454),((CC95+(CF95*CH95))*(IF(ISBLANK(AH95),Defaults!$B$19,AH95))*$AF95*$AJ95*$F95)),0)</f>
        <v>0</v>
      </c>
      <c r="CL95" s="813">
        <f t="shared" si="160"/>
        <v>0</v>
      </c>
      <c r="CM95" s="813">
        <f t="shared" si="161"/>
        <v>0</v>
      </c>
      <c r="CN95" s="814" t="str">
        <f t="shared" si="162"/>
        <v/>
      </c>
      <c r="CO95" s="814" t="str">
        <f t="shared" si="163"/>
        <v/>
      </c>
      <c r="CP95" s="814" t="str">
        <f t="shared" si="164"/>
        <v/>
      </c>
      <c r="CQ95" s="814" t="str">
        <f t="shared" si="165"/>
        <v/>
      </c>
      <c r="CR95" s="815" t="str">
        <f>IF(AND(V95="Yes, Booster Pump VFD",AF95&lt;=75),('Pump Emission Factors'!$F$95*F95),(IF(AND(V95="Yes, Booster Pump VFD",AF95&gt;75),('Pump Emission Factors'!$F$96*F95),(IF(AND(V95="Yes, Well Pump VFD",AF95&lt;=75),('Pump Emission Factors'!$F$97*F95),(IF(AND(V95="Yes, Well Pump VFD",AF95&gt;75),('Pump Emission Factors'!$F$98*F95),"")))))))</f>
        <v/>
      </c>
      <c r="CS95" s="815" t="str">
        <f>IF(AND(V95="Yes, Booster Pump VFD",AF95&lt;=75),('Pump Emission Factors'!$G$95*F95),(IF(AND(V95="Yes, Booster Pump VFD",AF95&gt;75),('Pump Emission Factors'!$G$96*F95),(IF(AND(V95="Yes, Well Pump VFD",AF95&lt;=75),('Pump Emission Factors'!$G$97*F95),(IF(AND(V95="Yes, Well Pump VFD",AF95&gt;75),('Pump Emission Factors'!$G$98*F95),"")))))))</f>
        <v/>
      </c>
      <c r="CT95" s="815" t="str">
        <f>IF(AND(V95="Yes, Booster Pump VFD",AF95&lt;=75),('Pump Emission Factors'!$H$95*F95),(IF(AND(V95="Yes, Booster Pump VFD",AF95&gt;75),('Pump Emission Factors'!$H$96*F95),(IF(AND(V95="Yes, Well Pump VFD",AF95&lt;=75),('Pump Emission Factors'!$H$97*F95),(IF(AND(V95="Yes, Well Pump VFD",AF95&gt;75),('Pump Emission Factors'!$H$98*F95),"")))))))</f>
        <v/>
      </c>
      <c r="CU95" s="815" t="str">
        <f>IF(AND(V95="Yes, Booster Pump VFD",AF95&lt;=75),('Pump Emission Factors'!$J$95*F95),(IF(AND(V95="Yes, Booster Pump VFD",AF95&gt;75),('Pump Emission Factors'!$J$96*F95),(IF(AND(V95="Yes, Well Pump VFD",AF95&lt;=75),('Pump Emission Factors'!$J$97*F95),(IF(AND(V95="Yes, Well Pump VFD",AF95&gt;75),('Pump Emission Factors'!$J$98*F95),"")))))))</f>
        <v/>
      </c>
      <c r="CV95" s="815" t="str">
        <f>IF(AND(V95="Yes, Booster Pump VFD",AF95&lt;=75),('Pump Emission Factors'!$I$95*F95),(IF(AND(V95="Yes, Booster Pump VFD",AF95&gt;75),('Pump Emission Factors'!$I$96*F95),(IF(AND(V95="Yes, Well Pump VFD",AF95&lt;=75),('Pump Emission Factors'!$I$97*F95),(IF(AND(V95="Yes, Well Pump VFD",AF95&gt;75),('Pump Emission Factors'!$I$98*F95),"")))))))</f>
        <v/>
      </c>
      <c r="CW95" s="806">
        <f t="shared" si="166"/>
        <v>0</v>
      </c>
      <c r="CX95" s="806">
        <f t="shared" si="167"/>
        <v>0</v>
      </c>
      <c r="CY95" s="806">
        <f t="shared" si="168"/>
        <v>0</v>
      </c>
      <c r="CZ95" s="806">
        <f t="shared" si="169"/>
        <v>0</v>
      </c>
      <c r="DA95" s="806">
        <f t="shared" si="170"/>
        <v>0</v>
      </c>
      <c r="DB95" s="816" t="str">
        <f t="shared" si="187"/>
        <v/>
      </c>
      <c r="DC95" s="816" t="str">
        <f t="shared" si="187"/>
        <v/>
      </c>
      <c r="DD95" s="816" t="str">
        <f t="shared" si="187"/>
        <v/>
      </c>
      <c r="DE95" s="817" t="str">
        <f t="shared" si="171"/>
        <v/>
      </c>
      <c r="DF95" s="817" t="str">
        <f t="shared" si="172"/>
        <v/>
      </c>
      <c r="DG95" s="804" t="str">
        <f t="shared" si="173"/>
        <v/>
      </c>
      <c r="DH95" s="804" t="str">
        <f t="shared" si="174"/>
        <v/>
      </c>
      <c r="DI95" s="818" t="str">
        <f>IF(AO95="","",IF(H95="DESL",AO95*F95*'Fuel Prices'!$C$12,IF(H95="GAS",AO95*F95*'Fuel Prices'!$C$11,IF(H95="CNG",AO95*F95*'Fuel Prices'!$C$13,IF(H95="LNG",AO95*F95*'Fuel Prices'!$C$14,IF(H95="LPG",AO95*F95*'Fuel Prices'!$C$16,IF(H95="PROP",AO95*F95*'Fuel Prices'!$C$16,"0")))))))</f>
        <v/>
      </c>
      <c r="DJ95" s="818" t="str">
        <f>IF(AU95="","",IF(X95="DESL",AU95*F95*'Fuel Prices'!$C$12,IF(X95="GAS",AU95*F95*'Fuel Prices'!$C$11,IF(X95="CNG",AU95*F95*'Fuel Prices'!$C$13,IF(X95="LNG",AU95*F95*'Fuel Prices'!$C$14,IF(X95="LPG",AU95*F95*'Fuel Prices'!$C$16,IF(X95="PROP",AU95*F95*'Fuel Prices'!$C$16,IF(X95="ELEC",AU95*F95*'Fuel Prices'!$C$35,"0"))))))))</f>
        <v/>
      </c>
      <c r="DK95" s="818" t="str">
        <f t="shared" si="175"/>
        <v/>
      </c>
      <c r="DL95" s="818" t="str">
        <f t="shared" si="188"/>
        <v/>
      </c>
      <c r="DM95" s="804" t="str">
        <f t="shared" si="176"/>
        <v/>
      </c>
      <c r="DN95" s="804" t="str">
        <f t="shared" si="177"/>
        <v/>
      </c>
      <c r="DO95" s="804" t="str">
        <f>IFERROR(ROUND(CZ95*IF(COUNTIF($B$20:B95,B95)=1,1,"")/IF(B95="",0,1),0),"")</f>
        <v/>
      </c>
      <c r="DP95" s="804" t="str">
        <f>IFERROR(ROUND(CW95*IF(COUNTIF($B$20:B95,B95)=1,1,"")/IF(B95="",0,1),0),"")</f>
        <v/>
      </c>
      <c r="DQ95" s="804" t="str">
        <f>IFERROR(ROUND(DA95*IF(COUNTIF($B$20:B95,B95)=1,1,"")/IF(B95="",0,1),0),"")</f>
        <v/>
      </c>
      <c r="DR95" s="804" t="str">
        <f>IFERROR(ROUND(CX95*IF(COUNTIF($B$20:B95,B95)=1,1,"")/IF(B95="",0,1),0),"")</f>
        <v/>
      </c>
      <c r="DS95" s="804">
        <f t="shared" si="178"/>
        <v>0</v>
      </c>
      <c r="DT95" s="804">
        <f t="shared" si="179"/>
        <v>0</v>
      </c>
      <c r="DU95" s="804">
        <f t="shared" si="180"/>
        <v>0</v>
      </c>
      <c r="DV95" s="818" t="str">
        <f t="shared" si="189"/>
        <v/>
      </c>
      <c r="DW95" s="819" t="str">
        <f t="shared" si="190"/>
        <v/>
      </c>
    </row>
    <row r="96" spans="1:127" ht="18" customHeight="1" x14ac:dyDescent="0.35">
      <c r="A96" s="635"/>
      <c r="B96" s="820"/>
      <c r="C96" s="825" t="str">
        <f t="shared" si="124"/>
        <v>(Required)</v>
      </c>
      <c r="D96" s="821"/>
      <c r="E96" s="825" t="str">
        <f t="shared" si="124"/>
        <v>(Required)</v>
      </c>
      <c r="F96" s="821"/>
      <c r="G96" s="825" t="str">
        <f t="shared" si="125"/>
        <v>(Required)</v>
      </c>
      <c r="H96" s="822"/>
      <c r="I96" s="825" t="str">
        <f t="shared" si="126"/>
        <v>(Required)</v>
      </c>
      <c r="J96" s="821"/>
      <c r="K96" s="825" t="str">
        <f t="shared" si="127"/>
        <v>(Required)</v>
      </c>
      <c r="L96" s="821"/>
      <c r="M96" s="825" t="str">
        <f t="shared" si="128"/>
        <v>(Required)</v>
      </c>
      <c r="N96" s="821"/>
      <c r="O96" s="825" t="str">
        <f t="shared" si="129"/>
        <v>(Required)</v>
      </c>
      <c r="P96" s="821"/>
      <c r="Q96" s="825" t="str">
        <f t="shared" si="130"/>
        <v>(Required)</v>
      </c>
      <c r="R96" s="823"/>
      <c r="S96" s="826" t="str">
        <f t="shared" si="131"/>
        <v>(Optional)</v>
      </c>
      <c r="T96" s="821"/>
      <c r="U96" s="827" t="str">
        <f t="shared" si="132"/>
        <v>(Required)</v>
      </c>
      <c r="V96" s="828"/>
      <c r="W96" s="799" t="str">
        <f t="shared" si="133"/>
        <v>(Optional)</v>
      </c>
      <c r="X96" s="822"/>
      <c r="Y96" s="825" t="str">
        <f t="shared" si="134"/>
        <v>(Required)</v>
      </c>
      <c r="Z96" s="821"/>
      <c r="AA96" s="825" t="str">
        <f t="shared" si="135"/>
        <v>(Required)</v>
      </c>
      <c r="AB96" s="821"/>
      <c r="AC96" s="825" t="str">
        <f t="shared" si="136"/>
        <v>(Required)</v>
      </c>
      <c r="AD96" s="821"/>
      <c r="AE96" s="825" t="str">
        <f t="shared" si="137"/>
        <v>(Required)</v>
      </c>
      <c r="AF96" s="821"/>
      <c r="AG96" s="825" t="str">
        <f t="shared" si="138"/>
        <v>(Required)</v>
      </c>
      <c r="AH96" s="823"/>
      <c r="AI96" s="826" t="str">
        <f t="shared" si="139"/>
        <v>(Optional)</v>
      </c>
      <c r="AJ96" s="821"/>
      <c r="AK96" s="825" t="str">
        <f t="shared" si="140"/>
        <v>(Required)</v>
      </c>
      <c r="AL96" s="803" t="str">
        <f t="shared" si="141"/>
        <v/>
      </c>
      <c r="AM96" s="803" t="str">
        <f>IF(H96="DESL",'Fuel Density'!$C$12,IF(H96="GAS",'Fuel Density'!$C$11,IF(H96="CNG",'Fuel Density'!$C$13,IF(H96="LNG",'Fuel Density'!$C$14,IF(H96="LPG",'Fuel Density'!$C$15,IF(H96="PROP",'Fuel Density'!$C$16,IF(H96="","","")))))))</f>
        <v/>
      </c>
      <c r="AN96" s="803" t="str">
        <f>IF(H96="DESL",'Fuel-Specific GHG'!$C$14,IF(H96="GAS",'Fuel-Specific GHG'!$C$16,IF(H96="CNG",'Fuel-Specific GHG'!$C$13,IF(H96="LNG",'Fuel-Specific GHG'!$C$18,IF(OR(H96="LPG",H96="PROP"),'Fuel-Specific GHG'!$C$19,IF(H96="","",""))))))</f>
        <v/>
      </c>
      <c r="AO96" s="804" t="str">
        <f>IFERROR(((P96*(IF(ISBLANK(R96),Defaults!$B$19,R96))*T96*AL96)/AM96),"")</f>
        <v/>
      </c>
      <c r="AP96" s="805" t="str">
        <f t="shared" si="142"/>
        <v/>
      </c>
      <c r="AQ96" s="805" t="str">
        <f>IF(H96="DESL",'Fuel-Specific GHG'!$E$14,IF(H96="GAS",'Fuel-Specific GHG'!$E$16,IF(H96="CNG",'Fuel-Specific GHG'!$E$13,IF(H96="LNG",'Fuel-Specific GHG'!$E$18,IF(OR(H96="LPG",H96="PROP"),'Fuel-Specific GHG'!$E$19,"")))))</f>
        <v/>
      </c>
      <c r="AR96" s="805" t="str">
        <f t="shared" si="143"/>
        <v/>
      </c>
      <c r="AS96" s="803" t="str">
        <f t="shared" si="181"/>
        <v/>
      </c>
      <c r="AT96" s="803" t="str">
        <f>IF(X96="DESL",'Fuel Density'!$C$12,IF(X96="PROP",'Fuel Density'!$C$16,IF(X96="GAS",'Fuel Density'!$C$11,IF(X96="CNG",'Fuel Density'!$C$13,IF(X96="LNG",'Fuel Density'!$C$14,IF(X96="LPG",'Fuel Density'!$C$15,IF(X96="","","")))))))</f>
        <v/>
      </c>
      <c r="AU96" s="804" t="str">
        <f>IFERROR(IF(X96="ELEC",AO96*AN96*(1/'Fuel-Specific GHG'!$C$15)*(1/IF(H96="GAS",3.4,IF(H96="DESL",2.7,3))),((AF96*(IF(ISBLANK(AH96),Defaults!$B$19,AH96))*AJ96*AS96)/AT96)),"")</f>
        <v/>
      </c>
      <c r="AV96" s="805" t="str">
        <f t="shared" si="144"/>
        <v/>
      </c>
      <c r="AW96" s="805" t="str">
        <f>IF(X96="DESL",'Fuel-Specific GHG'!$E$14,IF(X96="PROP",'Fuel-Specific GHG'!$E$19,IF(X96="GAS",'Fuel-Specific GHG'!$E$16,IF(X96="CNG",'Fuel-Specific GHG'!$E$13,IF(X96="LNG",'Fuel-Specific GHG'!$E$18,IF(X96="LPG",'Fuel-Specific GHG'!$E$19,IF(X96="ELEC",'Fuel-Specific GHG'!$E$15,"")))))))</f>
        <v/>
      </c>
      <c r="AX96" s="805" t="str">
        <f t="shared" si="145"/>
        <v/>
      </c>
      <c r="AY96" s="806" t="str">
        <f t="shared" si="146"/>
        <v/>
      </c>
      <c r="AZ96" s="806" t="str">
        <f t="shared" si="191"/>
        <v/>
      </c>
      <c r="BA96" s="806" t="str">
        <f t="shared" si="182"/>
        <v/>
      </c>
      <c r="BB96" s="804" t="str">
        <f t="shared" si="147"/>
        <v/>
      </c>
      <c r="BC96" s="807" t="str">
        <f t="shared" si="148"/>
        <v/>
      </c>
      <c r="BD96" s="807"/>
      <c r="BE96" s="808" t="str">
        <f t="shared" si="149"/>
        <v/>
      </c>
      <c r="BF96" s="809" t="str">
        <f t="shared" si="150"/>
        <v/>
      </c>
      <c r="BG96" s="808" t="str">
        <f t="shared" si="183"/>
        <v/>
      </c>
      <c r="BH96" s="810">
        <f t="shared" si="184"/>
        <v>0</v>
      </c>
      <c r="BI96" s="803" t="str">
        <f>IFERROR(VLOOKUP(BH96,'Pump Emission Factors'!$B$11:$J$88,4,FALSE),"")</f>
        <v/>
      </c>
      <c r="BJ96" s="803" t="str">
        <f>IFERROR(VLOOKUP(BH96,'Pump Emission Factors'!$B$11:$J$88,6,FALSE),"")</f>
        <v/>
      </c>
      <c r="BK96" s="803" t="str">
        <f>IFERROR(VLOOKUP(BH96,'Pump Emission Factors'!$B$11:$J$88,8,FALSE),"")</f>
        <v/>
      </c>
      <c r="BL96" s="803" t="str">
        <f>IFERROR(VLOOKUP(BH96,'Pump Emission Factors'!$B$11:$J$88,5,FALSE),"")</f>
        <v/>
      </c>
      <c r="BM96" s="803" t="str">
        <f>IFERROR(VLOOKUP(BH96,'Pump Emission Factors'!$B$11:$J$88,7,FALSE),"")</f>
        <v/>
      </c>
      <c r="BN96" s="803" t="str">
        <f>IFERROR(VLOOKUP(BH96,'Pump Emission Factors'!$B$11:$J$88,9,FALSE),"")</f>
        <v/>
      </c>
      <c r="BO96" s="811" t="str">
        <f t="shared" si="151"/>
        <v/>
      </c>
      <c r="BP96" s="811" t="str">
        <f t="shared" si="152"/>
        <v/>
      </c>
      <c r="BQ96" s="803">
        <f>IFERROR(((BI96+(BL96*BP96))*(IF(ISBLANK(R96),Defaults!$B$19,R96))*P96*T96)*F96*(1/454),0)</f>
        <v>0</v>
      </c>
      <c r="BR96" s="803">
        <f>IFERROR(((BJ96+(BM96*BP96))*(IF(ISBLANK(R96),Defaults!$B$19,R96))*P96*T96)*F96*(1/454),0)</f>
        <v>0</v>
      </c>
      <c r="BS96" s="803">
        <f>IFERROR(((BK96+(BN96*BP96))*(IF(ISBLANK(R96),Defaults!$B$19,R96))*P96*T96)*F96*(1/454),0)</f>
        <v>0</v>
      </c>
      <c r="BT96" s="803">
        <f t="shared" si="153"/>
        <v>0</v>
      </c>
      <c r="BU96" s="803">
        <f t="shared" si="154"/>
        <v>0</v>
      </c>
      <c r="BV96" s="812" t="str">
        <f t="shared" si="155"/>
        <v/>
      </c>
      <c r="BW96" s="808" t="str">
        <f t="shared" si="156"/>
        <v/>
      </c>
      <c r="BX96" s="809" t="str">
        <f t="shared" si="157"/>
        <v/>
      </c>
      <c r="BY96" s="808" t="str">
        <f t="shared" si="185"/>
        <v/>
      </c>
      <c r="BZ96" s="810">
        <f t="shared" si="186"/>
        <v>0</v>
      </c>
      <c r="CA96" s="813" t="str">
        <f>IFERROR(VLOOKUP(BZ96,'Pump Emission Factors'!$B$11:$J$88,4,FALSE),"")</f>
        <v/>
      </c>
      <c r="CB96" s="813" t="str">
        <f>IFERROR(VLOOKUP(BZ96,'Pump Emission Factors'!$B$11:$J$88,6,FALSE),"")</f>
        <v/>
      </c>
      <c r="CC96" s="813" t="str">
        <f>IFERROR(VLOOKUP(BZ96,'Pump Emission Factors'!$B$11:$J$88,8,FALSE),"")</f>
        <v/>
      </c>
      <c r="CD96" s="813" t="str">
        <f>IFERROR(VLOOKUP(BZ96,'Pump Emission Factors'!$B$11:$J$88,5,FALSE),"")</f>
        <v/>
      </c>
      <c r="CE96" s="813" t="str">
        <f>IFERROR(VLOOKUP(BZ96,'Pump Emission Factors'!$B$11:$J$88,7,FALSE),"")</f>
        <v/>
      </c>
      <c r="CF96" s="813" t="str">
        <f>IFERROR(VLOOKUP(BZ96,'Pump Emission Factors'!$B$11:$J$88,9,FALSE),"")</f>
        <v/>
      </c>
      <c r="CG96" s="814" t="str">
        <f t="shared" si="158"/>
        <v/>
      </c>
      <c r="CH96" s="814" t="str">
        <f t="shared" si="159"/>
        <v/>
      </c>
      <c r="CI96" s="813">
        <f>IFERROR(IF($X96="ELEC",((($AU96*(IF($H96="DESL",'Fuel-Specific GHG'!$C$14,IF($H96="GAS",'Fuel-Specific GHG'!$C$16,IF($H96="CNG",'Fuel-Specific GHG'!$C$13,IF(OR($H96="LPG",$H96="PROP"),'Fuel-Specific GHG'!$C$19,"")))))*(1/'Fuel-Specific GHG'!$C$15)*(1/3.4)*$F96)*'Grid Electricity'!$D$39)/454),((CA96+(CD96*CH96))*(IF(ISBLANK(AH96),Defaults!$B$19,AH96))*$AF96*$AJ96*$F96)),0)</f>
        <v>0</v>
      </c>
      <c r="CJ96" s="813">
        <f>IFERROR(IF($X96="ELEC",((($AU96*(IF($H96="DESL",'Fuel-Specific GHG'!$C$14,IF($H96="GAS",'Fuel-Specific GHG'!$C$16,IF($H96="CNG",'Fuel-Specific GHG'!$C$13,IF(OR($H96="LPG",$H96="PROP"),'Fuel-Specific GHG'!$C$19,"")))))*(1/'Fuel-Specific GHG'!$C$15)*(1/3.4)*$F96)*'Grid Electricity'!$C$39)/454),((CB96+(CE96*CH96))*(IF(ISBLANK(AH96),Defaults!$B$19,AH96))*$AF96*$AJ96*$F96)),0)</f>
        <v>0</v>
      </c>
      <c r="CK96" s="813">
        <f>IFERROR(IF($X96="ELEC",((($AU96*(IF($H96="DESL",'Fuel-Specific GHG'!$C$14,IF($H96="GAS",'Fuel-Specific GHG'!$C$16,IF($H96="CNG",'Fuel-Specific GHG'!$C$13,IF(OR($H96="LPG",$H96="PROP"),'Fuel-Specific GHG'!$C$19,"")))))*(1/'Fuel-Specific GHG'!$C$15)*(1/3.4)*$F96)*'Grid Electricity'!$F$39)/454),((CC96+(CF96*CH96))*(IF(ISBLANK(AH96),Defaults!$B$19,AH96))*$AF96*$AJ96*$F96)),0)</f>
        <v>0</v>
      </c>
      <c r="CL96" s="813">
        <f t="shared" si="160"/>
        <v>0</v>
      </c>
      <c r="CM96" s="813">
        <f t="shared" si="161"/>
        <v>0</v>
      </c>
      <c r="CN96" s="814" t="str">
        <f t="shared" si="162"/>
        <v/>
      </c>
      <c r="CO96" s="814" t="str">
        <f t="shared" si="163"/>
        <v/>
      </c>
      <c r="CP96" s="814" t="str">
        <f t="shared" si="164"/>
        <v/>
      </c>
      <c r="CQ96" s="814" t="str">
        <f t="shared" si="165"/>
        <v/>
      </c>
      <c r="CR96" s="815" t="str">
        <f>IF(AND(V96="Yes, Booster Pump VFD",AF96&lt;=75),('Pump Emission Factors'!$F$95*F96),(IF(AND(V96="Yes, Booster Pump VFD",AF96&gt;75),('Pump Emission Factors'!$F$96*F96),(IF(AND(V96="Yes, Well Pump VFD",AF96&lt;=75),('Pump Emission Factors'!$F$97*F96),(IF(AND(V96="Yes, Well Pump VFD",AF96&gt;75),('Pump Emission Factors'!$F$98*F96),"")))))))</f>
        <v/>
      </c>
      <c r="CS96" s="815" t="str">
        <f>IF(AND(V96="Yes, Booster Pump VFD",AF96&lt;=75),('Pump Emission Factors'!$G$95*F96),(IF(AND(V96="Yes, Booster Pump VFD",AF96&gt;75),('Pump Emission Factors'!$G$96*F96),(IF(AND(V96="Yes, Well Pump VFD",AF96&lt;=75),('Pump Emission Factors'!$G$97*F96),(IF(AND(V96="Yes, Well Pump VFD",AF96&gt;75),('Pump Emission Factors'!$G$98*F96),"")))))))</f>
        <v/>
      </c>
      <c r="CT96" s="815" t="str">
        <f>IF(AND(V96="Yes, Booster Pump VFD",AF96&lt;=75),('Pump Emission Factors'!$H$95*F96),(IF(AND(V96="Yes, Booster Pump VFD",AF96&gt;75),('Pump Emission Factors'!$H$96*F96),(IF(AND(V96="Yes, Well Pump VFD",AF96&lt;=75),('Pump Emission Factors'!$H$97*F96),(IF(AND(V96="Yes, Well Pump VFD",AF96&gt;75),('Pump Emission Factors'!$H$98*F96),"")))))))</f>
        <v/>
      </c>
      <c r="CU96" s="815" t="str">
        <f>IF(AND(V96="Yes, Booster Pump VFD",AF96&lt;=75),('Pump Emission Factors'!$J$95*F96),(IF(AND(V96="Yes, Booster Pump VFD",AF96&gt;75),('Pump Emission Factors'!$J$96*F96),(IF(AND(V96="Yes, Well Pump VFD",AF96&lt;=75),('Pump Emission Factors'!$J$97*F96),(IF(AND(V96="Yes, Well Pump VFD",AF96&gt;75),('Pump Emission Factors'!$J$98*F96),"")))))))</f>
        <v/>
      </c>
      <c r="CV96" s="815" t="str">
        <f>IF(AND(V96="Yes, Booster Pump VFD",AF96&lt;=75),('Pump Emission Factors'!$I$95*F96),(IF(AND(V96="Yes, Booster Pump VFD",AF96&gt;75),('Pump Emission Factors'!$I$96*F96),(IF(AND(V96="Yes, Well Pump VFD",AF96&lt;=75),('Pump Emission Factors'!$I$97*F96),(IF(AND(V96="Yes, Well Pump VFD",AF96&gt;75),('Pump Emission Factors'!$I$98*F96),"")))))))</f>
        <v/>
      </c>
      <c r="CW96" s="806">
        <f t="shared" si="166"/>
        <v>0</v>
      </c>
      <c r="CX96" s="806">
        <f t="shared" si="167"/>
        <v>0</v>
      </c>
      <c r="CY96" s="806">
        <f t="shared" si="168"/>
        <v>0</v>
      </c>
      <c r="CZ96" s="806">
        <f t="shared" si="169"/>
        <v>0</v>
      </c>
      <c r="DA96" s="806">
        <f t="shared" si="170"/>
        <v>0</v>
      </c>
      <c r="DB96" s="816" t="str">
        <f t="shared" si="187"/>
        <v/>
      </c>
      <c r="DC96" s="816" t="str">
        <f t="shared" si="187"/>
        <v/>
      </c>
      <c r="DD96" s="816" t="str">
        <f t="shared" si="187"/>
        <v/>
      </c>
      <c r="DE96" s="817" t="str">
        <f t="shared" si="171"/>
        <v/>
      </c>
      <c r="DF96" s="817" t="str">
        <f t="shared" si="172"/>
        <v/>
      </c>
      <c r="DG96" s="804" t="str">
        <f t="shared" si="173"/>
        <v/>
      </c>
      <c r="DH96" s="804" t="str">
        <f t="shared" si="174"/>
        <v/>
      </c>
      <c r="DI96" s="818" t="str">
        <f>IF(AO96="","",IF(H96="DESL",AO96*F96*'Fuel Prices'!$C$12,IF(H96="GAS",AO96*F96*'Fuel Prices'!$C$11,IF(H96="CNG",AO96*F96*'Fuel Prices'!$C$13,IF(H96="LNG",AO96*F96*'Fuel Prices'!$C$14,IF(H96="LPG",AO96*F96*'Fuel Prices'!$C$16,IF(H96="PROP",AO96*F96*'Fuel Prices'!$C$16,"0")))))))</f>
        <v/>
      </c>
      <c r="DJ96" s="818" t="str">
        <f>IF(AU96="","",IF(X96="DESL",AU96*F96*'Fuel Prices'!$C$12,IF(X96="GAS",AU96*F96*'Fuel Prices'!$C$11,IF(X96="CNG",AU96*F96*'Fuel Prices'!$C$13,IF(X96="LNG",AU96*F96*'Fuel Prices'!$C$14,IF(X96="LPG",AU96*F96*'Fuel Prices'!$C$16,IF(X96="PROP",AU96*F96*'Fuel Prices'!$C$16,IF(X96="ELEC",AU96*F96*'Fuel Prices'!$C$35,"0"))))))))</f>
        <v/>
      </c>
      <c r="DK96" s="818" t="str">
        <f t="shared" si="175"/>
        <v/>
      </c>
      <c r="DL96" s="818" t="str">
        <f t="shared" si="188"/>
        <v/>
      </c>
      <c r="DM96" s="804" t="str">
        <f t="shared" si="176"/>
        <v/>
      </c>
      <c r="DN96" s="804" t="str">
        <f t="shared" si="177"/>
        <v/>
      </c>
      <c r="DO96" s="804" t="str">
        <f>IFERROR(ROUND(CZ96*IF(COUNTIF($B$20:B96,B96)=1,1,"")/IF(B96="",0,1),0),"")</f>
        <v/>
      </c>
      <c r="DP96" s="804" t="str">
        <f>IFERROR(ROUND(CW96*IF(COUNTIF($B$20:B96,B96)=1,1,"")/IF(B96="",0,1),0),"")</f>
        <v/>
      </c>
      <c r="DQ96" s="804" t="str">
        <f>IFERROR(ROUND(DA96*IF(COUNTIF($B$20:B96,B96)=1,1,"")/IF(B96="",0,1),0),"")</f>
        <v/>
      </c>
      <c r="DR96" s="804" t="str">
        <f>IFERROR(ROUND(CX96*IF(COUNTIF($B$20:B96,B96)=1,1,"")/IF(B96="",0,1),0),"")</f>
        <v/>
      </c>
      <c r="DS96" s="804">
        <f t="shared" si="178"/>
        <v>0</v>
      </c>
      <c r="DT96" s="804">
        <f t="shared" si="179"/>
        <v>0</v>
      </c>
      <c r="DU96" s="804">
        <f t="shared" si="180"/>
        <v>0</v>
      </c>
      <c r="DV96" s="818" t="str">
        <f t="shared" si="189"/>
        <v/>
      </c>
      <c r="DW96" s="819" t="str">
        <f t="shared" si="190"/>
        <v/>
      </c>
    </row>
    <row r="97" spans="1:131" ht="18" customHeight="1" x14ac:dyDescent="0.35">
      <c r="A97" s="696"/>
      <c r="B97" s="820"/>
      <c r="C97" s="825" t="str">
        <f t="shared" si="124"/>
        <v>(Required)</v>
      </c>
      <c r="D97" s="821"/>
      <c r="E97" s="825" t="str">
        <f t="shared" si="124"/>
        <v>(Required)</v>
      </c>
      <c r="F97" s="821"/>
      <c r="G97" s="825" t="str">
        <f t="shared" si="125"/>
        <v>(Required)</v>
      </c>
      <c r="H97" s="822"/>
      <c r="I97" s="825" t="str">
        <f t="shared" si="126"/>
        <v>(Required)</v>
      </c>
      <c r="J97" s="821"/>
      <c r="K97" s="825" t="str">
        <f t="shared" si="127"/>
        <v>(Required)</v>
      </c>
      <c r="L97" s="821"/>
      <c r="M97" s="825" t="str">
        <f t="shared" si="128"/>
        <v>(Required)</v>
      </c>
      <c r="N97" s="821"/>
      <c r="O97" s="825" t="str">
        <f t="shared" si="129"/>
        <v>(Required)</v>
      </c>
      <c r="P97" s="821"/>
      <c r="Q97" s="825" t="str">
        <f t="shared" si="130"/>
        <v>(Required)</v>
      </c>
      <c r="R97" s="823"/>
      <c r="S97" s="826" t="str">
        <f t="shared" si="131"/>
        <v>(Optional)</v>
      </c>
      <c r="T97" s="821"/>
      <c r="U97" s="827" t="str">
        <f t="shared" si="132"/>
        <v>(Required)</v>
      </c>
      <c r="V97" s="828"/>
      <c r="W97" s="799" t="str">
        <f t="shared" si="133"/>
        <v>(Optional)</v>
      </c>
      <c r="X97" s="822"/>
      <c r="Y97" s="825" t="str">
        <f t="shared" si="134"/>
        <v>(Required)</v>
      </c>
      <c r="Z97" s="821"/>
      <c r="AA97" s="825" t="str">
        <f t="shared" si="135"/>
        <v>(Required)</v>
      </c>
      <c r="AB97" s="821"/>
      <c r="AC97" s="825" t="str">
        <f t="shared" si="136"/>
        <v>(Required)</v>
      </c>
      <c r="AD97" s="821"/>
      <c r="AE97" s="825" t="str">
        <f t="shared" si="137"/>
        <v>(Required)</v>
      </c>
      <c r="AF97" s="821"/>
      <c r="AG97" s="825" t="str">
        <f t="shared" si="138"/>
        <v>(Required)</v>
      </c>
      <c r="AH97" s="823"/>
      <c r="AI97" s="826" t="str">
        <f t="shared" si="139"/>
        <v>(Optional)</v>
      </c>
      <c r="AJ97" s="821"/>
      <c r="AK97" s="825" t="str">
        <f t="shared" si="140"/>
        <v>(Required)</v>
      </c>
      <c r="AL97" s="803" t="str">
        <f t="shared" si="141"/>
        <v/>
      </c>
      <c r="AM97" s="803" t="str">
        <f>IF(H97="DESL",'Fuel Density'!$C$12,IF(H97="GAS",'Fuel Density'!$C$11,IF(H97="CNG",'Fuel Density'!$C$13,IF(H97="LNG",'Fuel Density'!$C$14,IF(H97="LPG",'Fuel Density'!$C$15,IF(H97="PROP",'Fuel Density'!$C$16,IF(H97="","","")))))))</f>
        <v/>
      </c>
      <c r="AN97" s="803" t="str">
        <f>IF(H97="DESL",'Fuel-Specific GHG'!$C$14,IF(H97="GAS",'Fuel-Specific GHG'!$C$16,IF(H97="CNG",'Fuel-Specific GHG'!$C$13,IF(H97="LNG",'Fuel-Specific GHG'!$C$18,IF(OR(H97="LPG",H97="PROP"),'Fuel-Specific GHG'!$C$19,IF(H97="","",""))))))</f>
        <v/>
      </c>
      <c r="AO97" s="804" t="str">
        <f>IFERROR(((P97*(IF(ISBLANK(R97),Defaults!$B$19,R97))*T97*AL97)/AM97),"")</f>
        <v/>
      </c>
      <c r="AP97" s="805" t="str">
        <f t="shared" si="142"/>
        <v/>
      </c>
      <c r="AQ97" s="805" t="str">
        <f>IF(H97="DESL",'Fuel-Specific GHG'!$E$14,IF(H97="GAS",'Fuel-Specific GHG'!$E$16,IF(H97="CNG",'Fuel-Specific GHG'!$E$13,IF(H97="LNG",'Fuel-Specific GHG'!$E$18,IF(OR(H97="LPG",H97="PROP"),'Fuel-Specific GHG'!$E$19,"")))))</f>
        <v/>
      </c>
      <c r="AR97" s="805" t="str">
        <f t="shared" si="143"/>
        <v/>
      </c>
      <c r="AS97" s="803" t="str">
        <f t="shared" si="181"/>
        <v/>
      </c>
      <c r="AT97" s="803" t="str">
        <f>IF(X97="DESL",'Fuel Density'!$C$12,IF(X97="PROP",'Fuel Density'!$C$16,IF(X97="GAS",'Fuel Density'!$C$11,IF(X97="CNG",'Fuel Density'!$C$13,IF(X97="LNG",'Fuel Density'!$C$14,IF(X97="LPG",'Fuel Density'!$C$15,IF(X97="","","")))))))</f>
        <v/>
      </c>
      <c r="AU97" s="804" t="str">
        <f>IFERROR(IF(X97="ELEC",AO97*AN97*(1/'Fuel-Specific GHG'!$C$15)*(1/IF(H97="GAS",3.4,IF(H97="DESL",2.7,3))),((AF97*(IF(ISBLANK(AH97),Defaults!$B$19,AH97))*AJ97*AS97)/AT97)),"")</f>
        <v/>
      </c>
      <c r="AV97" s="805" t="str">
        <f t="shared" si="144"/>
        <v/>
      </c>
      <c r="AW97" s="805" t="str">
        <f>IF(X97="DESL",'Fuel-Specific GHG'!$E$14,IF(X97="PROP",'Fuel-Specific GHG'!$E$19,IF(X97="GAS",'Fuel-Specific GHG'!$E$16,IF(X97="CNG",'Fuel-Specific GHG'!$E$13,IF(X97="LNG",'Fuel-Specific GHG'!$E$18,IF(X97="LPG",'Fuel-Specific GHG'!$E$19,IF(X97="ELEC",'Fuel-Specific GHG'!$E$15,"")))))))</f>
        <v/>
      </c>
      <c r="AX97" s="805" t="str">
        <f t="shared" si="145"/>
        <v/>
      </c>
      <c r="AY97" s="806" t="str">
        <f t="shared" si="146"/>
        <v/>
      </c>
      <c r="AZ97" s="806" t="str">
        <f t="shared" si="191"/>
        <v/>
      </c>
      <c r="BA97" s="806" t="str">
        <f t="shared" si="182"/>
        <v/>
      </c>
      <c r="BB97" s="804" t="str">
        <f t="shared" si="147"/>
        <v/>
      </c>
      <c r="BC97" s="807" t="str">
        <f t="shared" si="148"/>
        <v/>
      </c>
      <c r="BD97" s="807"/>
      <c r="BE97" s="808" t="str">
        <f t="shared" si="149"/>
        <v/>
      </c>
      <c r="BF97" s="809" t="str">
        <f t="shared" si="150"/>
        <v/>
      </c>
      <c r="BG97" s="808" t="str">
        <f t="shared" si="183"/>
        <v/>
      </c>
      <c r="BH97" s="810">
        <f t="shared" si="184"/>
        <v>0</v>
      </c>
      <c r="BI97" s="803" t="str">
        <f>IFERROR(VLOOKUP(BH97,'Pump Emission Factors'!$B$11:$J$88,4,FALSE),"")</f>
        <v/>
      </c>
      <c r="BJ97" s="803" t="str">
        <f>IFERROR(VLOOKUP(BH97,'Pump Emission Factors'!$B$11:$J$88,6,FALSE),"")</f>
        <v/>
      </c>
      <c r="BK97" s="803" t="str">
        <f>IFERROR(VLOOKUP(BH97,'Pump Emission Factors'!$B$11:$J$88,8,FALSE),"")</f>
        <v/>
      </c>
      <c r="BL97" s="803" t="str">
        <f>IFERROR(VLOOKUP(BH97,'Pump Emission Factors'!$B$11:$J$88,5,FALSE),"")</f>
        <v/>
      </c>
      <c r="BM97" s="803" t="str">
        <f>IFERROR(VLOOKUP(BH97,'Pump Emission Factors'!$B$11:$J$88,7,FALSE),"")</f>
        <v/>
      </c>
      <c r="BN97" s="803" t="str">
        <f>IFERROR(VLOOKUP(BH97,'Pump Emission Factors'!$B$11:$J$88,9,FALSE),"")</f>
        <v/>
      </c>
      <c r="BO97" s="811" t="str">
        <f t="shared" si="151"/>
        <v/>
      </c>
      <c r="BP97" s="811" t="str">
        <f t="shared" si="152"/>
        <v/>
      </c>
      <c r="BQ97" s="803">
        <f>IFERROR(((BI97+(BL97*BP97))*(IF(ISBLANK(R97),Defaults!$B$19,R97))*P97*T97)*F97*(1/454),0)</f>
        <v>0</v>
      </c>
      <c r="BR97" s="803">
        <f>IFERROR(((BJ97+(BM97*BP97))*(IF(ISBLANK(R97),Defaults!$B$19,R97))*P97*T97)*F97*(1/454),0)</f>
        <v>0</v>
      </c>
      <c r="BS97" s="803">
        <f>IFERROR(((BK97+(BN97*BP97))*(IF(ISBLANK(R97),Defaults!$B$19,R97))*P97*T97)*F97*(1/454),0)</f>
        <v>0</v>
      </c>
      <c r="BT97" s="803">
        <f t="shared" si="153"/>
        <v>0</v>
      </c>
      <c r="BU97" s="803">
        <f t="shared" si="154"/>
        <v>0</v>
      </c>
      <c r="BV97" s="812" t="str">
        <f t="shared" si="155"/>
        <v/>
      </c>
      <c r="BW97" s="808" t="str">
        <f t="shared" si="156"/>
        <v/>
      </c>
      <c r="BX97" s="809" t="str">
        <f t="shared" si="157"/>
        <v/>
      </c>
      <c r="BY97" s="808" t="str">
        <f t="shared" si="185"/>
        <v/>
      </c>
      <c r="BZ97" s="810">
        <f t="shared" si="186"/>
        <v>0</v>
      </c>
      <c r="CA97" s="813" t="str">
        <f>IFERROR(VLOOKUP(BZ97,'Pump Emission Factors'!$B$11:$J$88,4,FALSE),"")</f>
        <v/>
      </c>
      <c r="CB97" s="813" t="str">
        <f>IFERROR(VLOOKUP(BZ97,'Pump Emission Factors'!$B$11:$J$88,6,FALSE),"")</f>
        <v/>
      </c>
      <c r="CC97" s="813" t="str">
        <f>IFERROR(VLOOKUP(BZ97,'Pump Emission Factors'!$B$11:$J$88,8,FALSE),"")</f>
        <v/>
      </c>
      <c r="CD97" s="813" t="str">
        <f>IFERROR(VLOOKUP(BZ97,'Pump Emission Factors'!$B$11:$J$88,5,FALSE),"")</f>
        <v/>
      </c>
      <c r="CE97" s="813" t="str">
        <f>IFERROR(VLOOKUP(BZ97,'Pump Emission Factors'!$B$11:$J$88,7,FALSE),"")</f>
        <v/>
      </c>
      <c r="CF97" s="813" t="str">
        <f>IFERROR(VLOOKUP(BZ97,'Pump Emission Factors'!$B$11:$J$88,9,FALSE),"")</f>
        <v/>
      </c>
      <c r="CG97" s="814" t="str">
        <f t="shared" si="158"/>
        <v/>
      </c>
      <c r="CH97" s="814" t="str">
        <f t="shared" si="159"/>
        <v/>
      </c>
      <c r="CI97" s="813">
        <f>IFERROR(IF($X97="ELEC",((($AU97*(IF($H97="DESL",'Fuel-Specific GHG'!$C$14,IF($H97="GAS",'Fuel-Specific GHG'!$C$16,IF($H97="CNG",'Fuel-Specific GHG'!$C$13,IF(OR($H97="LPG",$H97="PROP"),'Fuel-Specific GHG'!$C$19,"")))))*(1/'Fuel-Specific GHG'!$C$15)*(1/3.4)*$F97)*'Grid Electricity'!$D$39)/454),((CA97+(CD97*CH97))*(IF(ISBLANK(AH97),Defaults!$B$19,AH97))*$AF97*$AJ97*$F97)),0)</f>
        <v>0</v>
      </c>
      <c r="CJ97" s="813">
        <f>IFERROR(IF($X97="ELEC",((($AU97*(IF($H97="DESL",'Fuel-Specific GHG'!$C$14,IF($H97="GAS",'Fuel-Specific GHG'!$C$16,IF($H97="CNG",'Fuel-Specific GHG'!$C$13,IF(OR($H97="LPG",$H97="PROP"),'Fuel-Specific GHG'!$C$19,"")))))*(1/'Fuel-Specific GHG'!$C$15)*(1/3.4)*$F97)*'Grid Electricity'!$C$39)/454),((CB97+(CE97*CH97))*(IF(ISBLANK(AH97),Defaults!$B$19,AH97))*$AF97*$AJ97*$F97)),0)</f>
        <v>0</v>
      </c>
      <c r="CK97" s="813">
        <f>IFERROR(IF($X97="ELEC",((($AU97*(IF($H97="DESL",'Fuel-Specific GHG'!$C$14,IF($H97="GAS",'Fuel-Specific GHG'!$C$16,IF($H97="CNG",'Fuel-Specific GHG'!$C$13,IF(OR($H97="LPG",$H97="PROP"),'Fuel-Specific GHG'!$C$19,"")))))*(1/'Fuel-Specific GHG'!$C$15)*(1/3.4)*$F97)*'Grid Electricity'!$F$39)/454),((CC97+(CF97*CH97))*(IF(ISBLANK(AH97),Defaults!$B$19,AH97))*$AF97*$AJ97*$F97)),0)</f>
        <v>0</v>
      </c>
      <c r="CL97" s="813">
        <f t="shared" si="160"/>
        <v>0</v>
      </c>
      <c r="CM97" s="813">
        <f t="shared" si="161"/>
        <v>0</v>
      </c>
      <c r="CN97" s="814" t="str">
        <f t="shared" si="162"/>
        <v/>
      </c>
      <c r="CO97" s="814" t="str">
        <f t="shared" si="163"/>
        <v/>
      </c>
      <c r="CP97" s="814" t="str">
        <f t="shared" si="164"/>
        <v/>
      </c>
      <c r="CQ97" s="814" t="str">
        <f t="shared" si="165"/>
        <v/>
      </c>
      <c r="CR97" s="815" t="str">
        <f>IF(AND(V97="Yes, Booster Pump VFD",AF97&lt;=75),('Pump Emission Factors'!$F$95*F97),(IF(AND(V97="Yes, Booster Pump VFD",AF97&gt;75),('Pump Emission Factors'!$F$96*F97),(IF(AND(V97="Yes, Well Pump VFD",AF97&lt;=75),('Pump Emission Factors'!$F$97*F97),(IF(AND(V97="Yes, Well Pump VFD",AF97&gt;75),('Pump Emission Factors'!$F$98*F97),"")))))))</f>
        <v/>
      </c>
      <c r="CS97" s="815" t="str">
        <f>IF(AND(V97="Yes, Booster Pump VFD",AF97&lt;=75),('Pump Emission Factors'!$G$95*F97),(IF(AND(V97="Yes, Booster Pump VFD",AF97&gt;75),('Pump Emission Factors'!$G$96*F97),(IF(AND(V97="Yes, Well Pump VFD",AF97&lt;=75),('Pump Emission Factors'!$G$97*F97),(IF(AND(V97="Yes, Well Pump VFD",AF97&gt;75),('Pump Emission Factors'!$G$98*F97),"")))))))</f>
        <v/>
      </c>
      <c r="CT97" s="815" t="str">
        <f>IF(AND(V97="Yes, Booster Pump VFD",AF97&lt;=75),('Pump Emission Factors'!$H$95*F97),(IF(AND(V97="Yes, Booster Pump VFD",AF97&gt;75),('Pump Emission Factors'!$H$96*F97),(IF(AND(V97="Yes, Well Pump VFD",AF97&lt;=75),('Pump Emission Factors'!$H$97*F97),(IF(AND(V97="Yes, Well Pump VFD",AF97&gt;75),('Pump Emission Factors'!$H$98*F97),"")))))))</f>
        <v/>
      </c>
      <c r="CU97" s="815" t="str">
        <f>IF(AND(V97="Yes, Booster Pump VFD",AF97&lt;=75),('Pump Emission Factors'!$J$95*F97),(IF(AND(V97="Yes, Booster Pump VFD",AF97&gt;75),('Pump Emission Factors'!$J$96*F97),(IF(AND(V97="Yes, Well Pump VFD",AF97&lt;=75),('Pump Emission Factors'!$J$97*F97),(IF(AND(V97="Yes, Well Pump VFD",AF97&gt;75),('Pump Emission Factors'!$J$98*F97),"")))))))</f>
        <v/>
      </c>
      <c r="CV97" s="815" t="str">
        <f>IF(AND(V97="Yes, Booster Pump VFD",AF97&lt;=75),('Pump Emission Factors'!$I$95*F97),(IF(AND(V97="Yes, Booster Pump VFD",AF97&gt;75),('Pump Emission Factors'!$I$96*F97),(IF(AND(V97="Yes, Well Pump VFD",AF97&lt;=75),('Pump Emission Factors'!$I$97*F97),(IF(AND(V97="Yes, Well Pump VFD",AF97&gt;75),('Pump Emission Factors'!$I$98*F97),"")))))))</f>
        <v/>
      </c>
      <c r="CW97" s="806">
        <f t="shared" si="166"/>
        <v>0</v>
      </c>
      <c r="CX97" s="806">
        <f t="shared" si="167"/>
        <v>0</v>
      </c>
      <c r="CY97" s="806">
        <f t="shared" si="168"/>
        <v>0</v>
      </c>
      <c r="CZ97" s="806">
        <f t="shared" si="169"/>
        <v>0</v>
      </c>
      <c r="DA97" s="806">
        <f t="shared" si="170"/>
        <v>0</v>
      </c>
      <c r="DB97" s="816" t="str">
        <f t="shared" si="187"/>
        <v/>
      </c>
      <c r="DC97" s="816" t="str">
        <f t="shared" si="187"/>
        <v/>
      </c>
      <c r="DD97" s="816" t="str">
        <f t="shared" si="187"/>
        <v/>
      </c>
      <c r="DE97" s="817" t="str">
        <f t="shared" si="171"/>
        <v/>
      </c>
      <c r="DF97" s="817" t="str">
        <f t="shared" si="172"/>
        <v/>
      </c>
      <c r="DG97" s="804" t="str">
        <f t="shared" si="173"/>
        <v/>
      </c>
      <c r="DH97" s="804" t="str">
        <f t="shared" si="174"/>
        <v/>
      </c>
      <c r="DI97" s="818" t="str">
        <f>IF(AO97="","",IF(H97="DESL",AO97*F97*'Fuel Prices'!$C$12,IF(H97="GAS",AO97*F97*'Fuel Prices'!$C$11,IF(H97="CNG",AO97*F97*'Fuel Prices'!$C$13,IF(H97="LNG",AO97*F97*'Fuel Prices'!$C$14,IF(H97="LPG",AO97*F97*'Fuel Prices'!$C$16,IF(H97="PROP",AO97*F97*'Fuel Prices'!$C$16,"0")))))))</f>
        <v/>
      </c>
      <c r="DJ97" s="818" t="str">
        <f>IF(AU97="","",IF(X97="DESL",AU97*F97*'Fuel Prices'!$C$12,IF(X97="GAS",AU97*F97*'Fuel Prices'!$C$11,IF(X97="CNG",AU97*F97*'Fuel Prices'!$C$13,IF(X97="LNG",AU97*F97*'Fuel Prices'!$C$14,IF(X97="LPG",AU97*F97*'Fuel Prices'!$C$16,IF(X97="PROP",AU97*F97*'Fuel Prices'!$C$16,IF(X97="ELEC",AU97*F97*'Fuel Prices'!$C$35,"0"))))))))</f>
        <v/>
      </c>
      <c r="DK97" s="818" t="str">
        <f t="shared" si="175"/>
        <v/>
      </c>
      <c r="DL97" s="818" t="str">
        <f t="shared" si="188"/>
        <v/>
      </c>
      <c r="DM97" s="804" t="str">
        <f t="shared" si="176"/>
        <v/>
      </c>
      <c r="DN97" s="804" t="str">
        <f t="shared" si="177"/>
        <v/>
      </c>
      <c r="DO97" s="804" t="str">
        <f>IFERROR(ROUND(CZ97*IF(COUNTIF($B$20:B97,B97)=1,1,"")/IF(B97="",0,1),0),"")</f>
        <v/>
      </c>
      <c r="DP97" s="804" t="str">
        <f>IFERROR(ROUND(CW97*IF(COUNTIF($B$20:B97,B97)=1,1,"")/IF(B97="",0,1),0),"")</f>
        <v/>
      </c>
      <c r="DQ97" s="804" t="str">
        <f>IFERROR(ROUND(DA97*IF(COUNTIF($B$20:B97,B97)=1,1,"")/IF(B97="",0,1),0),"")</f>
        <v/>
      </c>
      <c r="DR97" s="804" t="str">
        <f>IFERROR(ROUND(CX97*IF(COUNTIF($B$20:B97,B97)=1,1,"")/IF(B97="",0,1),0),"")</f>
        <v/>
      </c>
      <c r="DS97" s="804">
        <f t="shared" si="178"/>
        <v>0</v>
      </c>
      <c r="DT97" s="804">
        <f t="shared" si="179"/>
        <v>0</v>
      </c>
      <c r="DU97" s="804">
        <f t="shared" si="180"/>
        <v>0</v>
      </c>
      <c r="DV97" s="818" t="str">
        <f t="shared" si="189"/>
        <v/>
      </c>
      <c r="DW97" s="819" t="str">
        <f t="shared" si="190"/>
        <v/>
      </c>
    </row>
    <row r="98" spans="1:131" ht="18" customHeight="1" x14ac:dyDescent="0.35">
      <c r="A98" s="635"/>
      <c r="B98" s="820"/>
      <c r="C98" s="825" t="str">
        <f t="shared" si="124"/>
        <v>(Required)</v>
      </c>
      <c r="D98" s="821"/>
      <c r="E98" s="825" t="str">
        <f t="shared" si="124"/>
        <v>(Required)</v>
      </c>
      <c r="F98" s="821"/>
      <c r="G98" s="825" t="str">
        <f t="shared" si="125"/>
        <v>(Required)</v>
      </c>
      <c r="H98" s="822"/>
      <c r="I98" s="825" t="str">
        <f t="shared" si="126"/>
        <v>(Required)</v>
      </c>
      <c r="J98" s="821"/>
      <c r="K98" s="825" t="str">
        <f t="shared" si="127"/>
        <v>(Required)</v>
      </c>
      <c r="L98" s="821"/>
      <c r="M98" s="825" t="str">
        <f t="shared" si="128"/>
        <v>(Required)</v>
      </c>
      <c r="N98" s="821"/>
      <c r="O98" s="825" t="str">
        <f t="shared" si="129"/>
        <v>(Required)</v>
      </c>
      <c r="P98" s="821"/>
      <c r="Q98" s="825" t="str">
        <f t="shared" si="130"/>
        <v>(Required)</v>
      </c>
      <c r="R98" s="823"/>
      <c r="S98" s="826" t="str">
        <f t="shared" si="131"/>
        <v>(Optional)</v>
      </c>
      <c r="T98" s="821"/>
      <c r="U98" s="827" t="str">
        <f t="shared" si="132"/>
        <v>(Required)</v>
      </c>
      <c r="V98" s="828"/>
      <c r="W98" s="799" t="str">
        <f t="shared" si="133"/>
        <v>(Optional)</v>
      </c>
      <c r="X98" s="822"/>
      <c r="Y98" s="825" t="str">
        <f t="shared" si="134"/>
        <v>(Required)</v>
      </c>
      <c r="Z98" s="821"/>
      <c r="AA98" s="825" t="str">
        <f t="shared" si="135"/>
        <v>(Required)</v>
      </c>
      <c r="AB98" s="821"/>
      <c r="AC98" s="825" t="str">
        <f t="shared" si="136"/>
        <v>(Required)</v>
      </c>
      <c r="AD98" s="821"/>
      <c r="AE98" s="825" t="str">
        <f t="shared" si="137"/>
        <v>(Required)</v>
      </c>
      <c r="AF98" s="821"/>
      <c r="AG98" s="825" t="str">
        <f t="shared" si="138"/>
        <v>(Required)</v>
      </c>
      <c r="AH98" s="823"/>
      <c r="AI98" s="826" t="str">
        <f t="shared" si="139"/>
        <v>(Optional)</v>
      </c>
      <c r="AJ98" s="821"/>
      <c r="AK98" s="825" t="str">
        <f t="shared" si="140"/>
        <v>(Required)</v>
      </c>
      <c r="AL98" s="803" t="str">
        <f t="shared" si="141"/>
        <v/>
      </c>
      <c r="AM98" s="803" t="str">
        <f>IF(H98="DESL",'Fuel Density'!$C$12,IF(H98="GAS",'Fuel Density'!$C$11,IF(H98="CNG",'Fuel Density'!$C$13,IF(H98="LNG",'Fuel Density'!$C$14,IF(H98="LPG",'Fuel Density'!$C$15,IF(H98="PROP",'Fuel Density'!$C$16,IF(H98="","","")))))))</f>
        <v/>
      </c>
      <c r="AN98" s="803" t="str">
        <f>IF(H98="DESL",'Fuel-Specific GHG'!$C$14,IF(H98="GAS",'Fuel-Specific GHG'!$C$16,IF(H98="CNG",'Fuel-Specific GHG'!$C$13,IF(H98="LNG",'Fuel-Specific GHG'!$C$18,IF(OR(H98="LPG",H98="PROP"),'Fuel-Specific GHG'!$C$19,IF(H98="","",""))))))</f>
        <v/>
      </c>
      <c r="AO98" s="804" t="str">
        <f>IFERROR(((P98*(IF(ISBLANK(R98),Defaults!$B$19,R98))*T98*AL98)/AM98),"")</f>
        <v/>
      </c>
      <c r="AP98" s="805" t="str">
        <f t="shared" si="142"/>
        <v/>
      </c>
      <c r="AQ98" s="805" t="str">
        <f>IF(H98="DESL",'Fuel-Specific GHG'!$E$14,IF(H98="GAS",'Fuel-Specific GHG'!$E$16,IF(H98="CNG",'Fuel-Specific GHG'!$E$13,IF(H98="LNG",'Fuel-Specific GHG'!$E$18,IF(OR(H98="LPG",H98="PROP"),'Fuel-Specific GHG'!$E$19,"")))))</f>
        <v/>
      </c>
      <c r="AR98" s="805" t="str">
        <f t="shared" si="143"/>
        <v/>
      </c>
      <c r="AS98" s="803" t="str">
        <f t="shared" si="181"/>
        <v/>
      </c>
      <c r="AT98" s="803" t="str">
        <f>IF(X98="DESL",'Fuel Density'!$C$12,IF(X98="PROP",'Fuel Density'!$C$16,IF(X98="GAS",'Fuel Density'!$C$11,IF(X98="CNG",'Fuel Density'!$C$13,IF(X98="LNG",'Fuel Density'!$C$14,IF(X98="LPG",'Fuel Density'!$C$15,IF(X98="","","")))))))</f>
        <v/>
      </c>
      <c r="AU98" s="804" t="str">
        <f>IFERROR(IF(X98="ELEC",AO98*AN98*(1/'Fuel-Specific GHG'!$C$15)*(1/IF(H98="GAS",3.4,IF(H98="DESL",2.7,3))),((AF98*(IF(ISBLANK(AH98),Defaults!$B$19,AH98))*AJ98*AS98)/AT98)),"")</f>
        <v/>
      </c>
      <c r="AV98" s="805" t="str">
        <f t="shared" si="144"/>
        <v/>
      </c>
      <c r="AW98" s="805" t="str">
        <f>IF(X98="DESL",'Fuel-Specific GHG'!$E$14,IF(X98="PROP",'Fuel-Specific GHG'!$E$19,IF(X98="GAS",'Fuel-Specific GHG'!$E$16,IF(X98="CNG",'Fuel-Specific GHG'!$E$13,IF(X98="LNG",'Fuel-Specific GHG'!$E$18,IF(X98="LPG",'Fuel-Specific GHG'!$E$19,IF(X98="ELEC",'Fuel-Specific GHG'!$E$15,"")))))))</f>
        <v/>
      </c>
      <c r="AX98" s="805" t="str">
        <f t="shared" si="145"/>
        <v/>
      </c>
      <c r="AY98" s="806" t="str">
        <f t="shared" si="146"/>
        <v/>
      </c>
      <c r="AZ98" s="806" t="str">
        <f t="shared" si="191"/>
        <v/>
      </c>
      <c r="BA98" s="806" t="str">
        <f t="shared" si="182"/>
        <v/>
      </c>
      <c r="BB98" s="804" t="str">
        <f t="shared" si="147"/>
        <v/>
      </c>
      <c r="BC98" s="807" t="str">
        <f t="shared" si="148"/>
        <v/>
      </c>
      <c r="BD98" s="807"/>
      <c r="BE98" s="808" t="str">
        <f t="shared" si="149"/>
        <v/>
      </c>
      <c r="BF98" s="809" t="str">
        <f t="shared" si="150"/>
        <v/>
      </c>
      <c r="BG98" s="808" t="str">
        <f t="shared" si="183"/>
        <v/>
      </c>
      <c r="BH98" s="810">
        <f t="shared" si="184"/>
        <v>0</v>
      </c>
      <c r="BI98" s="803" t="str">
        <f>IFERROR(VLOOKUP(BH98,'Pump Emission Factors'!$B$11:$J$88,4,FALSE),"")</f>
        <v/>
      </c>
      <c r="BJ98" s="803" t="str">
        <f>IFERROR(VLOOKUP(BH98,'Pump Emission Factors'!$B$11:$J$88,6,FALSE),"")</f>
        <v/>
      </c>
      <c r="BK98" s="803" t="str">
        <f>IFERROR(VLOOKUP(BH98,'Pump Emission Factors'!$B$11:$J$88,8,FALSE),"")</f>
        <v/>
      </c>
      <c r="BL98" s="803" t="str">
        <f>IFERROR(VLOOKUP(BH98,'Pump Emission Factors'!$B$11:$J$88,5,FALSE),"")</f>
        <v/>
      </c>
      <c r="BM98" s="803" t="str">
        <f>IFERROR(VLOOKUP(BH98,'Pump Emission Factors'!$B$11:$J$88,7,FALSE),"")</f>
        <v/>
      </c>
      <c r="BN98" s="803" t="str">
        <f>IFERROR(VLOOKUP(BH98,'Pump Emission Factors'!$B$11:$J$88,9,FALSE),"")</f>
        <v/>
      </c>
      <c r="BO98" s="811" t="str">
        <f t="shared" si="151"/>
        <v/>
      </c>
      <c r="BP98" s="811" t="str">
        <f t="shared" si="152"/>
        <v/>
      </c>
      <c r="BQ98" s="803">
        <f>IFERROR(((BI98+(BL98*BP98))*(IF(ISBLANK(R98),Defaults!$B$19,R98))*P98*T98)*F98*(1/454),0)</f>
        <v>0</v>
      </c>
      <c r="BR98" s="803">
        <f>IFERROR(((BJ98+(BM98*BP98))*(IF(ISBLANK(R98),Defaults!$B$19,R98))*P98*T98)*F98*(1/454),0)</f>
        <v>0</v>
      </c>
      <c r="BS98" s="803">
        <f>IFERROR(((BK98+(BN98*BP98))*(IF(ISBLANK(R98),Defaults!$B$19,R98))*P98*T98)*F98*(1/454),0)</f>
        <v>0</v>
      </c>
      <c r="BT98" s="803">
        <f t="shared" si="153"/>
        <v>0</v>
      </c>
      <c r="BU98" s="803">
        <f t="shared" si="154"/>
        <v>0</v>
      </c>
      <c r="BV98" s="812" t="str">
        <f t="shared" si="155"/>
        <v/>
      </c>
      <c r="BW98" s="808" t="str">
        <f t="shared" si="156"/>
        <v/>
      </c>
      <c r="BX98" s="809" t="str">
        <f t="shared" si="157"/>
        <v/>
      </c>
      <c r="BY98" s="808" t="str">
        <f t="shared" si="185"/>
        <v/>
      </c>
      <c r="BZ98" s="810">
        <f t="shared" si="186"/>
        <v>0</v>
      </c>
      <c r="CA98" s="813" t="str">
        <f>IFERROR(VLOOKUP(BZ98,'Pump Emission Factors'!$B$11:$J$88,4,FALSE),"")</f>
        <v/>
      </c>
      <c r="CB98" s="813" t="str">
        <f>IFERROR(VLOOKUP(BZ98,'Pump Emission Factors'!$B$11:$J$88,6,FALSE),"")</f>
        <v/>
      </c>
      <c r="CC98" s="813" t="str">
        <f>IFERROR(VLOOKUP(BZ98,'Pump Emission Factors'!$B$11:$J$88,8,FALSE),"")</f>
        <v/>
      </c>
      <c r="CD98" s="813" t="str">
        <f>IFERROR(VLOOKUP(BZ98,'Pump Emission Factors'!$B$11:$J$88,5,FALSE),"")</f>
        <v/>
      </c>
      <c r="CE98" s="813" t="str">
        <f>IFERROR(VLOOKUP(BZ98,'Pump Emission Factors'!$B$11:$J$88,7,FALSE),"")</f>
        <v/>
      </c>
      <c r="CF98" s="813" t="str">
        <f>IFERROR(VLOOKUP(BZ98,'Pump Emission Factors'!$B$11:$J$88,9,FALSE),"")</f>
        <v/>
      </c>
      <c r="CG98" s="814" t="str">
        <f t="shared" si="158"/>
        <v/>
      </c>
      <c r="CH98" s="814" t="str">
        <f t="shared" si="159"/>
        <v/>
      </c>
      <c r="CI98" s="813">
        <f>IFERROR(IF($X98="ELEC",((($AU98*(IF($H98="DESL",'Fuel-Specific GHG'!$C$14,IF($H98="GAS",'Fuel-Specific GHG'!$C$16,IF($H98="CNG",'Fuel-Specific GHG'!$C$13,IF(OR($H98="LPG",$H98="PROP"),'Fuel-Specific GHG'!$C$19,"")))))*(1/'Fuel-Specific GHG'!$C$15)*(1/3.4)*$F98)*'Grid Electricity'!$D$39)/454),((CA98+(CD98*CH98))*(IF(ISBLANK(AH98),Defaults!$B$19,AH98))*$AF98*$AJ98*$F98)),0)</f>
        <v>0</v>
      </c>
      <c r="CJ98" s="813">
        <f>IFERROR(IF($X98="ELEC",((($AU98*(IF($H98="DESL",'Fuel-Specific GHG'!$C$14,IF($H98="GAS",'Fuel-Specific GHG'!$C$16,IF($H98="CNG",'Fuel-Specific GHG'!$C$13,IF(OR($H98="LPG",$H98="PROP"),'Fuel-Specific GHG'!$C$19,"")))))*(1/'Fuel-Specific GHG'!$C$15)*(1/3.4)*$F98)*'Grid Electricity'!$C$39)/454),((CB98+(CE98*CH98))*(IF(ISBLANK(AH98),Defaults!$B$19,AH98))*$AF98*$AJ98*$F98)),0)</f>
        <v>0</v>
      </c>
      <c r="CK98" s="813">
        <f>IFERROR(IF($X98="ELEC",((($AU98*(IF($H98="DESL",'Fuel-Specific GHG'!$C$14,IF($H98="GAS",'Fuel-Specific GHG'!$C$16,IF($H98="CNG",'Fuel-Specific GHG'!$C$13,IF(OR($H98="LPG",$H98="PROP"),'Fuel-Specific GHG'!$C$19,"")))))*(1/'Fuel-Specific GHG'!$C$15)*(1/3.4)*$F98)*'Grid Electricity'!$F$39)/454),((CC98+(CF98*CH98))*(IF(ISBLANK(AH98),Defaults!$B$19,AH98))*$AF98*$AJ98*$F98)),0)</f>
        <v>0</v>
      </c>
      <c r="CL98" s="813">
        <f t="shared" si="160"/>
        <v>0</v>
      </c>
      <c r="CM98" s="813">
        <f t="shared" si="161"/>
        <v>0</v>
      </c>
      <c r="CN98" s="814" t="str">
        <f t="shared" si="162"/>
        <v/>
      </c>
      <c r="CO98" s="814" t="str">
        <f t="shared" si="163"/>
        <v/>
      </c>
      <c r="CP98" s="814" t="str">
        <f t="shared" si="164"/>
        <v/>
      </c>
      <c r="CQ98" s="814" t="str">
        <f t="shared" si="165"/>
        <v/>
      </c>
      <c r="CR98" s="815" t="str">
        <f>IF(AND(V98="Yes, Booster Pump VFD",AF98&lt;=75),('Pump Emission Factors'!$F$95*F98),(IF(AND(V98="Yes, Booster Pump VFD",AF98&gt;75),('Pump Emission Factors'!$F$96*F98),(IF(AND(V98="Yes, Well Pump VFD",AF98&lt;=75),('Pump Emission Factors'!$F$97*F98),(IF(AND(V98="Yes, Well Pump VFD",AF98&gt;75),('Pump Emission Factors'!$F$98*F98),"")))))))</f>
        <v/>
      </c>
      <c r="CS98" s="815" t="str">
        <f>IF(AND(V98="Yes, Booster Pump VFD",AF98&lt;=75),('Pump Emission Factors'!$G$95*F98),(IF(AND(V98="Yes, Booster Pump VFD",AF98&gt;75),('Pump Emission Factors'!$G$96*F98),(IF(AND(V98="Yes, Well Pump VFD",AF98&lt;=75),('Pump Emission Factors'!$G$97*F98),(IF(AND(V98="Yes, Well Pump VFD",AF98&gt;75),('Pump Emission Factors'!$G$98*F98),"")))))))</f>
        <v/>
      </c>
      <c r="CT98" s="815" t="str">
        <f>IF(AND(V98="Yes, Booster Pump VFD",AF98&lt;=75),('Pump Emission Factors'!$H$95*F98),(IF(AND(V98="Yes, Booster Pump VFD",AF98&gt;75),('Pump Emission Factors'!$H$96*F98),(IF(AND(V98="Yes, Well Pump VFD",AF98&lt;=75),('Pump Emission Factors'!$H$97*F98),(IF(AND(V98="Yes, Well Pump VFD",AF98&gt;75),('Pump Emission Factors'!$H$98*F98),"")))))))</f>
        <v/>
      </c>
      <c r="CU98" s="815" t="str">
        <f>IF(AND(V98="Yes, Booster Pump VFD",AF98&lt;=75),('Pump Emission Factors'!$J$95*F98),(IF(AND(V98="Yes, Booster Pump VFD",AF98&gt;75),('Pump Emission Factors'!$J$96*F98),(IF(AND(V98="Yes, Well Pump VFD",AF98&lt;=75),('Pump Emission Factors'!$J$97*F98),(IF(AND(V98="Yes, Well Pump VFD",AF98&gt;75),('Pump Emission Factors'!$J$98*F98),"")))))))</f>
        <v/>
      </c>
      <c r="CV98" s="815" t="str">
        <f>IF(AND(V98="Yes, Booster Pump VFD",AF98&lt;=75),('Pump Emission Factors'!$I$95*F98),(IF(AND(V98="Yes, Booster Pump VFD",AF98&gt;75),('Pump Emission Factors'!$I$96*F98),(IF(AND(V98="Yes, Well Pump VFD",AF98&lt;=75),('Pump Emission Factors'!$I$97*F98),(IF(AND(V98="Yes, Well Pump VFD",AF98&gt;75),('Pump Emission Factors'!$I$98*F98),"")))))))</f>
        <v/>
      </c>
      <c r="CW98" s="806">
        <f t="shared" si="166"/>
        <v>0</v>
      </c>
      <c r="CX98" s="806">
        <f t="shared" si="167"/>
        <v>0</v>
      </c>
      <c r="CY98" s="806">
        <f t="shared" si="168"/>
        <v>0</v>
      </c>
      <c r="CZ98" s="806">
        <f t="shared" si="169"/>
        <v>0</v>
      </c>
      <c r="DA98" s="806">
        <f t="shared" si="170"/>
        <v>0</v>
      </c>
      <c r="DB98" s="816" t="str">
        <f t="shared" si="187"/>
        <v/>
      </c>
      <c r="DC98" s="816" t="str">
        <f t="shared" si="187"/>
        <v/>
      </c>
      <c r="DD98" s="816" t="str">
        <f t="shared" si="187"/>
        <v/>
      </c>
      <c r="DE98" s="817" t="str">
        <f t="shared" si="171"/>
        <v/>
      </c>
      <c r="DF98" s="817" t="str">
        <f t="shared" si="172"/>
        <v/>
      </c>
      <c r="DG98" s="804" t="str">
        <f t="shared" si="173"/>
        <v/>
      </c>
      <c r="DH98" s="804" t="str">
        <f t="shared" si="174"/>
        <v/>
      </c>
      <c r="DI98" s="818" t="str">
        <f>IF(AO98="","",IF(H98="DESL",AO98*F98*'Fuel Prices'!$C$12,IF(H98="GAS",AO98*F98*'Fuel Prices'!$C$11,IF(H98="CNG",AO98*F98*'Fuel Prices'!$C$13,IF(H98="LNG",AO98*F98*'Fuel Prices'!$C$14,IF(H98="LPG",AO98*F98*'Fuel Prices'!$C$16,IF(H98="PROP",AO98*F98*'Fuel Prices'!$C$16,"0")))))))</f>
        <v/>
      </c>
      <c r="DJ98" s="818" t="str">
        <f>IF(AU98="","",IF(X98="DESL",AU98*F98*'Fuel Prices'!$C$12,IF(X98="GAS",AU98*F98*'Fuel Prices'!$C$11,IF(X98="CNG",AU98*F98*'Fuel Prices'!$C$13,IF(X98="LNG",AU98*F98*'Fuel Prices'!$C$14,IF(X98="LPG",AU98*F98*'Fuel Prices'!$C$16,IF(X98="PROP",AU98*F98*'Fuel Prices'!$C$16,IF(X98="ELEC",AU98*F98*'Fuel Prices'!$C$35,"0"))))))))</f>
        <v/>
      </c>
      <c r="DK98" s="818" t="str">
        <f t="shared" si="175"/>
        <v/>
      </c>
      <c r="DL98" s="818" t="str">
        <f t="shared" si="188"/>
        <v/>
      </c>
      <c r="DM98" s="804" t="str">
        <f t="shared" si="176"/>
        <v/>
      </c>
      <c r="DN98" s="804" t="str">
        <f t="shared" si="177"/>
        <v/>
      </c>
      <c r="DO98" s="804" t="str">
        <f>IFERROR(ROUND(CZ98*IF(COUNTIF($B$20:B98,B98)=1,1,"")/IF(B98="",0,1),0),"")</f>
        <v/>
      </c>
      <c r="DP98" s="804" t="str">
        <f>IFERROR(ROUND(CW98*IF(COUNTIF($B$20:B98,B98)=1,1,"")/IF(B98="",0,1),0),"")</f>
        <v/>
      </c>
      <c r="DQ98" s="804" t="str">
        <f>IFERROR(ROUND(DA98*IF(COUNTIF($B$20:B98,B98)=1,1,"")/IF(B98="",0,1),0),"")</f>
        <v/>
      </c>
      <c r="DR98" s="804" t="str">
        <f>IFERROR(ROUND(CX98*IF(COUNTIF($B$20:B98,B98)=1,1,"")/IF(B98="",0,1),0),"")</f>
        <v/>
      </c>
      <c r="DS98" s="804">
        <f t="shared" si="178"/>
        <v>0</v>
      </c>
      <c r="DT98" s="804">
        <f t="shared" si="179"/>
        <v>0</v>
      </c>
      <c r="DU98" s="804">
        <f t="shared" si="180"/>
        <v>0</v>
      </c>
      <c r="DV98" s="818" t="str">
        <f t="shared" si="189"/>
        <v/>
      </c>
      <c r="DW98" s="819" t="str">
        <f t="shared" si="190"/>
        <v/>
      </c>
    </row>
    <row r="99" spans="1:131" ht="18" customHeight="1" x14ac:dyDescent="0.35">
      <c r="A99" s="696"/>
      <c r="B99" s="820"/>
      <c r="C99" s="825" t="str">
        <f t="shared" si="124"/>
        <v>(Required)</v>
      </c>
      <c r="D99" s="821"/>
      <c r="E99" s="825" t="str">
        <f t="shared" si="124"/>
        <v>(Required)</v>
      </c>
      <c r="F99" s="821"/>
      <c r="G99" s="825" t="str">
        <f t="shared" si="125"/>
        <v>(Required)</v>
      </c>
      <c r="H99" s="822"/>
      <c r="I99" s="825" t="str">
        <f t="shared" si="126"/>
        <v>(Required)</v>
      </c>
      <c r="J99" s="821"/>
      <c r="K99" s="825" t="str">
        <f t="shared" si="127"/>
        <v>(Required)</v>
      </c>
      <c r="L99" s="821"/>
      <c r="M99" s="825" t="str">
        <f t="shared" si="128"/>
        <v>(Required)</v>
      </c>
      <c r="N99" s="821"/>
      <c r="O99" s="825" t="str">
        <f t="shared" si="129"/>
        <v>(Required)</v>
      </c>
      <c r="P99" s="821"/>
      <c r="Q99" s="825" t="str">
        <f t="shared" si="130"/>
        <v>(Required)</v>
      </c>
      <c r="R99" s="823"/>
      <c r="S99" s="826" t="str">
        <f t="shared" si="131"/>
        <v>(Optional)</v>
      </c>
      <c r="T99" s="821"/>
      <c r="U99" s="827" t="str">
        <f t="shared" si="132"/>
        <v>(Required)</v>
      </c>
      <c r="V99" s="828"/>
      <c r="W99" s="799" t="str">
        <f t="shared" si="133"/>
        <v>(Optional)</v>
      </c>
      <c r="X99" s="822"/>
      <c r="Y99" s="825" t="str">
        <f t="shared" si="134"/>
        <v>(Required)</v>
      </c>
      <c r="Z99" s="821"/>
      <c r="AA99" s="825" t="str">
        <f t="shared" si="135"/>
        <v>(Required)</v>
      </c>
      <c r="AB99" s="821"/>
      <c r="AC99" s="825" t="str">
        <f t="shared" si="136"/>
        <v>(Required)</v>
      </c>
      <c r="AD99" s="821"/>
      <c r="AE99" s="825" t="str">
        <f t="shared" si="137"/>
        <v>(Required)</v>
      </c>
      <c r="AF99" s="821"/>
      <c r="AG99" s="825" t="str">
        <f t="shared" si="138"/>
        <v>(Required)</v>
      </c>
      <c r="AH99" s="823"/>
      <c r="AI99" s="826" t="str">
        <f t="shared" si="139"/>
        <v>(Optional)</v>
      </c>
      <c r="AJ99" s="821"/>
      <c r="AK99" s="825" t="str">
        <f t="shared" si="140"/>
        <v>(Required)</v>
      </c>
      <c r="AL99" s="803" t="str">
        <f t="shared" si="141"/>
        <v/>
      </c>
      <c r="AM99" s="803" t="str">
        <f>IF(H99="DESL",'Fuel Density'!$C$12,IF(H99="GAS",'Fuel Density'!$C$11,IF(H99="CNG",'Fuel Density'!$C$13,IF(H99="LNG",'Fuel Density'!$C$14,IF(H99="LPG",'Fuel Density'!$C$15,IF(H99="PROP",'Fuel Density'!$C$16,IF(H99="","","")))))))</f>
        <v/>
      </c>
      <c r="AN99" s="803" t="str">
        <f>IF(H99="DESL",'Fuel-Specific GHG'!$C$14,IF(H99="GAS",'Fuel-Specific GHG'!$C$16,IF(H99="CNG",'Fuel-Specific GHG'!$C$13,IF(H99="LNG",'Fuel-Specific GHG'!$C$18,IF(OR(H99="LPG",H99="PROP"),'Fuel-Specific GHG'!$C$19,IF(H99="","",""))))))</f>
        <v/>
      </c>
      <c r="AO99" s="804" t="str">
        <f>IFERROR(((P99*(IF(ISBLANK(R99),Defaults!$B$19,R99))*T99*AL99)/AM99),"")</f>
        <v/>
      </c>
      <c r="AP99" s="805" t="str">
        <f t="shared" si="142"/>
        <v/>
      </c>
      <c r="AQ99" s="805" t="str">
        <f>IF(H99="DESL",'Fuel-Specific GHG'!$E$14,IF(H99="GAS",'Fuel-Specific GHG'!$E$16,IF(H99="CNG",'Fuel-Specific GHG'!$E$13,IF(H99="LNG",'Fuel-Specific GHG'!$E$18,IF(OR(H99="LPG",H99="PROP"),'Fuel-Specific GHG'!$E$19,"")))))</f>
        <v/>
      </c>
      <c r="AR99" s="805" t="str">
        <f t="shared" si="143"/>
        <v/>
      </c>
      <c r="AS99" s="803" t="str">
        <f t="shared" si="181"/>
        <v/>
      </c>
      <c r="AT99" s="803" t="str">
        <f>IF(X99="DESL",'Fuel Density'!$C$12,IF(X99="PROP",'Fuel Density'!$C$16,IF(X99="GAS",'Fuel Density'!$C$11,IF(X99="CNG",'Fuel Density'!$C$13,IF(X99="LNG",'Fuel Density'!$C$14,IF(X99="LPG",'Fuel Density'!$C$15,IF(X99="","","")))))))</f>
        <v/>
      </c>
      <c r="AU99" s="804" t="str">
        <f>IFERROR(IF(X99="ELEC",AO99*AN99*(1/'Fuel-Specific GHG'!$C$15)*(1/IF(H99="GAS",3.4,IF(H99="DESL",2.7,3))),((AF99*(IF(ISBLANK(AH99),Defaults!$B$19,AH99))*AJ99*AS99)/AT99)),"")</f>
        <v/>
      </c>
      <c r="AV99" s="805" t="str">
        <f t="shared" si="144"/>
        <v/>
      </c>
      <c r="AW99" s="805" t="str">
        <f>IF(X99="DESL",'Fuel-Specific GHG'!$E$14,IF(X99="PROP",'Fuel-Specific GHG'!$E$19,IF(X99="GAS",'Fuel-Specific GHG'!$E$16,IF(X99="CNG",'Fuel-Specific GHG'!$E$13,IF(X99="LNG",'Fuel-Specific GHG'!$E$18,IF(X99="LPG",'Fuel-Specific GHG'!$E$19,IF(X99="ELEC",'Fuel-Specific GHG'!$E$15,"")))))))</f>
        <v/>
      </c>
      <c r="AX99" s="805" t="str">
        <f t="shared" si="145"/>
        <v/>
      </c>
      <c r="AY99" s="806" t="str">
        <f t="shared" si="146"/>
        <v/>
      </c>
      <c r="AZ99" s="806" t="str">
        <f t="shared" si="191"/>
        <v/>
      </c>
      <c r="BA99" s="806" t="str">
        <f t="shared" si="182"/>
        <v/>
      </c>
      <c r="BB99" s="804" t="str">
        <f t="shared" si="147"/>
        <v/>
      </c>
      <c r="BC99" s="807" t="str">
        <f t="shared" si="148"/>
        <v/>
      </c>
      <c r="BD99" s="807"/>
      <c r="BE99" s="808" t="str">
        <f t="shared" si="149"/>
        <v/>
      </c>
      <c r="BF99" s="809" t="str">
        <f t="shared" si="150"/>
        <v/>
      </c>
      <c r="BG99" s="808" t="str">
        <f t="shared" si="183"/>
        <v/>
      </c>
      <c r="BH99" s="810">
        <f t="shared" si="184"/>
        <v>0</v>
      </c>
      <c r="BI99" s="803" t="str">
        <f>IFERROR(VLOOKUP(BH99,'Pump Emission Factors'!$B$11:$J$88,4,FALSE),"")</f>
        <v/>
      </c>
      <c r="BJ99" s="803" t="str">
        <f>IFERROR(VLOOKUP(BH99,'Pump Emission Factors'!$B$11:$J$88,6,FALSE),"")</f>
        <v/>
      </c>
      <c r="BK99" s="803" t="str">
        <f>IFERROR(VLOOKUP(BH99,'Pump Emission Factors'!$B$11:$J$88,8,FALSE),"")</f>
        <v/>
      </c>
      <c r="BL99" s="803" t="str">
        <f>IFERROR(VLOOKUP(BH99,'Pump Emission Factors'!$B$11:$J$88,5,FALSE),"")</f>
        <v/>
      </c>
      <c r="BM99" s="803" t="str">
        <f>IFERROR(VLOOKUP(BH99,'Pump Emission Factors'!$B$11:$J$88,7,FALSE),"")</f>
        <v/>
      </c>
      <c r="BN99" s="803" t="str">
        <f>IFERROR(VLOOKUP(BH99,'Pump Emission Factors'!$B$11:$J$88,9,FALSE),"")</f>
        <v/>
      </c>
      <c r="BO99" s="811" t="str">
        <f t="shared" si="151"/>
        <v/>
      </c>
      <c r="BP99" s="811" t="str">
        <f t="shared" si="152"/>
        <v/>
      </c>
      <c r="BQ99" s="803">
        <f>IFERROR(((BI99+(BL99*BP99))*(IF(ISBLANK(R99),Defaults!$B$19,R99))*P99*T99)*F99*(1/454),0)</f>
        <v>0</v>
      </c>
      <c r="BR99" s="803">
        <f>IFERROR(((BJ99+(BM99*BP99))*(IF(ISBLANK(R99),Defaults!$B$19,R99))*P99*T99)*F99*(1/454),0)</f>
        <v>0</v>
      </c>
      <c r="BS99" s="803">
        <f>IFERROR(((BK99+(BN99*BP99))*(IF(ISBLANK(R99),Defaults!$B$19,R99))*P99*T99)*F99*(1/454),0)</f>
        <v>0</v>
      </c>
      <c r="BT99" s="803">
        <f t="shared" si="153"/>
        <v>0</v>
      </c>
      <c r="BU99" s="803">
        <f t="shared" si="154"/>
        <v>0</v>
      </c>
      <c r="BV99" s="812" t="str">
        <f t="shared" si="155"/>
        <v/>
      </c>
      <c r="BW99" s="808" t="str">
        <f t="shared" si="156"/>
        <v/>
      </c>
      <c r="BX99" s="809" t="str">
        <f t="shared" si="157"/>
        <v/>
      </c>
      <c r="BY99" s="808" t="str">
        <f t="shared" si="185"/>
        <v/>
      </c>
      <c r="BZ99" s="810">
        <f t="shared" si="186"/>
        <v>0</v>
      </c>
      <c r="CA99" s="813" t="str">
        <f>IFERROR(VLOOKUP(BZ99,'Pump Emission Factors'!$B$11:$J$88,4,FALSE),"")</f>
        <v/>
      </c>
      <c r="CB99" s="813" t="str">
        <f>IFERROR(VLOOKUP(BZ99,'Pump Emission Factors'!$B$11:$J$88,6,FALSE),"")</f>
        <v/>
      </c>
      <c r="CC99" s="813" t="str">
        <f>IFERROR(VLOOKUP(BZ99,'Pump Emission Factors'!$B$11:$J$88,8,FALSE),"")</f>
        <v/>
      </c>
      <c r="CD99" s="813" t="str">
        <f>IFERROR(VLOOKUP(BZ99,'Pump Emission Factors'!$B$11:$J$88,5,FALSE),"")</f>
        <v/>
      </c>
      <c r="CE99" s="813" t="str">
        <f>IFERROR(VLOOKUP(BZ99,'Pump Emission Factors'!$B$11:$J$88,7,FALSE),"")</f>
        <v/>
      </c>
      <c r="CF99" s="813" t="str">
        <f>IFERROR(VLOOKUP(BZ99,'Pump Emission Factors'!$B$11:$J$88,9,FALSE),"")</f>
        <v/>
      </c>
      <c r="CG99" s="814" t="str">
        <f t="shared" si="158"/>
        <v/>
      </c>
      <c r="CH99" s="814" t="str">
        <f t="shared" si="159"/>
        <v/>
      </c>
      <c r="CI99" s="813">
        <f>IFERROR(IF($X99="ELEC",((($AU99*(IF($H99="DESL",'Fuel-Specific GHG'!$C$14,IF($H99="GAS",'Fuel-Specific GHG'!$C$16,IF($H99="CNG",'Fuel-Specific GHG'!$C$13,IF(OR($H99="LPG",$H99="PROP"),'Fuel-Specific GHG'!$C$19,"")))))*(1/'Fuel-Specific GHG'!$C$15)*(1/3.4)*$F99)*'Grid Electricity'!$D$39)/454),((CA99+(CD99*CH99))*(IF(ISBLANK(AH99),Defaults!$B$19,AH99))*$AF99*$AJ99*$F99)),0)</f>
        <v>0</v>
      </c>
      <c r="CJ99" s="813">
        <f>IFERROR(IF($X99="ELEC",((($AU99*(IF($H99="DESL",'Fuel-Specific GHG'!$C$14,IF($H99="GAS",'Fuel-Specific GHG'!$C$16,IF($H99="CNG",'Fuel-Specific GHG'!$C$13,IF(OR($H99="LPG",$H99="PROP"),'Fuel-Specific GHG'!$C$19,"")))))*(1/'Fuel-Specific GHG'!$C$15)*(1/3.4)*$F99)*'Grid Electricity'!$C$39)/454),((CB99+(CE99*CH99))*(IF(ISBLANK(AH99),Defaults!$B$19,AH99))*$AF99*$AJ99*$F99)),0)</f>
        <v>0</v>
      </c>
      <c r="CK99" s="813">
        <f>IFERROR(IF($X99="ELEC",((($AU99*(IF($H99="DESL",'Fuel-Specific GHG'!$C$14,IF($H99="GAS",'Fuel-Specific GHG'!$C$16,IF($H99="CNG",'Fuel-Specific GHG'!$C$13,IF(OR($H99="LPG",$H99="PROP"),'Fuel-Specific GHG'!$C$19,"")))))*(1/'Fuel-Specific GHG'!$C$15)*(1/3.4)*$F99)*'Grid Electricity'!$F$39)/454),((CC99+(CF99*CH99))*(IF(ISBLANK(AH99),Defaults!$B$19,AH99))*$AF99*$AJ99*$F99)),0)</f>
        <v>0</v>
      </c>
      <c r="CL99" s="813">
        <f t="shared" si="160"/>
        <v>0</v>
      </c>
      <c r="CM99" s="813">
        <f t="shared" si="161"/>
        <v>0</v>
      </c>
      <c r="CN99" s="814" t="str">
        <f t="shared" si="162"/>
        <v/>
      </c>
      <c r="CO99" s="814" t="str">
        <f t="shared" si="163"/>
        <v/>
      </c>
      <c r="CP99" s="814" t="str">
        <f t="shared" si="164"/>
        <v/>
      </c>
      <c r="CQ99" s="814" t="str">
        <f t="shared" si="165"/>
        <v/>
      </c>
      <c r="CR99" s="815" t="str">
        <f>IF(AND(V99="Yes, Booster Pump VFD",AF99&lt;=75),('Pump Emission Factors'!$F$95*F99),(IF(AND(V99="Yes, Booster Pump VFD",AF99&gt;75),('Pump Emission Factors'!$F$96*F99),(IF(AND(V99="Yes, Well Pump VFD",AF99&lt;=75),('Pump Emission Factors'!$F$97*F99),(IF(AND(V99="Yes, Well Pump VFD",AF99&gt;75),('Pump Emission Factors'!$F$98*F99),"")))))))</f>
        <v/>
      </c>
      <c r="CS99" s="815" t="str">
        <f>IF(AND(V99="Yes, Booster Pump VFD",AF99&lt;=75),('Pump Emission Factors'!$G$95*F99),(IF(AND(V99="Yes, Booster Pump VFD",AF99&gt;75),('Pump Emission Factors'!$G$96*F99),(IF(AND(V99="Yes, Well Pump VFD",AF99&lt;=75),('Pump Emission Factors'!$G$97*F99),(IF(AND(V99="Yes, Well Pump VFD",AF99&gt;75),('Pump Emission Factors'!$G$98*F99),"")))))))</f>
        <v/>
      </c>
      <c r="CT99" s="815" t="str">
        <f>IF(AND(V99="Yes, Booster Pump VFD",AF99&lt;=75),('Pump Emission Factors'!$H$95*F99),(IF(AND(V99="Yes, Booster Pump VFD",AF99&gt;75),('Pump Emission Factors'!$H$96*F99),(IF(AND(V99="Yes, Well Pump VFD",AF99&lt;=75),('Pump Emission Factors'!$H$97*F99),(IF(AND(V99="Yes, Well Pump VFD",AF99&gt;75),('Pump Emission Factors'!$H$98*F99),"")))))))</f>
        <v/>
      </c>
      <c r="CU99" s="815" t="str">
        <f>IF(AND(V99="Yes, Booster Pump VFD",AF99&lt;=75),('Pump Emission Factors'!$J$95*F99),(IF(AND(V99="Yes, Booster Pump VFD",AF99&gt;75),('Pump Emission Factors'!$J$96*F99),(IF(AND(V99="Yes, Well Pump VFD",AF99&lt;=75),('Pump Emission Factors'!$J$97*F99),(IF(AND(V99="Yes, Well Pump VFD",AF99&gt;75),('Pump Emission Factors'!$J$98*F99),"")))))))</f>
        <v/>
      </c>
      <c r="CV99" s="815" t="str">
        <f>IF(AND(V99="Yes, Booster Pump VFD",AF99&lt;=75),('Pump Emission Factors'!$I$95*F99),(IF(AND(V99="Yes, Booster Pump VFD",AF99&gt;75),('Pump Emission Factors'!$I$96*F99),(IF(AND(V99="Yes, Well Pump VFD",AF99&lt;=75),('Pump Emission Factors'!$I$97*F99),(IF(AND(V99="Yes, Well Pump VFD",AF99&gt;75),('Pump Emission Factors'!$I$98*F99),"")))))))</f>
        <v/>
      </c>
      <c r="CW99" s="806">
        <f t="shared" si="166"/>
        <v>0</v>
      </c>
      <c r="CX99" s="806">
        <f t="shared" si="167"/>
        <v>0</v>
      </c>
      <c r="CY99" s="806">
        <f t="shared" si="168"/>
        <v>0</v>
      </c>
      <c r="CZ99" s="806">
        <f t="shared" si="169"/>
        <v>0</v>
      </c>
      <c r="DA99" s="806">
        <f t="shared" si="170"/>
        <v>0</v>
      </c>
      <c r="DB99" s="816" t="str">
        <f t="shared" si="187"/>
        <v/>
      </c>
      <c r="DC99" s="816" t="str">
        <f t="shared" si="187"/>
        <v/>
      </c>
      <c r="DD99" s="816" t="str">
        <f t="shared" si="187"/>
        <v/>
      </c>
      <c r="DE99" s="817" t="str">
        <f t="shared" si="171"/>
        <v/>
      </c>
      <c r="DF99" s="817" t="str">
        <f t="shared" si="172"/>
        <v/>
      </c>
      <c r="DG99" s="804" t="str">
        <f t="shared" si="173"/>
        <v/>
      </c>
      <c r="DH99" s="804" t="str">
        <f t="shared" si="174"/>
        <v/>
      </c>
      <c r="DI99" s="818" t="str">
        <f>IF(AO99="","",IF(H99="DESL",AO99*F99*'Fuel Prices'!$C$12,IF(H99="GAS",AO99*F99*'Fuel Prices'!$C$11,IF(H99="CNG",AO99*F99*'Fuel Prices'!$C$13,IF(H99="LNG",AO99*F99*'Fuel Prices'!$C$14,IF(H99="LPG",AO99*F99*'Fuel Prices'!$C$16,IF(H99="PROP",AO99*F99*'Fuel Prices'!$C$16,"0")))))))</f>
        <v/>
      </c>
      <c r="DJ99" s="818" t="str">
        <f>IF(AU99="","",IF(X99="DESL",AU99*F99*'Fuel Prices'!$C$12,IF(X99="GAS",AU99*F99*'Fuel Prices'!$C$11,IF(X99="CNG",AU99*F99*'Fuel Prices'!$C$13,IF(X99="LNG",AU99*F99*'Fuel Prices'!$C$14,IF(X99="LPG",AU99*F99*'Fuel Prices'!$C$16,IF(X99="PROP",AU99*F99*'Fuel Prices'!$C$16,IF(X99="ELEC",AU99*F99*'Fuel Prices'!$C$35,"0"))))))))</f>
        <v/>
      </c>
      <c r="DK99" s="818" t="str">
        <f t="shared" si="175"/>
        <v/>
      </c>
      <c r="DL99" s="818" t="str">
        <f t="shared" si="188"/>
        <v/>
      </c>
      <c r="DM99" s="804" t="str">
        <f t="shared" si="176"/>
        <v/>
      </c>
      <c r="DN99" s="804" t="str">
        <f t="shared" si="177"/>
        <v/>
      </c>
      <c r="DO99" s="804" t="str">
        <f>IFERROR(ROUND(CZ99*IF(COUNTIF($B$20:B99,B99)=1,1,"")/IF(B99="",0,1),0),"")</f>
        <v/>
      </c>
      <c r="DP99" s="804" t="str">
        <f>IFERROR(ROUND(CW99*IF(COUNTIF($B$20:B99,B99)=1,1,"")/IF(B99="",0,1),0),"")</f>
        <v/>
      </c>
      <c r="DQ99" s="804" t="str">
        <f>IFERROR(ROUND(DA99*IF(COUNTIF($B$20:B99,B99)=1,1,"")/IF(B99="",0,1),0),"")</f>
        <v/>
      </c>
      <c r="DR99" s="804" t="str">
        <f>IFERROR(ROUND(CX99*IF(COUNTIF($B$20:B99,B99)=1,1,"")/IF(B99="",0,1),0),"")</f>
        <v/>
      </c>
      <c r="DS99" s="804">
        <f t="shared" si="178"/>
        <v>0</v>
      </c>
      <c r="DT99" s="804">
        <f t="shared" si="179"/>
        <v>0</v>
      </c>
      <c r="DU99" s="804">
        <f t="shared" si="180"/>
        <v>0</v>
      </c>
      <c r="DV99" s="818" t="str">
        <f t="shared" si="189"/>
        <v/>
      </c>
      <c r="DW99" s="819" t="str">
        <f t="shared" si="190"/>
        <v/>
      </c>
    </row>
    <row r="100" spans="1:131" ht="18" customHeight="1" x14ac:dyDescent="0.35">
      <c r="A100" s="635"/>
      <c r="B100" s="820"/>
      <c r="C100" s="825" t="str">
        <f t="shared" si="124"/>
        <v>(Required)</v>
      </c>
      <c r="D100" s="821"/>
      <c r="E100" s="825" t="str">
        <f t="shared" si="124"/>
        <v>(Required)</v>
      </c>
      <c r="F100" s="821"/>
      <c r="G100" s="825" t="str">
        <f t="shared" si="125"/>
        <v>(Required)</v>
      </c>
      <c r="H100" s="822"/>
      <c r="I100" s="825" t="str">
        <f t="shared" si="126"/>
        <v>(Required)</v>
      </c>
      <c r="J100" s="821"/>
      <c r="K100" s="825" t="str">
        <f t="shared" si="127"/>
        <v>(Required)</v>
      </c>
      <c r="L100" s="821"/>
      <c r="M100" s="825" t="str">
        <f t="shared" si="128"/>
        <v>(Required)</v>
      </c>
      <c r="N100" s="821"/>
      <c r="O100" s="825" t="str">
        <f t="shared" si="129"/>
        <v>(Required)</v>
      </c>
      <c r="P100" s="821"/>
      <c r="Q100" s="825" t="str">
        <f t="shared" si="130"/>
        <v>(Required)</v>
      </c>
      <c r="R100" s="823"/>
      <c r="S100" s="826" t="str">
        <f t="shared" si="131"/>
        <v>(Optional)</v>
      </c>
      <c r="T100" s="821"/>
      <c r="U100" s="827" t="str">
        <f t="shared" si="132"/>
        <v>(Required)</v>
      </c>
      <c r="V100" s="828"/>
      <c r="W100" s="799" t="str">
        <f t="shared" si="133"/>
        <v>(Optional)</v>
      </c>
      <c r="X100" s="822"/>
      <c r="Y100" s="825" t="str">
        <f t="shared" si="134"/>
        <v>(Required)</v>
      </c>
      <c r="Z100" s="821"/>
      <c r="AA100" s="825" t="str">
        <f t="shared" si="135"/>
        <v>(Required)</v>
      </c>
      <c r="AB100" s="821"/>
      <c r="AC100" s="825" t="str">
        <f t="shared" si="136"/>
        <v>(Required)</v>
      </c>
      <c r="AD100" s="821"/>
      <c r="AE100" s="825" t="str">
        <f t="shared" si="137"/>
        <v>(Required)</v>
      </c>
      <c r="AF100" s="821"/>
      <c r="AG100" s="825" t="str">
        <f t="shared" si="138"/>
        <v>(Required)</v>
      </c>
      <c r="AH100" s="823"/>
      <c r="AI100" s="826" t="str">
        <f t="shared" si="139"/>
        <v>(Optional)</v>
      </c>
      <c r="AJ100" s="821"/>
      <c r="AK100" s="825" t="str">
        <f t="shared" si="140"/>
        <v>(Required)</v>
      </c>
      <c r="AL100" s="803" t="str">
        <f t="shared" si="141"/>
        <v/>
      </c>
      <c r="AM100" s="803" t="str">
        <f>IF(H100="DESL",'Fuel Density'!$C$12,IF(H100="GAS",'Fuel Density'!$C$11,IF(H100="CNG",'Fuel Density'!$C$13,IF(H100="LNG",'Fuel Density'!$C$14,IF(H100="LPG",'Fuel Density'!$C$15,IF(H100="PROP",'Fuel Density'!$C$16,IF(H100="","","")))))))</f>
        <v/>
      </c>
      <c r="AN100" s="803" t="str">
        <f>IF(H100="DESL",'Fuel-Specific GHG'!$C$14,IF(H100="GAS",'Fuel-Specific GHG'!$C$16,IF(H100="CNG",'Fuel-Specific GHG'!$C$13,IF(H100="LNG",'Fuel-Specific GHG'!$C$18,IF(OR(H100="LPG",H100="PROP"),'Fuel-Specific GHG'!$C$19,IF(H100="","",""))))))</f>
        <v/>
      </c>
      <c r="AO100" s="804" t="str">
        <f>IFERROR(((P100*(IF(ISBLANK(R100),Defaults!$B$19,R100))*T100*AL100)/AM100),"")</f>
        <v/>
      </c>
      <c r="AP100" s="805" t="str">
        <f t="shared" si="142"/>
        <v/>
      </c>
      <c r="AQ100" s="805" t="str">
        <f>IF(H100="DESL",'Fuel-Specific GHG'!$E$14,IF(H100="GAS",'Fuel-Specific GHG'!$E$16,IF(H100="CNG",'Fuel-Specific GHG'!$E$13,IF(H100="LNG",'Fuel-Specific GHG'!$E$18,IF(OR(H100="LPG",H100="PROP"),'Fuel-Specific GHG'!$E$19,"")))))</f>
        <v/>
      </c>
      <c r="AR100" s="805" t="str">
        <f t="shared" si="143"/>
        <v/>
      </c>
      <c r="AS100" s="803" t="str">
        <f t="shared" si="181"/>
        <v/>
      </c>
      <c r="AT100" s="803" t="str">
        <f>IF(X100="DESL",'Fuel Density'!$C$12,IF(X100="PROP",'Fuel Density'!$C$16,IF(X100="GAS",'Fuel Density'!$C$11,IF(X100="CNG",'Fuel Density'!$C$13,IF(X100="LNG",'Fuel Density'!$C$14,IF(X100="LPG",'Fuel Density'!$C$15,IF(X100="","","")))))))</f>
        <v/>
      </c>
      <c r="AU100" s="804" t="str">
        <f>IFERROR(IF(X100="ELEC",AO100*AN100*(1/'Fuel-Specific GHG'!$C$15)*(1/IF(H100="GAS",3.4,IF(H100="DESL",2.7,3))),((AF100*(IF(ISBLANK(AH100),Defaults!$B$19,AH100))*AJ100*AS100)/AT100)),"")</f>
        <v/>
      </c>
      <c r="AV100" s="805" t="str">
        <f t="shared" si="144"/>
        <v/>
      </c>
      <c r="AW100" s="805" t="str">
        <f>IF(X100="DESL",'Fuel-Specific GHG'!$E$14,IF(X100="PROP",'Fuel-Specific GHG'!$E$19,IF(X100="GAS",'Fuel-Specific GHG'!$E$16,IF(X100="CNG",'Fuel-Specific GHG'!$E$13,IF(X100="LNG",'Fuel-Specific GHG'!$E$18,IF(X100="LPG",'Fuel-Specific GHG'!$E$19,IF(X100="ELEC",'Fuel-Specific GHG'!$E$15,"")))))))</f>
        <v/>
      </c>
      <c r="AX100" s="805" t="str">
        <f t="shared" si="145"/>
        <v/>
      </c>
      <c r="AY100" s="806" t="str">
        <f t="shared" si="146"/>
        <v/>
      </c>
      <c r="AZ100" s="806" t="str">
        <f t="shared" si="191"/>
        <v/>
      </c>
      <c r="BA100" s="806" t="str">
        <f t="shared" si="182"/>
        <v/>
      </c>
      <c r="BB100" s="804" t="str">
        <f t="shared" si="147"/>
        <v/>
      </c>
      <c r="BC100" s="807" t="str">
        <f t="shared" si="148"/>
        <v/>
      </c>
      <c r="BD100" s="807"/>
      <c r="BE100" s="808" t="str">
        <f t="shared" si="149"/>
        <v/>
      </c>
      <c r="BF100" s="809" t="str">
        <f t="shared" si="150"/>
        <v/>
      </c>
      <c r="BG100" s="808" t="str">
        <f t="shared" si="183"/>
        <v/>
      </c>
      <c r="BH100" s="810">
        <f t="shared" si="184"/>
        <v>0</v>
      </c>
      <c r="BI100" s="803" t="str">
        <f>IFERROR(VLOOKUP(BH100,'Pump Emission Factors'!$B$11:$J$88,4,FALSE),"")</f>
        <v/>
      </c>
      <c r="BJ100" s="803" t="str">
        <f>IFERROR(VLOOKUP(BH100,'Pump Emission Factors'!$B$11:$J$88,6,FALSE),"")</f>
        <v/>
      </c>
      <c r="BK100" s="803" t="str">
        <f>IFERROR(VLOOKUP(BH100,'Pump Emission Factors'!$B$11:$J$88,8,FALSE),"")</f>
        <v/>
      </c>
      <c r="BL100" s="803" t="str">
        <f>IFERROR(VLOOKUP(BH100,'Pump Emission Factors'!$B$11:$J$88,5,FALSE),"")</f>
        <v/>
      </c>
      <c r="BM100" s="803" t="str">
        <f>IFERROR(VLOOKUP(BH100,'Pump Emission Factors'!$B$11:$J$88,7,FALSE),"")</f>
        <v/>
      </c>
      <c r="BN100" s="803" t="str">
        <f>IFERROR(VLOOKUP(BH100,'Pump Emission Factors'!$B$11:$J$88,9,FALSE),"")</f>
        <v/>
      </c>
      <c r="BO100" s="811" t="str">
        <f t="shared" si="151"/>
        <v/>
      </c>
      <c r="BP100" s="811" t="str">
        <f t="shared" si="152"/>
        <v/>
      </c>
      <c r="BQ100" s="803">
        <f>IFERROR(((BI100+(BL100*BP100))*(IF(ISBLANK(R100),Defaults!$B$19,R100))*P100*T100)*F100*(1/454),0)</f>
        <v>0</v>
      </c>
      <c r="BR100" s="803">
        <f>IFERROR(((BJ100+(BM100*BP100))*(IF(ISBLANK(R100),Defaults!$B$19,R100))*P100*T100)*F100*(1/454),0)</f>
        <v>0</v>
      </c>
      <c r="BS100" s="803">
        <f>IFERROR(((BK100+(BN100*BP100))*(IF(ISBLANK(R100),Defaults!$B$19,R100))*P100*T100)*F100*(1/454),0)</f>
        <v>0</v>
      </c>
      <c r="BT100" s="803">
        <f t="shared" si="153"/>
        <v>0</v>
      </c>
      <c r="BU100" s="803">
        <f t="shared" si="154"/>
        <v>0</v>
      </c>
      <c r="BV100" s="812" t="str">
        <f t="shared" si="155"/>
        <v/>
      </c>
      <c r="BW100" s="808" t="str">
        <f t="shared" si="156"/>
        <v/>
      </c>
      <c r="BX100" s="809" t="str">
        <f t="shared" si="157"/>
        <v/>
      </c>
      <c r="BY100" s="808" t="str">
        <f t="shared" si="185"/>
        <v/>
      </c>
      <c r="BZ100" s="810">
        <f t="shared" si="186"/>
        <v>0</v>
      </c>
      <c r="CA100" s="813" t="str">
        <f>IFERROR(VLOOKUP(BZ100,'Pump Emission Factors'!$B$11:$J$88,4,FALSE),"")</f>
        <v/>
      </c>
      <c r="CB100" s="813" t="str">
        <f>IFERROR(VLOOKUP(BZ100,'Pump Emission Factors'!$B$11:$J$88,6,FALSE),"")</f>
        <v/>
      </c>
      <c r="CC100" s="813" t="str">
        <f>IFERROR(VLOOKUP(BZ100,'Pump Emission Factors'!$B$11:$J$88,8,FALSE),"")</f>
        <v/>
      </c>
      <c r="CD100" s="813" t="str">
        <f>IFERROR(VLOOKUP(BZ100,'Pump Emission Factors'!$B$11:$J$88,5,FALSE),"")</f>
        <v/>
      </c>
      <c r="CE100" s="813" t="str">
        <f>IFERROR(VLOOKUP(BZ100,'Pump Emission Factors'!$B$11:$J$88,7,FALSE),"")</f>
        <v/>
      </c>
      <c r="CF100" s="813" t="str">
        <f>IFERROR(VLOOKUP(BZ100,'Pump Emission Factors'!$B$11:$J$88,9,FALSE),"")</f>
        <v/>
      </c>
      <c r="CG100" s="814" t="str">
        <f t="shared" si="158"/>
        <v/>
      </c>
      <c r="CH100" s="814" t="str">
        <f t="shared" si="159"/>
        <v/>
      </c>
      <c r="CI100" s="813">
        <f>IFERROR(IF($X100="ELEC",((($AU100*(IF($H100="DESL",'Fuel-Specific GHG'!$C$14,IF($H100="GAS",'Fuel-Specific GHG'!$C$16,IF($H100="CNG",'Fuel-Specific GHG'!$C$13,IF(OR($H100="LPG",$H100="PROP"),'Fuel-Specific GHG'!$C$19,"")))))*(1/'Fuel-Specific GHG'!$C$15)*(1/3.4)*$F100)*'Grid Electricity'!$D$39)/454),((CA100+(CD100*CH100))*(IF(ISBLANK(AH100),Defaults!$B$19,AH100))*$AF100*$AJ100*$F100)),0)</f>
        <v>0</v>
      </c>
      <c r="CJ100" s="813">
        <f>IFERROR(IF($X100="ELEC",((($AU100*(IF($H100="DESL",'Fuel-Specific GHG'!$C$14,IF($H100="GAS",'Fuel-Specific GHG'!$C$16,IF($H100="CNG",'Fuel-Specific GHG'!$C$13,IF(OR($H100="LPG",$H100="PROP"),'Fuel-Specific GHG'!$C$19,"")))))*(1/'Fuel-Specific GHG'!$C$15)*(1/3.4)*$F100)*'Grid Electricity'!$C$39)/454),((CB100+(CE100*CH100))*(IF(ISBLANK(AH100),Defaults!$B$19,AH100))*$AF100*$AJ100*$F100)),0)</f>
        <v>0</v>
      </c>
      <c r="CK100" s="813">
        <f>IFERROR(IF($X100="ELEC",((($AU100*(IF($H100="DESL",'Fuel-Specific GHG'!$C$14,IF($H100="GAS",'Fuel-Specific GHG'!$C$16,IF($H100="CNG",'Fuel-Specific GHG'!$C$13,IF(OR($H100="LPG",$H100="PROP"),'Fuel-Specific GHG'!$C$19,"")))))*(1/'Fuel-Specific GHG'!$C$15)*(1/3.4)*$F100)*'Grid Electricity'!$F$39)/454),((CC100+(CF100*CH100))*(IF(ISBLANK(AH100),Defaults!$B$19,AH100))*$AF100*$AJ100*$F100)),0)</f>
        <v>0</v>
      </c>
      <c r="CL100" s="813">
        <f t="shared" si="160"/>
        <v>0</v>
      </c>
      <c r="CM100" s="813">
        <f t="shared" si="161"/>
        <v>0</v>
      </c>
      <c r="CN100" s="814" t="str">
        <f t="shared" si="162"/>
        <v/>
      </c>
      <c r="CO100" s="814" t="str">
        <f t="shared" si="163"/>
        <v/>
      </c>
      <c r="CP100" s="814" t="str">
        <f t="shared" si="164"/>
        <v/>
      </c>
      <c r="CQ100" s="814" t="str">
        <f t="shared" si="165"/>
        <v/>
      </c>
      <c r="CR100" s="815" t="str">
        <f>IF(AND(V100="Yes, Booster Pump VFD",AF100&lt;=75),('Pump Emission Factors'!$F$95*F100),(IF(AND(V100="Yes, Booster Pump VFD",AF100&gt;75),('Pump Emission Factors'!$F$96*F100),(IF(AND(V100="Yes, Well Pump VFD",AF100&lt;=75),('Pump Emission Factors'!$F$97*F100),(IF(AND(V100="Yes, Well Pump VFD",AF100&gt;75),('Pump Emission Factors'!$F$98*F100),"")))))))</f>
        <v/>
      </c>
      <c r="CS100" s="815" t="str">
        <f>IF(AND(V100="Yes, Booster Pump VFD",AF100&lt;=75),('Pump Emission Factors'!$G$95*F100),(IF(AND(V100="Yes, Booster Pump VFD",AF100&gt;75),('Pump Emission Factors'!$G$96*F100),(IF(AND(V100="Yes, Well Pump VFD",AF100&lt;=75),('Pump Emission Factors'!$G$97*F100),(IF(AND(V100="Yes, Well Pump VFD",AF100&gt;75),('Pump Emission Factors'!$G$98*F100),"")))))))</f>
        <v/>
      </c>
      <c r="CT100" s="815" t="str">
        <f>IF(AND(V100="Yes, Booster Pump VFD",AF100&lt;=75),('Pump Emission Factors'!$H$95*F100),(IF(AND(V100="Yes, Booster Pump VFD",AF100&gt;75),('Pump Emission Factors'!$H$96*F100),(IF(AND(V100="Yes, Well Pump VFD",AF100&lt;=75),('Pump Emission Factors'!$H$97*F100),(IF(AND(V100="Yes, Well Pump VFD",AF100&gt;75),('Pump Emission Factors'!$H$98*F100),"")))))))</f>
        <v/>
      </c>
      <c r="CU100" s="815" t="str">
        <f>IF(AND(V100="Yes, Booster Pump VFD",AF100&lt;=75),('Pump Emission Factors'!$J$95*F100),(IF(AND(V100="Yes, Booster Pump VFD",AF100&gt;75),('Pump Emission Factors'!$J$96*F100),(IF(AND(V100="Yes, Well Pump VFD",AF100&lt;=75),('Pump Emission Factors'!$J$97*F100),(IF(AND(V100="Yes, Well Pump VFD",AF100&gt;75),('Pump Emission Factors'!$J$98*F100),"")))))))</f>
        <v/>
      </c>
      <c r="CV100" s="815" t="str">
        <f>IF(AND(V100="Yes, Booster Pump VFD",AF100&lt;=75),('Pump Emission Factors'!$I$95*F100),(IF(AND(V100="Yes, Booster Pump VFD",AF100&gt;75),('Pump Emission Factors'!$I$96*F100),(IF(AND(V100="Yes, Well Pump VFD",AF100&lt;=75),('Pump Emission Factors'!$I$97*F100),(IF(AND(V100="Yes, Well Pump VFD",AF100&gt;75),('Pump Emission Factors'!$I$98*F100),"")))))))</f>
        <v/>
      </c>
      <c r="CW100" s="806">
        <f t="shared" si="166"/>
        <v>0</v>
      </c>
      <c r="CX100" s="806">
        <f t="shared" si="167"/>
        <v>0</v>
      </c>
      <c r="CY100" s="806">
        <f t="shared" si="168"/>
        <v>0</v>
      </c>
      <c r="CZ100" s="806">
        <f t="shared" si="169"/>
        <v>0</v>
      </c>
      <c r="DA100" s="806">
        <f t="shared" si="170"/>
        <v>0</v>
      </c>
      <c r="DB100" s="816" t="str">
        <f t="shared" si="187"/>
        <v/>
      </c>
      <c r="DC100" s="816" t="str">
        <f t="shared" si="187"/>
        <v/>
      </c>
      <c r="DD100" s="816" t="str">
        <f t="shared" si="187"/>
        <v/>
      </c>
      <c r="DE100" s="817" t="str">
        <f t="shared" si="171"/>
        <v/>
      </c>
      <c r="DF100" s="817" t="str">
        <f t="shared" si="172"/>
        <v/>
      </c>
      <c r="DG100" s="804" t="str">
        <f t="shared" si="173"/>
        <v/>
      </c>
      <c r="DH100" s="804" t="str">
        <f t="shared" si="174"/>
        <v/>
      </c>
      <c r="DI100" s="818" t="str">
        <f>IF(AO100="","",IF(H100="DESL",AO100*F100*'Fuel Prices'!$C$12,IF(H100="GAS",AO100*F100*'Fuel Prices'!$C$11,IF(H100="CNG",AO100*F100*'Fuel Prices'!$C$13,IF(H100="LNG",AO100*F100*'Fuel Prices'!$C$14,IF(H100="LPG",AO100*F100*'Fuel Prices'!$C$16,IF(H100="PROP",AO100*F100*'Fuel Prices'!$C$16,"0")))))))</f>
        <v/>
      </c>
      <c r="DJ100" s="818" t="str">
        <f>IF(AU100="","",IF(X100="DESL",AU100*F100*'Fuel Prices'!$C$12,IF(X100="GAS",AU100*F100*'Fuel Prices'!$C$11,IF(X100="CNG",AU100*F100*'Fuel Prices'!$C$13,IF(X100="LNG",AU100*F100*'Fuel Prices'!$C$14,IF(X100="LPG",AU100*F100*'Fuel Prices'!$C$16,IF(X100="PROP",AU100*F100*'Fuel Prices'!$C$16,IF(X100="ELEC",AU100*F100*'Fuel Prices'!$C$35,"0"))))))))</f>
        <v/>
      </c>
      <c r="DK100" s="818" t="str">
        <f t="shared" si="175"/>
        <v/>
      </c>
      <c r="DL100" s="818" t="str">
        <f t="shared" si="188"/>
        <v/>
      </c>
      <c r="DM100" s="804" t="str">
        <f t="shared" si="176"/>
        <v/>
      </c>
      <c r="DN100" s="804" t="str">
        <f t="shared" si="177"/>
        <v/>
      </c>
      <c r="DO100" s="804" t="str">
        <f>IFERROR(ROUND(CZ100*IF(COUNTIF($B$20:B100,B100)=1,1,"")/IF(B100="",0,1),0),"")</f>
        <v/>
      </c>
      <c r="DP100" s="804" t="str">
        <f>IFERROR(ROUND(CW100*IF(COUNTIF($B$20:B100,B100)=1,1,"")/IF(B100="",0,1),0),"")</f>
        <v/>
      </c>
      <c r="DQ100" s="804" t="str">
        <f>IFERROR(ROUND(DA100*IF(COUNTIF($B$20:B100,B100)=1,1,"")/IF(B100="",0,1),0),"")</f>
        <v/>
      </c>
      <c r="DR100" s="804" t="str">
        <f>IFERROR(ROUND(CX100*IF(COUNTIF($B$20:B100,B100)=1,1,"")/IF(B100="",0,1),0),"")</f>
        <v/>
      </c>
      <c r="DS100" s="804">
        <f t="shared" si="178"/>
        <v>0</v>
      </c>
      <c r="DT100" s="804">
        <f t="shared" si="179"/>
        <v>0</v>
      </c>
      <c r="DU100" s="804">
        <f t="shared" si="180"/>
        <v>0</v>
      </c>
      <c r="DV100" s="818" t="str">
        <f t="shared" si="189"/>
        <v/>
      </c>
      <c r="DW100" s="819" t="str">
        <f t="shared" si="190"/>
        <v/>
      </c>
    </row>
    <row r="101" spans="1:131" ht="18" customHeight="1" x14ac:dyDescent="0.35">
      <c r="A101" s="696"/>
      <c r="B101" s="820"/>
      <c r="C101" s="825" t="str">
        <f t="shared" si="124"/>
        <v>(Required)</v>
      </c>
      <c r="D101" s="821"/>
      <c r="E101" s="825" t="str">
        <f t="shared" si="124"/>
        <v>(Required)</v>
      </c>
      <c r="F101" s="821"/>
      <c r="G101" s="825" t="str">
        <f t="shared" si="125"/>
        <v>(Required)</v>
      </c>
      <c r="H101" s="822"/>
      <c r="I101" s="825" t="str">
        <f t="shared" si="126"/>
        <v>(Required)</v>
      </c>
      <c r="J101" s="821"/>
      <c r="K101" s="825" t="str">
        <f t="shared" si="127"/>
        <v>(Required)</v>
      </c>
      <c r="L101" s="821"/>
      <c r="M101" s="825" t="str">
        <f t="shared" si="128"/>
        <v>(Required)</v>
      </c>
      <c r="N101" s="821"/>
      <c r="O101" s="825" t="str">
        <f t="shared" si="129"/>
        <v>(Required)</v>
      </c>
      <c r="P101" s="821"/>
      <c r="Q101" s="825" t="str">
        <f t="shared" si="130"/>
        <v>(Required)</v>
      </c>
      <c r="R101" s="823"/>
      <c r="S101" s="826" t="str">
        <f t="shared" si="131"/>
        <v>(Optional)</v>
      </c>
      <c r="T101" s="821"/>
      <c r="U101" s="827" t="str">
        <f t="shared" si="132"/>
        <v>(Required)</v>
      </c>
      <c r="V101" s="828"/>
      <c r="W101" s="799" t="str">
        <f t="shared" si="133"/>
        <v>(Optional)</v>
      </c>
      <c r="X101" s="822"/>
      <c r="Y101" s="825" t="str">
        <f t="shared" si="134"/>
        <v>(Required)</v>
      </c>
      <c r="Z101" s="821"/>
      <c r="AA101" s="825" t="str">
        <f t="shared" si="135"/>
        <v>(Required)</v>
      </c>
      <c r="AB101" s="821"/>
      <c r="AC101" s="825" t="str">
        <f t="shared" si="136"/>
        <v>(Required)</v>
      </c>
      <c r="AD101" s="821"/>
      <c r="AE101" s="825" t="str">
        <f t="shared" si="137"/>
        <v>(Required)</v>
      </c>
      <c r="AF101" s="821"/>
      <c r="AG101" s="825" t="str">
        <f t="shared" si="138"/>
        <v>(Required)</v>
      </c>
      <c r="AH101" s="823"/>
      <c r="AI101" s="826" t="str">
        <f t="shared" si="139"/>
        <v>(Optional)</v>
      </c>
      <c r="AJ101" s="821"/>
      <c r="AK101" s="825" t="str">
        <f t="shared" si="140"/>
        <v>(Required)</v>
      </c>
      <c r="AL101" s="803" t="str">
        <f t="shared" si="141"/>
        <v/>
      </c>
      <c r="AM101" s="803" t="str">
        <f>IF(H101="DESL",'Fuel Density'!$C$12,IF(H101="GAS",'Fuel Density'!$C$11,IF(H101="CNG",'Fuel Density'!$C$13,IF(H101="LNG",'Fuel Density'!$C$14,IF(H101="LPG",'Fuel Density'!$C$15,IF(H101="PROP",'Fuel Density'!$C$16,IF(H101="","","")))))))</f>
        <v/>
      </c>
      <c r="AN101" s="803" t="str">
        <f>IF(H101="DESL",'Fuel-Specific GHG'!$C$14,IF(H101="GAS",'Fuel-Specific GHG'!$C$16,IF(H101="CNG",'Fuel-Specific GHG'!$C$13,IF(H101="LNG",'Fuel-Specific GHG'!$C$18,IF(OR(H101="LPG",H101="PROP"),'Fuel-Specific GHG'!$C$19,IF(H101="","",""))))))</f>
        <v/>
      </c>
      <c r="AO101" s="804" t="str">
        <f>IFERROR(((P101*(IF(ISBLANK(R101),Defaults!$B$19,R101))*T101*AL101)/AM101),"")</f>
        <v/>
      </c>
      <c r="AP101" s="805" t="str">
        <f t="shared" si="142"/>
        <v/>
      </c>
      <c r="AQ101" s="805" t="str">
        <f>IF(H101="DESL",'Fuel-Specific GHG'!$E$14,IF(H101="GAS",'Fuel-Specific GHG'!$E$16,IF(H101="CNG",'Fuel-Specific GHG'!$E$13,IF(H101="LNG",'Fuel-Specific GHG'!$E$18,IF(OR(H101="LPG",H101="PROP"),'Fuel-Specific GHG'!$E$19,"")))))</f>
        <v/>
      </c>
      <c r="AR101" s="805" t="str">
        <f t="shared" si="143"/>
        <v/>
      </c>
      <c r="AS101" s="803" t="str">
        <f t="shared" si="181"/>
        <v/>
      </c>
      <c r="AT101" s="803" t="str">
        <f>IF(X101="DESL",'Fuel Density'!$C$12,IF(X101="PROP",'Fuel Density'!$C$16,IF(X101="GAS",'Fuel Density'!$C$11,IF(X101="CNG",'Fuel Density'!$C$13,IF(X101="LNG",'Fuel Density'!$C$14,IF(X101="LPG",'Fuel Density'!$C$15,IF(X101="","","")))))))</f>
        <v/>
      </c>
      <c r="AU101" s="804" t="str">
        <f>IFERROR(IF(X101="ELEC",AO101*AN101*(1/'Fuel-Specific GHG'!$C$15)*(1/IF(H101="GAS",3.4,IF(H101="DESL",2.7,3))),((AF101*(IF(ISBLANK(AH101),Defaults!$B$19,AH101))*AJ101*AS101)/AT101)),"")</f>
        <v/>
      </c>
      <c r="AV101" s="805" t="str">
        <f t="shared" si="144"/>
        <v/>
      </c>
      <c r="AW101" s="805" t="str">
        <f>IF(X101="DESL",'Fuel-Specific GHG'!$E$14,IF(X101="PROP",'Fuel-Specific GHG'!$E$19,IF(X101="GAS",'Fuel-Specific GHG'!$E$16,IF(X101="CNG",'Fuel-Specific GHG'!$E$13,IF(X101="LNG",'Fuel-Specific GHG'!$E$18,IF(X101="LPG",'Fuel-Specific GHG'!$E$19,IF(X101="ELEC",'Fuel-Specific GHG'!$E$15,"")))))))</f>
        <v/>
      </c>
      <c r="AX101" s="805" t="str">
        <f t="shared" si="145"/>
        <v/>
      </c>
      <c r="AY101" s="806" t="str">
        <f t="shared" si="146"/>
        <v/>
      </c>
      <c r="AZ101" s="806" t="str">
        <f t="shared" si="191"/>
        <v/>
      </c>
      <c r="BA101" s="806" t="str">
        <f t="shared" si="182"/>
        <v/>
      </c>
      <c r="BB101" s="804" t="str">
        <f t="shared" si="147"/>
        <v/>
      </c>
      <c r="BC101" s="807" t="str">
        <f t="shared" si="148"/>
        <v/>
      </c>
      <c r="BD101" s="807"/>
      <c r="BE101" s="808" t="str">
        <f t="shared" si="149"/>
        <v/>
      </c>
      <c r="BF101" s="809" t="str">
        <f t="shared" si="150"/>
        <v/>
      </c>
      <c r="BG101" s="808" t="str">
        <f t="shared" si="183"/>
        <v/>
      </c>
      <c r="BH101" s="810">
        <f t="shared" si="184"/>
        <v>0</v>
      </c>
      <c r="BI101" s="803" t="str">
        <f>IFERROR(VLOOKUP(BH101,'Pump Emission Factors'!$B$11:$J$88,4,FALSE),"")</f>
        <v/>
      </c>
      <c r="BJ101" s="803" t="str">
        <f>IFERROR(VLOOKUP(BH101,'Pump Emission Factors'!$B$11:$J$88,6,FALSE),"")</f>
        <v/>
      </c>
      <c r="BK101" s="803" t="str">
        <f>IFERROR(VLOOKUP(BH101,'Pump Emission Factors'!$B$11:$J$88,8,FALSE),"")</f>
        <v/>
      </c>
      <c r="BL101" s="803" t="str">
        <f>IFERROR(VLOOKUP(BH101,'Pump Emission Factors'!$B$11:$J$88,5,FALSE),"")</f>
        <v/>
      </c>
      <c r="BM101" s="803" t="str">
        <f>IFERROR(VLOOKUP(BH101,'Pump Emission Factors'!$B$11:$J$88,7,FALSE),"")</f>
        <v/>
      </c>
      <c r="BN101" s="803" t="str">
        <f>IFERROR(VLOOKUP(BH101,'Pump Emission Factors'!$B$11:$J$88,9,FALSE),"")</f>
        <v/>
      </c>
      <c r="BO101" s="811" t="str">
        <f t="shared" si="151"/>
        <v/>
      </c>
      <c r="BP101" s="811" t="str">
        <f t="shared" si="152"/>
        <v/>
      </c>
      <c r="BQ101" s="803">
        <f>IFERROR(((BI101+(BL101*BP101))*(IF(ISBLANK(R101),Defaults!$B$19,R101))*P101*T101)*F101*(1/454),0)</f>
        <v>0</v>
      </c>
      <c r="BR101" s="803">
        <f>IFERROR(((BJ101+(BM101*BP101))*(IF(ISBLANK(R101),Defaults!$B$19,R101))*P101*T101)*F101*(1/454),0)</f>
        <v>0</v>
      </c>
      <c r="BS101" s="803">
        <f>IFERROR(((BK101+(BN101*BP101))*(IF(ISBLANK(R101),Defaults!$B$19,R101))*P101*T101)*F101*(1/454),0)</f>
        <v>0</v>
      </c>
      <c r="BT101" s="803">
        <f t="shared" si="153"/>
        <v>0</v>
      </c>
      <c r="BU101" s="803">
        <f t="shared" si="154"/>
        <v>0</v>
      </c>
      <c r="BV101" s="812" t="str">
        <f t="shared" si="155"/>
        <v/>
      </c>
      <c r="BW101" s="808" t="str">
        <f t="shared" si="156"/>
        <v/>
      </c>
      <c r="BX101" s="809" t="str">
        <f t="shared" si="157"/>
        <v/>
      </c>
      <c r="BY101" s="808" t="str">
        <f t="shared" si="185"/>
        <v/>
      </c>
      <c r="BZ101" s="810">
        <f t="shared" si="186"/>
        <v>0</v>
      </c>
      <c r="CA101" s="813" t="str">
        <f>IFERROR(VLOOKUP(BZ101,'Pump Emission Factors'!$B$11:$J$88,4,FALSE),"")</f>
        <v/>
      </c>
      <c r="CB101" s="813" t="str">
        <f>IFERROR(VLOOKUP(BZ101,'Pump Emission Factors'!$B$11:$J$88,6,FALSE),"")</f>
        <v/>
      </c>
      <c r="CC101" s="813" t="str">
        <f>IFERROR(VLOOKUP(BZ101,'Pump Emission Factors'!$B$11:$J$88,8,FALSE),"")</f>
        <v/>
      </c>
      <c r="CD101" s="813" t="str">
        <f>IFERROR(VLOOKUP(BZ101,'Pump Emission Factors'!$B$11:$J$88,5,FALSE),"")</f>
        <v/>
      </c>
      <c r="CE101" s="813" t="str">
        <f>IFERROR(VLOOKUP(BZ101,'Pump Emission Factors'!$B$11:$J$88,7,FALSE),"")</f>
        <v/>
      </c>
      <c r="CF101" s="813" t="str">
        <f>IFERROR(VLOOKUP(BZ101,'Pump Emission Factors'!$B$11:$J$88,9,FALSE),"")</f>
        <v/>
      </c>
      <c r="CG101" s="814" t="str">
        <f t="shared" si="158"/>
        <v/>
      </c>
      <c r="CH101" s="814" t="str">
        <f t="shared" si="159"/>
        <v/>
      </c>
      <c r="CI101" s="813">
        <f>IFERROR(IF($X101="ELEC",((($AU101*(IF($H101="DESL",'Fuel-Specific GHG'!$C$14,IF($H101="GAS",'Fuel-Specific GHG'!$C$16,IF($H101="CNG",'Fuel-Specific GHG'!$C$13,IF(OR($H101="LPG",$H101="PROP"),'Fuel-Specific GHG'!$C$19,"")))))*(1/'Fuel-Specific GHG'!$C$15)*(1/3.4)*$F101)*'Grid Electricity'!$D$39)/454),((CA101+(CD101*CH101))*(IF(ISBLANK(AH101),Defaults!$B$19,AH101))*$AF101*$AJ101*$F101)),0)</f>
        <v>0</v>
      </c>
      <c r="CJ101" s="813">
        <f>IFERROR(IF($X101="ELEC",((($AU101*(IF($H101="DESL",'Fuel-Specific GHG'!$C$14,IF($H101="GAS",'Fuel-Specific GHG'!$C$16,IF($H101="CNG",'Fuel-Specific GHG'!$C$13,IF(OR($H101="LPG",$H101="PROP"),'Fuel-Specific GHG'!$C$19,"")))))*(1/'Fuel-Specific GHG'!$C$15)*(1/3.4)*$F101)*'Grid Electricity'!$C$39)/454),((CB101+(CE101*CH101))*(IF(ISBLANK(AH101),Defaults!$B$19,AH101))*$AF101*$AJ101*$F101)),0)</f>
        <v>0</v>
      </c>
      <c r="CK101" s="813">
        <f>IFERROR(IF($X101="ELEC",((($AU101*(IF($H101="DESL",'Fuel-Specific GHG'!$C$14,IF($H101="GAS",'Fuel-Specific GHG'!$C$16,IF($H101="CNG",'Fuel-Specific GHG'!$C$13,IF(OR($H101="LPG",$H101="PROP"),'Fuel-Specific GHG'!$C$19,"")))))*(1/'Fuel-Specific GHG'!$C$15)*(1/3.4)*$F101)*'Grid Electricity'!$F$39)/454),((CC101+(CF101*CH101))*(IF(ISBLANK(AH101),Defaults!$B$19,AH101))*$AF101*$AJ101*$F101)),0)</f>
        <v>0</v>
      </c>
      <c r="CL101" s="813">
        <f t="shared" si="160"/>
        <v>0</v>
      </c>
      <c r="CM101" s="813">
        <f t="shared" si="161"/>
        <v>0</v>
      </c>
      <c r="CN101" s="814" t="str">
        <f t="shared" si="162"/>
        <v/>
      </c>
      <c r="CO101" s="814" t="str">
        <f t="shared" si="163"/>
        <v/>
      </c>
      <c r="CP101" s="814" t="str">
        <f t="shared" si="164"/>
        <v/>
      </c>
      <c r="CQ101" s="814" t="str">
        <f t="shared" si="165"/>
        <v/>
      </c>
      <c r="CR101" s="815" t="str">
        <f>IF(AND(V101="Yes, Booster Pump VFD",AF101&lt;=75),('Pump Emission Factors'!$F$95*F101),(IF(AND(V101="Yes, Booster Pump VFD",AF101&gt;75),('Pump Emission Factors'!$F$96*F101),(IF(AND(V101="Yes, Well Pump VFD",AF101&lt;=75),('Pump Emission Factors'!$F$97*F101),(IF(AND(V101="Yes, Well Pump VFD",AF101&gt;75),('Pump Emission Factors'!$F$98*F101),"")))))))</f>
        <v/>
      </c>
      <c r="CS101" s="815" t="str">
        <f>IF(AND(V101="Yes, Booster Pump VFD",AF101&lt;=75),('Pump Emission Factors'!$G$95*F101),(IF(AND(V101="Yes, Booster Pump VFD",AF101&gt;75),('Pump Emission Factors'!$G$96*F101),(IF(AND(V101="Yes, Well Pump VFD",AF101&lt;=75),('Pump Emission Factors'!$G$97*F101),(IF(AND(V101="Yes, Well Pump VFD",AF101&gt;75),('Pump Emission Factors'!$G$98*F101),"")))))))</f>
        <v/>
      </c>
      <c r="CT101" s="815" t="str">
        <f>IF(AND(V101="Yes, Booster Pump VFD",AF101&lt;=75),('Pump Emission Factors'!$H$95*F101),(IF(AND(V101="Yes, Booster Pump VFD",AF101&gt;75),('Pump Emission Factors'!$H$96*F101),(IF(AND(V101="Yes, Well Pump VFD",AF101&lt;=75),('Pump Emission Factors'!$H$97*F101),(IF(AND(V101="Yes, Well Pump VFD",AF101&gt;75),('Pump Emission Factors'!$H$98*F101),"")))))))</f>
        <v/>
      </c>
      <c r="CU101" s="815" t="str">
        <f>IF(AND(V101="Yes, Booster Pump VFD",AF101&lt;=75),('Pump Emission Factors'!$J$95*F101),(IF(AND(V101="Yes, Booster Pump VFD",AF101&gt;75),('Pump Emission Factors'!$J$96*F101),(IF(AND(V101="Yes, Well Pump VFD",AF101&lt;=75),('Pump Emission Factors'!$J$97*F101),(IF(AND(V101="Yes, Well Pump VFD",AF101&gt;75),('Pump Emission Factors'!$J$98*F101),"")))))))</f>
        <v/>
      </c>
      <c r="CV101" s="815" t="str">
        <f>IF(AND(V101="Yes, Booster Pump VFD",AF101&lt;=75),('Pump Emission Factors'!$I$95*F101),(IF(AND(V101="Yes, Booster Pump VFD",AF101&gt;75),('Pump Emission Factors'!$I$96*F101),(IF(AND(V101="Yes, Well Pump VFD",AF101&lt;=75),('Pump Emission Factors'!$I$97*F101),(IF(AND(V101="Yes, Well Pump VFD",AF101&gt;75),('Pump Emission Factors'!$I$98*F101),"")))))))</f>
        <v/>
      </c>
      <c r="CW101" s="806">
        <f t="shared" si="166"/>
        <v>0</v>
      </c>
      <c r="CX101" s="806">
        <f t="shared" si="167"/>
        <v>0</v>
      </c>
      <c r="CY101" s="806">
        <f t="shared" si="168"/>
        <v>0</v>
      </c>
      <c r="CZ101" s="806">
        <f t="shared" si="169"/>
        <v>0</v>
      </c>
      <c r="DA101" s="806">
        <f t="shared" si="170"/>
        <v>0</v>
      </c>
      <c r="DB101" s="816" t="str">
        <f t="shared" si="187"/>
        <v/>
      </c>
      <c r="DC101" s="816" t="str">
        <f t="shared" si="187"/>
        <v/>
      </c>
      <c r="DD101" s="816" t="str">
        <f t="shared" si="187"/>
        <v/>
      </c>
      <c r="DE101" s="817" t="str">
        <f t="shared" si="171"/>
        <v/>
      </c>
      <c r="DF101" s="817" t="str">
        <f t="shared" si="172"/>
        <v/>
      </c>
      <c r="DG101" s="804" t="str">
        <f t="shared" si="173"/>
        <v/>
      </c>
      <c r="DH101" s="804" t="str">
        <f t="shared" si="174"/>
        <v/>
      </c>
      <c r="DI101" s="818" t="str">
        <f>IF(AO101="","",IF(H101="DESL",AO101*F101*'Fuel Prices'!$C$12,IF(H101="GAS",AO101*F101*'Fuel Prices'!$C$11,IF(H101="CNG",AO101*F101*'Fuel Prices'!$C$13,IF(H101="LNG",AO101*F101*'Fuel Prices'!$C$14,IF(H101="LPG",AO101*F101*'Fuel Prices'!$C$16,IF(H101="PROP",AO101*F101*'Fuel Prices'!$C$16,"0")))))))</f>
        <v/>
      </c>
      <c r="DJ101" s="818" t="str">
        <f>IF(AU101="","",IF(X101="DESL",AU101*F101*'Fuel Prices'!$C$12,IF(X101="GAS",AU101*F101*'Fuel Prices'!$C$11,IF(X101="CNG",AU101*F101*'Fuel Prices'!$C$13,IF(X101="LNG",AU101*F101*'Fuel Prices'!$C$14,IF(X101="LPG",AU101*F101*'Fuel Prices'!$C$16,IF(X101="PROP",AU101*F101*'Fuel Prices'!$C$16,IF(X101="ELEC",AU101*F101*'Fuel Prices'!$C$35,"0"))))))))</f>
        <v/>
      </c>
      <c r="DK101" s="818" t="str">
        <f t="shared" si="175"/>
        <v/>
      </c>
      <c r="DL101" s="818" t="str">
        <f t="shared" si="188"/>
        <v/>
      </c>
      <c r="DM101" s="804" t="str">
        <f t="shared" si="176"/>
        <v/>
      </c>
      <c r="DN101" s="804" t="str">
        <f t="shared" si="177"/>
        <v/>
      </c>
      <c r="DO101" s="804" t="str">
        <f>IFERROR(ROUND(CZ101*IF(COUNTIF($B$20:B101,B101)=1,1,"")/IF(B101="",0,1),0),"")</f>
        <v/>
      </c>
      <c r="DP101" s="804" t="str">
        <f>IFERROR(ROUND(CW101*IF(COUNTIF($B$20:B101,B101)=1,1,"")/IF(B101="",0,1),0),"")</f>
        <v/>
      </c>
      <c r="DQ101" s="804" t="str">
        <f>IFERROR(ROUND(DA101*IF(COUNTIF($B$20:B101,B101)=1,1,"")/IF(B101="",0,1),0),"")</f>
        <v/>
      </c>
      <c r="DR101" s="804" t="str">
        <f>IFERROR(ROUND(CX101*IF(COUNTIF($B$20:B101,B101)=1,1,"")/IF(B101="",0,1),0),"")</f>
        <v/>
      </c>
      <c r="DS101" s="804">
        <f t="shared" si="178"/>
        <v>0</v>
      </c>
      <c r="DT101" s="804">
        <f t="shared" si="179"/>
        <v>0</v>
      </c>
      <c r="DU101" s="804">
        <f t="shared" si="180"/>
        <v>0</v>
      </c>
      <c r="DV101" s="818" t="str">
        <f t="shared" si="189"/>
        <v/>
      </c>
      <c r="DW101" s="819" t="str">
        <f t="shared" si="190"/>
        <v/>
      </c>
    </row>
    <row r="102" spans="1:131" ht="18" customHeight="1" x14ac:dyDescent="0.35">
      <c r="A102" s="635"/>
      <c r="B102" s="820"/>
      <c r="C102" s="825" t="str">
        <f t="shared" si="124"/>
        <v>(Required)</v>
      </c>
      <c r="D102" s="821"/>
      <c r="E102" s="825" t="str">
        <f t="shared" si="124"/>
        <v>(Required)</v>
      </c>
      <c r="F102" s="821"/>
      <c r="G102" s="825" t="str">
        <f t="shared" si="125"/>
        <v>(Required)</v>
      </c>
      <c r="H102" s="822"/>
      <c r="I102" s="825" t="str">
        <f t="shared" si="126"/>
        <v>(Required)</v>
      </c>
      <c r="J102" s="821"/>
      <c r="K102" s="825" t="str">
        <f t="shared" si="127"/>
        <v>(Required)</v>
      </c>
      <c r="L102" s="821"/>
      <c r="M102" s="825" t="str">
        <f t="shared" si="128"/>
        <v>(Required)</v>
      </c>
      <c r="N102" s="821"/>
      <c r="O102" s="825" t="str">
        <f t="shared" si="129"/>
        <v>(Required)</v>
      </c>
      <c r="P102" s="821"/>
      <c r="Q102" s="825" t="str">
        <f t="shared" si="130"/>
        <v>(Required)</v>
      </c>
      <c r="R102" s="823"/>
      <c r="S102" s="826" t="str">
        <f t="shared" si="131"/>
        <v>(Optional)</v>
      </c>
      <c r="T102" s="821"/>
      <c r="U102" s="827" t="str">
        <f t="shared" si="132"/>
        <v>(Required)</v>
      </c>
      <c r="V102" s="828"/>
      <c r="W102" s="799" t="str">
        <f t="shared" si="133"/>
        <v>(Optional)</v>
      </c>
      <c r="X102" s="822"/>
      <c r="Y102" s="825" t="str">
        <f t="shared" si="134"/>
        <v>(Required)</v>
      </c>
      <c r="Z102" s="821"/>
      <c r="AA102" s="825" t="str">
        <f t="shared" si="135"/>
        <v>(Required)</v>
      </c>
      <c r="AB102" s="821"/>
      <c r="AC102" s="825" t="str">
        <f t="shared" si="136"/>
        <v>(Required)</v>
      </c>
      <c r="AD102" s="821"/>
      <c r="AE102" s="825" t="str">
        <f t="shared" si="137"/>
        <v>(Required)</v>
      </c>
      <c r="AF102" s="821"/>
      <c r="AG102" s="825" t="str">
        <f t="shared" si="138"/>
        <v>(Required)</v>
      </c>
      <c r="AH102" s="823"/>
      <c r="AI102" s="826" t="str">
        <f t="shared" si="139"/>
        <v>(Optional)</v>
      </c>
      <c r="AJ102" s="821"/>
      <c r="AK102" s="825" t="str">
        <f t="shared" si="140"/>
        <v>(Required)</v>
      </c>
      <c r="AL102" s="803" t="str">
        <f t="shared" si="141"/>
        <v/>
      </c>
      <c r="AM102" s="803" t="str">
        <f>IF(H102="DESL",'Fuel Density'!$C$12,IF(H102="GAS",'Fuel Density'!$C$11,IF(H102="CNG",'Fuel Density'!$C$13,IF(H102="LNG",'Fuel Density'!$C$14,IF(H102="LPG",'Fuel Density'!$C$15,IF(H102="PROP",'Fuel Density'!$C$16,IF(H102="","","")))))))</f>
        <v/>
      </c>
      <c r="AN102" s="803" t="str">
        <f>IF(H102="DESL",'Fuel-Specific GHG'!$C$14,IF(H102="GAS",'Fuel-Specific GHG'!$C$16,IF(H102="CNG",'Fuel-Specific GHG'!$C$13,IF(H102="LNG",'Fuel-Specific GHG'!$C$18,IF(OR(H102="LPG",H102="PROP"),'Fuel-Specific GHG'!$C$19,IF(H102="","",""))))))</f>
        <v/>
      </c>
      <c r="AO102" s="804" t="str">
        <f>IFERROR(((P102*(IF(ISBLANK(R102),Defaults!$B$19,R102))*T102*AL102)/AM102),"")</f>
        <v/>
      </c>
      <c r="AP102" s="805" t="str">
        <f t="shared" si="142"/>
        <v/>
      </c>
      <c r="AQ102" s="805" t="str">
        <f>IF(H102="DESL",'Fuel-Specific GHG'!$E$14,IF(H102="GAS",'Fuel-Specific GHG'!$E$16,IF(H102="CNG",'Fuel-Specific GHG'!$E$13,IF(H102="LNG",'Fuel-Specific GHG'!$E$18,IF(OR(H102="LPG",H102="PROP"),'Fuel-Specific GHG'!$E$19,"")))))</f>
        <v/>
      </c>
      <c r="AR102" s="805" t="str">
        <f t="shared" si="143"/>
        <v/>
      </c>
      <c r="AS102" s="803" t="str">
        <f t="shared" si="181"/>
        <v/>
      </c>
      <c r="AT102" s="803" t="str">
        <f>IF(X102="DESL",'Fuel Density'!$C$12,IF(X102="PROP",'Fuel Density'!$C$16,IF(X102="GAS",'Fuel Density'!$C$11,IF(X102="CNG",'Fuel Density'!$C$13,IF(X102="LNG",'Fuel Density'!$C$14,IF(X102="LPG",'Fuel Density'!$C$15,IF(X102="","","")))))))</f>
        <v/>
      </c>
      <c r="AU102" s="804" t="str">
        <f>IFERROR(IF(X102="ELEC",AO102*AN102*(1/'Fuel-Specific GHG'!$C$15)*(1/IF(H102="GAS",3.4,IF(H102="DESL",2.7,3))),((AF102*(IF(ISBLANK(AH102),Defaults!$B$19,AH102))*AJ102*AS102)/AT102)),"")</f>
        <v/>
      </c>
      <c r="AV102" s="805" t="str">
        <f t="shared" si="144"/>
        <v/>
      </c>
      <c r="AW102" s="805" t="str">
        <f>IF(X102="DESL",'Fuel-Specific GHG'!$E$14,IF(X102="PROP",'Fuel-Specific GHG'!$E$19,IF(X102="GAS",'Fuel-Specific GHG'!$E$16,IF(X102="CNG",'Fuel-Specific GHG'!$E$13,IF(X102="LNG",'Fuel-Specific GHG'!$E$18,IF(X102="LPG",'Fuel-Specific GHG'!$E$19,IF(X102="ELEC",'Fuel-Specific GHG'!$E$15,"")))))))</f>
        <v/>
      </c>
      <c r="AX102" s="805" t="str">
        <f t="shared" si="145"/>
        <v/>
      </c>
      <c r="AY102" s="806" t="str">
        <f t="shared" si="146"/>
        <v/>
      </c>
      <c r="AZ102" s="806" t="str">
        <f t="shared" si="191"/>
        <v/>
      </c>
      <c r="BA102" s="806" t="str">
        <f t="shared" si="182"/>
        <v/>
      </c>
      <c r="BB102" s="804" t="str">
        <f t="shared" si="147"/>
        <v/>
      </c>
      <c r="BC102" s="807" t="str">
        <f t="shared" si="148"/>
        <v/>
      </c>
      <c r="BD102" s="807"/>
      <c r="BE102" s="808" t="str">
        <f t="shared" si="149"/>
        <v/>
      </c>
      <c r="BF102" s="809" t="str">
        <f t="shared" si="150"/>
        <v/>
      </c>
      <c r="BG102" s="808" t="str">
        <f t="shared" si="183"/>
        <v/>
      </c>
      <c r="BH102" s="810">
        <f t="shared" si="184"/>
        <v>0</v>
      </c>
      <c r="BI102" s="803" t="str">
        <f>IFERROR(VLOOKUP(BH102,'Pump Emission Factors'!$B$11:$J$88,4,FALSE),"")</f>
        <v/>
      </c>
      <c r="BJ102" s="803" t="str">
        <f>IFERROR(VLOOKUP(BH102,'Pump Emission Factors'!$B$11:$J$88,6,FALSE),"")</f>
        <v/>
      </c>
      <c r="BK102" s="803" t="str">
        <f>IFERROR(VLOOKUP(BH102,'Pump Emission Factors'!$B$11:$J$88,8,FALSE),"")</f>
        <v/>
      </c>
      <c r="BL102" s="803" t="str">
        <f>IFERROR(VLOOKUP(BH102,'Pump Emission Factors'!$B$11:$J$88,5,FALSE),"")</f>
        <v/>
      </c>
      <c r="BM102" s="803" t="str">
        <f>IFERROR(VLOOKUP(BH102,'Pump Emission Factors'!$B$11:$J$88,7,FALSE),"")</f>
        <v/>
      </c>
      <c r="BN102" s="803" t="str">
        <f>IFERROR(VLOOKUP(BH102,'Pump Emission Factors'!$B$11:$J$88,9,FALSE),"")</f>
        <v/>
      </c>
      <c r="BO102" s="811" t="str">
        <f t="shared" si="151"/>
        <v/>
      </c>
      <c r="BP102" s="811" t="str">
        <f t="shared" si="152"/>
        <v/>
      </c>
      <c r="BQ102" s="803">
        <f>IFERROR(((BI102+(BL102*BP102))*(IF(ISBLANK(R102),Defaults!$B$19,R102))*P102*T102)*F102*(1/454),0)</f>
        <v>0</v>
      </c>
      <c r="BR102" s="803">
        <f>IFERROR(((BJ102+(BM102*BP102))*(IF(ISBLANK(R102),Defaults!$B$19,R102))*P102*T102)*F102*(1/454),0)</f>
        <v>0</v>
      </c>
      <c r="BS102" s="803">
        <f>IFERROR(((BK102+(BN102*BP102))*(IF(ISBLANK(R102),Defaults!$B$19,R102))*P102*T102)*F102*(1/454),0)</f>
        <v>0</v>
      </c>
      <c r="BT102" s="803">
        <f t="shared" si="153"/>
        <v>0</v>
      </c>
      <c r="BU102" s="803">
        <f t="shared" si="154"/>
        <v>0</v>
      </c>
      <c r="BV102" s="812" t="str">
        <f t="shared" si="155"/>
        <v/>
      </c>
      <c r="BW102" s="808" t="str">
        <f t="shared" si="156"/>
        <v/>
      </c>
      <c r="BX102" s="809" t="str">
        <f t="shared" si="157"/>
        <v/>
      </c>
      <c r="BY102" s="808" t="str">
        <f t="shared" si="185"/>
        <v/>
      </c>
      <c r="BZ102" s="810">
        <f t="shared" si="186"/>
        <v>0</v>
      </c>
      <c r="CA102" s="813" t="str">
        <f>IFERROR(VLOOKUP(BZ102,'Pump Emission Factors'!$B$11:$J$88,4,FALSE),"")</f>
        <v/>
      </c>
      <c r="CB102" s="813" t="str">
        <f>IFERROR(VLOOKUP(BZ102,'Pump Emission Factors'!$B$11:$J$88,6,FALSE),"")</f>
        <v/>
      </c>
      <c r="CC102" s="813" t="str">
        <f>IFERROR(VLOOKUP(BZ102,'Pump Emission Factors'!$B$11:$J$88,8,FALSE),"")</f>
        <v/>
      </c>
      <c r="CD102" s="813" t="str">
        <f>IFERROR(VLOOKUP(BZ102,'Pump Emission Factors'!$B$11:$J$88,5,FALSE),"")</f>
        <v/>
      </c>
      <c r="CE102" s="813" t="str">
        <f>IFERROR(VLOOKUP(BZ102,'Pump Emission Factors'!$B$11:$J$88,7,FALSE),"")</f>
        <v/>
      </c>
      <c r="CF102" s="813" t="str">
        <f>IFERROR(VLOOKUP(BZ102,'Pump Emission Factors'!$B$11:$J$88,9,FALSE),"")</f>
        <v/>
      </c>
      <c r="CG102" s="814" t="str">
        <f t="shared" si="158"/>
        <v/>
      </c>
      <c r="CH102" s="814" t="str">
        <f t="shared" si="159"/>
        <v/>
      </c>
      <c r="CI102" s="813">
        <f>IFERROR(IF($X102="ELEC",((($AU102*(IF($H102="DESL",'Fuel-Specific GHG'!$C$14,IF($H102="GAS",'Fuel-Specific GHG'!$C$16,IF($H102="CNG",'Fuel-Specific GHG'!$C$13,IF(OR($H102="LPG",$H102="PROP"),'Fuel-Specific GHG'!$C$19,"")))))*(1/'Fuel-Specific GHG'!$C$15)*(1/3.4)*$F102)*'Grid Electricity'!$D$39)/454),((CA102+(CD102*CH102))*(IF(ISBLANK(AH102),Defaults!$B$19,AH102))*$AF102*$AJ102*$F102)),0)</f>
        <v>0</v>
      </c>
      <c r="CJ102" s="813">
        <f>IFERROR(IF($X102="ELEC",((($AU102*(IF($H102="DESL",'Fuel-Specific GHG'!$C$14,IF($H102="GAS",'Fuel-Specific GHG'!$C$16,IF($H102="CNG",'Fuel-Specific GHG'!$C$13,IF(OR($H102="LPG",$H102="PROP"),'Fuel-Specific GHG'!$C$19,"")))))*(1/'Fuel-Specific GHG'!$C$15)*(1/3.4)*$F102)*'Grid Electricity'!$C$39)/454),((CB102+(CE102*CH102))*(IF(ISBLANK(AH102),Defaults!$B$19,AH102))*$AF102*$AJ102*$F102)),0)</f>
        <v>0</v>
      </c>
      <c r="CK102" s="813">
        <f>IFERROR(IF($X102="ELEC",((($AU102*(IF($H102="DESL",'Fuel-Specific GHG'!$C$14,IF($H102="GAS",'Fuel-Specific GHG'!$C$16,IF($H102="CNG",'Fuel-Specific GHG'!$C$13,IF(OR($H102="LPG",$H102="PROP"),'Fuel-Specific GHG'!$C$19,"")))))*(1/'Fuel-Specific GHG'!$C$15)*(1/3.4)*$F102)*'Grid Electricity'!$F$39)/454),((CC102+(CF102*CH102))*(IF(ISBLANK(AH102),Defaults!$B$19,AH102))*$AF102*$AJ102*$F102)),0)</f>
        <v>0</v>
      </c>
      <c r="CL102" s="813">
        <f t="shared" si="160"/>
        <v>0</v>
      </c>
      <c r="CM102" s="813">
        <f t="shared" si="161"/>
        <v>0</v>
      </c>
      <c r="CN102" s="814" t="str">
        <f t="shared" si="162"/>
        <v/>
      </c>
      <c r="CO102" s="814" t="str">
        <f t="shared" si="163"/>
        <v/>
      </c>
      <c r="CP102" s="814" t="str">
        <f t="shared" si="164"/>
        <v/>
      </c>
      <c r="CQ102" s="814" t="str">
        <f t="shared" si="165"/>
        <v/>
      </c>
      <c r="CR102" s="815" t="str">
        <f>IF(AND(V102="Yes, Booster Pump VFD",AF102&lt;=75),('Pump Emission Factors'!$F$95*F102),(IF(AND(V102="Yes, Booster Pump VFD",AF102&gt;75),('Pump Emission Factors'!$F$96*F102),(IF(AND(V102="Yes, Well Pump VFD",AF102&lt;=75),('Pump Emission Factors'!$F$97*F102),(IF(AND(V102="Yes, Well Pump VFD",AF102&gt;75),('Pump Emission Factors'!$F$98*F102),"")))))))</f>
        <v/>
      </c>
      <c r="CS102" s="815" t="str">
        <f>IF(AND(V102="Yes, Booster Pump VFD",AF102&lt;=75),('Pump Emission Factors'!$G$95*F102),(IF(AND(V102="Yes, Booster Pump VFD",AF102&gt;75),('Pump Emission Factors'!$G$96*F102),(IF(AND(V102="Yes, Well Pump VFD",AF102&lt;=75),('Pump Emission Factors'!$G$97*F102),(IF(AND(V102="Yes, Well Pump VFD",AF102&gt;75),('Pump Emission Factors'!$G$98*F102),"")))))))</f>
        <v/>
      </c>
      <c r="CT102" s="815" t="str">
        <f>IF(AND(V102="Yes, Booster Pump VFD",AF102&lt;=75),('Pump Emission Factors'!$H$95*F102),(IF(AND(V102="Yes, Booster Pump VFD",AF102&gt;75),('Pump Emission Factors'!$H$96*F102),(IF(AND(V102="Yes, Well Pump VFD",AF102&lt;=75),('Pump Emission Factors'!$H$97*F102),(IF(AND(V102="Yes, Well Pump VFD",AF102&gt;75),('Pump Emission Factors'!$H$98*F102),"")))))))</f>
        <v/>
      </c>
      <c r="CU102" s="815" t="str">
        <f>IF(AND(V102="Yes, Booster Pump VFD",AF102&lt;=75),('Pump Emission Factors'!$J$95*F102),(IF(AND(V102="Yes, Booster Pump VFD",AF102&gt;75),('Pump Emission Factors'!$J$96*F102),(IF(AND(V102="Yes, Well Pump VFD",AF102&lt;=75),('Pump Emission Factors'!$J$97*F102),(IF(AND(V102="Yes, Well Pump VFD",AF102&gt;75),('Pump Emission Factors'!$J$98*F102),"")))))))</f>
        <v/>
      </c>
      <c r="CV102" s="815" t="str">
        <f>IF(AND(V102="Yes, Booster Pump VFD",AF102&lt;=75),('Pump Emission Factors'!$I$95*F102),(IF(AND(V102="Yes, Booster Pump VFD",AF102&gt;75),('Pump Emission Factors'!$I$96*F102),(IF(AND(V102="Yes, Well Pump VFD",AF102&lt;=75),('Pump Emission Factors'!$I$97*F102),(IF(AND(V102="Yes, Well Pump VFD",AF102&gt;75),('Pump Emission Factors'!$I$98*F102),"")))))))</f>
        <v/>
      </c>
      <c r="CW102" s="806">
        <f t="shared" si="166"/>
        <v>0</v>
      </c>
      <c r="CX102" s="806">
        <f t="shared" si="167"/>
        <v>0</v>
      </c>
      <c r="CY102" s="806">
        <f t="shared" si="168"/>
        <v>0</v>
      </c>
      <c r="CZ102" s="806">
        <f t="shared" si="169"/>
        <v>0</v>
      </c>
      <c r="DA102" s="806">
        <f t="shared" si="170"/>
        <v>0</v>
      </c>
      <c r="DB102" s="816" t="str">
        <f t="shared" si="187"/>
        <v/>
      </c>
      <c r="DC102" s="816" t="str">
        <f t="shared" si="187"/>
        <v/>
      </c>
      <c r="DD102" s="816" t="str">
        <f t="shared" si="187"/>
        <v/>
      </c>
      <c r="DE102" s="817" t="str">
        <f t="shared" si="171"/>
        <v/>
      </c>
      <c r="DF102" s="817" t="str">
        <f t="shared" si="172"/>
        <v/>
      </c>
      <c r="DG102" s="804" t="str">
        <f t="shared" si="173"/>
        <v/>
      </c>
      <c r="DH102" s="804" t="str">
        <f t="shared" si="174"/>
        <v/>
      </c>
      <c r="DI102" s="818" t="str">
        <f>IF(AO102="","",IF(H102="DESL",AO102*F102*'Fuel Prices'!$C$12,IF(H102="GAS",AO102*F102*'Fuel Prices'!$C$11,IF(H102="CNG",AO102*F102*'Fuel Prices'!$C$13,IF(H102="LNG",AO102*F102*'Fuel Prices'!$C$14,IF(H102="LPG",AO102*F102*'Fuel Prices'!$C$16,IF(H102="PROP",AO102*F102*'Fuel Prices'!$C$16,"0")))))))</f>
        <v/>
      </c>
      <c r="DJ102" s="818" t="str">
        <f>IF(AU102="","",IF(X102="DESL",AU102*F102*'Fuel Prices'!$C$12,IF(X102="GAS",AU102*F102*'Fuel Prices'!$C$11,IF(X102="CNG",AU102*F102*'Fuel Prices'!$C$13,IF(X102="LNG",AU102*F102*'Fuel Prices'!$C$14,IF(X102="LPG",AU102*F102*'Fuel Prices'!$C$16,IF(X102="PROP",AU102*F102*'Fuel Prices'!$C$16,IF(X102="ELEC",AU102*F102*'Fuel Prices'!$C$35,"0"))))))))</f>
        <v/>
      </c>
      <c r="DK102" s="818" t="str">
        <f t="shared" si="175"/>
        <v/>
      </c>
      <c r="DL102" s="818" t="str">
        <f t="shared" si="188"/>
        <v/>
      </c>
      <c r="DM102" s="804" t="str">
        <f t="shared" si="176"/>
        <v/>
      </c>
      <c r="DN102" s="804" t="str">
        <f t="shared" si="177"/>
        <v/>
      </c>
      <c r="DO102" s="804" t="str">
        <f>IFERROR(ROUND(CZ102*IF(COUNTIF($B$20:B102,B102)=1,1,"")/IF(B102="",0,1),0),"")</f>
        <v/>
      </c>
      <c r="DP102" s="804" t="str">
        <f>IFERROR(ROUND(CW102*IF(COUNTIF($B$20:B102,B102)=1,1,"")/IF(B102="",0,1),0),"")</f>
        <v/>
      </c>
      <c r="DQ102" s="804" t="str">
        <f>IFERROR(ROUND(DA102*IF(COUNTIF($B$20:B102,B102)=1,1,"")/IF(B102="",0,1),0),"")</f>
        <v/>
      </c>
      <c r="DR102" s="804" t="str">
        <f>IFERROR(ROUND(CX102*IF(COUNTIF($B$20:B102,B102)=1,1,"")/IF(B102="",0,1),0),"")</f>
        <v/>
      </c>
      <c r="DS102" s="804">
        <f t="shared" si="178"/>
        <v>0</v>
      </c>
      <c r="DT102" s="804">
        <f t="shared" si="179"/>
        <v>0</v>
      </c>
      <c r="DU102" s="804">
        <f t="shared" si="180"/>
        <v>0</v>
      </c>
      <c r="DV102" s="818" t="str">
        <f t="shared" si="189"/>
        <v/>
      </c>
      <c r="DW102" s="819" t="str">
        <f t="shared" si="190"/>
        <v/>
      </c>
    </row>
    <row r="103" spans="1:131" ht="18" customHeight="1" x14ac:dyDescent="0.35">
      <c r="A103" s="696"/>
      <c r="B103" s="829"/>
      <c r="C103" s="830" t="str">
        <f t="shared" si="124"/>
        <v>(Required)</v>
      </c>
      <c r="D103" s="831"/>
      <c r="E103" s="830" t="str">
        <f t="shared" si="124"/>
        <v>(Required)</v>
      </c>
      <c r="F103" s="831"/>
      <c r="G103" s="830" t="str">
        <f t="shared" si="125"/>
        <v>(Required)</v>
      </c>
      <c r="H103" s="832"/>
      <c r="I103" s="830" t="str">
        <f t="shared" si="126"/>
        <v>(Required)</v>
      </c>
      <c r="J103" s="831"/>
      <c r="K103" s="830" t="str">
        <f t="shared" si="127"/>
        <v>(Required)</v>
      </c>
      <c r="L103" s="831"/>
      <c r="M103" s="830" t="str">
        <f t="shared" si="128"/>
        <v>(Required)</v>
      </c>
      <c r="N103" s="831"/>
      <c r="O103" s="830" t="str">
        <f t="shared" si="129"/>
        <v>(Required)</v>
      </c>
      <c r="P103" s="831"/>
      <c r="Q103" s="830" t="str">
        <f t="shared" si="130"/>
        <v>(Required)</v>
      </c>
      <c r="R103" s="833"/>
      <c r="S103" s="834" t="str">
        <f t="shared" si="131"/>
        <v>(Optional)</v>
      </c>
      <c r="T103" s="831"/>
      <c r="U103" s="835" t="str">
        <f t="shared" si="132"/>
        <v>(Required)</v>
      </c>
      <c r="V103" s="836"/>
      <c r="W103" s="799" t="str">
        <f t="shared" si="133"/>
        <v>(Optional)</v>
      </c>
      <c r="X103" s="832"/>
      <c r="Y103" s="830" t="str">
        <f t="shared" si="134"/>
        <v>(Required)</v>
      </c>
      <c r="Z103" s="831"/>
      <c r="AA103" s="830" t="str">
        <f t="shared" si="135"/>
        <v>(Required)</v>
      </c>
      <c r="AB103" s="831"/>
      <c r="AC103" s="830" t="str">
        <f t="shared" si="136"/>
        <v>(Required)</v>
      </c>
      <c r="AD103" s="831"/>
      <c r="AE103" s="830" t="str">
        <f t="shared" si="137"/>
        <v>(Required)</v>
      </c>
      <c r="AF103" s="831"/>
      <c r="AG103" s="830" t="str">
        <f t="shared" si="138"/>
        <v>(Required)</v>
      </c>
      <c r="AH103" s="833"/>
      <c r="AI103" s="834" t="str">
        <f t="shared" si="139"/>
        <v>(Optional)</v>
      </c>
      <c r="AJ103" s="831"/>
      <c r="AK103" s="830" t="str">
        <f t="shared" si="140"/>
        <v>(Required)</v>
      </c>
      <c r="AL103" s="803" t="str">
        <f t="shared" si="141"/>
        <v/>
      </c>
      <c r="AM103" s="803" t="str">
        <f>IF(H103="DESL",'Fuel Density'!$C$12,IF(H103="GAS",'Fuel Density'!$C$11,IF(H103="CNG",'Fuel Density'!$C$13,IF(H103="LNG",'Fuel Density'!$C$14,IF(H103="LPG",'Fuel Density'!$C$15,IF(H103="PROP",'Fuel Density'!$C$16,IF(H103="","","")))))))</f>
        <v/>
      </c>
      <c r="AN103" s="803" t="str">
        <f>IF(H103="DESL",'Fuel-Specific GHG'!$C$14,IF(H103="GAS",'Fuel-Specific GHG'!$C$16,IF(H103="CNG",'Fuel-Specific GHG'!$C$13,IF(H103="LNG",'Fuel-Specific GHG'!$C$18,IF(OR(H103="LPG",H103="PROP"),'Fuel-Specific GHG'!$C$19,IF(H103="","",""))))))</f>
        <v/>
      </c>
      <c r="AO103" s="837" t="str">
        <f>IFERROR(((P103*(IF(ISBLANK(R103),Defaults!$B$19,R103))*T103*AL103)/AM103),"")</f>
        <v/>
      </c>
      <c r="AP103" s="838" t="str">
        <f t="shared" si="142"/>
        <v/>
      </c>
      <c r="AQ103" s="805" t="str">
        <f>IF(H103="DESL",'Fuel-Specific GHG'!$E$14,IF(H103="GAS",'Fuel-Specific GHG'!$E$16,IF(H103="CNG",'Fuel-Specific GHG'!$E$13,IF(H103="LNG",'Fuel-Specific GHG'!$E$18,IF(OR(H103="LPG",H103="PROP"),'Fuel-Specific GHG'!$E$19,"")))))</f>
        <v/>
      </c>
      <c r="AR103" s="838" t="str">
        <f t="shared" si="143"/>
        <v/>
      </c>
      <c r="AS103" s="803" t="str">
        <f t="shared" si="181"/>
        <v/>
      </c>
      <c r="AT103" s="839" t="str">
        <f>IF(X103="DESL",'Fuel Density'!$C$12,IF(X103="PROP",'Fuel Density'!$C$16,IF(X103="GAS",'Fuel Density'!$C$11,IF(X103="CNG",'Fuel Density'!$C$13,IF(X103="LNG",'Fuel Density'!$C$14,IF(X103="LPG",'Fuel Density'!$C$15,IF(X103="","","")))))))</f>
        <v/>
      </c>
      <c r="AU103" s="804" t="str">
        <f>IFERROR(IF(X103="ELEC",AO103*AN103*(1/'Fuel-Specific GHG'!$C$15)*(1/IF(H103="GAS",3.4,IF(H103="DESL",2.7,3))),((AF103*(IF(ISBLANK(AH103),Defaults!$B$19,AH103))*AJ103*AS103)/AT103)),"")</f>
        <v/>
      </c>
      <c r="AV103" s="838" t="str">
        <f t="shared" si="144"/>
        <v/>
      </c>
      <c r="AW103" s="805" t="str">
        <f>IF(X103="DESL",'Fuel-Specific GHG'!$E$14,IF(X103="PROP",'Fuel-Specific GHG'!$E$19,IF(X103="GAS",'Fuel-Specific GHG'!$E$16,IF(X103="CNG",'Fuel-Specific GHG'!$E$13,IF(X103="LNG",'Fuel-Specific GHG'!$E$18,IF(X103="LPG",'Fuel-Specific GHG'!$E$19,IF(X103="ELEC",'Fuel-Specific GHG'!$E$15,"")))))))</f>
        <v/>
      </c>
      <c r="AX103" s="838" t="str">
        <f t="shared" si="145"/>
        <v/>
      </c>
      <c r="AY103" s="840" t="str">
        <f t="shared" si="146"/>
        <v/>
      </c>
      <c r="AZ103" s="840" t="str">
        <f t="shared" si="191"/>
        <v/>
      </c>
      <c r="BA103" s="840" t="str">
        <f t="shared" si="182"/>
        <v/>
      </c>
      <c r="BB103" s="804" t="str">
        <f t="shared" si="147"/>
        <v/>
      </c>
      <c r="BC103" s="841" t="str">
        <f t="shared" si="148"/>
        <v/>
      </c>
      <c r="BD103" s="841"/>
      <c r="BE103" s="842" t="str">
        <f t="shared" si="149"/>
        <v/>
      </c>
      <c r="BF103" s="809" t="str">
        <f t="shared" si="150"/>
        <v/>
      </c>
      <c r="BG103" s="808" t="str">
        <f t="shared" si="183"/>
        <v/>
      </c>
      <c r="BH103" s="810">
        <f t="shared" si="184"/>
        <v>0</v>
      </c>
      <c r="BI103" s="839" t="str">
        <f>IFERROR(VLOOKUP(BH103,'Pump Emission Factors'!$B$11:$J$88,4,FALSE),"")</f>
        <v/>
      </c>
      <c r="BJ103" s="839" t="str">
        <f>IFERROR(VLOOKUP(BH103,'Pump Emission Factors'!$B$11:$J$88,6,FALSE),"")</f>
        <v/>
      </c>
      <c r="BK103" s="839" t="str">
        <f>IFERROR(VLOOKUP(BH103,'Pump Emission Factors'!$B$11:$J$88,8,FALSE),"")</f>
        <v/>
      </c>
      <c r="BL103" s="839" t="str">
        <f>IFERROR(VLOOKUP(BH103,'Pump Emission Factors'!$B$11:$J$88,5,FALSE),"")</f>
        <v/>
      </c>
      <c r="BM103" s="839" t="str">
        <f>IFERROR(VLOOKUP(BH103,'Pump Emission Factors'!$B$11:$J$88,7,FALSE),"")</f>
        <v/>
      </c>
      <c r="BN103" s="839" t="str">
        <f>IFERROR(VLOOKUP(BH103,'Pump Emission Factors'!$B$11:$J$88,9,FALSE),"")</f>
        <v/>
      </c>
      <c r="BO103" s="843" t="str">
        <f t="shared" si="151"/>
        <v/>
      </c>
      <c r="BP103" s="843" t="str">
        <f t="shared" si="152"/>
        <v/>
      </c>
      <c r="BQ103" s="803">
        <f>IFERROR(((BI103+(BL103*BP103))*(IF(ISBLANK(R103),Defaults!$B$19,R103))*P103*T103)*F103*(1/454),0)</f>
        <v>0</v>
      </c>
      <c r="BR103" s="803">
        <f>IFERROR(((BJ103+(BM103*BP103))*(IF(ISBLANK(R103),Defaults!$B$19,R103))*P103*T103)*F103*(1/454),0)</f>
        <v>0</v>
      </c>
      <c r="BS103" s="803">
        <f>IFERROR(((BK103+(BN103*BP103))*(IF(ISBLANK(R103),Defaults!$B$19,R103))*P103*T103)*F103*(1/454),0)</f>
        <v>0</v>
      </c>
      <c r="BT103" s="839">
        <f t="shared" si="153"/>
        <v>0</v>
      </c>
      <c r="BU103" s="839">
        <f t="shared" si="154"/>
        <v>0</v>
      </c>
      <c r="BV103" s="844" t="str">
        <f t="shared" si="155"/>
        <v/>
      </c>
      <c r="BW103" s="842" t="str">
        <f t="shared" si="156"/>
        <v/>
      </c>
      <c r="BX103" s="809" t="str">
        <f t="shared" si="157"/>
        <v/>
      </c>
      <c r="BY103" s="808" t="str">
        <f t="shared" si="185"/>
        <v/>
      </c>
      <c r="BZ103" s="845">
        <f t="shared" si="186"/>
        <v>0</v>
      </c>
      <c r="CA103" s="846" t="str">
        <f>IFERROR(VLOOKUP(BZ103,'Pump Emission Factors'!$B$11:$J$88,4,FALSE),"")</f>
        <v/>
      </c>
      <c r="CB103" s="846" t="str">
        <f>IFERROR(VLOOKUP(BZ103,'Pump Emission Factors'!$B$11:$J$88,6,FALSE),"")</f>
        <v/>
      </c>
      <c r="CC103" s="846" t="str">
        <f>IFERROR(VLOOKUP(BZ103,'Pump Emission Factors'!$B$11:$J$88,8,FALSE),"")</f>
        <v/>
      </c>
      <c r="CD103" s="846" t="str">
        <f>IFERROR(VLOOKUP(BZ103,'Pump Emission Factors'!$B$11:$J$88,5,FALSE),"")</f>
        <v/>
      </c>
      <c r="CE103" s="846" t="str">
        <f>IFERROR(VLOOKUP(BZ103,'Pump Emission Factors'!$B$11:$J$88,7,FALSE),"")</f>
        <v/>
      </c>
      <c r="CF103" s="846" t="str">
        <f>IFERROR(VLOOKUP(BZ103,'Pump Emission Factors'!$B$11:$J$88,9,FALSE),"")</f>
        <v/>
      </c>
      <c r="CG103" s="847" t="str">
        <f t="shared" si="158"/>
        <v/>
      </c>
      <c r="CH103" s="847" t="str">
        <f t="shared" si="159"/>
        <v/>
      </c>
      <c r="CI103" s="813">
        <f>IFERROR(IF($X103="ELEC",((($AU103*(IF($H103="DESL",'Fuel-Specific GHG'!$C$14,IF($H103="GAS",'Fuel-Specific GHG'!$C$16,IF($H103="CNG",'Fuel-Specific GHG'!$C$13,IF(OR($H103="LPG",$H103="PROP"),'Fuel-Specific GHG'!$C$19,"")))))*(1/'Fuel-Specific GHG'!$C$15)*(1/3.4)*$F103)*'Grid Electricity'!$D$39)/454),((CA103+(CD103*CH103))*(IF(ISBLANK(AH103),Defaults!$B$19,AH103))*$AF103*$AJ103*$F103)),0)</f>
        <v>0</v>
      </c>
      <c r="CJ103" s="813">
        <f>IFERROR(IF($X103="ELEC",((($AU103*(IF($H103="DESL",'Fuel-Specific GHG'!$C$14,IF($H103="GAS",'Fuel-Specific GHG'!$C$16,IF($H103="CNG",'Fuel-Specific GHG'!$C$13,IF(OR($H103="LPG",$H103="PROP"),'Fuel-Specific GHG'!$C$19,"")))))*(1/'Fuel-Specific GHG'!$C$15)*(1/3.4)*$F103)*'Grid Electricity'!$C$39)/454),((CB103+(CE103*CH103))*(IF(ISBLANK(AH103),Defaults!$B$19,AH103))*$AF103*$AJ103*$F103)),0)</f>
        <v>0</v>
      </c>
      <c r="CK103" s="813">
        <f>IFERROR(IF($X103="ELEC",((($AU103*(IF($H103="DESL",'Fuel-Specific GHG'!$C$14,IF($H103="GAS",'Fuel-Specific GHG'!$C$16,IF($H103="CNG",'Fuel-Specific GHG'!$C$13,IF(OR($H103="LPG",$H103="PROP"),'Fuel-Specific GHG'!$C$19,"")))))*(1/'Fuel-Specific GHG'!$C$15)*(1/3.4)*$F103)*'Grid Electricity'!$F$39)/454),((CC103+(CF103*CH103))*(IF(ISBLANK(AH103),Defaults!$B$19,AH103))*$AF103*$AJ103*$F103)),0)</f>
        <v>0</v>
      </c>
      <c r="CL103" s="846">
        <f t="shared" si="160"/>
        <v>0</v>
      </c>
      <c r="CM103" s="813">
        <f t="shared" si="161"/>
        <v>0</v>
      </c>
      <c r="CN103" s="847" t="str">
        <f t="shared" si="162"/>
        <v/>
      </c>
      <c r="CO103" s="847" t="str">
        <f t="shared" si="163"/>
        <v/>
      </c>
      <c r="CP103" s="847" t="str">
        <f t="shared" si="164"/>
        <v/>
      </c>
      <c r="CQ103" s="847" t="str">
        <f t="shared" si="165"/>
        <v/>
      </c>
      <c r="CR103" s="815" t="str">
        <f>IF(AND(V103="Yes, Booster Pump VFD",AF103&lt;=75),('Pump Emission Factors'!$F$95*F103),(IF(AND(V103="Yes, Booster Pump VFD",AF103&gt;75),('Pump Emission Factors'!$F$96*F103),(IF(AND(V103="Yes, Well Pump VFD",AF103&lt;=75),('Pump Emission Factors'!$F$97*F103),(IF(AND(V103="Yes, Well Pump VFD",AF103&gt;75),('Pump Emission Factors'!$F$98*F103),"")))))))</f>
        <v/>
      </c>
      <c r="CS103" s="815" t="str">
        <f>IF(AND(V103="Yes, Booster Pump VFD",AF103&lt;=75),('Pump Emission Factors'!$G$95*F103),(IF(AND(V103="Yes, Booster Pump VFD",AF103&gt;75),('Pump Emission Factors'!$G$96*F103),(IF(AND(V103="Yes, Well Pump VFD",AF103&lt;=75),('Pump Emission Factors'!$G$97*F103),(IF(AND(V103="Yes, Well Pump VFD",AF103&gt;75),('Pump Emission Factors'!$G$98*F103),"")))))))</f>
        <v/>
      </c>
      <c r="CT103" s="815" t="str">
        <f>IF(AND(V103="Yes, Booster Pump VFD",AF103&lt;=75),('Pump Emission Factors'!$H$95*F103),(IF(AND(V103="Yes, Booster Pump VFD",AF103&gt;75),('Pump Emission Factors'!$H$96*F103),(IF(AND(V103="Yes, Well Pump VFD",AF103&lt;=75),('Pump Emission Factors'!$H$97*F103),(IF(AND(V103="Yes, Well Pump VFD",AF103&gt;75),('Pump Emission Factors'!$H$98*F103),"")))))))</f>
        <v/>
      </c>
      <c r="CU103" s="815" t="str">
        <f>IF(AND(V103="Yes, Booster Pump VFD",AF103&lt;=75),('Pump Emission Factors'!$J$95*F103),(IF(AND(V103="Yes, Booster Pump VFD",AF103&gt;75),('Pump Emission Factors'!$J$96*F103),(IF(AND(V103="Yes, Well Pump VFD",AF103&lt;=75),('Pump Emission Factors'!$J$97*F103),(IF(AND(V103="Yes, Well Pump VFD",AF103&gt;75),('Pump Emission Factors'!$J$98*F103),"")))))))</f>
        <v/>
      </c>
      <c r="CV103" s="815" t="str">
        <f>IF(AND(V103="Yes, Booster Pump VFD",AF103&lt;=75),('Pump Emission Factors'!$I$95*F103),(IF(AND(V103="Yes, Booster Pump VFD",AF103&gt;75),('Pump Emission Factors'!$I$96*F103),(IF(AND(V103="Yes, Well Pump VFD",AF103&lt;=75),('Pump Emission Factors'!$I$97*F103),(IF(AND(V103="Yes, Well Pump VFD",AF103&gt;75),('Pump Emission Factors'!$I$98*F103),"")))))))</f>
        <v/>
      </c>
      <c r="CW103" s="806">
        <f t="shared" si="166"/>
        <v>0</v>
      </c>
      <c r="CX103" s="806">
        <f t="shared" si="167"/>
        <v>0</v>
      </c>
      <c r="CY103" s="840">
        <f t="shared" si="168"/>
        <v>0</v>
      </c>
      <c r="CZ103" s="840">
        <f t="shared" si="169"/>
        <v>0</v>
      </c>
      <c r="DA103" s="806">
        <f t="shared" si="170"/>
        <v>0</v>
      </c>
      <c r="DB103" s="848" t="str">
        <f t="shared" si="187"/>
        <v/>
      </c>
      <c r="DC103" s="848" t="str">
        <f t="shared" si="187"/>
        <v/>
      </c>
      <c r="DD103" s="848" t="str">
        <f t="shared" si="187"/>
        <v/>
      </c>
      <c r="DE103" s="849" t="str">
        <f t="shared" si="171"/>
        <v/>
      </c>
      <c r="DF103" s="849" t="str">
        <f t="shared" si="172"/>
        <v/>
      </c>
      <c r="DG103" s="837" t="str">
        <f t="shared" si="173"/>
        <v/>
      </c>
      <c r="DH103" s="837" t="str">
        <f t="shared" si="174"/>
        <v/>
      </c>
      <c r="DI103" s="850" t="str">
        <f>IF(AO103="","",IF(H103="DESL",AO103*F103*'Fuel Prices'!$C$12,IF(H103="GAS",AO103*F103*'Fuel Prices'!$C$11,IF(H103="CNG",AO103*F103*'Fuel Prices'!$C$13,IF(H103="LNG",AO103*F103*'Fuel Prices'!$C$14,IF(H103="LPG",AO103*F103*'Fuel Prices'!$C$16,IF(H103="PROP",AO103*F103*'Fuel Prices'!$C$16,"0")))))))</f>
        <v/>
      </c>
      <c r="DJ103" s="850" t="str">
        <f>IF(AU103="","",IF(X103="DESL",AU103*F103*'Fuel Prices'!$C$12,IF(X103="GAS",AU103*F103*'Fuel Prices'!$C$11,IF(X103="CNG",AU103*F103*'Fuel Prices'!$C$13,IF(X103="LNG",AU103*F103*'Fuel Prices'!$C$14,IF(X103="LPG",AU103*F103*'Fuel Prices'!$C$16,IF(X103="PROP",AU103*F103*'Fuel Prices'!$C$16,IF(X103="ELEC",AU103*F103*'Fuel Prices'!$C$35,"0"))))))))</f>
        <v/>
      </c>
      <c r="DK103" s="850" t="str">
        <f t="shared" si="175"/>
        <v/>
      </c>
      <c r="DL103" s="850" t="str">
        <f t="shared" si="188"/>
        <v/>
      </c>
      <c r="DM103" s="837" t="str">
        <f t="shared" si="176"/>
        <v/>
      </c>
      <c r="DN103" s="837" t="str">
        <f t="shared" si="177"/>
        <v/>
      </c>
      <c r="DO103" s="837" t="str">
        <f>IFERROR(ROUND(CZ103*IF(COUNTIF($B$20:B103,B103)=1,1,"")/IF(B103="",0,1),0),"")</f>
        <v/>
      </c>
      <c r="DP103" s="837" t="str">
        <f>IFERROR(ROUND(CW103*IF(COUNTIF($B$20:B103,B103)=1,1,"")/IF(B103="",0,1),0),"")</f>
        <v/>
      </c>
      <c r="DQ103" s="837" t="str">
        <f>IFERROR(ROUND(DA103*IF(COUNTIF($B$20:B103,B103)=1,1,"")/IF(B103="",0,1),0),"")</f>
        <v/>
      </c>
      <c r="DR103" s="837" t="str">
        <f>IFERROR(ROUND(CX103*IF(COUNTIF($B$20:B103,B103)=1,1,"")/IF(B103="",0,1),0),"")</f>
        <v/>
      </c>
      <c r="DS103" s="837">
        <f t="shared" si="178"/>
        <v>0</v>
      </c>
      <c r="DT103" s="837">
        <f t="shared" si="179"/>
        <v>0</v>
      </c>
      <c r="DU103" s="837">
        <f t="shared" si="180"/>
        <v>0</v>
      </c>
      <c r="DV103" s="850" t="str">
        <f t="shared" si="189"/>
        <v/>
      </c>
      <c r="DW103" s="851" t="str">
        <f t="shared" si="190"/>
        <v/>
      </c>
    </row>
    <row r="104" spans="1:131" ht="18" customHeight="1" x14ac:dyDescent="0.35">
      <c r="BF104" s="852">
        <f>SUM(BB20:BB103)</f>
        <v>0</v>
      </c>
      <c r="CW104" s="700">
        <f t="shared" ref="CW104:DE104" si="192">SUM(CW20:CW103)</f>
        <v>0</v>
      </c>
      <c r="CX104" s="700">
        <f t="shared" si="192"/>
        <v>0</v>
      </c>
      <c r="CY104" s="700">
        <f t="shared" si="192"/>
        <v>0</v>
      </c>
      <c r="CZ104" s="700">
        <f t="shared" si="192"/>
        <v>0</v>
      </c>
      <c r="DA104" s="700">
        <f t="shared" si="192"/>
        <v>0</v>
      </c>
      <c r="DB104" s="699">
        <f t="shared" si="192"/>
        <v>0</v>
      </c>
      <c r="DC104" s="699">
        <f t="shared" si="192"/>
        <v>0</v>
      </c>
      <c r="DD104" s="699">
        <f t="shared" si="192"/>
        <v>0</v>
      </c>
      <c r="DE104" s="699">
        <f t="shared" si="192"/>
        <v>0</v>
      </c>
      <c r="DK104" s="630" t="str">
        <f t="shared" si="175"/>
        <v/>
      </c>
      <c r="DL104" s="852">
        <f>SUM(DL20:DL103)</f>
        <v>0</v>
      </c>
      <c r="DM104" s="852"/>
      <c r="DN104" s="852">
        <f t="shared" ref="DN104:DW104" si="193">SUM(DN20:DN103)</f>
        <v>0</v>
      </c>
      <c r="DO104" s="855">
        <f t="shared" si="193"/>
        <v>0</v>
      </c>
      <c r="DP104" s="856">
        <f t="shared" si="193"/>
        <v>0</v>
      </c>
      <c r="DQ104" s="855">
        <f t="shared" si="193"/>
        <v>0</v>
      </c>
      <c r="DR104" s="857">
        <f t="shared" si="193"/>
        <v>0</v>
      </c>
      <c r="DS104" s="857">
        <f t="shared" si="193"/>
        <v>0</v>
      </c>
      <c r="DT104" s="857">
        <f t="shared" si="193"/>
        <v>0</v>
      </c>
      <c r="DU104" s="857">
        <f t="shared" si="193"/>
        <v>0</v>
      </c>
      <c r="DV104" s="858">
        <f t="shared" si="193"/>
        <v>0</v>
      </c>
      <c r="DW104" s="857">
        <f t="shared" si="193"/>
        <v>0</v>
      </c>
      <c r="DZ104" s="630">
        <f>IFERROR(ROUND(DP104,0),"")</f>
        <v>0</v>
      </c>
      <c r="EA104" s="630">
        <f>IFERROR(ROUND(DL104,0),"")</f>
        <v>0</v>
      </c>
    </row>
  </sheetData>
  <sheetProtection algorithmName="SHA-512" hashValue="ORvYhdeLQaNNpzg9l/TH3IkVYTxjoykPc/UfxfutOp6OOx6mmIIHs5O5pplgY60rFMPQnGK9NUsPeKa+DGHlaw==" saltValue="Bho9AFeK3C8/HFakcMMY7A==" spinCount="100000" sheet="1" formatColumns="0"/>
  <phoneticPr fontId="32" type="noConversion"/>
  <conditionalFormatting sqref="N20:N103">
    <cfRule type="expression" dxfId="48" priority="45">
      <formula>OR(H20&lt;&gt;"DESL",AND(H20="DESL",L20="Uncontrolled"))</formula>
    </cfRule>
  </conditionalFormatting>
  <conditionalFormatting sqref="O20:O103">
    <cfRule type="expression" dxfId="47" priority="46">
      <formula>OR(H20&lt;&gt;"DESL",AND(H20="DESL",L20="Uncontrolled"))</formula>
    </cfRule>
  </conditionalFormatting>
  <conditionalFormatting sqref="AB20:AC103">
    <cfRule type="expression" dxfId="46" priority="1">
      <formula>OR($X20&lt;&gt;"DESL",AND(X20="DESL",AB20="Uncontrolled"))</formula>
    </cfRule>
  </conditionalFormatting>
  <conditionalFormatting sqref="AD20:AD103">
    <cfRule type="expression" dxfId="45" priority="21">
      <formula>OR(X20&lt;&gt;"DESL",AND(X20="DESL",AB20="Uncontrolled"))</formula>
    </cfRule>
  </conditionalFormatting>
  <conditionalFormatting sqref="AE20:AE103">
    <cfRule type="expression" dxfId="44" priority="3">
      <formula>OR(X20&lt;&gt;"DESL",AND(X20="DESL",AB20="Uncontrolled"))</formula>
    </cfRule>
  </conditionalFormatting>
  <conditionalFormatting sqref="AS20:AT103">
    <cfRule type="expression" dxfId="43" priority="39">
      <formula>OR($X20="ELEC")</formula>
    </cfRule>
  </conditionalFormatting>
  <conditionalFormatting sqref="BI20:BV103 CL20:CV103 AF24:AF103">
    <cfRule type="expression" dxfId="42" priority="40">
      <formula>OR($X20="Electric")</formula>
    </cfRule>
  </conditionalFormatting>
  <conditionalFormatting sqref="BW20:BW103">
    <cfRule type="expression" dxfId="41" priority="18">
      <formula>X20="ELEC"</formula>
    </cfRule>
  </conditionalFormatting>
  <conditionalFormatting sqref="BX20:BX103">
    <cfRule type="expression" dxfId="40" priority="17">
      <formula>X20="ELEC"</formula>
    </cfRule>
  </conditionalFormatting>
  <conditionalFormatting sqref="BY20:BY103">
    <cfRule type="expression" dxfId="39" priority="16">
      <formula>X20="ELEC"</formula>
    </cfRule>
  </conditionalFormatting>
  <conditionalFormatting sqref="BZ20:BZ103">
    <cfRule type="expression" dxfId="38" priority="14">
      <formula>X20="ELEC"</formula>
    </cfRule>
  </conditionalFormatting>
  <conditionalFormatting sqref="CA20:CA103">
    <cfRule type="expression" dxfId="37" priority="12">
      <formula>X20="ELEC"</formula>
    </cfRule>
  </conditionalFormatting>
  <conditionalFormatting sqref="CB20:CB103">
    <cfRule type="expression" dxfId="36" priority="13">
      <formula>X20="ELEC"</formula>
    </cfRule>
  </conditionalFormatting>
  <conditionalFormatting sqref="CC20:CC103">
    <cfRule type="expression" dxfId="35" priority="11">
      <formula>X20="ELEC"</formula>
    </cfRule>
  </conditionalFormatting>
  <conditionalFormatting sqref="CD20:CD103">
    <cfRule type="expression" dxfId="34" priority="10">
      <formula>X20="ELEC"</formula>
    </cfRule>
  </conditionalFormatting>
  <conditionalFormatting sqref="CE20:CE103">
    <cfRule type="expression" dxfId="33" priority="9">
      <formula>X20="ELEC"</formula>
    </cfRule>
  </conditionalFormatting>
  <conditionalFormatting sqref="CF20:CF103">
    <cfRule type="expression" dxfId="32" priority="8">
      <formula>X20="ELEC"</formula>
    </cfRule>
  </conditionalFormatting>
  <dataValidations count="22">
    <dataValidation allowBlank="1" showInputMessage="1" showErrorMessage="1" prompt="Project ID assigned by the State Water Resources Control Board." sqref="B18:B103" xr:uid="{D2D16648-9D5B-485E-B5AF-4FB1E966469D}"/>
    <dataValidation allowBlank="1" showInputMessage="1" showErrorMessage="1" prompt="Expected installation date (first year of operation)." sqref="D18" xr:uid="{8160F35C-180F-4083-B7D0-6D0F7DB76AF8}"/>
    <dataValidation type="whole" allowBlank="1" showInputMessage="1" showErrorMessage="1" prompt="Expected useful life of the replacement equipment (Maximum is 10 years)." sqref="F19:F103" xr:uid="{404E871C-F277-4196-961B-5D6DBB0800D4}">
      <formula1>1</formula1>
      <formula2>10</formula2>
    </dataValidation>
    <dataValidation allowBlank="1" showInputMessage="1" showErrorMessage="1" prompt="Expected useful life of the replacement equipment (Maximum is 10 years)." sqref="F18" xr:uid="{8269467C-523D-48B6-A3B9-AF2FB696F8AB}"/>
    <dataValidation allowBlank="1" showInputMessage="1" showErrorMessage="1" prompt="Select the fuel type for the baseline engine: Diesel (DESL), Gasoline (GAS), CNG (Compressed Natural Gas), Liquefied Natural Gas (LNG), Liquefied Petroleum Gas (LPG), Propane (PROP)" sqref="H18" xr:uid="{084E7006-7FE5-4ED4-B2B4-6435A263788F}"/>
    <dataValidation allowBlank="1" showInputMessage="1" showErrorMessage="1" prompt="Select the manufacture date for the baseline engine (model year)." sqref="J18" xr:uid="{063A8A7A-A208-420B-945B-814677630402}"/>
    <dataValidation allowBlank="1" showInputMessage="1" showErrorMessage="1" prompt="Select whether the engine has an emission control system (controlled) or not (uncontrolled). " sqref="L18 AB18" xr:uid="{18D21F61-8AD2-4152-9550-978E5B837AC3}"/>
    <dataValidation allowBlank="1" showInputMessage="1" showErrorMessage="1" prompt="For controlled diesel engines, select the baseline engine tier (Tier 1, Tier 2, Tier 3, Tier 4 (Phase-Out), Tier 4 (Phase-In or Alt. NOx), or Tier 4 (Final))." sqref="N18" xr:uid="{7F2F590F-65AE-40C2-883C-93DF6C753FF4}"/>
    <dataValidation allowBlank="1" showInputMessage="1" showErrorMessage="1" prompt="Enter the Maximum Rated Horsepower for the baseline pump engine (listed on the nameplate of the engine)." sqref="P18:P103" xr:uid="{E7EC25EE-992C-479A-96B2-39B3C1A1A761}"/>
    <dataValidation type="decimal" allowBlank="1" showInputMessage="1" showErrorMessage="1" errorTitle="Invalid Input:" error="Value must be between 0 and 1." prompt="Enter the Load Factor for the baseline pump engine.  If left blank, a default value of 0.65 will be used." sqref="R19:R103" xr:uid="{06B6A0FE-884D-4B48-833E-2CC0E6E72889}">
      <formula1>0</formula1>
      <formula2>1</formula2>
    </dataValidation>
    <dataValidation allowBlank="1" showInputMessage="1" showErrorMessage="1" errorTitle="Invalid Input:" error="Value must be between 0 and 1." prompt="Enter the Load Factor for the baseline pump engine.  If left blank, a default value of 0.65 will be used." sqref="R18" xr:uid="{DD0D3F92-67E9-4BB9-8951-28CB18D2FBE4}"/>
    <dataValidation type="decimal" allowBlank="1" showInputMessage="1" showErrorMessage="1" errorTitle="Invalid Input:" error="Value must be a positive number, up to a maximum of 8,760 hours per year." prompt="Enter the annual activity of the baseline pump engine in hours." sqref="T19:T103" xr:uid="{A89F137C-79AE-48AF-8DFF-B4D9A6863EE2}">
      <formula1>0</formula1>
      <formula2>8760</formula2>
    </dataValidation>
    <dataValidation allowBlank="1" showInputMessage="1" showErrorMessage="1" errorTitle="Invalid Input:" error="Value must be a positive number, up to a maximum of 8,760 hours per year." prompt="Enter the annual activity of the baseline pump engine in hours." sqref="T18" xr:uid="{3ABB5C15-AC42-4AD4-8C71-47D91D420928}"/>
    <dataValidation allowBlank="1" showInputMessage="1" showErrorMessage="1" prompt="Select the applicable option for variable frequency drive installation (Yes, well pump VFD; Yes, booster pump VFD; No, VFD not installed; No, VFD already installed)." sqref="V18:V19" xr:uid="{38B6AFFC-B953-4A75-935F-1314651DE402}"/>
    <dataValidation allowBlank="1" showInputMessage="1" showErrorMessage="1" prompt="Select the fuel type for the replacement engine: Diesel (DESL), Gasoline (GAS), CNG (Compressed Natural Gas), Liquefied Natural Gas (LNG), Liquefied Petroleum Gas (LPG), Propane (PROP)" sqref="X18" xr:uid="{2F7F967E-E8B4-4FA5-9B4D-3E85A1415BA2}"/>
    <dataValidation allowBlank="1" showInputMessage="1" showErrorMessage="1" prompt="Select the manufacture date for the replacement engine (model year)." sqref="Z18" xr:uid="{82D9B203-D9AB-4A66-B9CB-CAF2EB9AC4F9}"/>
    <dataValidation allowBlank="1" showInputMessage="1" showErrorMessage="1" prompt="For controlled diesel engines, select the replacement engine tier (Tier 1, Tier 2, Tier 3, Tier 4 (Phase-Out), Tier 4 (Phase-In or Alt. NOx), or Tier 4 (Final))." sqref="AD18" xr:uid="{BA14B79C-2BEE-4D83-9270-2415519D330C}"/>
    <dataValidation allowBlank="1" showInputMessage="1" showErrorMessage="1" prompt="Enter the Maximum Rated Horsepower for the replacement pump engine (listed on the nameplate of the engine)." sqref="AF18:AF103" xr:uid="{008C1FD0-4BA3-441F-9A6D-A46A036B884C}"/>
    <dataValidation type="decimal" allowBlank="1" showInputMessage="1" showErrorMessage="1" errorTitle="Invalid Input:" error="Value must be between 0 and 1." prompt="Enter the Load Factor for the replacement pump engine.  If left blank, a default value of 0.65 will be used." sqref="AH19:AH103" xr:uid="{32B7350D-B4BB-42F9-B64D-8296185345F3}">
      <formula1>0</formula1>
      <formula2>1</formula2>
    </dataValidation>
    <dataValidation allowBlank="1" showInputMessage="1" showErrorMessage="1" errorTitle="Invalid Input:" error="Value must be between 0 and 1." prompt="Enter the Load Factor for the replacement pump engine.  If left blank, a default value of 0.65 will be used." sqref="AH18" xr:uid="{6F1D41D3-D9FF-4D74-92C9-7ADC91687FB0}"/>
    <dataValidation type="decimal" allowBlank="1" showInputMessage="1" showErrorMessage="1" errorTitle="Invalid Input:" error="Value must be a positive number, up to a maximum of 8,760 hours per year." prompt="Enter the annual activity of the replacement pump engine in hours." sqref="AJ19:AJ103" xr:uid="{B02D2FC7-FDAD-46FC-8942-38C999754FE9}">
      <formula1>0</formula1>
      <formula2>8760</formula2>
    </dataValidation>
    <dataValidation allowBlank="1" showInputMessage="1" showErrorMessage="1" errorTitle="Invalid Input:" error="Value must be a positive number, up to a maximum of 8,760 hours per year." prompt="Enter the annual activity of the replacement pump engine in hours." sqref="AJ18" xr:uid="{A2ACA458-23F4-4E4A-AA6B-82ED80B21656}"/>
  </dataValidations>
  <hyperlinks>
    <hyperlink ref="B13" r:id="rId1" xr:uid="{32B7D2EA-9D0B-4F95-9A1F-370753566982}"/>
  </hyperlinks>
  <pageMargins left="0.7" right="0.7" top="0.75" bottom="0.75" header="0.3" footer="0.3"/>
  <pageSetup scale="23" orientation="portrait" r:id="rId2"/>
  <headerFooter>
    <oddFooter>&amp;L&amp;"Avenir LT Std 55 Roman,Regular"&amp;12FINAL June 1, 2022&amp;C&amp;"Avenir LT Std 55 Roman,Regular"&amp;12Page &amp;P of &amp;N&amp;R&amp;"Avenir LT Std 55 Roman,Regular"&amp;12&amp;A</oddFooter>
  </headerFooter>
  <colBreaks count="1" manualBreakCount="1">
    <brk id="25" max="1048575" man="1"/>
  </colBreaks>
  <drawing r:id="rId3"/>
  <tableParts count="1">
    <tablePart r:id="rId4"/>
  </tableParts>
  <extLst>
    <ext xmlns:x14="http://schemas.microsoft.com/office/spreadsheetml/2009/9/main" uri="{CCE6A557-97BC-4b89-ADB6-D9C93CAAB3DF}">
      <x14:dataValidations xmlns:xm="http://schemas.microsoft.com/office/excel/2006/main" count="9">
        <x14:dataValidation type="list" allowBlank="1" showInputMessage="1" showErrorMessage="1" prompt="Expected installation date (first year of operation)." xr:uid="{1DE64604-AEA3-4D00-8D7C-158CFE2C0B59}">
          <x14:formula1>
            <xm:f>Defaults!$J$45:$J$56</xm:f>
          </x14:formula1>
          <xm:sqref>D19:D103</xm:sqref>
        </x14:dataValidation>
        <x14:dataValidation type="list" allowBlank="1" showInputMessage="1" showErrorMessage="1" prompt="Select the fuel type for the baseline engine: Diesel (DESL), Gasoline (GAS), CNG (Compressed Natural Gas), Liquefied Natural Gas (LNG), Liquefied Petroleum Gas (LPG), Propane (PROP)" xr:uid="{1DFE6FAF-B4FA-487C-8B40-87FF89E3530A}">
          <x14:formula1>
            <xm:f>Defaults!$D$22:$D$27</xm:f>
          </x14:formula1>
          <xm:sqref>H19:H103</xm:sqref>
        </x14:dataValidation>
        <x14:dataValidation type="list" allowBlank="1" showInputMessage="1" showErrorMessage="1" prompt="Select the manufacture date for the baseline engine (model year)." xr:uid="{63352572-FC2F-44CB-812F-F06FD81334F2}">
          <x14:formula1>
            <xm:f>Defaults!$J$11:$J$56</xm:f>
          </x14:formula1>
          <xm:sqref>J19:J103</xm:sqref>
        </x14:dataValidation>
        <x14:dataValidation type="list" allowBlank="1" showInputMessage="1" showErrorMessage="1" prompt="Select whether the engine has an emission control system (controlled) or not (uncontrolled). " xr:uid="{1D35ADC6-D384-4BDB-8E66-B2C88DF71D8D}">
          <x14:formula1>
            <xm:f>Defaults!$H$11:$H$12</xm:f>
          </x14:formula1>
          <xm:sqref>L19:L103 AB19:AB103</xm:sqref>
        </x14:dataValidation>
        <x14:dataValidation type="list" allowBlank="1" showInputMessage="1" showErrorMessage="1" prompt="For controlled diesel engines, select the baseline engine tier (Tier 1, Tier 2, Tier 3, Tier 4 (Phase-Out), Tier 4 (Phase-In or Alt. NOx), or Tier 4 (Final))." xr:uid="{A485607B-F7C9-47F0-AE00-21F04959BB2B}">
          <x14:formula1>
            <xm:f>Defaults!$H$22:$H$27</xm:f>
          </x14:formula1>
          <xm:sqref>N19:N103</xm:sqref>
        </x14:dataValidation>
        <x14:dataValidation type="list" allowBlank="1" showInputMessage="1" showErrorMessage="1" prompt="Select the fuel type for the replacement engine: Diesel (DESL), Gasoline (GAS), CNG (Compressed Natural Gas), Liquefied Natural Gas (LNG), Liquefied Petroleum Gas (LPG), Propane (PROP)" xr:uid="{CFAEFC48-B6EF-406F-841F-A1A0CB1FBCA9}">
          <x14:formula1>
            <xm:f>Defaults!$D$22:$D$28</xm:f>
          </x14:formula1>
          <xm:sqref>X19:X103</xm:sqref>
        </x14:dataValidation>
        <x14:dataValidation type="list" allowBlank="1" showInputMessage="1" showErrorMessage="1" prompt="Select the manufacture date for the replacement engine (model year)." xr:uid="{495A9AFD-717A-4A97-96E3-78AAF773CB2A}">
          <x14:formula1>
            <xm:f>Defaults!$J$26:$J$56</xm:f>
          </x14:formula1>
          <xm:sqref>Z19:Z103</xm:sqref>
        </x14:dataValidation>
        <x14:dataValidation type="list" allowBlank="1" showInputMessage="1" showErrorMessage="1" prompt="For controlled diesel engines, select the replacement engine tier (Tier 1, Tier 2, Tier 3, Tier 4 (Phase-Out), Tier 4 (Phase-In or Alt. NOx), or Tier 4 (Final))." xr:uid="{DD2A07C2-4843-46DE-A121-FB592B5EBD75}">
          <x14:formula1>
            <xm:f>Defaults!$H$22:$H$27</xm:f>
          </x14:formula1>
          <xm:sqref>AD19:AD103</xm:sqref>
        </x14:dataValidation>
        <x14:dataValidation type="list" allowBlank="1" showInputMessage="1" showErrorMessage="1" prompt="Select the applicable option for variable frequency drive installation (Yes, well pump VFD; Yes, booster pump VFD; No, VFD not installed; No, VFD already installed)." xr:uid="{3D5EFDE2-0E43-43C6-A56D-B2D24AF3BBB8}">
          <x14:formula1>
            <xm:f>Defaults!$B$52:$B$54</xm:f>
          </x14:formula1>
          <xm:sqref>V20:V103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B9F9-E084-4A06-8BF1-61E53AE47F8B}">
  <sheetPr codeName="Sheet4">
    <tabColor theme="9" tint="0.59999389629810485"/>
  </sheetPr>
  <dimension ref="A1:CH104"/>
  <sheetViews>
    <sheetView showGridLines="0" showWhiteSpace="0" zoomScaleNormal="100" zoomScaleSheetLayoutView="20" workbookViewId="0">
      <selection activeCell="H15" sqref="H15"/>
    </sheetView>
  </sheetViews>
  <sheetFormatPr defaultColWidth="9.1796875" defaultRowHeight="18" customHeight="1" x14ac:dyDescent="0.35"/>
  <cols>
    <col min="1" max="1" width="2.81640625" style="630" customWidth="1"/>
    <col min="2" max="2" width="24.1796875" style="630" customWidth="1"/>
    <col min="3" max="3" width="12.54296875" style="630" customWidth="1"/>
    <col min="4" max="4" width="17.26953125" style="697" bestFit="1" customWidth="1"/>
    <col min="5" max="5" width="11.1796875" style="697" customWidth="1"/>
    <col min="6" max="6" width="15.81640625" style="697" bestFit="1" customWidth="1"/>
    <col min="7" max="7" width="12.7265625" style="697" customWidth="1"/>
    <col min="8" max="8" width="17.54296875" style="699" bestFit="1" customWidth="1"/>
    <col min="9" max="9" width="11.54296875" style="699" customWidth="1"/>
    <col min="10" max="10" width="27.54296875" style="630" customWidth="1"/>
    <col min="11" max="11" width="9.1796875" style="630"/>
    <col min="12" max="12" width="28.26953125" style="699" customWidth="1"/>
    <col min="13" max="13" width="13.26953125" style="699" customWidth="1"/>
    <col min="14" max="14" width="24.54296875" style="699" customWidth="1"/>
    <col min="15" max="15" width="14" style="699" customWidth="1"/>
    <col min="16" max="16" width="18.453125" style="698" bestFit="1" customWidth="1"/>
    <col min="17" max="17" width="13" style="698" customWidth="1"/>
    <col min="18" max="18" width="22.54296875" style="697" customWidth="1"/>
    <col min="19" max="19" width="11" style="697" customWidth="1"/>
    <col min="20" max="20" width="22.1796875" style="697" customWidth="1"/>
    <col min="21" max="21" width="11" style="697" customWidth="1"/>
    <col min="22" max="22" width="18.453125" style="697" customWidth="1"/>
    <col min="23" max="27" width="11" style="697" customWidth="1"/>
    <col min="28" max="29" width="20.1796875" style="697" hidden="1" customWidth="1"/>
    <col min="30" max="30" width="18" style="697" customWidth="1"/>
    <col min="31" max="31" width="10.81640625" style="697" customWidth="1"/>
    <col min="32" max="32" width="17" style="699" customWidth="1"/>
    <col min="33" max="33" width="11.26953125" style="699" customWidth="1"/>
    <col min="34" max="34" width="27.54296875" style="630" customWidth="1"/>
    <col min="35" max="35" width="9.1796875" style="630" customWidth="1"/>
    <col min="36" max="36" width="24" style="698" customWidth="1"/>
    <col min="37" max="37" width="10.7265625" style="698" customWidth="1"/>
    <col min="38" max="38" width="18.81640625" style="698" customWidth="1"/>
    <col min="39" max="39" width="11.54296875" style="698" customWidth="1"/>
    <col min="40" max="40" width="23.453125" style="698" customWidth="1"/>
    <col min="41" max="41" width="11.1796875" style="698" customWidth="1"/>
    <col min="42" max="42" width="19.26953125" style="697" customWidth="1"/>
    <col min="43" max="43" width="11.1796875" style="697" customWidth="1"/>
    <col min="44" max="44" width="19.54296875" style="697" customWidth="1"/>
    <col min="45" max="45" width="11.1796875" style="697" customWidth="1"/>
    <col min="46" max="46" width="18.453125" style="630" customWidth="1"/>
    <col min="47" max="47" width="11.81640625" style="630" customWidth="1"/>
    <col min="48" max="48" width="18.54296875" style="630" customWidth="1"/>
    <col min="49" max="49" width="10.81640625" style="630" customWidth="1"/>
    <col min="50" max="50" width="18.54296875" style="630" customWidth="1"/>
    <col min="51" max="51" width="10.81640625" style="630" customWidth="1"/>
    <col min="52" max="53" width="20.1796875" style="697" hidden="1" customWidth="1"/>
    <col min="54" max="56" width="23.7265625" style="699" customWidth="1"/>
    <col min="57" max="57" width="23.7265625" style="862" hidden="1" customWidth="1"/>
    <col min="58" max="58" width="23.7265625" style="697" hidden="1" customWidth="1"/>
    <col min="59" max="62" width="23.7265625" style="852" customWidth="1"/>
    <col min="63" max="63" width="23.7265625" style="630" hidden="1" customWidth="1"/>
    <col min="64" max="71" width="23.7265625" style="697" hidden="1" customWidth="1"/>
    <col min="72" max="73" width="23.7265625" style="630" hidden="1" customWidth="1"/>
    <col min="74" max="75" width="35.7265625" style="630" hidden="1" customWidth="1"/>
    <col min="76" max="76" width="35.7265625" style="630" customWidth="1"/>
    <col min="77" max="77" width="39.54296875" style="630" customWidth="1"/>
    <col min="78" max="78" width="35.7265625" style="630" customWidth="1"/>
    <col min="79" max="80" width="37.81640625" style="630" customWidth="1"/>
    <col min="81" max="81" width="38.1796875" style="630" customWidth="1"/>
    <col min="82" max="91" width="24.1796875" style="630" customWidth="1"/>
    <col min="92" max="16384" width="9.1796875" style="630"/>
  </cols>
  <sheetData>
    <row r="1" spans="1:85" s="635" customFormat="1" x14ac:dyDescent="0.4">
      <c r="A1" s="632"/>
      <c r="B1" s="632"/>
      <c r="C1" s="633" t="str">
        <f>'Read Me'!B1</f>
        <v>California Air Resources Board</v>
      </c>
      <c r="D1" s="633"/>
      <c r="E1" s="632"/>
      <c r="F1" s="632"/>
      <c r="G1" s="632"/>
      <c r="H1" s="632"/>
      <c r="I1" s="632"/>
      <c r="J1" s="632"/>
      <c r="K1" s="632"/>
      <c r="L1" s="632"/>
      <c r="M1" s="632"/>
      <c r="N1" s="632"/>
      <c r="O1" s="632"/>
      <c r="P1" s="632"/>
      <c r="BG1" s="691"/>
    </row>
    <row r="2" spans="1:85" s="635" customFormat="1" x14ac:dyDescent="0.4">
      <c r="C2" s="636"/>
      <c r="D2" s="636"/>
      <c r="E2" s="859"/>
      <c r="F2" s="859"/>
      <c r="G2" s="859"/>
      <c r="H2" s="859"/>
      <c r="I2" s="859"/>
      <c r="J2" s="636"/>
      <c r="K2" s="859"/>
      <c r="L2" s="859"/>
      <c r="M2" s="859"/>
      <c r="N2" s="859"/>
      <c r="O2" s="859"/>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G2" s="691"/>
    </row>
    <row r="3" spans="1:85" s="635" customFormat="1" x14ac:dyDescent="0.4">
      <c r="A3" s="632"/>
      <c r="B3" s="632"/>
      <c r="C3" s="633" t="str">
        <f>'Read Me'!B3</f>
        <v>Benefits Calculator Tool</v>
      </c>
      <c r="D3" s="633"/>
      <c r="E3" s="632"/>
      <c r="F3" s="632"/>
      <c r="G3" s="632"/>
      <c r="H3" s="632"/>
      <c r="I3" s="632"/>
      <c r="J3" s="632"/>
      <c r="K3" s="632"/>
      <c r="L3" s="632"/>
      <c r="M3" s="632"/>
      <c r="N3" s="632"/>
      <c r="O3" s="632"/>
      <c r="P3" s="632"/>
      <c r="BG3" s="691"/>
    </row>
    <row r="4" spans="1:85" s="635" customFormat="1" x14ac:dyDescent="0.4">
      <c r="A4" s="632"/>
      <c r="B4" s="632"/>
      <c r="C4" s="633" t="str">
        <f>'Read Me'!B4</f>
        <v>Safe and Affordable Drinking Water</v>
      </c>
      <c r="D4" s="637"/>
      <c r="E4" s="632"/>
      <c r="F4" s="632"/>
      <c r="G4" s="632"/>
      <c r="H4" s="632"/>
      <c r="I4" s="632"/>
      <c r="J4" s="632"/>
      <c r="K4" s="632"/>
      <c r="L4" s="632"/>
      <c r="M4" s="632"/>
      <c r="N4" s="632"/>
      <c r="O4" s="632"/>
      <c r="P4" s="632"/>
      <c r="BG4" s="691"/>
    </row>
    <row r="5" spans="1:85" s="635" customFormat="1" x14ac:dyDescent="0.4">
      <c r="A5" s="632"/>
      <c r="B5" s="632"/>
      <c r="C5" s="637" t="str">
        <f>'Read Me'!B5</f>
        <v>(SADW) Fund</v>
      </c>
      <c r="D5" s="637"/>
      <c r="E5" s="632"/>
      <c r="F5" s="632"/>
      <c r="G5" s="632"/>
      <c r="H5" s="632"/>
      <c r="I5" s="632"/>
      <c r="J5" s="632"/>
      <c r="K5" s="632"/>
      <c r="L5" s="632"/>
      <c r="M5" s="632"/>
      <c r="N5" s="632"/>
      <c r="O5" s="632"/>
      <c r="P5" s="632"/>
      <c r="BG5" s="691"/>
    </row>
    <row r="6" spans="1:85" s="635" customFormat="1" x14ac:dyDescent="0.4">
      <c r="A6" s="632"/>
      <c r="B6" s="632"/>
      <c r="C6" s="638"/>
      <c r="D6" s="637"/>
      <c r="E6" s="632"/>
      <c r="F6" s="632"/>
      <c r="G6" s="632"/>
      <c r="H6" s="632"/>
      <c r="I6" s="632"/>
      <c r="J6" s="860"/>
      <c r="K6" s="632"/>
      <c r="L6" s="632"/>
      <c r="M6" s="632"/>
      <c r="N6" s="632"/>
      <c r="O6" s="632"/>
      <c r="P6" s="632"/>
      <c r="BG6" s="691"/>
    </row>
    <row r="7" spans="1:85" s="635" customFormat="1" x14ac:dyDescent="0.4">
      <c r="A7" s="632"/>
      <c r="B7" s="632"/>
      <c r="C7" s="633"/>
      <c r="D7" s="633"/>
      <c r="BG7" s="691"/>
    </row>
    <row r="8" spans="1:85" s="635" customFormat="1" x14ac:dyDescent="0.4">
      <c r="A8" s="632"/>
      <c r="B8" s="632"/>
      <c r="C8" s="633" t="str">
        <f>'Read Me'!B8</f>
        <v xml:space="preserve">California Climate Investments </v>
      </c>
      <c r="D8" s="633"/>
      <c r="E8" s="632"/>
      <c r="F8" s="632"/>
      <c r="G8" s="632"/>
      <c r="H8" s="632"/>
      <c r="I8" s="632"/>
      <c r="J8" s="632"/>
      <c r="K8" s="632"/>
      <c r="L8" s="632"/>
      <c r="M8" s="632"/>
      <c r="N8" s="632"/>
      <c r="O8" s="632"/>
      <c r="P8" s="632"/>
      <c r="BG8" s="691"/>
    </row>
    <row r="9" spans="1:85" s="635" customFormat="1" ht="15.5" x14ac:dyDescent="0.35">
      <c r="BG9" s="691"/>
    </row>
    <row r="10" spans="1:85" s="635" customFormat="1" ht="15.5" x14ac:dyDescent="0.35">
      <c r="BE10" s="861"/>
    </row>
    <row r="11" spans="1:85" s="635" customFormat="1" ht="15.5" x14ac:dyDescent="0.35">
      <c r="B11" s="621" t="s">
        <v>8</v>
      </c>
      <c r="C11" s="621"/>
      <c r="BE11" s="861"/>
    </row>
    <row r="12" spans="1:85" s="635" customFormat="1" ht="15" customHeight="1" x14ac:dyDescent="0.35">
      <c r="B12" s="693" t="s">
        <v>3616</v>
      </c>
      <c r="C12" s="694"/>
      <c r="D12" s="641"/>
      <c r="E12" s="641"/>
      <c r="F12" s="641"/>
      <c r="G12" s="641"/>
      <c r="H12" s="641"/>
      <c r="I12" s="641"/>
      <c r="J12" s="641"/>
      <c r="K12" s="641"/>
      <c r="L12" s="641"/>
      <c r="M12" s="641"/>
      <c r="N12" s="641"/>
      <c r="O12" s="643"/>
      <c r="BE12" s="861"/>
    </row>
    <row r="13" spans="1:85" s="635" customFormat="1" ht="15" customHeight="1" x14ac:dyDescent="0.35">
      <c r="B13" s="631" t="s">
        <v>3650</v>
      </c>
      <c r="C13" s="695"/>
      <c r="D13" s="644"/>
      <c r="E13" s="644"/>
      <c r="F13" s="644"/>
      <c r="G13" s="644"/>
      <c r="H13" s="644"/>
      <c r="I13" s="644"/>
      <c r="J13" s="644"/>
      <c r="K13" s="644"/>
      <c r="L13" s="644"/>
      <c r="M13" s="644"/>
      <c r="N13" s="644"/>
      <c r="O13" s="646"/>
      <c r="BE13" s="861"/>
    </row>
    <row r="14" spans="1:85" s="697" customFormat="1" ht="18" customHeight="1" x14ac:dyDescent="0.35">
      <c r="A14" s="696"/>
      <c r="D14" s="698"/>
      <c r="E14" s="698"/>
      <c r="AP14" s="699"/>
      <c r="AQ14" s="699"/>
      <c r="AT14" s="699"/>
      <c r="AU14" s="699"/>
      <c r="AV14" s="699"/>
      <c r="AW14" s="699"/>
      <c r="AX14" s="699"/>
      <c r="AY14" s="699"/>
      <c r="BE14" s="862"/>
      <c r="BG14" s="700"/>
      <c r="BH14" s="700"/>
      <c r="BI14" s="700"/>
    </row>
    <row r="15" spans="1:85" s="697" customFormat="1" ht="18" customHeight="1" x14ac:dyDescent="0.35">
      <c r="A15" s="696"/>
      <c r="B15" s="647" t="s">
        <v>35</v>
      </c>
      <c r="C15" s="647"/>
      <c r="D15" s="698"/>
      <c r="E15" s="698"/>
      <c r="AP15" s="699"/>
      <c r="AQ15" s="699"/>
      <c r="AT15" s="699"/>
      <c r="AU15" s="699"/>
      <c r="AV15" s="699"/>
      <c r="AW15" s="699"/>
      <c r="AX15" s="699"/>
      <c r="AY15" s="699"/>
      <c r="BE15" s="862"/>
      <c r="BG15" s="700"/>
      <c r="BH15" s="700"/>
      <c r="BI15" s="700"/>
    </row>
    <row r="16" spans="1:85" ht="18" customHeight="1" thickBot="1" x14ac:dyDescent="0.4">
      <c r="B16" s="702"/>
      <c r="C16" s="702"/>
      <c r="D16" s="703"/>
      <c r="E16" s="703"/>
      <c r="F16" s="703"/>
      <c r="G16" s="703"/>
      <c r="H16" s="703"/>
      <c r="I16" s="703"/>
      <c r="J16" s="703"/>
      <c r="K16" s="703"/>
      <c r="L16" s="703"/>
      <c r="M16" s="703"/>
      <c r="N16" s="703"/>
      <c r="O16" s="703"/>
      <c r="P16" s="703"/>
      <c r="Q16" s="703"/>
      <c r="R16" s="703"/>
      <c r="S16" s="703"/>
      <c r="T16" s="703"/>
      <c r="U16" s="703"/>
      <c r="V16" s="703"/>
      <c r="W16" s="703"/>
      <c r="X16" s="703"/>
      <c r="Y16" s="703"/>
      <c r="Z16" s="703"/>
      <c r="AA16" s="703"/>
      <c r="AB16" s="703"/>
      <c r="AC16" s="703"/>
      <c r="AD16" s="703"/>
      <c r="AE16" s="703"/>
      <c r="AF16" s="703"/>
      <c r="AG16" s="703"/>
      <c r="AH16" s="703"/>
      <c r="AI16" s="703"/>
      <c r="AJ16" s="703"/>
      <c r="AK16" s="703"/>
      <c r="AL16" s="703"/>
      <c r="AM16" s="703"/>
      <c r="AN16" s="703"/>
      <c r="AO16" s="703"/>
      <c r="AP16" s="705"/>
      <c r="AQ16" s="705"/>
      <c r="AR16" s="703"/>
      <c r="AS16" s="703"/>
      <c r="AT16" s="705"/>
      <c r="AU16" s="705"/>
      <c r="AV16" s="705"/>
      <c r="AW16" s="705"/>
      <c r="AX16" s="705"/>
      <c r="AY16" s="705"/>
      <c r="AZ16" s="703"/>
      <c r="BA16" s="703"/>
      <c r="BB16" s="705"/>
      <c r="BC16" s="705"/>
      <c r="BD16" s="705"/>
      <c r="BE16" s="863"/>
      <c r="BF16" s="705"/>
      <c r="BG16" s="705"/>
      <c r="BH16" s="705"/>
      <c r="BI16" s="703"/>
      <c r="BJ16" s="703"/>
      <c r="BK16" s="705"/>
      <c r="BL16" s="703"/>
      <c r="BM16" s="703"/>
      <c r="BN16" s="703"/>
      <c r="BO16" s="703"/>
      <c r="BP16" s="703"/>
      <c r="BQ16" s="703"/>
      <c r="BR16" s="703"/>
      <c r="BS16" s="703"/>
      <c r="BT16" s="705"/>
      <c r="BU16" s="705"/>
      <c r="BV16" s="705"/>
      <c r="BW16" s="705"/>
      <c r="BX16" s="708"/>
      <c r="BY16" s="708"/>
      <c r="BZ16" s="708"/>
      <c r="CA16" s="708"/>
      <c r="CB16" s="708"/>
      <c r="CC16" s="708"/>
      <c r="CD16" s="708"/>
      <c r="CE16" s="708"/>
      <c r="CF16" s="708"/>
      <c r="CG16" s="708"/>
    </row>
    <row r="17" spans="1:86" s="709" customFormat="1" ht="18" customHeight="1" x14ac:dyDescent="0.35">
      <c r="B17" s="710" t="s">
        <v>23</v>
      </c>
      <c r="C17" s="711"/>
      <c r="D17" s="713"/>
      <c r="E17" s="712"/>
      <c r="F17" s="864" t="s">
        <v>282</v>
      </c>
      <c r="G17" s="714"/>
      <c r="H17" s="714"/>
      <c r="I17" s="714"/>
      <c r="J17" s="714"/>
      <c r="K17" s="714"/>
      <c r="L17" s="714"/>
      <c r="M17" s="714"/>
      <c r="N17" s="714"/>
      <c r="O17" s="714"/>
      <c r="P17" s="714"/>
      <c r="Q17" s="714"/>
      <c r="R17" s="714"/>
      <c r="S17" s="714"/>
      <c r="T17" s="714"/>
      <c r="U17" s="714"/>
      <c r="V17" s="714"/>
      <c r="W17" s="714"/>
      <c r="X17" s="714"/>
      <c r="Y17" s="714"/>
      <c r="Z17" s="714"/>
      <c r="AA17" s="865"/>
      <c r="AB17" s="866"/>
      <c r="AC17" s="866"/>
      <c r="AD17" s="867"/>
      <c r="AE17" s="716"/>
      <c r="AF17" s="716" t="s">
        <v>283</v>
      </c>
      <c r="AG17" s="716"/>
      <c r="AH17" s="716"/>
      <c r="AI17" s="716"/>
      <c r="AJ17" s="716"/>
      <c r="AK17" s="716"/>
      <c r="AL17" s="716"/>
      <c r="AM17" s="716"/>
      <c r="AN17" s="716"/>
      <c r="AO17" s="716"/>
      <c r="AP17" s="716"/>
      <c r="AQ17" s="716"/>
      <c r="AR17" s="716"/>
      <c r="AS17" s="716"/>
      <c r="AT17" s="716"/>
      <c r="AU17" s="716"/>
      <c r="AV17" s="716"/>
      <c r="AW17" s="716"/>
      <c r="AX17" s="716"/>
      <c r="AY17" s="716"/>
      <c r="AZ17" s="866"/>
      <c r="BA17" s="868"/>
      <c r="BB17" s="869" t="s">
        <v>609</v>
      </c>
      <c r="BC17" s="869"/>
      <c r="BD17" s="869"/>
      <c r="BE17" s="870"/>
      <c r="BF17" s="871"/>
      <c r="BG17" s="872" t="s">
        <v>583</v>
      </c>
      <c r="BH17" s="872"/>
      <c r="BI17" s="873" t="s">
        <v>45</v>
      </c>
      <c r="BJ17" s="872"/>
      <c r="BK17" s="867" t="s">
        <v>608</v>
      </c>
      <c r="BL17" s="874"/>
      <c r="BM17" s="874"/>
      <c r="BN17" s="874"/>
      <c r="BO17" s="874"/>
      <c r="BP17" s="874"/>
      <c r="BQ17" s="874"/>
      <c r="BR17" s="874"/>
      <c r="BS17" s="875"/>
      <c r="BT17" s="869" t="s">
        <v>610</v>
      </c>
      <c r="BU17" s="869"/>
      <c r="BV17" s="869"/>
      <c r="BW17" s="869"/>
      <c r="BX17" s="743" t="s">
        <v>285</v>
      </c>
      <c r="BY17" s="743"/>
      <c r="BZ17" s="743"/>
      <c r="CA17" s="743"/>
      <c r="CB17" s="743"/>
      <c r="CC17" s="743"/>
      <c r="CD17" s="743"/>
      <c r="CE17" s="743"/>
      <c r="CF17" s="743"/>
      <c r="CG17" s="743"/>
      <c r="CH17" s="744"/>
    </row>
    <row r="18" spans="1:86" s="709" customFormat="1" ht="78" thickBot="1" x14ac:dyDescent="0.4">
      <c r="B18" s="745" t="s">
        <v>379</v>
      </c>
      <c r="C18" s="746"/>
      <c r="D18" s="745" t="s">
        <v>381</v>
      </c>
      <c r="E18" s="746"/>
      <c r="F18" s="876" t="s">
        <v>557</v>
      </c>
      <c r="G18" s="877"/>
      <c r="H18" s="876" t="s">
        <v>611</v>
      </c>
      <c r="I18" s="877"/>
      <c r="J18" s="876" t="s">
        <v>598</v>
      </c>
      <c r="K18" s="877"/>
      <c r="L18" s="876" t="s">
        <v>599</v>
      </c>
      <c r="M18" s="877"/>
      <c r="N18" s="876" t="s">
        <v>600</v>
      </c>
      <c r="O18" s="877"/>
      <c r="P18" s="876" t="s">
        <v>601</v>
      </c>
      <c r="Q18" s="877"/>
      <c r="R18" s="876" t="s">
        <v>612</v>
      </c>
      <c r="S18" s="877"/>
      <c r="T18" s="876" t="s">
        <v>603</v>
      </c>
      <c r="U18" s="877"/>
      <c r="V18" s="876" t="s">
        <v>613</v>
      </c>
      <c r="W18" s="877"/>
      <c r="X18" s="878" t="s">
        <v>701</v>
      </c>
      <c r="Y18" s="879"/>
      <c r="Z18" s="878" t="s">
        <v>578</v>
      </c>
      <c r="AA18" s="879"/>
      <c r="AB18" s="880" t="s">
        <v>584</v>
      </c>
      <c r="AC18" s="881" t="s">
        <v>589</v>
      </c>
      <c r="AD18" s="882" t="s">
        <v>560</v>
      </c>
      <c r="AE18" s="883"/>
      <c r="AF18" s="882" t="s">
        <v>614</v>
      </c>
      <c r="AG18" s="883"/>
      <c r="AH18" s="882" t="s">
        <v>567</v>
      </c>
      <c r="AI18" s="883"/>
      <c r="AJ18" s="882" t="s">
        <v>615</v>
      </c>
      <c r="AK18" s="883"/>
      <c r="AL18" s="882" t="s">
        <v>569</v>
      </c>
      <c r="AM18" s="883"/>
      <c r="AN18" s="882" t="s">
        <v>568</v>
      </c>
      <c r="AO18" s="883"/>
      <c r="AP18" s="882" t="s">
        <v>616</v>
      </c>
      <c r="AQ18" s="883"/>
      <c r="AR18" s="882" t="s">
        <v>593</v>
      </c>
      <c r="AS18" s="883"/>
      <c r="AT18" s="882" t="s">
        <v>617</v>
      </c>
      <c r="AU18" s="883"/>
      <c r="AV18" s="882" t="s">
        <v>702</v>
      </c>
      <c r="AW18" s="883"/>
      <c r="AX18" s="882" t="s">
        <v>580</v>
      </c>
      <c r="AY18" s="883"/>
      <c r="AZ18" s="884" t="s">
        <v>585</v>
      </c>
      <c r="BA18" s="885" t="s">
        <v>590</v>
      </c>
      <c r="BB18" s="769" t="s">
        <v>581</v>
      </c>
      <c r="BC18" s="759" t="s">
        <v>582</v>
      </c>
      <c r="BD18" s="759" t="s">
        <v>597</v>
      </c>
      <c r="BE18" s="886" t="s">
        <v>292</v>
      </c>
      <c r="BF18" s="758" t="s">
        <v>293</v>
      </c>
      <c r="BG18" s="761" t="s">
        <v>3618</v>
      </c>
      <c r="BH18" s="761" t="s">
        <v>3619</v>
      </c>
      <c r="BI18" s="759" t="s">
        <v>3620</v>
      </c>
      <c r="BJ18" s="759" t="s">
        <v>3621</v>
      </c>
      <c r="BK18" s="887" t="s">
        <v>294</v>
      </c>
      <c r="BL18" s="888" t="s">
        <v>3622</v>
      </c>
      <c r="BM18" s="888" t="s">
        <v>413</v>
      </c>
      <c r="BN18" s="888" t="s">
        <v>3623</v>
      </c>
      <c r="BO18" s="888" t="s">
        <v>3624</v>
      </c>
      <c r="BP18" s="889" t="s">
        <v>442</v>
      </c>
      <c r="BQ18" s="889" t="s">
        <v>443</v>
      </c>
      <c r="BR18" s="889" t="s">
        <v>444</v>
      </c>
      <c r="BS18" s="889" t="s">
        <v>445</v>
      </c>
      <c r="BT18" s="770" t="s">
        <v>418</v>
      </c>
      <c r="BU18" s="770" t="s">
        <v>419</v>
      </c>
      <c r="BV18" s="770" t="s">
        <v>420</v>
      </c>
      <c r="BW18" s="770" t="s">
        <v>336</v>
      </c>
      <c r="BX18" s="771" t="s">
        <v>296</v>
      </c>
      <c r="BY18" s="771" t="s">
        <v>3627</v>
      </c>
      <c r="BZ18" s="771" t="s">
        <v>448</v>
      </c>
      <c r="CA18" s="771" t="s">
        <v>3628</v>
      </c>
      <c r="CB18" s="771" t="s">
        <v>449</v>
      </c>
      <c r="CC18" s="771" t="s">
        <v>450</v>
      </c>
      <c r="CD18" s="771" t="s">
        <v>3629</v>
      </c>
      <c r="CE18" s="771" t="s">
        <v>451</v>
      </c>
      <c r="CF18" s="771" t="s">
        <v>452</v>
      </c>
      <c r="CG18" s="890" t="s">
        <v>240</v>
      </c>
    </row>
    <row r="19" spans="1:86" s="773" customFormat="1" ht="94" hidden="1" thickTop="1" thickBot="1" x14ac:dyDescent="0.4">
      <c r="B19" s="891" t="s">
        <v>379</v>
      </c>
      <c r="C19" s="892" t="s">
        <v>30</v>
      </c>
      <c r="D19" s="893" t="s">
        <v>381</v>
      </c>
      <c r="E19" s="892" t="s">
        <v>489</v>
      </c>
      <c r="F19" s="894" t="s">
        <v>557</v>
      </c>
      <c r="G19" s="892" t="s">
        <v>490</v>
      </c>
      <c r="H19" s="893" t="s">
        <v>562</v>
      </c>
      <c r="I19" s="892" t="s">
        <v>491</v>
      </c>
      <c r="J19" s="893" t="s">
        <v>598</v>
      </c>
      <c r="K19" s="892" t="s">
        <v>493</v>
      </c>
      <c r="L19" s="893" t="s">
        <v>599</v>
      </c>
      <c r="M19" s="892" t="s">
        <v>492</v>
      </c>
      <c r="N19" s="893" t="s">
        <v>600</v>
      </c>
      <c r="O19" s="892" t="s">
        <v>494</v>
      </c>
      <c r="P19" s="895" t="s">
        <v>601</v>
      </c>
      <c r="Q19" s="892" t="s">
        <v>495</v>
      </c>
      <c r="R19" s="893" t="s">
        <v>602</v>
      </c>
      <c r="S19" s="892" t="s">
        <v>573</v>
      </c>
      <c r="T19" s="893" t="s">
        <v>603</v>
      </c>
      <c r="U19" s="892" t="s">
        <v>574</v>
      </c>
      <c r="V19" s="896" t="s">
        <v>604</v>
      </c>
      <c r="W19" s="892" t="s">
        <v>575</v>
      </c>
      <c r="X19" s="897" t="s">
        <v>701</v>
      </c>
      <c r="Y19" s="892" t="s">
        <v>591</v>
      </c>
      <c r="Z19" s="897" t="s">
        <v>605</v>
      </c>
      <c r="AA19" s="892" t="s">
        <v>577</v>
      </c>
      <c r="AB19" s="898" t="s">
        <v>584</v>
      </c>
      <c r="AC19" s="898" t="s">
        <v>588</v>
      </c>
      <c r="AD19" s="894" t="s">
        <v>560</v>
      </c>
      <c r="AE19" s="892" t="s">
        <v>558</v>
      </c>
      <c r="AF19" s="893" t="s">
        <v>561</v>
      </c>
      <c r="AG19" s="892" t="s">
        <v>559</v>
      </c>
      <c r="AH19" s="893" t="s">
        <v>567</v>
      </c>
      <c r="AI19" s="892" t="s">
        <v>563</v>
      </c>
      <c r="AJ19" s="893" t="s">
        <v>570</v>
      </c>
      <c r="AK19" s="892" t="s">
        <v>564</v>
      </c>
      <c r="AL19" s="893" t="s">
        <v>569</v>
      </c>
      <c r="AM19" s="892" t="s">
        <v>565</v>
      </c>
      <c r="AN19" s="895" t="s">
        <v>568</v>
      </c>
      <c r="AO19" s="892" t="s">
        <v>566</v>
      </c>
      <c r="AP19" s="893" t="s">
        <v>606</v>
      </c>
      <c r="AQ19" s="892" t="s">
        <v>572</v>
      </c>
      <c r="AR19" s="893" t="s">
        <v>593</v>
      </c>
      <c r="AS19" s="892" t="s">
        <v>571</v>
      </c>
      <c r="AT19" s="893" t="s">
        <v>607</v>
      </c>
      <c r="AU19" s="892" t="s">
        <v>576</v>
      </c>
      <c r="AV19" s="893" t="s">
        <v>703</v>
      </c>
      <c r="AW19" s="892" t="s">
        <v>579</v>
      </c>
      <c r="AX19" s="893" t="s">
        <v>580</v>
      </c>
      <c r="AY19" s="892" t="s">
        <v>592</v>
      </c>
      <c r="AZ19" s="898" t="s">
        <v>585</v>
      </c>
      <c r="BA19" s="898" t="s">
        <v>587</v>
      </c>
      <c r="BB19" s="899" t="s">
        <v>581</v>
      </c>
      <c r="BC19" s="899" t="s">
        <v>582</v>
      </c>
      <c r="BD19" s="899" t="s">
        <v>597</v>
      </c>
      <c r="BE19" s="900" t="s">
        <v>292</v>
      </c>
      <c r="BF19" s="901" t="s">
        <v>465</v>
      </c>
      <c r="BG19" s="894" t="s">
        <v>3630</v>
      </c>
      <c r="BH19" s="894" t="s">
        <v>3631</v>
      </c>
      <c r="BI19" s="899" t="s">
        <v>3632</v>
      </c>
      <c r="BJ19" s="899" t="s">
        <v>3633</v>
      </c>
      <c r="BK19" s="901" t="s">
        <v>294</v>
      </c>
      <c r="BL19" s="902" t="s">
        <v>594</v>
      </c>
      <c r="BM19" s="902" t="s">
        <v>413</v>
      </c>
      <c r="BN19" s="902" t="s">
        <v>595</v>
      </c>
      <c r="BO19" s="902" t="s">
        <v>596</v>
      </c>
      <c r="BP19" s="903" t="s">
        <v>442</v>
      </c>
      <c r="BQ19" s="903" t="s">
        <v>443</v>
      </c>
      <c r="BR19" s="903" t="s">
        <v>444</v>
      </c>
      <c r="BS19" s="903" t="s">
        <v>445</v>
      </c>
      <c r="BT19" s="904" t="s">
        <v>418</v>
      </c>
      <c r="BU19" s="904" t="s">
        <v>419</v>
      </c>
      <c r="BV19" s="904" t="s">
        <v>420</v>
      </c>
      <c r="BW19" s="904" t="s">
        <v>336</v>
      </c>
      <c r="BX19" s="905" t="s">
        <v>296</v>
      </c>
      <c r="BY19" s="905" t="s">
        <v>3627</v>
      </c>
      <c r="BZ19" s="905" t="s">
        <v>448</v>
      </c>
      <c r="CA19" s="905" t="s">
        <v>3628</v>
      </c>
      <c r="CB19" s="905" t="s">
        <v>449</v>
      </c>
      <c r="CC19" s="905" t="s">
        <v>450</v>
      </c>
      <c r="CD19" s="905" t="s">
        <v>3629</v>
      </c>
      <c r="CE19" s="905" t="s">
        <v>451</v>
      </c>
      <c r="CF19" s="905" t="s">
        <v>452</v>
      </c>
      <c r="CG19" s="906" t="s">
        <v>240</v>
      </c>
    </row>
    <row r="20" spans="1:86" s="635" customFormat="1" ht="18" customHeight="1" thickTop="1" x14ac:dyDescent="0.35">
      <c r="B20" s="907"/>
      <c r="C20" s="908" t="str">
        <f t="shared" ref="C20:C51" si="0">IF(ISBLANK(B20),"(Required)","")</f>
        <v>(Required)</v>
      </c>
      <c r="D20" s="801"/>
      <c r="E20" s="908" t="str">
        <f t="shared" ref="E20:E83" si="1">IF(ISBLANK(D20),"(Required)","")</f>
        <v>(Required)</v>
      </c>
      <c r="F20" s="909"/>
      <c r="G20" s="908" t="str">
        <f t="shared" ref="G20:G51" si="2">IF(ISBLANK(F20),"(Required)","")</f>
        <v>(Required)</v>
      </c>
      <c r="H20" s="801"/>
      <c r="I20" s="908" t="str">
        <f t="shared" ref="I20:I83" si="3">IF(ISBLANK(H20),"(Required)","")</f>
        <v>(Required)</v>
      </c>
      <c r="J20" s="801"/>
      <c r="K20" s="908" t="str">
        <f t="shared" ref="K20:K83" si="4">IF(ISBLANK(J20),"(Required)","")</f>
        <v>(Required)</v>
      </c>
      <c r="L20" s="801"/>
      <c r="M20" s="908" t="str">
        <f t="shared" ref="M20:M83" si="5">IF(ISBLANK(L20),"(Required)","")</f>
        <v>(Required)</v>
      </c>
      <c r="N20" s="801"/>
      <c r="O20" s="908" t="str">
        <f t="shared" ref="O20:O83" si="6">IF(ISBLANK(N20),"(Required)","")</f>
        <v>(Required)</v>
      </c>
      <c r="P20" s="910"/>
      <c r="Q20" s="908" t="str">
        <f t="shared" ref="Q20:Q83" si="7">IF(ISBLANK(P20),"(Optional)","")</f>
        <v>(Optional)</v>
      </c>
      <c r="R20" s="801"/>
      <c r="S20" s="908" t="str">
        <f t="shared" ref="S20:S51" si="8">IF(ISBLANK(R20),"(Required)","")</f>
        <v>(Required)</v>
      </c>
      <c r="T20" s="800"/>
      <c r="U20" s="911" t="str">
        <f t="shared" ref="U20:W83" si="9">IF(ISBLANK(T20),"(Optional)","")</f>
        <v>(Optional)</v>
      </c>
      <c r="V20" s="800"/>
      <c r="W20" s="911" t="str">
        <f t="shared" si="9"/>
        <v>(Optional)</v>
      </c>
      <c r="X20" s="912"/>
      <c r="Y20" s="908" t="str">
        <f t="shared" ref="Y20:Y51" si="10">IF(ISBLANK(X20),"(Required)","")</f>
        <v>(Required)</v>
      </c>
      <c r="Z20" s="912"/>
      <c r="AA20" s="908" t="str">
        <f t="shared" ref="AA20:AA51" si="11">IF(ISBLANK(Z20),"(Required)","")</f>
        <v>(Required)</v>
      </c>
      <c r="AB20" s="913"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0" s="909"/>
      <c r="AE20" s="908" t="str">
        <f t="shared" ref="AE20:AE83" si="12">IF(ISBLANK(AD20),"(Required)","")</f>
        <v>(Required)</v>
      </c>
      <c r="AF20" s="801"/>
      <c r="AG20" s="908" t="str">
        <f t="shared" ref="AG20:AG83" si="13">IF(ISBLANK(AF20),"(Required)","")</f>
        <v>(Required)</v>
      </c>
      <c r="AH20" s="801"/>
      <c r="AI20" s="908" t="str">
        <f t="shared" ref="AI20:AI83" si="14">IF(ISBLANK(AH20),"(Required)","")</f>
        <v>(Required)</v>
      </c>
      <c r="AJ20" s="801"/>
      <c r="AK20" s="908" t="str">
        <f t="shared" ref="AK20:AK83" si="15">IF(ISBLANK(AJ20),"(Required)","")</f>
        <v>(Required)</v>
      </c>
      <c r="AL20" s="801"/>
      <c r="AM20" s="908" t="str">
        <f t="shared" ref="AM20:AM83" si="16">IF(ISBLANK(AL20),"(Required)","")</f>
        <v>(Required)</v>
      </c>
      <c r="AN20" s="910"/>
      <c r="AO20" s="908" t="str">
        <f t="shared" ref="AO20:AO51" si="17">IF(ISBLANK(AN20),"(Required)","")</f>
        <v>(Required)</v>
      </c>
      <c r="AP20" s="801"/>
      <c r="AQ20" s="908" t="str">
        <f t="shared" ref="AQ20:AQ51" si="18">IF(ISBLANK(AP20),"(Required)","")</f>
        <v>(Required)</v>
      </c>
      <c r="AR20" s="914"/>
      <c r="AS20" s="911" t="str">
        <f t="shared" ref="AS20:AS51" si="19">IF(ISBLANK(AR20),"(Optional)","")</f>
        <v>(Optional)</v>
      </c>
      <c r="AT20" s="914"/>
      <c r="AU20" s="911" t="str">
        <f t="shared" ref="AU20:AU83" si="20">IF(ISBLANK(AT20),"(Optional)","")</f>
        <v>(Optional)</v>
      </c>
      <c r="AV20" s="915"/>
      <c r="AW20" s="908" t="str">
        <f t="shared" ref="AW20:AW51" si="21">IF(ISBLANK(AV20),"(Required)","")</f>
        <v>(Required)</v>
      </c>
      <c r="AX20" s="915"/>
      <c r="AY20" s="908" t="str">
        <f t="shared" ref="AY20:AY51" si="22">IF(ISBLANK(AX20),"(Required)","")</f>
        <v>(Required)</v>
      </c>
      <c r="AZ20" s="913"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0" s="913">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0" s="916">
        <f>IFERROR(IF(Table411[[#This Row],[Is Baseline Pump Motor Energy Use Known? (Yes/No)]]="Yes",(Table411[[#This Row],[Annual Baseline Energy Use (kWh/yr)]]),(Table411[[#This Row],[Baseline Motor Energy Use (kWh)]])),0)</f>
        <v>0</v>
      </c>
      <c r="BC20" s="916">
        <f>IFERROR(IF(Table411[[#This Row],[Is Replacement Pump Motor Energy Use Known? (Yes/No)]]="Yes",(Table411[[#This Row],[Annual Replacement Energy Use (kWh/yr)]]),(Table411[[#This Row],[Replacement Motor Energy Use (kWh)]])),0)</f>
        <v>0</v>
      </c>
      <c r="BD20" s="916">
        <f>SUM((Table411[[#This Row],[Baseline Annual Energy Use]]-Table411[[#This Row],[Replacement Annual Energy Use]]),(Table411[[#This Row],[Replacement VFD Energy Savings (kWh)]]-Table411[[#This Row],[Baseline VFD Energy Savings (kWh)]]))</f>
        <v>0</v>
      </c>
      <c r="BE20" s="917">
        <f>'Grid Electricity'!$B$19</f>
        <v>2.1064475489616943E-4</v>
      </c>
      <c r="BF20" s="918" t="s">
        <v>586</v>
      </c>
      <c r="BG20" s="919">
        <f>Table411[[#This Row],[Baseline Annual Energy Use]]*Table411[[#This Row],[Fuel Carbon Content]]</f>
        <v>0</v>
      </c>
      <c r="BH20" s="919">
        <f>Table411[[#This Row],[Replacement Annual Energy Use]]*Table411[[#This Row],[Fuel Carbon Content]]</f>
        <v>0</v>
      </c>
      <c r="BI20" s="919">
        <f t="shared" ref="BI20:BI83" si="23">IF(AND(BG20="",BH20=""),"",(BG20-BH20))</f>
        <v>0</v>
      </c>
      <c r="BJ20" s="916">
        <f t="shared" ref="BJ20:BJ51" si="24">IFERROR((BI20*D20),"")</f>
        <v>0</v>
      </c>
      <c r="BK20" s="920">
        <v>0.76</v>
      </c>
      <c r="BL20" s="921">
        <f>IFERROR(BD20*'Grid Electricity'!$D$39,0)</f>
        <v>0</v>
      </c>
      <c r="BM20" s="921">
        <f>IFERROR(BD20*'Grid Electricity'!$C$39,0)</f>
        <v>0</v>
      </c>
      <c r="BN20" s="921">
        <f>IFERROR(BD20*'Grid Electricity'!$F$39,0)</f>
        <v>0</v>
      </c>
      <c r="BO20" s="921">
        <f t="shared" ref="BO20:BO51" si="25">IF(BN20=0,0,BN20*BK20)</f>
        <v>0</v>
      </c>
      <c r="BP20" s="922">
        <f t="shared" ref="BP20:BP51" si="26">BL20</f>
        <v>0</v>
      </c>
      <c r="BQ20" s="922">
        <f t="shared" ref="BQ20:BQ51" si="27">BM20</f>
        <v>0</v>
      </c>
      <c r="BR20" s="922">
        <f t="shared" ref="BR20:BR51" si="28">BN20</f>
        <v>0</v>
      </c>
      <c r="BS20" s="922">
        <f t="shared" ref="BS20:BS51" si="29">BO20</f>
        <v>0</v>
      </c>
      <c r="BT20" s="923">
        <f>((BB20-AB20)*'Fuel Prices'!$C$27)*(IF(ISBLANK(D20),15,D20))</f>
        <v>0</v>
      </c>
      <c r="BU20" s="923">
        <f>((BC20-AZ20)*'Fuel Prices'!$C$27)*(IF(ISBLANK(D20),15,D20))</f>
        <v>0</v>
      </c>
      <c r="BV20" s="923">
        <f t="shared" ref="BV20:BV51" si="30">BW20/(IF(ISBLANK(D20),15,D20))</f>
        <v>0</v>
      </c>
      <c r="BW20" s="923">
        <f t="shared" ref="BW20:BW51" si="31">IFERROR(BT20-BU20,"")</f>
        <v>0</v>
      </c>
      <c r="BX20" s="916" t="str">
        <f t="shared" ref="BX20:BX51" si="32">IF(AND(D20="",B20=""),"",IF(D20="",15,""))</f>
        <v/>
      </c>
      <c r="BY20" s="916">
        <f t="shared" ref="BY20:BY51" si="33">IFERROR(ROUND(BJ20,0),"")</f>
        <v>0</v>
      </c>
      <c r="BZ20" s="916">
        <v>0</v>
      </c>
      <c r="CA20" s="916">
        <f>IFERROR(ROUND(BL20,1),"")</f>
        <v>0</v>
      </c>
      <c r="CB20" s="916">
        <f>IFERROR(ROUND(BO20,1),"")</f>
        <v>0</v>
      </c>
      <c r="CC20" s="916">
        <f>IFERROR(ROUND(BM20,1),"")</f>
        <v>0</v>
      </c>
      <c r="CD20" s="916">
        <f>IFERROR(ROUND(BP20,1),"")</f>
        <v>0</v>
      </c>
      <c r="CE20" s="916">
        <f>IFERROR(ROUND(BS20,1),"")</f>
        <v>0</v>
      </c>
      <c r="CF20" s="916">
        <f>IFERROR(ROUND(BQ20,1),"")</f>
        <v>0</v>
      </c>
      <c r="CG20" s="923">
        <f>IFERROR(ROUND(BW20,0),"")</f>
        <v>0</v>
      </c>
    </row>
    <row r="21" spans="1:86" s="696" customFormat="1" ht="18" customHeight="1" x14ac:dyDescent="0.35">
      <c r="B21" s="820"/>
      <c r="C21" s="795" t="str">
        <f t="shared" si="0"/>
        <v>(Required)</v>
      </c>
      <c r="D21" s="821"/>
      <c r="E21" s="795" t="str">
        <f t="shared" si="1"/>
        <v>(Required)</v>
      </c>
      <c r="F21" s="822"/>
      <c r="G21" s="795" t="str">
        <f t="shared" si="2"/>
        <v>(Required)</v>
      </c>
      <c r="H21" s="821"/>
      <c r="I21" s="795" t="str">
        <f t="shared" si="3"/>
        <v>(Required)</v>
      </c>
      <c r="J21" s="821"/>
      <c r="K21" s="795" t="str">
        <f t="shared" si="4"/>
        <v>(Required)</v>
      </c>
      <c r="L21" s="821"/>
      <c r="M21" s="795" t="str">
        <f t="shared" si="5"/>
        <v>(Required)</v>
      </c>
      <c r="N21" s="821"/>
      <c r="O21" s="795" t="str">
        <f t="shared" si="6"/>
        <v>(Required)</v>
      </c>
      <c r="P21" s="924"/>
      <c r="Q21" s="795" t="str">
        <f t="shared" si="7"/>
        <v>(Optional)</v>
      </c>
      <c r="R21" s="821"/>
      <c r="S21" s="795" t="str">
        <f t="shared" si="8"/>
        <v>(Required)</v>
      </c>
      <c r="T21" s="824"/>
      <c r="U21" s="799" t="str">
        <f t="shared" si="9"/>
        <v>(Optional)</v>
      </c>
      <c r="V21" s="824"/>
      <c r="W21" s="799" t="str">
        <f t="shared" si="9"/>
        <v>(Optional)</v>
      </c>
      <c r="X21" s="925"/>
      <c r="Y21" s="926" t="str">
        <f t="shared" si="10"/>
        <v>(Required)</v>
      </c>
      <c r="Z21" s="925"/>
      <c r="AA21" s="926" t="str">
        <f t="shared" si="11"/>
        <v>(Required)</v>
      </c>
      <c r="AB2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1" s="822"/>
      <c r="AE21" s="795" t="str">
        <f t="shared" si="12"/>
        <v>(Required)</v>
      </c>
      <c r="AF21" s="821"/>
      <c r="AG21" s="795" t="str">
        <f t="shared" si="13"/>
        <v>(Required)</v>
      </c>
      <c r="AH21" s="821"/>
      <c r="AI21" s="795" t="str">
        <f t="shared" si="14"/>
        <v>(Required)</v>
      </c>
      <c r="AJ21" s="821"/>
      <c r="AK21" s="795" t="str">
        <f t="shared" si="15"/>
        <v>(Required)</v>
      </c>
      <c r="AL21" s="821"/>
      <c r="AM21" s="795" t="str">
        <f t="shared" si="16"/>
        <v>(Required)</v>
      </c>
      <c r="AN21" s="924"/>
      <c r="AO21" s="795" t="str">
        <f t="shared" si="17"/>
        <v>(Required)</v>
      </c>
      <c r="AP21" s="821"/>
      <c r="AQ21" s="827" t="str">
        <f t="shared" si="18"/>
        <v>(Required)</v>
      </c>
      <c r="AR21" s="928"/>
      <c r="AS21" s="799" t="str">
        <f t="shared" si="19"/>
        <v>(Optional)</v>
      </c>
      <c r="AT21" s="928"/>
      <c r="AU21" s="799" t="str">
        <f t="shared" si="20"/>
        <v>(Optional)</v>
      </c>
      <c r="AV21" s="929"/>
      <c r="AW21" s="795" t="str">
        <f t="shared" si="21"/>
        <v>(Required)</v>
      </c>
      <c r="AX21" s="929"/>
      <c r="AY21" s="795" t="str">
        <f t="shared" si="22"/>
        <v>(Required)</v>
      </c>
      <c r="AZ2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1" s="804">
        <f>IFERROR(IF(Table411[[#This Row],[Is Baseline Pump Motor Energy Use Known? (Yes/No)]]="Yes",(Table411[[#This Row],[Annual Baseline Energy Use (kWh/yr)]]),(Table411[[#This Row],[Baseline Motor Energy Use (kWh)]])),0)</f>
        <v>0</v>
      </c>
      <c r="BC21" s="804">
        <f>IFERROR(IF(Table411[[#This Row],[Is Replacement Pump Motor Energy Use Known? (Yes/No)]]="Yes",(Table411[[#This Row],[Annual Replacement Energy Use (kWh/yr)]]),(Table411[[#This Row],[Replacement Motor Energy Use (kWh)]])),0)</f>
        <v>0</v>
      </c>
      <c r="BD21" s="804">
        <f>SUM((Table411[[#This Row],[Baseline Annual Energy Use]]-Table411[[#This Row],[Replacement Annual Energy Use]]),(Table411[[#This Row],[Replacement VFD Energy Savings (kWh)]]-Table411[[#This Row],[Baseline VFD Energy Savings (kWh)]]))</f>
        <v>0</v>
      </c>
      <c r="BE21" s="930">
        <f>'Grid Electricity'!$B$19</f>
        <v>2.1064475489616943E-4</v>
      </c>
      <c r="BF21" s="803" t="s">
        <v>586</v>
      </c>
      <c r="BG21" s="806">
        <f>Table411[[#This Row],[Baseline Annual Energy Use]]*Table411[[#This Row],[Fuel Carbon Content]]</f>
        <v>0</v>
      </c>
      <c r="BH21" s="806">
        <f>Table411[[#This Row],[Replacement Annual Energy Use]]*Table411[[#This Row],[Fuel Carbon Content]]</f>
        <v>0</v>
      </c>
      <c r="BI21" s="806">
        <f t="shared" si="23"/>
        <v>0</v>
      </c>
      <c r="BJ21" s="804">
        <f t="shared" si="24"/>
        <v>0</v>
      </c>
      <c r="BK21" s="807">
        <v>0.76</v>
      </c>
      <c r="BL21" s="813">
        <f>IFERROR(BD21*'Grid Electricity'!$D$39,0)</f>
        <v>0</v>
      </c>
      <c r="BM21" s="813">
        <f>IFERROR(BD21*'Grid Electricity'!$C$39,0)</f>
        <v>0</v>
      </c>
      <c r="BN21" s="813">
        <f>IFERROR(BD21*'Grid Electricity'!$F$39,0)</f>
        <v>0</v>
      </c>
      <c r="BO21" s="813">
        <f t="shared" si="25"/>
        <v>0</v>
      </c>
      <c r="BP21" s="814">
        <f t="shared" si="26"/>
        <v>0</v>
      </c>
      <c r="BQ21" s="814">
        <f t="shared" si="27"/>
        <v>0</v>
      </c>
      <c r="BR21" s="814">
        <f t="shared" si="28"/>
        <v>0</v>
      </c>
      <c r="BS21" s="814">
        <f t="shared" si="29"/>
        <v>0</v>
      </c>
      <c r="BT21" s="818">
        <f>((BB21-AB21)*'Fuel Prices'!$C$27)*(IF(ISBLANK(D21),15,D21))</f>
        <v>0</v>
      </c>
      <c r="BU21" s="818">
        <f>((BC21-AZ21)*'Fuel Prices'!$C$27)*(IF(ISBLANK(D21),15,D21))</f>
        <v>0</v>
      </c>
      <c r="BV21" s="818">
        <f t="shared" si="30"/>
        <v>0</v>
      </c>
      <c r="BW21" s="818">
        <f t="shared" si="31"/>
        <v>0</v>
      </c>
      <c r="BX21" s="804" t="str">
        <f t="shared" si="32"/>
        <v/>
      </c>
      <c r="BY21" s="804">
        <f t="shared" si="33"/>
        <v>0</v>
      </c>
      <c r="BZ21" s="804">
        <v>0</v>
      </c>
      <c r="CA21" s="804">
        <f t="shared" ref="CA21:CA84" si="34">IFERROR(ROUND(BL21,1),"")</f>
        <v>0</v>
      </c>
      <c r="CB21" s="804">
        <f t="shared" ref="CB21:CB84" si="35">IFERROR(ROUND(BO21,1),"")</f>
        <v>0</v>
      </c>
      <c r="CC21" s="804">
        <f t="shared" ref="CC21:CC84" si="36">IFERROR(ROUND(BM21,1),"")</f>
        <v>0</v>
      </c>
      <c r="CD21" s="804">
        <f t="shared" ref="CD21:CD84" si="37">IFERROR(ROUND(BP21,1),"")</f>
        <v>0</v>
      </c>
      <c r="CE21" s="804">
        <f t="shared" ref="CE21:CE84" si="38">IFERROR(ROUND(BS21,1),"")</f>
        <v>0</v>
      </c>
      <c r="CF21" s="804">
        <f t="shared" ref="CF21:CF84" si="39">IFERROR(ROUND(BQ21,1),"")</f>
        <v>0</v>
      </c>
      <c r="CG21" s="818">
        <f t="shared" ref="CG21:CG84" si="40">IFERROR(ROUND(BW21,0),"")</f>
        <v>0</v>
      </c>
    </row>
    <row r="22" spans="1:86" ht="18" customHeight="1" x14ac:dyDescent="0.35">
      <c r="A22" s="635"/>
      <c r="B22" s="820"/>
      <c r="C22" s="795" t="str">
        <f t="shared" si="0"/>
        <v>(Required)</v>
      </c>
      <c r="D22" s="821"/>
      <c r="E22" s="795" t="str">
        <f t="shared" si="1"/>
        <v>(Required)</v>
      </c>
      <c r="F22" s="822"/>
      <c r="G22" s="795" t="str">
        <f t="shared" si="2"/>
        <v>(Required)</v>
      </c>
      <c r="H22" s="821"/>
      <c r="I22" s="795" t="str">
        <f t="shared" si="3"/>
        <v>(Required)</v>
      </c>
      <c r="J22" s="821"/>
      <c r="K22" s="795" t="str">
        <f t="shared" si="4"/>
        <v>(Required)</v>
      </c>
      <c r="L22" s="821"/>
      <c r="M22" s="795" t="str">
        <f t="shared" si="5"/>
        <v>(Required)</v>
      </c>
      <c r="N22" s="821"/>
      <c r="O22" s="795" t="str">
        <f t="shared" si="6"/>
        <v>(Required)</v>
      </c>
      <c r="P22" s="924"/>
      <c r="Q22" s="795" t="str">
        <f t="shared" si="7"/>
        <v>(Optional)</v>
      </c>
      <c r="R22" s="821"/>
      <c r="S22" s="795" t="str">
        <f t="shared" si="8"/>
        <v>(Required)</v>
      </c>
      <c r="T22" s="824"/>
      <c r="U22" s="799" t="str">
        <f t="shared" si="9"/>
        <v>(Optional)</v>
      </c>
      <c r="V22" s="824"/>
      <c r="W22" s="799" t="str">
        <f t="shared" si="9"/>
        <v>(Optional)</v>
      </c>
      <c r="X22" s="925"/>
      <c r="Y22" s="926" t="str">
        <f t="shared" si="10"/>
        <v>(Required)</v>
      </c>
      <c r="Z22" s="925"/>
      <c r="AA22" s="926" t="str">
        <f t="shared" si="11"/>
        <v>(Required)</v>
      </c>
      <c r="AB2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2" s="822"/>
      <c r="AE22" s="795" t="str">
        <f t="shared" si="12"/>
        <v>(Required)</v>
      </c>
      <c r="AF22" s="821"/>
      <c r="AG22" s="795" t="str">
        <f t="shared" si="13"/>
        <v>(Required)</v>
      </c>
      <c r="AH22" s="821"/>
      <c r="AI22" s="795" t="str">
        <f t="shared" si="14"/>
        <v>(Required)</v>
      </c>
      <c r="AJ22" s="821"/>
      <c r="AK22" s="795" t="str">
        <f t="shared" si="15"/>
        <v>(Required)</v>
      </c>
      <c r="AL22" s="821"/>
      <c r="AM22" s="795" t="str">
        <f t="shared" si="16"/>
        <v>(Required)</v>
      </c>
      <c r="AN22" s="924"/>
      <c r="AO22" s="795" t="str">
        <f t="shared" si="17"/>
        <v>(Required)</v>
      </c>
      <c r="AP22" s="821"/>
      <c r="AQ22" s="827" t="str">
        <f t="shared" si="18"/>
        <v>(Required)</v>
      </c>
      <c r="AR22" s="928"/>
      <c r="AS22" s="799" t="str">
        <f t="shared" si="19"/>
        <v>(Optional)</v>
      </c>
      <c r="AT22" s="928"/>
      <c r="AU22" s="799" t="str">
        <f t="shared" si="20"/>
        <v>(Optional)</v>
      </c>
      <c r="AV22" s="929"/>
      <c r="AW22" s="795" t="str">
        <f t="shared" si="21"/>
        <v>(Required)</v>
      </c>
      <c r="AX22" s="929"/>
      <c r="AY22" s="795" t="str">
        <f t="shared" si="22"/>
        <v>(Required)</v>
      </c>
      <c r="AZ2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2" s="804">
        <f>IFERROR(IF(Table411[[#This Row],[Is Baseline Pump Motor Energy Use Known? (Yes/No)]]="Yes",(Table411[[#This Row],[Annual Baseline Energy Use (kWh/yr)]]),(Table411[[#This Row],[Baseline Motor Energy Use (kWh)]])),0)</f>
        <v>0</v>
      </c>
      <c r="BC22" s="804">
        <f>IFERROR(IF(Table411[[#This Row],[Is Replacement Pump Motor Energy Use Known? (Yes/No)]]="Yes",(Table411[[#This Row],[Annual Replacement Energy Use (kWh/yr)]]),(Table411[[#This Row],[Replacement Motor Energy Use (kWh)]])),0)</f>
        <v>0</v>
      </c>
      <c r="BD22" s="804">
        <f>SUM((Table411[[#This Row],[Baseline Annual Energy Use]]-Table411[[#This Row],[Replacement Annual Energy Use]]),(Table411[[#This Row],[Replacement VFD Energy Savings (kWh)]]-Table411[[#This Row],[Baseline VFD Energy Savings (kWh)]]))</f>
        <v>0</v>
      </c>
      <c r="BE22" s="930">
        <f>'Grid Electricity'!$B$19</f>
        <v>2.1064475489616943E-4</v>
      </c>
      <c r="BF22" s="803" t="s">
        <v>586</v>
      </c>
      <c r="BG22" s="806">
        <f>Table411[[#This Row],[Baseline Annual Energy Use]]*Table411[[#This Row],[Fuel Carbon Content]]</f>
        <v>0</v>
      </c>
      <c r="BH22" s="806">
        <f>Table411[[#This Row],[Replacement Annual Energy Use]]*Table411[[#This Row],[Fuel Carbon Content]]</f>
        <v>0</v>
      </c>
      <c r="BI22" s="806">
        <f t="shared" si="23"/>
        <v>0</v>
      </c>
      <c r="BJ22" s="804">
        <f t="shared" si="24"/>
        <v>0</v>
      </c>
      <c r="BK22" s="807">
        <v>0.76</v>
      </c>
      <c r="BL22" s="813">
        <f>IFERROR(BD22*'Grid Electricity'!$D$39,0)</f>
        <v>0</v>
      </c>
      <c r="BM22" s="813">
        <f>IFERROR(BD22*'Grid Electricity'!$C$39,0)</f>
        <v>0</v>
      </c>
      <c r="BN22" s="813">
        <f>IFERROR(BD22*'Grid Electricity'!$F$39,0)</f>
        <v>0</v>
      </c>
      <c r="BO22" s="813">
        <f t="shared" si="25"/>
        <v>0</v>
      </c>
      <c r="BP22" s="814">
        <f t="shared" si="26"/>
        <v>0</v>
      </c>
      <c r="BQ22" s="814">
        <f t="shared" si="27"/>
        <v>0</v>
      </c>
      <c r="BR22" s="814">
        <f t="shared" si="28"/>
        <v>0</v>
      </c>
      <c r="BS22" s="814">
        <f t="shared" si="29"/>
        <v>0</v>
      </c>
      <c r="BT22" s="818">
        <f>((BB22-AB22)*'Fuel Prices'!$C$27)*(IF(ISBLANK(D22),15,D22))</f>
        <v>0</v>
      </c>
      <c r="BU22" s="818">
        <f>((BC22-AZ22)*'Fuel Prices'!$C$27)*(IF(ISBLANK(D22),15,D22))</f>
        <v>0</v>
      </c>
      <c r="BV22" s="818">
        <f t="shared" si="30"/>
        <v>0</v>
      </c>
      <c r="BW22" s="818">
        <f t="shared" si="31"/>
        <v>0</v>
      </c>
      <c r="BX22" s="804" t="str">
        <f t="shared" si="32"/>
        <v/>
      </c>
      <c r="BY22" s="804">
        <f t="shared" si="33"/>
        <v>0</v>
      </c>
      <c r="BZ22" s="804">
        <v>0</v>
      </c>
      <c r="CA22" s="804">
        <f t="shared" si="34"/>
        <v>0</v>
      </c>
      <c r="CB22" s="804">
        <f t="shared" si="35"/>
        <v>0</v>
      </c>
      <c r="CC22" s="804">
        <f t="shared" si="36"/>
        <v>0</v>
      </c>
      <c r="CD22" s="804">
        <f t="shared" si="37"/>
        <v>0</v>
      </c>
      <c r="CE22" s="804">
        <f t="shared" si="38"/>
        <v>0</v>
      </c>
      <c r="CF22" s="804">
        <f t="shared" si="39"/>
        <v>0</v>
      </c>
      <c r="CG22" s="818">
        <f t="shared" si="40"/>
        <v>0</v>
      </c>
    </row>
    <row r="23" spans="1:86" ht="18" customHeight="1" x14ac:dyDescent="0.35">
      <c r="A23" s="696"/>
      <c r="B23" s="820"/>
      <c r="C23" s="795" t="str">
        <f t="shared" si="0"/>
        <v>(Required)</v>
      </c>
      <c r="D23" s="821"/>
      <c r="E23" s="795" t="str">
        <f t="shared" si="1"/>
        <v>(Required)</v>
      </c>
      <c r="F23" s="822"/>
      <c r="G23" s="795" t="str">
        <f t="shared" si="2"/>
        <v>(Required)</v>
      </c>
      <c r="H23" s="821"/>
      <c r="I23" s="795" t="str">
        <f t="shared" si="3"/>
        <v>(Required)</v>
      </c>
      <c r="J23" s="821"/>
      <c r="K23" s="795" t="str">
        <f t="shared" si="4"/>
        <v>(Required)</v>
      </c>
      <c r="L23" s="821"/>
      <c r="M23" s="795" t="str">
        <f t="shared" si="5"/>
        <v>(Required)</v>
      </c>
      <c r="N23" s="821"/>
      <c r="O23" s="795" t="str">
        <f t="shared" si="6"/>
        <v>(Required)</v>
      </c>
      <c r="P23" s="924"/>
      <c r="Q23" s="795" t="str">
        <f t="shared" si="7"/>
        <v>(Optional)</v>
      </c>
      <c r="R23" s="821"/>
      <c r="S23" s="795" t="str">
        <f t="shared" si="8"/>
        <v>(Required)</v>
      </c>
      <c r="T23" s="824"/>
      <c r="U23" s="799" t="str">
        <f t="shared" si="9"/>
        <v>(Optional)</v>
      </c>
      <c r="V23" s="824"/>
      <c r="W23" s="799" t="str">
        <f t="shared" si="9"/>
        <v>(Optional)</v>
      </c>
      <c r="X23" s="925"/>
      <c r="Y23" s="926" t="str">
        <f t="shared" si="10"/>
        <v>(Required)</v>
      </c>
      <c r="Z23" s="925"/>
      <c r="AA23" s="926" t="str">
        <f t="shared" si="11"/>
        <v>(Required)</v>
      </c>
      <c r="AB2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3" s="822"/>
      <c r="AE23" s="795" t="str">
        <f t="shared" si="12"/>
        <v>(Required)</v>
      </c>
      <c r="AF23" s="821"/>
      <c r="AG23" s="795" t="str">
        <f t="shared" si="13"/>
        <v>(Required)</v>
      </c>
      <c r="AH23" s="821"/>
      <c r="AI23" s="795" t="str">
        <f t="shared" si="14"/>
        <v>(Required)</v>
      </c>
      <c r="AJ23" s="821"/>
      <c r="AK23" s="795" t="str">
        <f t="shared" si="15"/>
        <v>(Required)</v>
      </c>
      <c r="AL23" s="821"/>
      <c r="AM23" s="795" t="str">
        <f t="shared" si="16"/>
        <v>(Required)</v>
      </c>
      <c r="AN23" s="924"/>
      <c r="AO23" s="795" t="str">
        <f t="shared" si="17"/>
        <v>(Required)</v>
      </c>
      <c r="AP23" s="821"/>
      <c r="AQ23" s="827" t="str">
        <f t="shared" si="18"/>
        <v>(Required)</v>
      </c>
      <c r="AR23" s="928"/>
      <c r="AS23" s="799" t="str">
        <f t="shared" si="19"/>
        <v>(Optional)</v>
      </c>
      <c r="AT23" s="928"/>
      <c r="AU23" s="799" t="str">
        <f t="shared" si="20"/>
        <v>(Optional)</v>
      </c>
      <c r="AV23" s="929"/>
      <c r="AW23" s="795" t="str">
        <f t="shared" si="21"/>
        <v>(Required)</v>
      </c>
      <c r="AX23" s="929"/>
      <c r="AY23" s="795" t="str">
        <f t="shared" si="22"/>
        <v>(Required)</v>
      </c>
      <c r="AZ2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3" s="804">
        <f>IFERROR(IF(Table411[[#This Row],[Is Baseline Pump Motor Energy Use Known? (Yes/No)]]="Yes",(Table411[[#This Row],[Annual Baseline Energy Use (kWh/yr)]]),(Table411[[#This Row],[Baseline Motor Energy Use (kWh)]])),0)</f>
        <v>0</v>
      </c>
      <c r="BC23" s="804">
        <f>IFERROR(IF(Table411[[#This Row],[Is Replacement Pump Motor Energy Use Known? (Yes/No)]]="Yes",(Table411[[#This Row],[Annual Replacement Energy Use (kWh/yr)]]),(Table411[[#This Row],[Replacement Motor Energy Use (kWh)]])),0)</f>
        <v>0</v>
      </c>
      <c r="BD23" s="804">
        <f>SUM((Table411[[#This Row],[Baseline Annual Energy Use]]-Table411[[#This Row],[Replacement Annual Energy Use]]),(Table411[[#This Row],[Replacement VFD Energy Savings (kWh)]]-Table411[[#This Row],[Baseline VFD Energy Savings (kWh)]]))</f>
        <v>0</v>
      </c>
      <c r="BE23" s="930">
        <f>'Grid Electricity'!$B$19</f>
        <v>2.1064475489616943E-4</v>
      </c>
      <c r="BF23" s="803" t="s">
        <v>586</v>
      </c>
      <c r="BG23" s="806">
        <f>Table411[[#This Row],[Baseline Annual Energy Use]]*Table411[[#This Row],[Fuel Carbon Content]]</f>
        <v>0</v>
      </c>
      <c r="BH23" s="806">
        <f>Table411[[#This Row],[Replacement Annual Energy Use]]*Table411[[#This Row],[Fuel Carbon Content]]</f>
        <v>0</v>
      </c>
      <c r="BI23" s="806">
        <f t="shared" si="23"/>
        <v>0</v>
      </c>
      <c r="BJ23" s="804">
        <f t="shared" si="24"/>
        <v>0</v>
      </c>
      <c r="BK23" s="807">
        <v>0.76</v>
      </c>
      <c r="BL23" s="813">
        <f>IFERROR(BD23*'Grid Electricity'!$D$39,0)</f>
        <v>0</v>
      </c>
      <c r="BM23" s="813">
        <f>IFERROR(BD23*'Grid Electricity'!$C$39,0)</f>
        <v>0</v>
      </c>
      <c r="BN23" s="813">
        <f>IFERROR(BD23*'Grid Electricity'!$F$39,0)</f>
        <v>0</v>
      </c>
      <c r="BO23" s="813">
        <f t="shared" si="25"/>
        <v>0</v>
      </c>
      <c r="BP23" s="814">
        <f t="shared" si="26"/>
        <v>0</v>
      </c>
      <c r="BQ23" s="814">
        <f t="shared" si="27"/>
        <v>0</v>
      </c>
      <c r="BR23" s="814">
        <f t="shared" si="28"/>
        <v>0</v>
      </c>
      <c r="BS23" s="814">
        <f t="shared" si="29"/>
        <v>0</v>
      </c>
      <c r="BT23" s="818">
        <f>((BB23-AB23)*'Fuel Prices'!$C$27)*(IF(ISBLANK(D23),15,D23))</f>
        <v>0</v>
      </c>
      <c r="BU23" s="818">
        <f>((BC23-AZ23)*'Fuel Prices'!$C$27)*(IF(ISBLANK(D23),15,D23))</f>
        <v>0</v>
      </c>
      <c r="BV23" s="818">
        <f t="shared" si="30"/>
        <v>0</v>
      </c>
      <c r="BW23" s="818">
        <f t="shared" si="31"/>
        <v>0</v>
      </c>
      <c r="BX23" s="804" t="str">
        <f t="shared" si="32"/>
        <v/>
      </c>
      <c r="BY23" s="804">
        <f t="shared" si="33"/>
        <v>0</v>
      </c>
      <c r="BZ23" s="804">
        <v>0</v>
      </c>
      <c r="CA23" s="804">
        <f t="shared" si="34"/>
        <v>0</v>
      </c>
      <c r="CB23" s="804">
        <f t="shared" si="35"/>
        <v>0</v>
      </c>
      <c r="CC23" s="804">
        <f t="shared" si="36"/>
        <v>0</v>
      </c>
      <c r="CD23" s="804">
        <f t="shared" si="37"/>
        <v>0</v>
      </c>
      <c r="CE23" s="804">
        <f t="shared" si="38"/>
        <v>0</v>
      </c>
      <c r="CF23" s="804">
        <f t="shared" si="39"/>
        <v>0</v>
      </c>
      <c r="CG23" s="818">
        <f t="shared" si="40"/>
        <v>0</v>
      </c>
    </row>
    <row r="24" spans="1:86" ht="18" customHeight="1" x14ac:dyDescent="0.35">
      <c r="A24" s="635"/>
      <c r="B24" s="820"/>
      <c r="C24" s="795" t="str">
        <f t="shared" si="0"/>
        <v>(Required)</v>
      </c>
      <c r="D24" s="821"/>
      <c r="E24" s="795" t="str">
        <f t="shared" si="1"/>
        <v>(Required)</v>
      </c>
      <c r="F24" s="822"/>
      <c r="G24" s="795" t="str">
        <f t="shared" si="2"/>
        <v>(Required)</v>
      </c>
      <c r="H24" s="821"/>
      <c r="I24" s="795" t="str">
        <f t="shared" si="3"/>
        <v>(Required)</v>
      </c>
      <c r="J24" s="821"/>
      <c r="K24" s="795" t="str">
        <f t="shared" si="4"/>
        <v>(Required)</v>
      </c>
      <c r="L24" s="821"/>
      <c r="M24" s="795" t="str">
        <f t="shared" si="5"/>
        <v>(Required)</v>
      </c>
      <c r="N24" s="821"/>
      <c r="O24" s="795" t="str">
        <f t="shared" si="6"/>
        <v>(Required)</v>
      </c>
      <c r="P24" s="924"/>
      <c r="Q24" s="795" t="str">
        <f t="shared" si="7"/>
        <v>(Optional)</v>
      </c>
      <c r="R24" s="821"/>
      <c r="S24" s="795" t="str">
        <f t="shared" si="8"/>
        <v>(Required)</v>
      </c>
      <c r="T24" s="824"/>
      <c r="U24" s="799" t="str">
        <f t="shared" si="9"/>
        <v>(Optional)</v>
      </c>
      <c r="V24" s="824"/>
      <c r="W24" s="799" t="str">
        <f t="shared" si="9"/>
        <v>(Optional)</v>
      </c>
      <c r="X24" s="925"/>
      <c r="Y24" s="926" t="str">
        <f t="shared" si="10"/>
        <v>(Required)</v>
      </c>
      <c r="Z24" s="925"/>
      <c r="AA24" s="926" t="str">
        <f t="shared" si="11"/>
        <v>(Required)</v>
      </c>
      <c r="AB2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4" s="822"/>
      <c r="AE24" s="795" t="str">
        <f t="shared" si="12"/>
        <v>(Required)</v>
      </c>
      <c r="AF24" s="821"/>
      <c r="AG24" s="795" t="str">
        <f t="shared" si="13"/>
        <v>(Required)</v>
      </c>
      <c r="AH24" s="821"/>
      <c r="AI24" s="795" t="str">
        <f t="shared" si="14"/>
        <v>(Required)</v>
      </c>
      <c r="AJ24" s="821"/>
      <c r="AK24" s="795" t="str">
        <f t="shared" si="15"/>
        <v>(Required)</v>
      </c>
      <c r="AL24" s="821"/>
      <c r="AM24" s="795" t="str">
        <f t="shared" si="16"/>
        <v>(Required)</v>
      </c>
      <c r="AN24" s="924"/>
      <c r="AO24" s="795" t="str">
        <f t="shared" si="17"/>
        <v>(Required)</v>
      </c>
      <c r="AP24" s="821"/>
      <c r="AQ24" s="827" t="str">
        <f t="shared" si="18"/>
        <v>(Required)</v>
      </c>
      <c r="AR24" s="928"/>
      <c r="AS24" s="799" t="str">
        <f t="shared" si="19"/>
        <v>(Optional)</v>
      </c>
      <c r="AT24" s="928"/>
      <c r="AU24" s="799" t="str">
        <f t="shared" si="20"/>
        <v>(Optional)</v>
      </c>
      <c r="AV24" s="929"/>
      <c r="AW24" s="795" t="str">
        <f t="shared" si="21"/>
        <v>(Required)</v>
      </c>
      <c r="AX24" s="929"/>
      <c r="AY24" s="795" t="str">
        <f t="shared" si="22"/>
        <v>(Required)</v>
      </c>
      <c r="AZ2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4" s="804">
        <f>IFERROR(IF(Table411[[#This Row],[Is Baseline Pump Motor Energy Use Known? (Yes/No)]]="Yes",(Table411[[#This Row],[Annual Baseline Energy Use (kWh/yr)]]),(Table411[[#This Row],[Baseline Motor Energy Use (kWh)]])),0)</f>
        <v>0</v>
      </c>
      <c r="BC24" s="804">
        <f>IFERROR(IF(Table411[[#This Row],[Is Replacement Pump Motor Energy Use Known? (Yes/No)]]="Yes",(Table411[[#This Row],[Annual Replacement Energy Use (kWh/yr)]]),(Table411[[#This Row],[Replacement Motor Energy Use (kWh)]])),0)</f>
        <v>0</v>
      </c>
      <c r="BD24" s="804">
        <f>SUM((Table411[[#This Row],[Baseline Annual Energy Use]]-Table411[[#This Row],[Replacement Annual Energy Use]]),(Table411[[#This Row],[Replacement VFD Energy Savings (kWh)]]-Table411[[#This Row],[Baseline VFD Energy Savings (kWh)]]))</f>
        <v>0</v>
      </c>
      <c r="BE24" s="930">
        <f>'Grid Electricity'!$B$19</f>
        <v>2.1064475489616943E-4</v>
      </c>
      <c r="BF24" s="803" t="s">
        <v>586</v>
      </c>
      <c r="BG24" s="806">
        <f>Table411[[#This Row],[Baseline Annual Energy Use]]*Table411[[#This Row],[Fuel Carbon Content]]</f>
        <v>0</v>
      </c>
      <c r="BH24" s="806">
        <f>Table411[[#This Row],[Replacement Annual Energy Use]]*Table411[[#This Row],[Fuel Carbon Content]]</f>
        <v>0</v>
      </c>
      <c r="BI24" s="806">
        <f t="shared" si="23"/>
        <v>0</v>
      </c>
      <c r="BJ24" s="804">
        <f t="shared" si="24"/>
        <v>0</v>
      </c>
      <c r="BK24" s="807">
        <v>0.76</v>
      </c>
      <c r="BL24" s="813">
        <f>IFERROR(BD24*'Grid Electricity'!$D$39,0)</f>
        <v>0</v>
      </c>
      <c r="BM24" s="813">
        <f>IFERROR(BD24*'Grid Electricity'!$C$39,0)</f>
        <v>0</v>
      </c>
      <c r="BN24" s="813">
        <f>IFERROR(BD24*'Grid Electricity'!$F$39,0)</f>
        <v>0</v>
      </c>
      <c r="BO24" s="813">
        <f t="shared" si="25"/>
        <v>0</v>
      </c>
      <c r="BP24" s="814">
        <f t="shared" si="26"/>
        <v>0</v>
      </c>
      <c r="BQ24" s="814">
        <f t="shared" si="27"/>
        <v>0</v>
      </c>
      <c r="BR24" s="814">
        <f t="shared" si="28"/>
        <v>0</v>
      </c>
      <c r="BS24" s="814">
        <f t="shared" si="29"/>
        <v>0</v>
      </c>
      <c r="BT24" s="818">
        <f>((BB24-AB24)*'Fuel Prices'!$C$27)*(IF(ISBLANK(D24),15,D24))</f>
        <v>0</v>
      </c>
      <c r="BU24" s="818">
        <f>((BC24-AZ24)*'Fuel Prices'!$C$27)*(IF(ISBLANK(D24),15,D24))</f>
        <v>0</v>
      </c>
      <c r="BV24" s="818">
        <f t="shared" si="30"/>
        <v>0</v>
      </c>
      <c r="BW24" s="818">
        <f t="shared" si="31"/>
        <v>0</v>
      </c>
      <c r="BX24" s="804" t="str">
        <f t="shared" si="32"/>
        <v/>
      </c>
      <c r="BY24" s="804">
        <f t="shared" si="33"/>
        <v>0</v>
      </c>
      <c r="BZ24" s="804">
        <v>0</v>
      </c>
      <c r="CA24" s="804">
        <f t="shared" si="34"/>
        <v>0</v>
      </c>
      <c r="CB24" s="804">
        <f t="shared" si="35"/>
        <v>0</v>
      </c>
      <c r="CC24" s="804">
        <f t="shared" si="36"/>
        <v>0</v>
      </c>
      <c r="CD24" s="804">
        <f t="shared" si="37"/>
        <v>0</v>
      </c>
      <c r="CE24" s="804">
        <f t="shared" si="38"/>
        <v>0</v>
      </c>
      <c r="CF24" s="804">
        <f t="shared" si="39"/>
        <v>0</v>
      </c>
      <c r="CG24" s="818">
        <f t="shared" si="40"/>
        <v>0</v>
      </c>
    </row>
    <row r="25" spans="1:86" ht="18" customHeight="1" x14ac:dyDescent="0.35">
      <c r="A25" s="696"/>
      <c r="B25" s="820"/>
      <c r="C25" s="795" t="str">
        <f t="shared" si="0"/>
        <v>(Required)</v>
      </c>
      <c r="D25" s="821"/>
      <c r="E25" s="795" t="str">
        <f t="shared" si="1"/>
        <v>(Required)</v>
      </c>
      <c r="F25" s="822"/>
      <c r="G25" s="795" t="str">
        <f t="shared" si="2"/>
        <v>(Required)</v>
      </c>
      <c r="H25" s="821"/>
      <c r="I25" s="795" t="str">
        <f t="shared" si="3"/>
        <v>(Required)</v>
      </c>
      <c r="J25" s="821"/>
      <c r="K25" s="795" t="str">
        <f t="shared" si="4"/>
        <v>(Required)</v>
      </c>
      <c r="L25" s="821"/>
      <c r="M25" s="795" t="str">
        <f t="shared" si="5"/>
        <v>(Required)</v>
      </c>
      <c r="N25" s="821"/>
      <c r="O25" s="795" t="str">
        <f t="shared" si="6"/>
        <v>(Required)</v>
      </c>
      <c r="P25" s="924"/>
      <c r="Q25" s="795" t="str">
        <f t="shared" si="7"/>
        <v>(Optional)</v>
      </c>
      <c r="R25" s="821"/>
      <c r="S25" s="795" t="str">
        <f t="shared" si="8"/>
        <v>(Required)</v>
      </c>
      <c r="T25" s="824"/>
      <c r="U25" s="799" t="str">
        <f t="shared" si="9"/>
        <v>(Optional)</v>
      </c>
      <c r="V25" s="824"/>
      <c r="W25" s="799" t="str">
        <f t="shared" si="9"/>
        <v>(Optional)</v>
      </c>
      <c r="X25" s="925"/>
      <c r="Y25" s="926" t="str">
        <f t="shared" si="10"/>
        <v>(Required)</v>
      </c>
      <c r="Z25" s="925"/>
      <c r="AA25" s="926" t="str">
        <f t="shared" si="11"/>
        <v>(Required)</v>
      </c>
      <c r="AB2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5" s="822"/>
      <c r="AE25" s="795" t="str">
        <f t="shared" si="12"/>
        <v>(Required)</v>
      </c>
      <c r="AF25" s="821"/>
      <c r="AG25" s="795" t="str">
        <f t="shared" si="13"/>
        <v>(Required)</v>
      </c>
      <c r="AH25" s="821"/>
      <c r="AI25" s="795" t="str">
        <f t="shared" si="14"/>
        <v>(Required)</v>
      </c>
      <c r="AJ25" s="821"/>
      <c r="AK25" s="795" t="str">
        <f t="shared" si="15"/>
        <v>(Required)</v>
      </c>
      <c r="AL25" s="821"/>
      <c r="AM25" s="795" t="str">
        <f t="shared" si="16"/>
        <v>(Required)</v>
      </c>
      <c r="AN25" s="924"/>
      <c r="AO25" s="795" t="str">
        <f t="shared" si="17"/>
        <v>(Required)</v>
      </c>
      <c r="AP25" s="821"/>
      <c r="AQ25" s="827" t="str">
        <f t="shared" si="18"/>
        <v>(Required)</v>
      </c>
      <c r="AR25" s="928"/>
      <c r="AS25" s="799" t="str">
        <f t="shared" si="19"/>
        <v>(Optional)</v>
      </c>
      <c r="AT25" s="928"/>
      <c r="AU25" s="799" t="str">
        <f t="shared" si="20"/>
        <v>(Optional)</v>
      </c>
      <c r="AV25" s="929"/>
      <c r="AW25" s="795" t="str">
        <f t="shared" si="21"/>
        <v>(Required)</v>
      </c>
      <c r="AX25" s="929"/>
      <c r="AY25" s="795" t="str">
        <f t="shared" si="22"/>
        <v>(Required)</v>
      </c>
      <c r="AZ2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5" s="804">
        <f>IFERROR(IF(Table411[[#This Row],[Is Baseline Pump Motor Energy Use Known? (Yes/No)]]="Yes",(Table411[[#This Row],[Annual Baseline Energy Use (kWh/yr)]]),(Table411[[#This Row],[Baseline Motor Energy Use (kWh)]])),0)</f>
        <v>0</v>
      </c>
      <c r="BC25" s="804">
        <f>IFERROR(IF(Table411[[#This Row],[Is Replacement Pump Motor Energy Use Known? (Yes/No)]]="Yes",(Table411[[#This Row],[Annual Replacement Energy Use (kWh/yr)]]),(Table411[[#This Row],[Replacement Motor Energy Use (kWh)]])),0)</f>
        <v>0</v>
      </c>
      <c r="BD25" s="804">
        <f>SUM((Table411[[#This Row],[Baseline Annual Energy Use]]-Table411[[#This Row],[Replacement Annual Energy Use]]),(Table411[[#This Row],[Replacement VFD Energy Savings (kWh)]]-Table411[[#This Row],[Baseline VFD Energy Savings (kWh)]]))</f>
        <v>0</v>
      </c>
      <c r="BE25" s="930">
        <f>'Grid Electricity'!$B$19</f>
        <v>2.1064475489616943E-4</v>
      </c>
      <c r="BF25" s="803" t="s">
        <v>586</v>
      </c>
      <c r="BG25" s="806">
        <f>Table411[[#This Row],[Baseline Annual Energy Use]]*Table411[[#This Row],[Fuel Carbon Content]]</f>
        <v>0</v>
      </c>
      <c r="BH25" s="806">
        <f>Table411[[#This Row],[Replacement Annual Energy Use]]*Table411[[#This Row],[Fuel Carbon Content]]</f>
        <v>0</v>
      </c>
      <c r="BI25" s="806">
        <f t="shared" si="23"/>
        <v>0</v>
      </c>
      <c r="BJ25" s="804">
        <f t="shared" si="24"/>
        <v>0</v>
      </c>
      <c r="BK25" s="807">
        <v>0.76</v>
      </c>
      <c r="BL25" s="813">
        <f>IFERROR(BD25*'Grid Electricity'!$D$39,0)</f>
        <v>0</v>
      </c>
      <c r="BM25" s="813">
        <f>IFERROR(BD25*'Grid Electricity'!$C$39,0)</f>
        <v>0</v>
      </c>
      <c r="BN25" s="813">
        <f>IFERROR(BD25*'Grid Electricity'!$F$39,0)</f>
        <v>0</v>
      </c>
      <c r="BO25" s="813">
        <f t="shared" si="25"/>
        <v>0</v>
      </c>
      <c r="BP25" s="814">
        <f t="shared" si="26"/>
        <v>0</v>
      </c>
      <c r="BQ25" s="814">
        <f t="shared" si="27"/>
        <v>0</v>
      </c>
      <c r="BR25" s="814">
        <f t="shared" si="28"/>
        <v>0</v>
      </c>
      <c r="BS25" s="814">
        <f t="shared" si="29"/>
        <v>0</v>
      </c>
      <c r="BT25" s="818">
        <f>((BB25-AB25)*'Fuel Prices'!$C$27)*(IF(ISBLANK(D25),15,D25))</f>
        <v>0</v>
      </c>
      <c r="BU25" s="818">
        <f>((BC25-AZ25)*'Fuel Prices'!$C$27)*(IF(ISBLANK(D25),15,D25))</f>
        <v>0</v>
      </c>
      <c r="BV25" s="818">
        <f t="shared" si="30"/>
        <v>0</v>
      </c>
      <c r="BW25" s="818">
        <f t="shared" si="31"/>
        <v>0</v>
      </c>
      <c r="BX25" s="804" t="str">
        <f t="shared" si="32"/>
        <v/>
      </c>
      <c r="BY25" s="804">
        <f t="shared" si="33"/>
        <v>0</v>
      </c>
      <c r="BZ25" s="804">
        <v>0</v>
      </c>
      <c r="CA25" s="804">
        <f t="shared" si="34"/>
        <v>0</v>
      </c>
      <c r="CB25" s="804">
        <f t="shared" si="35"/>
        <v>0</v>
      </c>
      <c r="CC25" s="804">
        <f t="shared" si="36"/>
        <v>0</v>
      </c>
      <c r="CD25" s="804">
        <f t="shared" si="37"/>
        <v>0</v>
      </c>
      <c r="CE25" s="804">
        <f t="shared" si="38"/>
        <v>0</v>
      </c>
      <c r="CF25" s="804">
        <f t="shared" si="39"/>
        <v>0</v>
      </c>
      <c r="CG25" s="818">
        <f t="shared" si="40"/>
        <v>0</v>
      </c>
    </row>
    <row r="26" spans="1:86" ht="18" customHeight="1" x14ac:dyDescent="0.35">
      <c r="A26" s="635"/>
      <c r="B26" s="820"/>
      <c r="C26" s="795" t="str">
        <f t="shared" si="0"/>
        <v>(Required)</v>
      </c>
      <c r="D26" s="821"/>
      <c r="E26" s="795" t="str">
        <f t="shared" si="1"/>
        <v>(Required)</v>
      </c>
      <c r="F26" s="822"/>
      <c r="G26" s="795" t="str">
        <f t="shared" si="2"/>
        <v>(Required)</v>
      </c>
      <c r="H26" s="821"/>
      <c r="I26" s="795" t="str">
        <f t="shared" si="3"/>
        <v>(Required)</v>
      </c>
      <c r="J26" s="821"/>
      <c r="K26" s="795" t="str">
        <f t="shared" si="4"/>
        <v>(Required)</v>
      </c>
      <c r="L26" s="821"/>
      <c r="M26" s="795" t="str">
        <f t="shared" si="5"/>
        <v>(Required)</v>
      </c>
      <c r="N26" s="821"/>
      <c r="O26" s="795" t="str">
        <f t="shared" si="6"/>
        <v>(Required)</v>
      </c>
      <c r="P26" s="924"/>
      <c r="Q26" s="795" t="str">
        <f t="shared" si="7"/>
        <v>(Optional)</v>
      </c>
      <c r="R26" s="821"/>
      <c r="S26" s="795" t="str">
        <f t="shared" si="8"/>
        <v>(Required)</v>
      </c>
      <c r="T26" s="824"/>
      <c r="U26" s="799" t="str">
        <f t="shared" si="9"/>
        <v>(Optional)</v>
      </c>
      <c r="V26" s="824"/>
      <c r="W26" s="799" t="str">
        <f t="shared" si="9"/>
        <v>(Optional)</v>
      </c>
      <c r="X26" s="925"/>
      <c r="Y26" s="926" t="str">
        <f t="shared" si="10"/>
        <v>(Required)</v>
      </c>
      <c r="Z26" s="925"/>
      <c r="AA26" s="926" t="str">
        <f t="shared" si="11"/>
        <v>(Required)</v>
      </c>
      <c r="AB2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6" s="822"/>
      <c r="AE26" s="795" t="str">
        <f t="shared" si="12"/>
        <v>(Required)</v>
      </c>
      <c r="AF26" s="821"/>
      <c r="AG26" s="795" t="str">
        <f t="shared" si="13"/>
        <v>(Required)</v>
      </c>
      <c r="AH26" s="821"/>
      <c r="AI26" s="795" t="str">
        <f t="shared" si="14"/>
        <v>(Required)</v>
      </c>
      <c r="AJ26" s="821"/>
      <c r="AK26" s="795" t="str">
        <f t="shared" si="15"/>
        <v>(Required)</v>
      </c>
      <c r="AL26" s="821"/>
      <c r="AM26" s="795" t="str">
        <f t="shared" si="16"/>
        <v>(Required)</v>
      </c>
      <c r="AN26" s="924"/>
      <c r="AO26" s="795" t="str">
        <f t="shared" si="17"/>
        <v>(Required)</v>
      </c>
      <c r="AP26" s="821"/>
      <c r="AQ26" s="827" t="str">
        <f t="shared" si="18"/>
        <v>(Required)</v>
      </c>
      <c r="AR26" s="928"/>
      <c r="AS26" s="799" t="str">
        <f t="shared" si="19"/>
        <v>(Optional)</v>
      </c>
      <c r="AT26" s="928"/>
      <c r="AU26" s="799" t="str">
        <f t="shared" si="20"/>
        <v>(Optional)</v>
      </c>
      <c r="AV26" s="929"/>
      <c r="AW26" s="795" t="str">
        <f t="shared" si="21"/>
        <v>(Required)</v>
      </c>
      <c r="AX26" s="929"/>
      <c r="AY26" s="795" t="str">
        <f t="shared" si="22"/>
        <v>(Required)</v>
      </c>
      <c r="AZ2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6" s="804">
        <f>IFERROR(IF(Table411[[#This Row],[Is Baseline Pump Motor Energy Use Known? (Yes/No)]]="Yes",(Table411[[#This Row],[Annual Baseline Energy Use (kWh/yr)]]),(Table411[[#This Row],[Baseline Motor Energy Use (kWh)]])),0)</f>
        <v>0</v>
      </c>
      <c r="BC26" s="804">
        <f>IFERROR(IF(Table411[[#This Row],[Is Replacement Pump Motor Energy Use Known? (Yes/No)]]="Yes",(Table411[[#This Row],[Annual Replacement Energy Use (kWh/yr)]]),(Table411[[#This Row],[Replacement Motor Energy Use (kWh)]])),0)</f>
        <v>0</v>
      </c>
      <c r="BD26" s="804">
        <f>SUM((Table411[[#This Row],[Baseline Annual Energy Use]]-Table411[[#This Row],[Replacement Annual Energy Use]]),(Table411[[#This Row],[Replacement VFD Energy Savings (kWh)]]-Table411[[#This Row],[Baseline VFD Energy Savings (kWh)]]))</f>
        <v>0</v>
      </c>
      <c r="BE26" s="930">
        <f>'Grid Electricity'!$B$19</f>
        <v>2.1064475489616943E-4</v>
      </c>
      <c r="BF26" s="803" t="s">
        <v>586</v>
      </c>
      <c r="BG26" s="806">
        <f>Table411[[#This Row],[Baseline Annual Energy Use]]*Table411[[#This Row],[Fuel Carbon Content]]</f>
        <v>0</v>
      </c>
      <c r="BH26" s="806">
        <f>Table411[[#This Row],[Replacement Annual Energy Use]]*Table411[[#This Row],[Fuel Carbon Content]]</f>
        <v>0</v>
      </c>
      <c r="BI26" s="806">
        <f t="shared" si="23"/>
        <v>0</v>
      </c>
      <c r="BJ26" s="804">
        <f t="shared" si="24"/>
        <v>0</v>
      </c>
      <c r="BK26" s="807">
        <v>0.76</v>
      </c>
      <c r="BL26" s="813">
        <f>IFERROR(BD26*'Grid Electricity'!$D$39,0)</f>
        <v>0</v>
      </c>
      <c r="BM26" s="813">
        <f>IFERROR(BD26*'Grid Electricity'!$C$39,0)</f>
        <v>0</v>
      </c>
      <c r="BN26" s="813">
        <f>IFERROR(BD26*'Grid Electricity'!$F$39,0)</f>
        <v>0</v>
      </c>
      <c r="BO26" s="813">
        <f t="shared" si="25"/>
        <v>0</v>
      </c>
      <c r="BP26" s="814">
        <f t="shared" si="26"/>
        <v>0</v>
      </c>
      <c r="BQ26" s="814">
        <f t="shared" si="27"/>
        <v>0</v>
      </c>
      <c r="BR26" s="814">
        <f t="shared" si="28"/>
        <v>0</v>
      </c>
      <c r="BS26" s="814">
        <f t="shared" si="29"/>
        <v>0</v>
      </c>
      <c r="BT26" s="818">
        <f>((BB26-AB26)*'Fuel Prices'!$C$27)*(IF(ISBLANK(D26),15,D26))</f>
        <v>0</v>
      </c>
      <c r="BU26" s="818">
        <f>((BC26-AZ26)*'Fuel Prices'!$C$27)*(IF(ISBLANK(D26),15,D26))</f>
        <v>0</v>
      </c>
      <c r="BV26" s="818">
        <f t="shared" si="30"/>
        <v>0</v>
      </c>
      <c r="BW26" s="818">
        <f t="shared" si="31"/>
        <v>0</v>
      </c>
      <c r="BX26" s="804" t="str">
        <f t="shared" si="32"/>
        <v/>
      </c>
      <c r="BY26" s="804">
        <f t="shared" si="33"/>
        <v>0</v>
      </c>
      <c r="BZ26" s="804">
        <v>0</v>
      </c>
      <c r="CA26" s="804">
        <f t="shared" si="34"/>
        <v>0</v>
      </c>
      <c r="CB26" s="804">
        <f t="shared" si="35"/>
        <v>0</v>
      </c>
      <c r="CC26" s="804">
        <f t="shared" si="36"/>
        <v>0</v>
      </c>
      <c r="CD26" s="804">
        <f t="shared" si="37"/>
        <v>0</v>
      </c>
      <c r="CE26" s="804">
        <f t="shared" si="38"/>
        <v>0</v>
      </c>
      <c r="CF26" s="804">
        <f t="shared" si="39"/>
        <v>0</v>
      </c>
      <c r="CG26" s="818">
        <f t="shared" si="40"/>
        <v>0</v>
      </c>
    </row>
    <row r="27" spans="1:86" ht="18" customHeight="1" x14ac:dyDescent="0.35">
      <c r="A27" s="696"/>
      <c r="B27" s="820"/>
      <c r="C27" s="795" t="str">
        <f t="shared" si="0"/>
        <v>(Required)</v>
      </c>
      <c r="D27" s="821"/>
      <c r="E27" s="795" t="str">
        <f t="shared" si="1"/>
        <v>(Required)</v>
      </c>
      <c r="F27" s="822"/>
      <c r="G27" s="795" t="str">
        <f t="shared" si="2"/>
        <v>(Required)</v>
      </c>
      <c r="H27" s="821"/>
      <c r="I27" s="795" t="str">
        <f t="shared" si="3"/>
        <v>(Required)</v>
      </c>
      <c r="J27" s="821"/>
      <c r="K27" s="795" t="str">
        <f t="shared" si="4"/>
        <v>(Required)</v>
      </c>
      <c r="L27" s="821"/>
      <c r="M27" s="795" t="str">
        <f t="shared" si="5"/>
        <v>(Required)</v>
      </c>
      <c r="N27" s="821"/>
      <c r="O27" s="795" t="str">
        <f t="shared" si="6"/>
        <v>(Required)</v>
      </c>
      <c r="P27" s="924"/>
      <c r="Q27" s="795" t="str">
        <f t="shared" si="7"/>
        <v>(Optional)</v>
      </c>
      <c r="R27" s="821"/>
      <c r="S27" s="795" t="str">
        <f t="shared" si="8"/>
        <v>(Required)</v>
      </c>
      <c r="T27" s="824"/>
      <c r="U27" s="799" t="str">
        <f t="shared" si="9"/>
        <v>(Optional)</v>
      </c>
      <c r="V27" s="824"/>
      <c r="W27" s="799" t="str">
        <f t="shared" si="9"/>
        <v>(Optional)</v>
      </c>
      <c r="X27" s="925"/>
      <c r="Y27" s="926" t="str">
        <f t="shared" si="10"/>
        <v>(Required)</v>
      </c>
      <c r="Z27" s="925"/>
      <c r="AA27" s="926" t="str">
        <f t="shared" si="11"/>
        <v>(Required)</v>
      </c>
      <c r="AB2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7" s="822"/>
      <c r="AE27" s="795" t="str">
        <f t="shared" si="12"/>
        <v>(Required)</v>
      </c>
      <c r="AF27" s="821"/>
      <c r="AG27" s="795" t="str">
        <f t="shared" si="13"/>
        <v>(Required)</v>
      </c>
      <c r="AH27" s="821"/>
      <c r="AI27" s="795" t="str">
        <f t="shared" si="14"/>
        <v>(Required)</v>
      </c>
      <c r="AJ27" s="821"/>
      <c r="AK27" s="795" t="str">
        <f t="shared" si="15"/>
        <v>(Required)</v>
      </c>
      <c r="AL27" s="821"/>
      <c r="AM27" s="795" t="str">
        <f t="shared" si="16"/>
        <v>(Required)</v>
      </c>
      <c r="AN27" s="924"/>
      <c r="AO27" s="795" t="str">
        <f t="shared" si="17"/>
        <v>(Required)</v>
      </c>
      <c r="AP27" s="821"/>
      <c r="AQ27" s="827" t="str">
        <f t="shared" si="18"/>
        <v>(Required)</v>
      </c>
      <c r="AR27" s="928"/>
      <c r="AS27" s="799" t="str">
        <f t="shared" si="19"/>
        <v>(Optional)</v>
      </c>
      <c r="AT27" s="928"/>
      <c r="AU27" s="799" t="str">
        <f t="shared" si="20"/>
        <v>(Optional)</v>
      </c>
      <c r="AV27" s="929"/>
      <c r="AW27" s="795" t="str">
        <f t="shared" si="21"/>
        <v>(Required)</v>
      </c>
      <c r="AX27" s="929"/>
      <c r="AY27" s="795" t="str">
        <f t="shared" si="22"/>
        <v>(Required)</v>
      </c>
      <c r="AZ2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7" s="804">
        <f>IFERROR(IF(Table411[[#This Row],[Is Baseline Pump Motor Energy Use Known? (Yes/No)]]="Yes",(Table411[[#This Row],[Annual Baseline Energy Use (kWh/yr)]]),(Table411[[#This Row],[Baseline Motor Energy Use (kWh)]])),0)</f>
        <v>0</v>
      </c>
      <c r="BC27" s="804">
        <f>IFERROR(IF(Table411[[#This Row],[Is Replacement Pump Motor Energy Use Known? (Yes/No)]]="Yes",(Table411[[#This Row],[Annual Replacement Energy Use (kWh/yr)]]),(Table411[[#This Row],[Replacement Motor Energy Use (kWh)]])),0)</f>
        <v>0</v>
      </c>
      <c r="BD27" s="804">
        <f>SUM((Table411[[#This Row],[Baseline Annual Energy Use]]-Table411[[#This Row],[Replacement Annual Energy Use]]),(Table411[[#This Row],[Replacement VFD Energy Savings (kWh)]]-Table411[[#This Row],[Baseline VFD Energy Savings (kWh)]]))</f>
        <v>0</v>
      </c>
      <c r="BE27" s="930">
        <f>'Grid Electricity'!$B$19</f>
        <v>2.1064475489616943E-4</v>
      </c>
      <c r="BF27" s="803" t="s">
        <v>586</v>
      </c>
      <c r="BG27" s="806">
        <f>Table411[[#This Row],[Baseline Annual Energy Use]]*Table411[[#This Row],[Fuel Carbon Content]]</f>
        <v>0</v>
      </c>
      <c r="BH27" s="806">
        <f>Table411[[#This Row],[Replacement Annual Energy Use]]*Table411[[#This Row],[Fuel Carbon Content]]</f>
        <v>0</v>
      </c>
      <c r="BI27" s="806">
        <f t="shared" si="23"/>
        <v>0</v>
      </c>
      <c r="BJ27" s="804">
        <f t="shared" si="24"/>
        <v>0</v>
      </c>
      <c r="BK27" s="807">
        <v>0.76</v>
      </c>
      <c r="BL27" s="813">
        <f>IFERROR(BD27*'Grid Electricity'!$D$39,0)</f>
        <v>0</v>
      </c>
      <c r="BM27" s="813">
        <f>IFERROR(BD27*'Grid Electricity'!$C$39,0)</f>
        <v>0</v>
      </c>
      <c r="BN27" s="813">
        <f>IFERROR(BD27*'Grid Electricity'!$F$39,0)</f>
        <v>0</v>
      </c>
      <c r="BO27" s="813">
        <f t="shared" si="25"/>
        <v>0</v>
      </c>
      <c r="BP27" s="814">
        <f t="shared" si="26"/>
        <v>0</v>
      </c>
      <c r="BQ27" s="814">
        <f t="shared" si="27"/>
        <v>0</v>
      </c>
      <c r="BR27" s="814">
        <f t="shared" si="28"/>
        <v>0</v>
      </c>
      <c r="BS27" s="814">
        <f t="shared" si="29"/>
        <v>0</v>
      </c>
      <c r="BT27" s="818">
        <f>((BB27-AB27)*'Fuel Prices'!$C$27)*(IF(ISBLANK(D27),15,D27))</f>
        <v>0</v>
      </c>
      <c r="BU27" s="818">
        <f>((BC27-AZ27)*'Fuel Prices'!$C$27)*(IF(ISBLANK(D27),15,D27))</f>
        <v>0</v>
      </c>
      <c r="BV27" s="818">
        <f t="shared" si="30"/>
        <v>0</v>
      </c>
      <c r="BW27" s="818">
        <f t="shared" si="31"/>
        <v>0</v>
      </c>
      <c r="BX27" s="804" t="str">
        <f t="shared" si="32"/>
        <v/>
      </c>
      <c r="BY27" s="804">
        <f t="shared" si="33"/>
        <v>0</v>
      </c>
      <c r="BZ27" s="804">
        <v>0</v>
      </c>
      <c r="CA27" s="804">
        <f t="shared" si="34"/>
        <v>0</v>
      </c>
      <c r="CB27" s="804">
        <f t="shared" si="35"/>
        <v>0</v>
      </c>
      <c r="CC27" s="804">
        <f t="shared" si="36"/>
        <v>0</v>
      </c>
      <c r="CD27" s="804">
        <f t="shared" si="37"/>
        <v>0</v>
      </c>
      <c r="CE27" s="804">
        <f t="shared" si="38"/>
        <v>0</v>
      </c>
      <c r="CF27" s="804">
        <f t="shared" si="39"/>
        <v>0</v>
      </c>
      <c r="CG27" s="818">
        <f t="shared" si="40"/>
        <v>0</v>
      </c>
    </row>
    <row r="28" spans="1:86" ht="18" customHeight="1" x14ac:dyDescent="0.35">
      <c r="A28" s="635"/>
      <c r="B28" s="820"/>
      <c r="C28" s="795" t="str">
        <f t="shared" si="0"/>
        <v>(Required)</v>
      </c>
      <c r="D28" s="821"/>
      <c r="E28" s="795" t="str">
        <f t="shared" si="1"/>
        <v>(Required)</v>
      </c>
      <c r="F28" s="822"/>
      <c r="G28" s="795" t="str">
        <f t="shared" si="2"/>
        <v>(Required)</v>
      </c>
      <c r="H28" s="821"/>
      <c r="I28" s="795" t="str">
        <f t="shared" si="3"/>
        <v>(Required)</v>
      </c>
      <c r="J28" s="821"/>
      <c r="K28" s="795" t="str">
        <f t="shared" si="4"/>
        <v>(Required)</v>
      </c>
      <c r="L28" s="821"/>
      <c r="M28" s="795" t="str">
        <f t="shared" si="5"/>
        <v>(Required)</v>
      </c>
      <c r="N28" s="821"/>
      <c r="O28" s="795" t="str">
        <f t="shared" si="6"/>
        <v>(Required)</v>
      </c>
      <c r="P28" s="924"/>
      <c r="Q28" s="795" t="str">
        <f t="shared" si="7"/>
        <v>(Optional)</v>
      </c>
      <c r="R28" s="821"/>
      <c r="S28" s="795" t="str">
        <f t="shared" si="8"/>
        <v>(Required)</v>
      </c>
      <c r="T28" s="824"/>
      <c r="U28" s="799" t="str">
        <f t="shared" si="9"/>
        <v>(Optional)</v>
      </c>
      <c r="V28" s="824"/>
      <c r="W28" s="799" t="str">
        <f t="shared" si="9"/>
        <v>(Optional)</v>
      </c>
      <c r="X28" s="925"/>
      <c r="Y28" s="926" t="str">
        <f t="shared" si="10"/>
        <v>(Required)</v>
      </c>
      <c r="Z28" s="925"/>
      <c r="AA28" s="926" t="str">
        <f t="shared" si="11"/>
        <v>(Required)</v>
      </c>
      <c r="AB2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8" s="822"/>
      <c r="AE28" s="795" t="str">
        <f t="shared" si="12"/>
        <v>(Required)</v>
      </c>
      <c r="AF28" s="821"/>
      <c r="AG28" s="795" t="str">
        <f t="shared" si="13"/>
        <v>(Required)</v>
      </c>
      <c r="AH28" s="821"/>
      <c r="AI28" s="795" t="str">
        <f t="shared" si="14"/>
        <v>(Required)</v>
      </c>
      <c r="AJ28" s="821"/>
      <c r="AK28" s="795" t="str">
        <f t="shared" si="15"/>
        <v>(Required)</v>
      </c>
      <c r="AL28" s="821"/>
      <c r="AM28" s="795" t="str">
        <f t="shared" si="16"/>
        <v>(Required)</v>
      </c>
      <c r="AN28" s="924"/>
      <c r="AO28" s="795" t="str">
        <f t="shared" si="17"/>
        <v>(Required)</v>
      </c>
      <c r="AP28" s="821"/>
      <c r="AQ28" s="827" t="str">
        <f t="shared" si="18"/>
        <v>(Required)</v>
      </c>
      <c r="AR28" s="928"/>
      <c r="AS28" s="799" t="str">
        <f t="shared" si="19"/>
        <v>(Optional)</v>
      </c>
      <c r="AT28" s="928"/>
      <c r="AU28" s="799" t="str">
        <f t="shared" si="20"/>
        <v>(Optional)</v>
      </c>
      <c r="AV28" s="929"/>
      <c r="AW28" s="795" t="str">
        <f t="shared" si="21"/>
        <v>(Required)</v>
      </c>
      <c r="AX28" s="929"/>
      <c r="AY28" s="795" t="str">
        <f t="shared" si="22"/>
        <v>(Required)</v>
      </c>
      <c r="AZ2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8" s="804">
        <f>IFERROR(IF(Table411[[#This Row],[Is Baseline Pump Motor Energy Use Known? (Yes/No)]]="Yes",(Table411[[#This Row],[Annual Baseline Energy Use (kWh/yr)]]),(Table411[[#This Row],[Baseline Motor Energy Use (kWh)]])),0)</f>
        <v>0</v>
      </c>
      <c r="BC28" s="804">
        <f>IFERROR(IF(Table411[[#This Row],[Is Replacement Pump Motor Energy Use Known? (Yes/No)]]="Yes",(Table411[[#This Row],[Annual Replacement Energy Use (kWh/yr)]]),(Table411[[#This Row],[Replacement Motor Energy Use (kWh)]])),0)</f>
        <v>0</v>
      </c>
      <c r="BD28" s="804">
        <f>SUM((Table411[[#This Row],[Baseline Annual Energy Use]]-Table411[[#This Row],[Replacement Annual Energy Use]]),(Table411[[#This Row],[Replacement VFD Energy Savings (kWh)]]-Table411[[#This Row],[Baseline VFD Energy Savings (kWh)]]))</f>
        <v>0</v>
      </c>
      <c r="BE28" s="930">
        <f>'Grid Electricity'!$B$19</f>
        <v>2.1064475489616943E-4</v>
      </c>
      <c r="BF28" s="803" t="s">
        <v>586</v>
      </c>
      <c r="BG28" s="806">
        <f>Table411[[#This Row],[Baseline Annual Energy Use]]*Table411[[#This Row],[Fuel Carbon Content]]</f>
        <v>0</v>
      </c>
      <c r="BH28" s="806">
        <f>Table411[[#This Row],[Replacement Annual Energy Use]]*Table411[[#This Row],[Fuel Carbon Content]]</f>
        <v>0</v>
      </c>
      <c r="BI28" s="806">
        <f t="shared" si="23"/>
        <v>0</v>
      </c>
      <c r="BJ28" s="804">
        <f t="shared" si="24"/>
        <v>0</v>
      </c>
      <c r="BK28" s="807">
        <v>0.76</v>
      </c>
      <c r="BL28" s="813">
        <f>IFERROR(BD28*'Grid Electricity'!$D$39,0)</f>
        <v>0</v>
      </c>
      <c r="BM28" s="813">
        <f>IFERROR(BD28*'Grid Electricity'!$C$39,0)</f>
        <v>0</v>
      </c>
      <c r="BN28" s="813">
        <f>IFERROR(BD28*'Grid Electricity'!$F$39,0)</f>
        <v>0</v>
      </c>
      <c r="BO28" s="813">
        <f t="shared" si="25"/>
        <v>0</v>
      </c>
      <c r="BP28" s="814">
        <f t="shared" si="26"/>
        <v>0</v>
      </c>
      <c r="BQ28" s="814">
        <f t="shared" si="27"/>
        <v>0</v>
      </c>
      <c r="BR28" s="814">
        <f t="shared" si="28"/>
        <v>0</v>
      </c>
      <c r="BS28" s="814">
        <f t="shared" si="29"/>
        <v>0</v>
      </c>
      <c r="BT28" s="818">
        <f>((BB28-AB28)*'Fuel Prices'!$C$27)*(IF(ISBLANK(D28),15,D28))</f>
        <v>0</v>
      </c>
      <c r="BU28" s="818">
        <f>((BC28-AZ28)*'Fuel Prices'!$C$27)*(IF(ISBLANK(D28),15,D28))</f>
        <v>0</v>
      </c>
      <c r="BV28" s="818">
        <f t="shared" si="30"/>
        <v>0</v>
      </c>
      <c r="BW28" s="818">
        <f t="shared" si="31"/>
        <v>0</v>
      </c>
      <c r="BX28" s="804" t="str">
        <f t="shared" si="32"/>
        <v/>
      </c>
      <c r="BY28" s="804">
        <f t="shared" si="33"/>
        <v>0</v>
      </c>
      <c r="BZ28" s="804">
        <v>0</v>
      </c>
      <c r="CA28" s="804">
        <f t="shared" si="34"/>
        <v>0</v>
      </c>
      <c r="CB28" s="804">
        <f t="shared" si="35"/>
        <v>0</v>
      </c>
      <c r="CC28" s="804">
        <f t="shared" si="36"/>
        <v>0</v>
      </c>
      <c r="CD28" s="804">
        <f t="shared" si="37"/>
        <v>0</v>
      </c>
      <c r="CE28" s="804">
        <f t="shared" si="38"/>
        <v>0</v>
      </c>
      <c r="CF28" s="804">
        <f t="shared" si="39"/>
        <v>0</v>
      </c>
      <c r="CG28" s="818">
        <f t="shared" si="40"/>
        <v>0</v>
      </c>
    </row>
    <row r="29" spans="1:86" ht="18" customHeight="1" x14ac:dyDescent="0.35">
      <c r="A29" s="696"/>
      <c r="B29" s="820"/>
      <c r="C29" s="795" t="str">
        <f t="shared" si="0"/>
        <v>(Required)</v>
      </c>
      <c r="D29" s="821"/>
      <c r="E29" s="795" t="str">
        <f t="shared" si="1"/>
        <v>(Required)</v>
      </c>
      <c r="F29" s="822"/>
      <c r="G29" s="795" t="str">
        <f t="shared" si="2"/>
        <v>(Required)</v>
      </c>
      <c r="H29" s="821"/>
      <c r="I29" s="795" t="str">
        <f t="shared" si="3"/>
        <v>(Required)</v>
      </c>
      <c r="J29" s="821"/>
      <c r="K29" s="795" t="str">
        <f t="shared" si="4"/>
        <v>(Required)</v>
      </c>
      <c r="L29" s="821"/>
      <c r="M29" s="795" t="str">
        <f t="shared" si="5"/>
        <v>(Required)</v>
      </c>
      <c r="N29" s="821"/>
      <c r="O29" s="795" t="str">
        <f t="shared" si="6"/>
        <v>(Required)</v>
      </c>
      <c r="P29" s="924"/>
      <c r="Q29" s="795" t="str">
        <f t="shared" si="7"/>
        <v>(Optional)</v>
      </c>
      <c r="R29" s="821"/>
      <c r="S29" s="795" t="str">
        <f t="shared" si="8"/>
        <v>(Required)</v>
      </c>
      <c r="T29" s="824"/>
      <c r="U29" s="799" t="str">
        <f t="shared" si="9"/>
        <v>(Optional)</v>
      </c>
      <c r="V29" s="824"/>
      <c r="W29" s="799" t="str">
        <f t="shared" si="9"/>
        <v>(Optional)</v>
      </c>
      <c r="X29" s="925"/>
      <c r="Y29" s="926" t="str">
        <f t="shared" si="10"/>
        <v>(Required)</v>
      </c>
      <c r="Z29" s="925"/>
      <c r="AA29" s="926" t="str">
        <f t="shared" si="11"/>
        <v>(Required)</v>
      </c>
      <c r="AB2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2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29" s="822"/>
      <c r="AE29" s="795" t="str">
        <f t="shared" si="12"/>
        <v>(Required)</v>
      </c>
      <c r="AF29" s="821"/>
      <c r="AG29" s="795" t="str">
        <f t="shared" si="13"/>
        <v>(Required)</v>
      </c>
      <c r="AH29" s="821"/>
      <c r="AI29" s="795" t="str">
        <f t="shared" si="14"/>
        <v>(Required)</v>
      </c>
      <c r="AJ29" s="821"/>
      <c r="AK29" s="795" t="str">
        <f t="shared" si="15"/>
        <v>(Required)</v>
      </c>
      <c r="AL29" s="821"/>
      <c r="AM29" s="795" t="str">
        <f t="shared" si="16"/>
        <v>(Required)</v>
      </c>
      <c r="AN29" s="924"/>
      <c r="AO29" s="795" t="str">
        <f t="shared" si="17"/>
        <v>(Required)</v>
      </c>
      <c r="AP29" s="821"/>
      <c r="AQ29" s="827" t="str">
        <f t="shared" si="18"/>
        <v>(Required)</v>
      </c>
      <c r="AR29" s="928"/>
      <c r="AS29" s="799" t="str">
        <f t="shared" si="19"/>
        <v>(Optional)</v>
      </c>
      <c r="AT29" s="928"/>
      <c r="AU29" s="799" t="str">
        <f t="shared" si="20"/>
        <v>(Optional)</v>
      </c>
      <c r="AV29" s="929"/>
      <c r="AW29" s="795" t="str">
        <f t="shared" si="21"/>
        <v>(Required)</v>
      </c>
      <c r="AX29" s="929"/>
      <c r="AY29" s="795" t="str">
        <f t="shared" si="22"/>
        <v>(Required)</v>
      </c>
      <c r="AZ2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2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29" s="804">
        <f>IFERROR(IF(Table411[[#This Row],[Is Baseline Pump Motor Energy Use Known? (Yes/No)]]="Yes",(Table411[[#This Row],[Annual Baseline Energy Use (kWh/yr)]]),(Table411[[#This Row],[Baseline Motor Energy Use (kWh)]])),0)</f>
        <v>0</v>
      </c>
      <c r="BC29" s="804">
        <f>IFERROR(IF(Table411[[#This Row],[Is Replacement Pump Motor Energy Use Known? (Yes/No)]]="Yes",(Table411[[#This Row],[Annual Replacement Energy Use (kWh/yr)]]),(Table411[[#This Row],[Replacement Motor Energy Use (kWh)]])),0)</f>
        <v>0</v>
      </c>
      <c r="BD29" s="804">
        <f>SUM((Table411[[#This Row],[Baseline Annual Energy Use]]-Table411[[#This Row],[Replacement Annual Energy Use]]),(Table411[[#This Row],[Replacement VFD Energy Savings (kWh)]]-Table411[[#This Row],[Baseline VFD Energy Savings (kWh)]]))</f>
        <v>0</v>
      </c>
      <c r="BE29" s="930">
        <f>'Grid Electricity'!$B$19</f>
        <v>2.1064475489616943E-4</v>
      </c>
      <c r="BF29" s="803" t="s">
        <v>586</v>
      </c>
      <c r="BG29" s="806">
        <f>Table411[[#This Row],[Baseline Annual Energy Use]]*Table411[[#This Row],[Fuel Carbon Content]]</f>
        <v>0</v>
      </c>
      <c r="BH29" s="806">
        <f>Table411[[#This Row],[Replacement Annual Energy Use]]*Table411[[#This Row],[Fuel Carbon Content]]</f>
        <v>0</v>
      </c>
      <c r="BI29" s="806">
        <f t="shared" si="23"/>
        <v>0</v>
      </c>
      <c r="BJ29" s="804">
        <f t="shared" si="24"/>
        <v>0</v>
      </c>
      <c r="BK29" s="807">
        <v>0.76</v>
      </c>
      <c r="BL29" s="813">
        <f>IFERROR(BD29*'Grid Electricity'!$D$39,0)</f>
        <v>0</v>
      </c>
      <c r="BM29" s="813">
        <f>IFERROR(BD29*'Grid Electricity'!$C$39,0)</f>
        <v>0</v>
      </c>
      <c r="BN29" s="813">
        <f>IFERROR(BD29*'Grid Electricity'!$F$39,0)</f>
        <v>0</v>
      </c>
      <c r="BO29" s="813">
        <f t="shared" si="25"/>
        <v>0</v>
      </c>
      <c r="BP29" s="814">
        <f t="shared" si="26"/>
        <v>0</v>
      </c>
      <c r="BQ29" s="814">
        <f t="shared" si="27"/>
        <v>0</v>
      </c>
      <c r="BR29" s="814">
        <f t="shared" si="28"/>
        <v>0</v>
      </c>
      <c r="BS29" s="814">
        <f t="shared" si="29"/>
        <v>0</v>
      </c>
      <c r="BT29" s="818">
        <f>((BB29-AB29)*'Fuel Prices'!$C$27)*(IF(ISBLANK(D29),15,D29))</f>
        <v>0</v>
      </c>
      <c r="BU29" s="818">
        <f>((BC29-AZ29)*'Fuel Prices'!$C$27)*(IF(ISBLANK(D29),15,D29))</f>
        <v>0</v>
      </c>
      <c r="BV29" s="818">
        <f t="shared" si="30"/>
        <v>0</v>
      </c>
      <c r="BW29" s="818">
        <f t="shared" si="31"/>
        <v>0</v>
      </c>
      <c r="BX29" s="804" t="str">
        <f t="shared" si="32"/>
        <v/>
      </c>
      <c r="BY29" s="804">
        <f t="shared" si="33"/>
        <v>0</v>
      </c>
      <c r="BZ29" s="804">
        <v>0</v>
      </c>
      <c r="CA29" s="804">
        <f t="shared" si="34"/>
        <v>0</v>
      </c>
      <c r="CB29" s="804">
        <f t="shared" si="35"/>
        <v>0</v>
      </c>
      <c r="CC29" s="804">
        <f t="shared" si="36"/>
        <v>0</v>
      </c>
      <c r="CD29" s="804">
        <f t="shared" si="37"/>
        <v>0</v>
      </c>
      <c r="CE29" s="804">
        <f t="shared" si="38"/>
        <v>0</v>
      </c>
      <c r="CF29" s="804">
        <f t="shared" si="39"/>
        <v>0</v>
      </c>
      <c r="CG29" s="818">
        <f t="shared" si="40"/>
        <v>0</v>
      </c>
    </row>
    <row r="30" spans="1:86" ht="18" customHeight="1" x14ac:dyDescent="0.35">
      <c r="A30" s="635"/>
      <c r="B30" s="820"/>
      <c r="C30" s="795" t="str">
        <f t="shared" si="0"/>
        <v>(Required)</v>
      </c>
      <c r="D30" s="821"/>
      <c r="E30" s="795" t="str">
        <f t="shared" si="1"/>
        <v>(Required)</v>
      </c>
      <c r="F30" s="822"/>
      <c r="G30" s="795" t="str">
        <f t="shared" si="2"/>
        <v>(Required)</v>
      </c>
      <c r="H30" s="821"/>
      <c r="I30" s="795" t="str">
        <f t="shared" si="3"/>
        <v>(Required)</v>
      </c>
      <c r="J30" s="821"/>
      <c r="K30" s="795" t="str">
        <f t="shared" si="4"/>
        <v>(Required)</v>
      </c>
      <c r="L30" s="821"/>
      <c r="M30" s="795" t="str">
        <f t="shared" si="5"/>
        <v>(Required)</v>
      </c>
      <c r="N30" s="821"/>
      <c r="O30" s="795" t="str">
        <f t="shared" si="6"/>
        <v>(Required)</v>
      </c>
      <c r="P30" s="924"/>
      <c r="Q30" s="795" t="str">
        <f t="shared" si="7"/>
        <v>(Optional)</v>
      </c>
      <c r="R30" s="821"/>
      <c r="S30" s="795" t="str">
        <f t="shared" si="8"/>
        <v>(Required)</v>
      </c>
      <c r="T30" s="824"/>
      <c r="U30" s="799" t="str">
        <f t="shared" si="9"/>
        <v>(Optional)</v>
      </c>
      <c r="V30" s="824"/>
      <c r="W30" s="799" t="str">
        <f t="shared" si="9"/>
        <v>(Optional)</v>
      </c>
      <c r="X30" s="925"/>
      <c r="Y30" s="926" t="str">
        <f t="shared" si="10"/>
        <v>(Required)</v>
      </c>
      <c r="Z30" s="925"/>
      <c r="AA30" s="926" t="str">
        <f t="shared" si="11"/>
        <v>(Required)</v>
      </c>
      <c r="AB3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0" s="822"/>
      <c r="AE30" s="795" t="str">
        <f t="shared" si="12"/>
        <v>(Required)</v>
      </c>
      <c r="AF30" s="821"/>
      <c r="AG30" s="795" t="str">
        <f t="shared" si="13"/>
        <v>(Required)</v>
      </c>
      <c r="AH30" s="821"/>
      <c r="AI30" s="795" t="str">
        <f t="shared" si="14"/>
        <v>(Required)</v>
      </c>
      <c r="AJ30" s="821"/>
      <c r="AK30" s="795" t="str">
        <f t="shared" si="15"/>
        <v>(Required)</v>
      </c>
      <c r="AL30" s="821"/>
      <c r="AM30" s="795" t="str">
        <f t="shared" si="16"/>
        <v>(Required)</v>
      </c>
      <c r="AN30" s="924"/>
      <c r="AO30" s="795" t="str">
        <f t="shared" si="17"/>
        <v>(Required)</v>
      </c>
      <c r="AP30" s="821"/>
      <c r="AQ30" s="827" t="str">
        <f t="shared" si="18"/>
        <v>(Required)</v>
      </c>
      <c r="AR30" s="928"/>
      <c r="AS30" s="799" t="str">
        <f t="shared" si="19"/>
        <v>(Optional)</v>
      </c>
      <c r="AT30" s="928"/>
      <c r="AU30" s="799" t="str">
        <f t="shared" si="20"/>
        <v>(Optional)</v>
      </c>
      <c r="AV30" s="929"/>
      <c r="AW30" s="795" t="str">
        <f t="shared" si="21"/>
        <v>(Required)</v>
      </c>
      <c r="AX30" s="929"/>
      <c r="AY30" s="795" t="str">
        <f t="shared" si="22"/>
        <v>(Required)</v>
      </c>
      <c r="AZ3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0" s="804">
        <f>IFERROR(IF(Table411[[#This Row],[Is Baseline Pump Motor Energy Use Known? (Yes/No)]]="Yes",(Table411[[#This Row],[Annual Baseline Energy Use (kWh/yr)]]),(Table411[[#This Row],[Baseline Motor Energy Use (kWh)]])),0)</f>
        <v>0</v>
      </c>
      <c r="BC30" s="804">
        <f>IFERROR(IF(Table411[[#This Row],[Is Replacement Pump Motor Energy Use Known? (Yes/No)]]="Yes",(Table411[[#This Row],[Annual Replacement Energy Use (kWh/yr)]]),(Table411[[#This Row],[Replacement Motor Energy Use (kWh)]])),0)</f>
        <v>0</v>
      </c>
      <c r="BD30" s="804">
        <f>SUM((Table411[[#This Row],[Baseline Annual Energy Use]]-Table411[[#This Row],[Replacement Annual Energy Use]]),(Table411[[#This Row],[Replacement VFD Energy Savings (kWh)]]-Table411[[#This Row],[Baseline VFD Energy Savings (kWh)]]))</f>
        <v>0</v>
      </c>
      <c r="BE30" s="930">
        <f>'Grid Electricity'!$B$19</f>
        <v>2.1064475489616943E-4</v>
      </c>
      <c r="BF30" s="803" t="s">
        <v>586</v>
      </c>
      <c r="BG30" s="806">
        <f>Table411[[#This Row],[Baseline Annual Energy Use]]*Table411[[#This Row],[Fuel Carbon Content]]</f>
        <v>0</v>
      </c>
      <c r="BH30" s="806">
        <f>Table411[[#This Row],[Replacement Annual Energy Use]]*Table411[[#This Row],[Fuel Carbon Content]]</f>
        <v>0</v>
      </c>
      <c r="BI30" s="806">
        <f t="shared" si="23"/>
        <v>0</v>
      </c>
      <c r="BJ30" s="804">
        <f t="shared" si="24"/>
        <v>0</v>
      </c>
      <c r="BK30" s="807">
        <v>0.76</v>
      </c>
      <c r="BL30" s="813">
        <f>IFERROR(BD30*'Grid Electricity'!$D$39,0)</f>
        <v>0</v>
      </c>
      <c r="BM30" s="813">
        <f>IFERROR(BD30*'Grid Electricity'!$C$39,0)</f>
        <v>0</v>
      </c>
      <c r="BN30" s="813">
        <f>IFERROR(BD30*'Grid Electricity'!$F$39,0)</f>
        <v>0</v>
      </c>
      <c r="BO30" s="813">
        <f t="shared" si="25"/>
        <v>0</v>
      </c>
      <c r="BP30" s="814">
        <f t="shared" si="26"/>
        <v>0</v>
      </c>
      <c r="BQ30" s="814">
        <f t="shared" si="27"/>
        <v>0</v>
      </c>
      <c r="BR30" s="814">
        <f t="shared" si="28"/>
        <v>0</v>
      </c>
      <c r="BS30" s="814">
        <f t="shared" si="29"/>
        <v>0</v>
      </c>
      <c r="BT30" s="818">
        <f>((BB30-AB30)*'Fuel Prices'!$C$27)*(IF(ISBLANK(D30),15,D30))</f>
        <v>0</v>
      </c>
      <c r="BU30" s="818">
        <f>((BC30-AZ30)*'Fuel Prices'!$C$27)*(IF(ISBLANK(D30),15,D30))</f>
        <v>0</v>
      </c>
      <c r="BV30" s="818">
        <f t="shared" si="30"/>
        <v>0</v>
      </c>
      <c r="BW30" s="818">
        <f t="shared" si="31"/>
        <v>0</v>
      </c>
      <c r="BX30" s="804" t="str">
        <f t="shared" si="32"/>
        <v/>
      </c>
      <c r="BY30" s="804">
        <f t="shared" si="33"/>
        <v>0</v>
      </c>
      <c r="BZ30" s="804">
        <v>0</v>
      </c>
      <c r="CA30" s="804">
        <f t="shared" si="34"/>
        <v>0</v>
      </c>
      <c r="CB30" s="804">
        <f t="shared" si="35"/>
        <v>0</v>
      </c>
      <c r="CC30" s="804">
        <f t="shared" si="36"/>
        <v>0</v>
      </c>
      <c r="CD30" s="804">
        <f t="shared" si="37"/>
        <v>0</v>
      </c>
      <c r="CE30" s="804">
        <f t="shared" si="38"/>
        <v>0</v>
      </c>
      <c r="CF30" s="804">
        <f t="shared" si="39"/>
        <v>0</v>
      </c>
      <c r="CG30" s="818">
        <f t="shared" si="40"/>
        <v>0</v>
      </c>
    </row>
    <row r="31" spans="1:86" ht="18" customHeight="1" x14ac:dyDescent="0.35">
      <c r="A31" s="696"/>
      <c r="B31" s="820"/>
      <c r="C31" s="825" t="str">
        <f t="shared" si="0"/>
        <v>(Required)</v>
      </c>
      <c r="D31" s="821"/>
      <c r="E31" s="825" t="str">
        <f t="shared" si="1"/>
        <v>(Required)</v>
      </c>
      <c r="F31" s="822"/>
      <c r="G31" s="825" t="str">
        <f t="shared" si="2"/>
        <v>(Required)</v>
      </c>
      <c r="H31" s="821"/>
      <c r="I31" s="825" t="str">
        <f t="shared" si="3"/>
        <v>(Required)</v>
      </c>
      <c r="J31" s="821"/>
      <c r="K31" s="825" t="str">
        <f t="shared" si="4"/>
        <v>(Required)</v>
      </c>
      <c r="L31" s="821"/>
      <c r="M31" s="825" t="str">
        <f t="shared" si="5"/>
        <v>(Required)</v>
      </c>
      <c r="N31" s="821"/>
      <c r="O31" s="825" t="str">
        <f t="shared" si="6"/>
        <v>(Required)</v>
      </c>
      <c r="P31" s="924"/>
      <c r="Q31" s="825" t="str">
        <f t="shared" si="7"/>
        <v>(Optional)</v>
      </c>
      <c r="R31" s="821"/>
      <c r="S31" s="827" t="str">
        <f t="shared" si="8"/>
        <v>(Required)</v>
      </c>
      <c r="T31" s="828"/>
      <c r="U31" s="799" t="str">
        <f t="shared" si="9"/>
        <v>(Optional)</v>
      </c>
      <c r="V31" s="824"/>
      <c r="W31" s="799" t="str">
        <f t="shared" si="9"/>
        <v>(Optional)</v>
      </c>
      <c r="X31" s="925"/>
      <c r="Y31" s="926" t="str">
        <f t="shared" si="10"/>
        <v>(Required)</v>
      </c>
      <c r="Z31" s="925"/>
      <c r="AA31" s="926" t="str">
        <f t="shared" si="11"/>
        <v>(Required)</v>
      </c>
      <c r="AB3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1" s="822"/>
      <c r="AE31" s="825" t="str">
        <f t="shared" si="12"/>
        <v>(Required)</v>
      </c>
      <c r="AF31" s="821"/>
      <c r="AG31" s="825" t="str">
        <f t="shared" si="13"/>
        <v>(Required)</v>
      </c>
      <c r="AH31" s="821"/>
      <c r="AI31" s="825" t="str">
        <f t="shared" si="14"/>
        <v>(Required)</v>
      </c>
      <c r="AJ31" s="821"/>
      <c r="AK31" s="825" t="str">
        <f t="shared" si="15"/>
        <v>(Required)</v>
      </c>
      <c r="AL31" s="821"/>
      <c r="AM31" s="825" t="str">
        <f t="shared" si="16"/>
        <v>(Required)</v>
      </c>
      <c r="AN31" s="924"/>
      <c r="AO31" s="825" t="str">
        <f t="shared" si="17"/>
        <v>(Required)</v>
      </c>
      <c r="AP31" s="821"/>
      <c r="AQ31" s="827" t="str">
        <f t="shared" si="18"/>
        <v>(Required)</v>
      </c>
      <c r="AR31" s="928"/>
      <c r="AS31" s="826" t="str">
        <f t="shared" si="19"/>
        <v>(Optional)</v>
      </c>
      <c r="AT31" s="928"/>
      <c r="AU31" s="826" t="str">
        <f t="shared" si="20"/>
        <v>(Optional)</v>
      </c>
      <c r="AV31" s="931"/>
      <c r="AW31" s="825" t="str">
        <f t="shared" si="21"/>
        <v>(Required)</v>
      </c>
      <c r="AX31" s="931"/>
      <c r="AY31" s="825" t="str">
        <f t="shared" si="22"/>
        <v>(Required)</v>
      </c>
      <c r="AZ3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1" s="804">
        <f>IFERROR(IF(Table411[[#This Row],[Is Baseline Pump Motor Energy Use Known? (Yes/No)]]="Yes",(Table411[[#This Row],[Annual Baseline Energy Use (kWh/yr)]]),(Table411[[#This Row],[Baseline Motor Energy Use (kWh)]])),0)</f>
        <v>0</v>
      </c>
      <c r="BC31" s="804">
        <f>IFERROR(IF(Table411[[#This Row],[Is Replacement Pump Motor Energy Use Known? (Yes/No)]]="Yes",(Table411[[#This Row],[Annual Replacement Energy Use (kWh/yr)]]),(Table411[[#This Row],[Replacement Motor Energy Use (kWh)]])),0)</f>
        <v>0</v>
      </c>
      <c r="BD31" s="804">
        <f>SUM((Table411[[#This Row],[Baseline Annual Energy Use]]-Table411[[#This Row],[Replacement Annual Energy Use]]),(Table411[[#This Row],[Replacement VFD Energy Savings (kWh)]]-Table411[[#This Row],[Baseline VFD Energy Savings (kWh)]]))</f>
        <v>0</v>
      </c>
      <c r="BE31" s="930">
        <f>'Grid Electricity'!$B$19</f>
        <v>2.1064475489616943E-4</v>
      </c>
      <c r="BF31" s="803" t="s">
        <v>586</v>
      </c>
      <c r="BG31" s="806">
        <f>Table411[[#This Row],[Baseline Annual Energy Use]]*Table411[[#This Row],[Fuel Carbon Content]]</f>
        <v>0</v>
      </c>
      <c r="BH31" s="806">
        <f>Table411[[#This Row],[Replacement Annual Energy Use]]*Table411[[#This Row],[Fuel Carbon Content]]</f>
        <v>0</v>
      </c>
      <c r="BI31" s="806">
        <f t="shared" si="23"/>
        <v>0</v>
      </c>
      <c r="BJ31" s="804">
        <f t="shared" si="24"/>
        <v>0</v>
      </c>
      <c r="BK31" s="807">
        <v>0.76</v>
      </c>
      <c r="BL31" s="813">
        <f>IFERROR(BD31*'Grid Electricity'!$D$39,0)</f>
        <v>0</v>
      </c>
      <c r="BM31" s="813">
        <f>IFERROR(BD31*'Grid Electricity'!$C$39,0)</f>
        <v>0</v>
      </c>
      <c r="BN31" s="813">
        <f>IFERROR(BD31*'Grid Electricity'!$F$39,0)</f>
        <v>0</v>
      </c>
      <c r="BO31" s="813">
        <f t="shared" si="25"/>
        <v>0</v>
      </c>
      <c r="BP31" s="814">
        <f t="shared" si="26"/>
        <v>0</v>
      </c>
      <c r="BQ31" s="814">
        <f t="shared" si="27"/>
        <v>0</v>
      </c>
      <c r="BR31" s="814">
        <f t="shared" si="28"/>
        <v>0</v>
      </c>
      <c r="BS31" s="814">
        <f t="shared" si="29"/>
        <v>0</v>
      </c>
      <c r="BT31" s="818">
        <f>((BB31-AB31)*'Fuel Prices'!$C$27)*(IF(ISBLANK(D31),15,D31))</f>
        <v>0</v>
      </c>
      <c r="BU31" s="818">
        <f>((BC31-AZ31)*'Fuel Prices'!$C$27)*(IF(ISBLANK(D31),15,D31))</f>
        <v>0</v>
      </c>
      <c r="BV31" s="818">
        <f t="shared" si="30"/>
        <v>0</v>
      </c>
      <c r="BW31" s="818">
        <f t="shared" si="31"/>
        <v>0</v>
      </c>
      <c r="BX31" s="804" t="str">
        <f t="shared" si="32"/>
        <v/>
      </c>
      <c r="BY31" s="804">
        <f t="shared" si="33"/>
        <v>0</v>
      </c>
      <c r="BZ31" s="804">
        <v>0</v>
      </c>
      <c r="CA31" s="804">
        <f t="shared" si="34"/>
        <v>0</v>
      </c>
      <c r="CB31" s="804">
        <f t="shared" si="35"/>
        <v>0</v>
      </c>
      <c r="CC31" s="804">
        <f t="shared" si="36"/>
        <v>0</v>
      </c>
      <c r="CD31" s="804">
        <f t="shared" si="37"/>
        <v>0</v>
      </c>
      <c r="CE31" s="804">
        <f t="shared" si="38"/>
        <v>0</v>
      </c>
      <c r="CF31" s="804">
        <f t="shared" si="39"/>
        <v>0</v>
      </c>
      <c r="CG31" s="818">
        <f t="shared" si="40"/>
        <v>0</v>
      </c>
    </row>
    <row r="32" spans="1:86" s="699" customFormat="1" ht="18" customHeight="1" x14ac:dyDescent="0.35">
      <c r="A32" s="635"/>
      <c r="B32" s="820"/>
      <c r="C32" s="825" t="str">
        <f t="shared" si="0"/>
        <v>(Required)</v>
      </c>
      <c r="D32" s="821"/>
      <c r="E32" s="825" t="str">
        <f t="shared" si="1"/>
        <v>(Required)</v>
      </c>
      <c r="F32" s="822"/>
      <c r="G32" s="825" t="str">
        <f t="shared" si="2"/>
        <v>(Required)</v>
      </c>
      <c r="H32" s="821"/>
      <c r="I32" s="825" t="str">
        <f t="shared" si="3"/>
        <v>(Required)</v>
      </c>
      <c r="J32" s="821"/>
      <c r="K32" s="825" t="str">
        <f t="shared" si="4"/>
        <v>(Required)</v>
      </c>
      <c r="L32" s="821"/>
      <c r="M32" s="825" t="str">
        <f t="shared" si="5"/>
        <v>(Required)</v>
      </c>
      <c r="N32" s="821"/>
      <c r="O32" s="825" t="str">
        <f t="shared" si="6"/>
        <v>(Required)</v>
      </c>
      <c r="P32" s="924"/>
      <c r="Q32" s="825" t="str">
        <f t="shared" si="7"/>
        <v>(Optional)</v>
      </c>
      <c r="R32" s="821"/>
      <c r="S32" s="827" t="str">
        <f t="shared" si="8"/>
        <v>(Required)</v>
      </c>
      <c r="T32" s="828"/>
      <c r="U32" s="799" t="str">
        <f t="shared" si="9"/>
        <v>(Optional)</v>
      </c>
      <c r="V32" s="824"/>
      <c r="W32" s="799" t="str">
        <f t="shared" si="9"/>
        <v>(Optional)</v>
      </c>
      <c r="X32" s="925"/>
      <c r="Y32" s="926" t="str">
        <f t="shared" si="10"/>
        <v>(Required)</v>
      </c>
      <c r="Z32" s="925"/>
      <c r="AA32" s="926" t="str">
        <f t="shared" si="11"/>
        <v>(Required)</v>
      </c>
      <c r="AB3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2" s="822"/>
      <c r="AE32" s="825" t="str">
        <f t="shared" si="12"/>
        <v>(Required)</v>
      </c>
      <c r="AF32" s="821"/>
      <c r="AG32" s="825" t="str">
        <f t="shared" si="13"/>
        <v>(Required)</v>
      </c>
      <c r="AH32" s="821"/>
      <c r="AI32" s="825" t="str">
        <f t="shared" si="14"/>
        <v>(Required)</v>
      </c>
      <c r="AJ32" s="821"/>
      <c r="AK32" s="825" t="str">
        <f t="shared" si="15"/>
        <v>(Required)</v>
      </c>
      <c r="AL32" s="821"/>
      <c r="AM32" s="825" t="str">
        <f t="shared" si="16"/>
        <v>(Required)</v>
      </c>
      <c r="AN32" s="924"/>
      <c r="AO32" s="825" t="str">
        <f t="shared" si="17"/>
        <v>(Required)</v>
      </c>
      <c r="AP32" s="821"/>
      <c r="AQ32" s="827" t="str">
        <f t="shared" si="18"/>
        <v>(Required)</v>
      </c>
      <c r="AR32" s="928"/>
      <c r="AS32" s="826" t="str">
        <f t="shared" si="19"/>
        <v>(Optional)</v>
      </c>
      <c r="AT32" s="928"/>
      <c r="AU32" s="826" t="str">
        <f t="shared" si="20"/>
        <v>(Optional)</v>
      </c>
      <c r="AV32" s="931"/>
      <c r="AW32" s="825" t="str">
        <f t="shared" si="21"/>
        <v>(Required)</v>
      </c>
      <c r="AX32" s="931"/>
      <c r="AY32" s="825" t="str">
        <f t="shared" si="22"/>
        <v>(Required)</v>
      </c>
      <c r="AZ3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2" s="804">
        <f>IFERROR(IF(Table411[[#This Row],[Is Baseline Pump Motor Energy Use Known? (Yes/No)]]="Yes",(Table411[[#This Row],[Annual Baseline Energy Use (kWh/yr)]]),(Table411[[#This Row],[Baseline Motor Energy Use (kWh)]])),0)</f>
        <v>0</v>
      </c>
      <c r="BC32" s="804">
        <f>IFERROR(IF(Table411[[#This Row],[Is Replacement Pump Motor Energy Use Known? (Yes/No)]]="Yes",(Table411[[#This Row],[Annual Replacement Energy Use (kWh/yr)]]),(Table411[[#This Row],[Replacement Motor Energy Use (kWh)]])),0)</f>
        <v>0</v>
      </c>
      <c r="BD32" s="804">
        <f>SUM((Table411[[#This Row],[Baseline Annual Energy Use]]-Table411[[#This Row],[Replacement Annual Energy Use]]),(Table411[[#This Row],[Replacement VFD Energy Savings (kWh)]]-Table411[[#This Row],[Baseline VFD Energy Savings (kWh)]]))</f>
        <v>0</v>
      </c>
      <c r="BE32" s="930">
        <f>'Grid Electricity'!$B$19</f>
        <v>2.1064475489616943E-4</v>
      </c>
      <c r="BF32" s="803" t="s">
        <v>586</v>
      </c>
      <c r="BG32" s="806">
        <f>Table411[[#This Row],[Baseline Annual Energy Use]]*Table411[[#This Row],[Fuel Carbon Content]]</f>
        <v>0</v>
      </c>
      <c r="BH32" s="806">
        <f>Table411[[#This Row],[Replacement Annual Energy Use]]*Table411[[#This Row],[Fuel Carbon Content]]</f>
        <v>0</v>
      </c>
      <c r="BI32" s="806">
        <f t="shared" si="23"/>
        <v>0</v>
      </c>
      <c r="BJ32" s="804">
        <f t="shared" si="24"/>
        <v>0</v>
      </c>
      <c r="BK32" s="807">
        <v>0.76</v>
      </c>
      <c r="BL32" s="813">
        <f>IFERROR(BD32*'Grid Electricity'!$D$39,0)</f>
        <v>0</v>
      </c>
      <c r="BM32" s="813">
        <f>IFERROR(BD32*'Grid Electricity'!$C$39,0)</f>
        <v>0</v>
      </c>
      <c r="BN32" s="813">
        <f>IFERROR(BD32*'Grid Electricity'!$F$39,0)</f>
        <v>0</v>
      </c>
      <c r="BO32" s="813">
        <f t="shared" si="25"/>
        <v>0</v>
      </c>
      <c r="BP32" s="814">
        <f t="shared" si="26"/>
        <v>0</v>
      </c>
      <c r="BQ32" s="814">
        <f t="shared" si="27"/>
        <v>0</v>
      </c>
      <c r="BR32" s="814">
        <f t="shared" si="28"/>
        <v>0</v>
      </c>
      <c r="BS32" s="814">
        <f t="shared" si="29"/>
        <v>0</v>
      </c>
      <c r="BT32" s="818">
        <f>((BB32-AB32)*'Fuel Prices'!$C$27)*(IF(ISBLANK(D32),15,D32))</f>
        <v>0</v>
      </c>
      <c r="BU32" s="818">
        <f>((BC32-AZ32)*'Fuel Prices'!$C$27)*(IF(ISBLANK(D32),15,D32))</f>
        <v>0</v>
      </c>
      <c r="BV32" s="818">
        <f t="shared" si="30"/>
        <v>0</v>
      </c>
      <c r="BW32" s="818">
        <f t="shared" si="31"/>
        <v>0</v>
      </c>
      <c r="BX32" s="804" t="str">
        <f t="shared" si="32"/>
        <v/>
      </c>
      <c r="BY32" s="804">
        <f t="shared" si="33"/>
        <v>0</v>
      </c>
      <c r="BZ32" s="804">
        <v>0</v>
      </c>
      <c r="CA32" s="804">
        <f t="shared" si="34"/>
        <v>0</v>
      </c>
      <c r="CB32" s="804">
        <f t="shared" si="35"/>
        <v>0</v>
      </c>
      <c r="CC32" s="804">
        <f t="shared" si="36"/>
        <v>0</v>
      </c>
      <c r="CD32" s="804">
        <f t="shared" si="37"/>
        <v>0</v>
      </c>
      <c r="CE32" s="804">
        <f t="shared" si="38"/>
        <v>0</v>
      </c>
      <c r="CF32" s="804">
        <f t="shared" si="39"/>
        <v>0</v>
      </c>
      <c r="CG32" s="818">
        <f t="shared" si="40"/>
        <v>0</v>
      </c>
    </row>
    <row r="33" spans="1:85" s="699" customFormat="1" ht="18" customHeight="1" x14ac:dyDescent="0.35">
      <c r="A33" s="696"/>
      <c r="B33" s="820"/>
      <c r="C33" s="825" t="str">
        <f t="shared" si="0"/>
        <v>(Required)</v>
      </c>
      <c r="D33" s="821"/>
      <c r="E33" s="825" t="str">
        <f t="shared" si="1"/>
        <v>(Required)</v>
      </c>
      <c r="F33" s="822"/>
      <c r="G33" s="825" t="str">
        <f t="shared" si="2"/>
        <v>(Required)</v>
      </c>
      <c r="H33" s="821"/>
      <c r="I33" s="825" t="str">
        <f t="shared" si="3"/>
        <v>(Required)</v>
      </c>
      <c r="J33" s="821"/>
      <c r="K33" s="825" t="str">
        <f t="shared" si="4"/>
        <v>(Required)</v>
      </c>
      <c r="L33" s="821"/>
      <c r="M33" s="825" t="str">
        <f t="shared" si="5"/>
        <v>(Required)</v>
      </c>
      <c r="N33" s="821"/>
      <c r="O33" s="825" t="str">
        <f t="shared" si="6"/>
        <v>(Required)</v>
      </c>
      <c r="P33" s="924"/>
      <c r="Q33" s="825" t="str">
        <f t="shared" si="7"/>
        <v>(Optional)</v>
      </c>
      <c r="R33" s="821"/>
      <c r="S33" s="827" t="str">
        <f t="shared" si="8"/>
        <v>(Required)</v>
      </c>
      <c r="T33" s="828"/>
      <c r="U33" s="799" t="str">
        <f t="shared" si="9"/>
        <v>(Optional)</v>
      </c>
      <c r="V33" s="824"/>
      <c r="W33" s="799" t="str">
        <f t="shared" si="9"/>
        <v>(Optional)</v>
      </c>
      <c r="X33" s="925"/>
      <c r="Y33" s="926" t="str">
        <f t="shared" si="10"/>
        <v>(Required)</v>
      </c>
      <c r="Z33" s="925"/>
      <c r="AA33" s="926" t="str">
        <f t="shared" si="11"/>
        <v>(Required)</v>
      </c>
      <c r="AB3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3" s="822"/>
      <c r="AE33" s="825" t="str">
        <f t="shared" si="12"/>
        <v>(Required)</v>
      </c>
      <c r="AF33" s="821"/>
      <c r="AG33" s="825" t="str">
        <f t="shared" si="13"/>
        <v>(Required)</v>
      </c>
      <c r="AH33" s="821"/>
      <c r="AI33" s="825" t="str">
        <f t="shared" si="14"/>
        <v>(Required)</v>
      </c>
      <c r="AJ33" s="821"/>
      <c r="AK33" s="825" t="str">
        <f t="shared" si="15"/>
        <v>(Required)</v>
      </c>
      <c r="AL33" s="821"/>
      <c r="AM33" s="825" t="str">
        <f t="shared" si="16"/>
        <v>(Required)</v>
      </c>
      <c r="AN33" s="924"/>
      <c r="AO33" s="825" t="str">
        <f t="shared" si="17"/>
        <v>(Required)</v>
      </c>
      <c r="AP33" s="821"/>
      <c r="AQ33" s="827" t="str">
        <f t="shared" si="18"/>
        <v>(Required)</v>
      </c>
      <c r="AR33" s="928"/>
      <c r="AS33" s="826" t="str">
        <f t="shared" si="19"/>
        <v>(Optional)</v>
      </c>
      <c r="AT33" s="928"/>
      <c r="AU33" s="826" t="str">
        <f t="shared" si="20"/>
        <v>(Optional)</v>
      </c>
      <c r="AV33" s="931"/>
      <c r="AW33" s="825" t="str">
        <f t="shared" si="21"/>
        <v>(Required)</v>
      </c>
      <c r="AX33" s="931"/>
      <c r="AY33" s="825" t="str">
        <f t="shared" si="22"/>
        <v>(Required)</v>
      </c>
      <c r="AZ3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3" s="804">
        <f>IFERROR(IF(Table411[[#This Row],[Is Baseline Pump Motor Energy Use Known? (Yes/No)]]="Yes",(Table411[[#This Row],[Annual Baseline Energy Use (kWh/yr)]]),(Table411[[#This Row],[Baseline Motor Energy Use (kWh)]])),0)</f>
        <v>0</v>
      </c>
      <c r="BC33" s="804">
        <f>IFERROR(IF(Table411[[#This Row],[Is Replacement Pump Motor Energy Use Known? (Yes/No)]]="Yes",(Table411[[#This Row],[Annual Replacement Energy Use (kWh/yr)]]),(Table411[[#This Row],[Replacement Motor Energy Use (kWh)]])),0)</f>
        <v>0</v>
      </c>
      <c r="BD33" s="804">
        <f>SUM((Table411[[#This Row],[Baseline Annual Energy Use]]-Table411[[#This Row],[Replacement Annual Energy Use]]),(Table411[[#This Row],[Replacement VFD Energy Savings (kWh)]]-Table411[[#This Row],[Baseline VFD Energy Savings (kWh)]]))</f>
        <v>0</v>
      </c>
      <c r="BE33" s="930">
        <f>'Grid Electricity'!$B$19</f>
        <v>2.1064475489616943E-4</v>
      </c>
      <c r="BF33" s="803" t="s">
        <v>586</v>
      </c>
      <c r="BG33" s="806">
        <f>Table411[[#This Row],[Baseline Annual Energy Use]]*Table411[[#This Row],[Fuel Carbon Content]]</f>
        <v>0</v>
      </c>
      <c r="BH33" s="806">
        <f>Table411[[#This Row],[Replacement Annual Energy Use]]*Table411[[#This Row],[Fuel Carbon Content]]</f>
        <v>0</v>
      </c>
      <c r="BI33" s="806">
        <f t="shared" si="23"/>
        <v>0</v>
      </c>
      <c r="BJ33" s="804">
        <f t="shared" si="24"/>
        <v>0</v>
      </c>
      <c r="BK33" s="807">
        <v>0.76</v>
      </c>
      <c r="BL33" s="813">
        <f>IFERROR(BD33*'Grid Electricity'!$D$39,0)</f>
        <v>0</v>
      </c>
      <c r="BM33" s="813">
        <f>IFERROR(BD33*'Grid Electricity'!$C$39,0)</f>
        <v>0</v>
      </c>
      <c r="BN33" s="813">
        <f>IFERROR(BD33*'Grid Electricity'!$F$39,0)</f>
        <v>0</v>
      </c>
      <c r="BO33" s="813">
        <f t="shared" si="25"/>
        <v>0</v>
      </c>
      <c r="BP33" s="814">
        <f t="shared" si="26"/>
        <v>0</v>
      </c>
      <c r="BQ33" s="814">
        <f t="shared" si="27"/>
        <v>0</v>
      </c>
      <c r="BR33" s="814">
        <f t="shared" si="28"/>
        <v>0</v>
      </c>
      <c r="BS33" s="814">
        <f t="shared" si="29"/>
        <v>0</v>
      </c>
      <c r="BT33" s="818">
        <f>((BB33-AB33)*'Fuel Prices'!$C$27)*(IF(ISBLANK(D33),15,D33))</f>
        <v>0</v>
      </c>
      <c r="BU33" s="818">
        <f>((BC33-AZ33)*'Fuel Prices'!$C$27)*(IF(ISBLANK(D33),15,D33))</f>
        <v>0</v>
      </c>
      <c r="BV33" s="818">
        <f t="shared" si="30"/>
        <v>0</v>
      </c>
      <c r="BW33" s="818">
        <f t="shared" si="31"/>
        <v>0</v>
      </c>
      <c r="BX33" s="804" t="str">
        <f t="shared" si="32"/>
        <v/>
      </c>
      <c r="BY33" s="804">
        <f t="shared" si="33"/>
        <v>0</v>
      </c>
      <c r="BZ33" s="804">
        <v>0</v>
      </c>
      <c r="CA33" s="804">
        <f t="shared" si="34"/>
        <v>0</v>
      </c>
      <c r="CB33" s="804">
        <f t="shared" si="35"/>
        <v>0</v>
      </c>
      <c r="CC33" s="804">
        <f t="shared" si="36"/>
        <v>0</v>
      </c>
      <c r="CD33" s="804">
        <f t="shared" si="37"/>
        <v>0</v>
      </c>
      <c r="CE33" s="804">
        <f t="shared" si="38"/>
        <v>0</v>
      </c>
      <c r="CF33" s="804">
        <f t="shared" si="39"/>
        <v>0</v>
      </c>
      <c r="CG33" s="818">
        <f t="shared" si="40"/>
        <v>0</v>
      </c>
    </row>
    <row r="34" spans="1:85" s="699" customFormat="1" ht="18" customHeight="1" x14ac:dyDescent="0.35">
      <c r="A34" s="635"/>
      <c r="B34" s="820"/>
      <c r="C34" s="825" t="str">
        <f t="shared" si="0"/>
        <v>(Required)</v>
      </c>
      <c r="D34" s="821"/>
      <c r="E34" s="825" t="str">
        <f t="shared" si="1"/>
        <v>(Required)</v>
      </c>
      <c r="F34" s="822"/>
      <c r="G34" s="825" t="str">
        <f t="shared" si="2"/>
        <v>(Required)</v>
      </c>
      <c r="H34" s="821"/>
      <c r="I34" s="825" t="str">
        <f t="shared" si="3"/>
        <v>(Required)</v>
      </c>
      <c r="J34" s="821"/>
      <c r="K34" s="825" t="str">
        <f t="shared" si="4"/>
        <v>(Required)</v>
      </c>
      <c r="L34" s="821"/>
      <c r="M34" s="825" t="str">
        <f t="shared" si="5"/>
        <v>(Required)</v>
      </c>
      <c r="N34" s="821"/>
      <c r="O34" s="825" t="str">
        <f t="shared" si="6"/>
        <v>(Required)</v>
      </c>
      <c r="P34" s="924"/>
      <c r="Q34" s="825" t="str">
        <f t="shared" si="7"/>
        <v>(Optional)</v>
      </c>
      <c r="R34" s="821"/>
      <c r="S34" s="827" t="str">
        <f t="shared" si="8"/>
        <v>(Required)</v>
      </c>
      <c r="T34" s="828"/>
      <c r="U34" s="799" t="str">
        <f t="shared" si="9"/>
        <v>(Optional)</v>
      </c>
      <c r="V34" s="824"/>
      <c r="W34" s="799" t="str">
        <f t="shared" si="9"/>
        <v>(Optional)</v>
      </c>
      <c r="X34" s="925"/>
      <c r="Y34" s="926" t="str">
        <f t="shared" si="10"/>
        <v>(Required)</v>
      </c>
      <c r="Z34" s="925"/>
      <c r="AA34" s="926" t="str">
        <f t="shared" si="11"/>
        <v>(Required)</v>
      </c>
      <c r="AB3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4" s="822"/>
      <c r="AE34" s="825" t="str">
        <f t="shared" si="12"/>
        <v>(Required)</v>
      </c>
      <c r="AF34" s="821"/>
      <c r="AG34" s="825" t="str">
        <f t="shared" si="13"/>
        <v>(Required)</v>
      </c>
      <c r="AH34" s="821"/>
      <c r="AI34" s="825" t="str">
        <f t="shared" si="14"/>
        <v>(Required)</v>
      </c>
      <c r="AJ34" s="821"/>
      <c r="AK34" s="825" t="str">
        <f t="shared" si="15"/>
        <v>(Required)</v>
      </c>
      <c r="AL34" s="821"/>
      <c r="AM34" s="825" t="str">
        <f t="shared" si="16"/>
        <v>(Required)</v>
      </c>
      <c r="AN34" s="924"/>
      <c r="AO34" s="825" t="str">
        <f t="shared" si="17"/>
        <v>(Required)</v>
      </c>
      <c r="AP34" s="821"/>
      <c r="AQ34" s="827" t="str">
        <f t="shared" si="18"/>
        <v>(Required)</v>
      </c>
      <c r="AR34" s="928"/>
      <c r="AS34" s="826" t="str">
        <f t="shared" si="19"/>
        <v>(Optional)</v>
      </c>
      <c r="AT34" s="928"/>
      <c r="AU34" s="826" t="str">
        <f t="shared" si="20"/>
        <v>(Optional)</v>
      </c>
      <c r="AV34" s="931"/>
      <c r="AW34" s="825" t="str">
        <f t="shared" si="21"/>
        <v>(Required)</v>
      </c>
      <c r="AX34" s="931"/>
      <c r="AY34" s="825" t="str">
        <f t="shared" si="22"/>
        <v>(Required)</v>
      </c>
      <c r="AZ3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4" s="804">
        <f>IFERROR(IF(Table411[[#This Row],[Is Baseline Pump Motor Energy Use Known? (Yes/No)]]="Yes",(Table411[[#This Row],[Annual Baseline Energy Use (kWh/yr)]]),(Table411[[#This Row],[Baseline Motor Energy Use (kWh)]])),0)</f>
        <v>0</v>
      </c>
      <c r="BC34" s="804">
        <f>IFERROR(IF(Table411[[#This Row],[Is Replacement Pump Motor Energy Use Known? (Yes/No)]]="Yes",(Table411[[#This Row],[Annual Replacement Energy Use (kWh/yr)]]),(Table411[[#This Row],[Replacement Motor Energy Use (kWh)]])),0)</f>
        <v>0</v>
      </c>
      <c r="BD34" s="804">
        <f>SUM((Table411[[#This Row],[Baseline Annual Energy Use]]-Table411[[#This Row],[Replacement Annual Energy Use]]),(Table411[[#This Row],[Replacement VFD Energy Savings (kWh)]]-Table411[[#This Row],[Baseline VFD Energy Savings (kWh)]]))</f>
        <v>0</v>
      </c>
      <c r="BE34" s="930">
        <f>'Grid Electricity'!$B$19</f>
        <v>2.1064475489616943E-4</v>
      </c>
      <c r="BF34" s="803" t="s">
        <v>586</v>
      </c>
      <c r="BG34" s="806">
        <f>Table411[[#This Row],[Baseline Annual Energy Use]]*Table411[[#This Row],[Fuel Carbon Content]]</f>
        <v>0</v>
      </c>
      <c r="BH34" s="806">
        <f>Table411[[#This Row],[Replacement Annual Energy Use]]*Table411[[#This Row],[Fuel Carbon Content]]</f>
        <v>0</v>
      </c>
      <c r="BI34" s="806">
        <f t="shared" si="23"/>
        <v>0</v>
      </c>
      <c r="BJ34" s="804">
        <f t="shared" si="24"/>
        <v>0</v>
      </c>
      <c r="BK34" s="807">
        <v>0.76</v>
      </c>
      <c r="BL34" s="813">
        <f>IFERROR(BD34*'Grid Electricity'!$D$39,0)</f>
        <v>0</v>
      </c>
      <c r="BM34" s="813">
        <f>IFERROR(BD34*'Grid Electricity'!$C$39,0)</f>
        <v>0</v>
      </c>
      <c r="BN34" s="813">
        <f>IFERROR(BD34*'Grid Electricity'!$F$39,0)</f>
        <v>0</v>
      </c>
      <c r="BO34" s="813">
        <f t="shared" si="25"/>
        <v>0</v>
      </c>
      <c r="BP34" s="814">
        <f t="shared" si="26"/>
        <v>0</v>
      </c>
      <c r="BQ34" s="814">
        <f t="shared" si="27"/>
        <v>0</v>
      </c>
      <c r="BR34" s="814">
        <f t="shared" si="28"/>
        <v>0</v>
      </c>
      <c r="BS34" s="814">
        <f t="shared" si="29"/>
        <v>0</v>
      </c>
      <c r="BT34" s="818">
        <f>((BB34-AB34)*'Fuel Prices'!$C$27)*(IF(ISBLANK(D34),15,D34))</f>
        <v>0</v>
      </c>
      <c r="BU34" s="818">
        <f>((BC34-AZ34)*'Fuel Prices'!$C$27)*(IF(ISBLANK(D34),15,D34))</f>
        <v>0</v>
      </c>
      <c r="BV34" s="818">
        <f t="shared" si="30"/>
        <v>0</v>
      </c>
      <c r="BW34" s="818">
        <f t="shared" si="31"/>
        <v>0</v>
      </c>
      <c r="BX34" s="804" t="str">
        <f t="shared" si="32"/>
        <v/>
      </c>
      <c r="BY34" s="804">
        <f t="shared" si="33"/>
        <v>0</v>
      </c>
      <c r="BZ34" s="804">
        <v>0</v>
      </c>
      <c r="CA34" s="804">
        <f t="shared" si="34"/>
        <v>0</v>
      </c>
      <c r="CB34" s="804">
        <f t="shared" si="35"/>
        <v>0</v>
      </c>
      <c r="CC34" s="804">
        <f t="shared" si="36"/>
        <v>0</v>
      </c>
      <c r="CD34" s="804">
        <f t="shared" si="37"/>
        <v>0</v>
      </c>
      <c r="CE34" s="804">
        <f t="shared" si="38"/>
        <v>0</v>
      </c>
      <c r="CF34" s="804">
        <f t="shared" si="39"/>
        <v>0</v>
      </c>
      <c r="CG34" s="818">
        <f t="shared" si="40"/>
        <v>0</v>
      </c>
    </row>
    <row r="35" spans="1:85" s="699" customFormat="1" ht="18" customHeight="1" x14ac:dyDescent="0.35">
      <c r="A35" s="696"/>
      <c r="B35" s="820"/>
      <c r="C35" s="825" t="str">
        <f t="shared" si="0"/>
        <v>(Required)</v>
      </c>
      <c r="D35" s="821"/>
      <c r="E35" s="825" t="str">
        <f t="shared" si="1"/>
        <v>(Required)</v>
      </c>
      <c r="F35" s="822"/>
      <c r="G35" s="825" t="str">
        <f t="shared" si="2"/>
        <v>(Required)</v>
      </c>
      <c r="H35" s="821"/>
      <c r="I35" s="825" t="str">
        <f t="shared" si="3"/>
        <v>(Required)</v>
      </c>
      <c r="J35" s="821"/>
      <c r="K35" s="825" t="str">
        <f t="shared" si="4"/>
        <v>(Required)</v>
      </c>
      <c r="L35" s="821"/>
      <c r="M35" s="825" t="str">
        <f t="shared" si="5"/>
        <v>(Required)</v>
      </c>
      <c r="N35" s="821"/>
      <c r="O35" s="825" t="str">
        <f t="shared" si="6"/>
        <v>(Required)</v>
      </c>
      <c r="P35" s="924"/>
      <c r="Q35" s="825" t="str">
        <f t="shared" si="7"/>
        <v>(Optional)</v>
      </c>
      <c r="R35" s="821"/>
      <c r="S35" s="827" t="str">
        <f t="shared" si="8"/>
        <v>(Required)</v>
      </c>
      <c r="T35" s="828"/>
      <c r="U35" s="799" t="str">
        <f t="shared" si="9"/>
        <v>(Optional)</v>
      </c>
      <c r="V35" s="824"/>
      <c r="W35" s="799" t="str">
        <f t="shared" si="9"/>
        <v>(Optional)</v>
      </c>
      <c r="X35" s="925"/>
      <c r="Y35" s="926" t="str">
        <f t="shared" si="10"/>
        <v>(Required)</v>
      </c>
      <c r="Z35" s="925"/>
      <c r="AA35" s="926" t="str">
        <f t="shared" si="11"/>
        <v>(Required)</v>
      </c>
      <c r="AB3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5" s="822"/>
      <c r="AE35" s="825" t="str">
        <f t="shared" si="12"/>
        <v>(Required)</v>
      </c>
      <c r="AF35" s="821"/>
      <c r="AG35" s="825" t="str">
        <f t="shared" si="13"/>
        <v>(Required)</v>
      </c>
      <c r="AH35" s="821"/>
      <c r="AI35" s="825" t="str">
        <f t="shared" si="14"/>
        <v>(Required)</v>
      </c>
      <c r="AJ35" s="821"/>
      <c r="AK35" s="825" t="str">
        <f t="shared" si="15"/>
        <v>(Required)</v>
      </c>
      <c r="AL35" s="821"/>
      <c r="AM35" s="825" t="str">
        <f t="shared" si="16"/>
        <v>(Required)</v>
      </c>
      <c r="AN35" s="924"/>
      <c r="AO35" s="825" t="str">
        <f t="shared" si="17"/>
        <v>(Required)</v>
      </c>
      <c r="AP35" s="821"/>
      <c r="AQ35" s="827" t="str">
        <f t="shared" si="18"/>
        <v>(Required)</v>
      </c>
      <c r="AR35" s="928"/>
      <c r="AS35" s="826" t="str">
        <f t="shared" si="19"/>
        <v>(Optional)</v>
      </c>
      <c r="AT35" s="928"/>
      <c r="AU35" s="826" t="str">
        <f t="shared" si="20"/>
        <v>(Optional)</v>
      </c>
      <c r="AV35" s="931"/>
      <c r="AW35" s="825" t="str">
        <f t="shared" si="21"/>
        <v>(Required)</v>
      </c>
      <c r="AX35" s="931"/>
      <c r="AY35" s="825" t="str">
        <f t="shared" si="22"/>
        <v>(Required)</v>
      </c>
      <c r="AZ3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5" s="804">
        <f>IFERROR(IF(Table411[[#This Row],[Is Baseline Pump Motor Energy Use Known? (Yes/No)]]="Yes",(Table411[[#This Row],[Annual Baseline Energy Use (kWh/yr)]]),(Table411[[#This Row],[Baseline Motor Energy Use (kWh)]])),0)</f>
        <v>0</v>
      </c>
      <c r="BC35" s="804">
        <f>IFERROR(IF(Table411[[#This Row],[Is Replacement Pump Motor Energy Use Known? (Yes/No)]]="Yes",(Table411[[#This Row],[Annual Replacement Energy Use (kWh/yr)]]),(Table411[[#This Row],[Replacement Motor Energy Use (kWh)]])),0)</f>
        <v>0</v>
      </c>
      <c r="BD35" s="804">
        <f>SUM((Table411[[#This Row],[Baseline Annual Energy Use]]-Table411[[#This Row],[Replacement Annual Energy Use]]),(Table411[[#This Row],[Replacement VFD Energy Savings (kWh)]]-Table411[[#This Row],[Baseline VFD Energy Savings (kWh)]]))</f>
        <v>0</v>
      </c>
      <c r="BE35" s="930">
        <f>'Grid Electricity'!$B$19</f>
        <v>2.1064475489616943E-4</v>
      </c>
      <c r="BF35" s="803" t="s">
        <v>586</v>
      </c>
      <c r="BG35" s="806">
        <f>Table411[[#This Row],[Baseline Annual Energy Use]]*Table411[[#This Row],[Fuel Carbon Content]]</f>
        <v>0</v>
      </c>
      <c r="BH35" s="806">
        <f>Table411[[#This Row],[Replacement Annual Energy Use]]*Table411[[#This Row],[Fuel Carbon Content]]</f>
        <v>0</v>
      </c>
      <c r="BI35" s="806">
        <f t="shared" si="23"/>
        <v>0</v>
      </c>
      <c r="BJ35" s="804">
        <f t="shared" si="24"/>
        <v>0</v>
      </c>
      <c r="BK35" s="807">
        <v>0.76</v>
      </c>
      <c r="BL35" s="813">
        <f>IFERROR(BD35*'Grid Electricity'!$D$39,0)</f>
        <v>0</v>
      </c>
      <c r="BM35" s="813">
        <f>IFERROR(BD35*'Grid Electricity'!$C$39,0)</f>
        <v>0</v>
      </c>
      <c r="BN35" s="813">
        <f>IFERROR(BD35*'Grid Electricity'!$F$39,0)</f>
        <v>0</v>
      </c>
      <c r="BO35" s="813">
        <f t="shared" si="25"/>
        <v>0</v>
      </c>
      <c r="BP35" s="814">
        <f t="shared" si="26"/>
        <v>0</v>
      </c>
      <c r="BQ35" s="814">
        <f t="shared" si="27"/>
        <v>0</v>
      </c>
      <c r="BR35" s="814">
        <f t="shared" si="28"/>
        <v>0</v>
      </c>
      <c r="BS35" s="814">
        <f t="shared" si="29"/>
        <v>0</v>
      </c>
      <c r="BT35" s="818">
        <f>((BB35-AB35)*'Fuel Prices'!$C$27)*(IF(ISBLANK(D35),15,D35))</f>
        <v>0</v>
      </c>
      <c r="BU35" s="818">
        <f>((BC35-AZ35)*'Fuel Prices'!$C$27)*(IF(ISBLANK(D35),15,D35))</f>
        <v>0</v>
      </c>
      <c r="BV35" s="818">
        <f t="shared" si="30"/>
        <v>0</v>
      </c>
      <c r="BW35" s="818">
        <f t="shared" si="31"/>
        <v>0</v>
      </c>
      <c r="BX35" s="804" t="str">
        <f t="shared" si="32"/>
        <v/>
      </c>
      <c r="BY35" s="804">
        <f t="shared" si="33"/>
        <v>0</v>
      </c>
      <c r="BZ35" s="804">
        <v>0</v>
      </c>
      <c r="CA35" s="804">
        <f t="shared" si="34"/>
        <v>0</v>
      </c>
      <c r="CB35" s="804">
        <f t="shared" si="35"/>
        <v>0</v>
      </c>
      <c r="CC35" s="804">
        <f t="shared" si="36"/>
        <v>0</v>
      </c>
      <c r="CD35" s="804">
        <f t="shared" si="37"/>
        <v>0</v>
      </c>
      <c r="CE35" s="804">
        <f t="shared" si="38"/>
        <v>0</v>
      </c>
      <c r="CF35" s="804">
        <f t="shared" si="39"/>
        <v>0</v>
      </c>
      <c r="CG35" s="818">
        <f t="shared" si="40"/>
        <v>0</v>
      </c>
    </row>
    <row r="36" spans="1:85" s="699" customFormat="1" ht="18" customHeight="1" x14ac:dyDescent="0.35">
      <c r="A36" s="635"/>
      <c r="B36" s="820"/>
      <c r="C36" s="825" t="str">
        <f t="shared" si="0"/>
        <v>(Required)</v>
      </c>
      <c r="D36" s="821"/>
      <c r="E36" s="825" t="str">
        <f t="shared" si="1"/>
        <v>(Required)</v>
      </c>
      <c r="F36" s="822"/>
      <c r="G36" s="825" t="str">
        <f t="shared" si="2"/>
        <v>(Required)</v>
      </c>
      <c r="H36" s="821"/>
      <c r="I36" s="825" t="str">
        <f t="shared" si="3"/>
        <v>(Required)</v>
      </c>
      <c r="J36" s="821"/>
      <c r="K36" s="825" t="str">
        <f t="shared" si="4"/>
        <v>(Required)</v>
      </c>
      <c r="L36" s="821"/>
      <c r="M36" s="825" t="str">
        <f t="shared" si="5"/>
        <v>(Required)</v>
      </c>
      <c r="N36" s="821"/>
      <c r="O36" s="825" t="str">
        <f t="shared" si="6"/>
        <v>(Required)</v>
      </c>
      <c r="P36" s="924"/>
      <c r="Q36" s="825" t="str">
        <f t="shared" si="7"/>
        <v>(Optional)</v>
      </c>
      <c r="R36" s="821"/>
      <c r="S36" s="827" t="str">
        <f t="shared" si="8"/>
        <v>(Required)</v>
      </c>
      <c r="T36" s="828"/>
      <c r="U36" s="799" t="str">
        <f t="shared" si="9"/>
        <v>(Optional)</v>
      </c>
      <c r="V36" s="824"/>
      <c r="W36" s="799" t="str">
        <f t="shared" si="9"/>
        <v>(Optional)</v>
      </c>
      <c r="X36" s="925"/>
      <c r="Y36" s="926" t="str">
        <f t="shared" si="10"/>
        <v>(Required)</v>
      </c>
      <c r="Z36" s="925"/>
      <c r="AA36" s="926" t="str">
        <f t="shared" si="11"/>
        <v>(Required)</v>
      </c>
      <c r="AB3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6" s="822"/>
      <c r="AE36" s="825" t="str">
        <f t="shared" si="12"/>
        <v>(Required)</v>
      </c>
      <c r="AF36" s="821"/>
      <c r="AG36" s="825" t="str">
        <f t="shared" si="13"/>
        <v>(Required)</v>
      </c>
      <c r="AH36" s="821"/>
      <c r="AI36" s="825" t="str">
        <f t="shared" si="14"/>
        <v>(Required)</v>
      </c>
      <c r="AJ36" s="821"/>
      <c r="AK36" s="825" t="str">
        <f t="shared" si="15"/>
        <v>(Required)</v>
      </c>
      <c r="AL36" s="821"/>
      <c r="AM36" s="825" t="str">
        <f t="shared" si="16"/>
        <v>(Required)</v>
      </c>
      <c r="AN36" s="924"/>
      <c r="AO36" s="825" t="str">
        <f t="shared" si="17"/>
        <v>(Required)</v>
      </c>
      <c r="AP36" s="821"/>
      <c r="AQ36" s="827" t="str">
        <f t="shared" si="18"/>
        <v>(Required)</v>
      </c>
      <c r="AR36" s="928"/>
      <c r="AS36" s="826" t="str">
        <f t="shared" si="19"/>
        <v>(Optional)</v>
      </c>
      <c r="AT36" s="928"/>
      <c r="AU36" s="826" t="str">
        <f t="shared" si="20"/>
        <v>(Optional)</v>
      </c>
      <c r="AV36" s="931"/>
      <c r="AW36" s="825" t="str">
        <f t="shared" si="21"/>
        <v>(Required)</v>
      </c>
      <c r="AX36" s="931"/>
      <c r="AY36" s="825" t="str">
        <f t="shared" si="22"/>
        <v>(Required)</v>
      </c>
      <c r="AZ3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6" s="804">
        <f>IFERROR(IF(Table411[[#This Row],[Is Baseline Pump Motor Energy Use Known? (Yes/No)]]="Yes",(Table411[[#This Row],[Annual Baseline Energy Use (kWh/yr)]]),(Table411[[#This Row],[Baseline Motor Energy Use (kWh)]])),0)</f>
        <v>0</v>
      </c>
      <c r="BC36" s="804">
        <f>IFERROR(IF(Table411[[#This Row],[Is Replacement Pump Motor Energy Use Known? (Yes/No)]]="Yes",(Table411[[#This Row],[Annual Replacement Energy Use (kWh/yr)]]),(Table411[[#This Row],[Replacement Motor Energy Use (kWh)]])),0)</f>
        <v>0</v>
      </c>
      <c r="BD36" s="804">
        <f>SUM((Table411[[#This Row],[Baseline Annual Energy Use]]-Table411[[#This Row],[Replacement Annual Energy Use]]),(Table411[[#This Row],[Replacement VFD Energy Savings (kWh)]]-Table411[[#This Row],[Baseline VFD Energy Savings (kWh)]]))</f>
        <v>0</v>
      </c>
      <c r="BE36" s="930">
        <f>'Grid Electricity'!$B$19</f>
        <v>2.1064475489616943E-4</v>
      </c>
      <c r="BF36" s="803" t="s">
        <v>586</v>
      </c>
      <c r="BG36" s="806">
        <f>Table411[[#This Row],[Baseline Annual Energy Use]]*Table411[[#This Row],[Fuel Carbon Content]]</f>
        <v>0</v>
      </c>
      <c r="BH36" s="806">
        <f>Table411[[#This Row],[Replacement Annual Energy Use]]*Table411[[#This Row],[Fuel Carbon Content]]</f>
        <v>0</v>
      </c>
      <c r="BI36" s="806">
        <f t="shared" si="23"/>
        <v>0</v>
      </c>
      <c r="BJ36" s="804">
        <f t="shared" si="24"/>
        <v>0</v>
      </c>
      <c r="BK36" s="807">
        <v>0.76</v>
      </c>
      <c r="BL36" s="813">
        <f>IFERROR(BD36*'Grid Electricity'!$D$39,0)</f>
        <v>0</v>
      </c>
      <c r="BM36" s="813">
        <f>IFERROR(BD36*'Grid Electricity'!$C$39,0)</f>
        <v>0</v>
      </c>
      <c r="BN36" s="813">
        <f>IFERROR(BD36*'Grid Electricity'!$F$39,0)</f>
        <v>0</v>
      </c>
      <c r="BO36" s="813">
        <f t="shared" si="25"/>
        <v>0</v>
      </c>
      <c r="BP36" s="814">
        <f t="shared" si="26"/>
        <v>0</v>
      </c>
      <c r="BQ36" s="814">
        <f t="shared" si="27"/>
        <v>0</v>
      </c>
      <c r="BR36" s="814">
        <f t="shared" si="28"/>
        <v>0</v>
      </c>
      <c r="BS36" s="814">
        <f t="shared" si="29"/>
        <v>0</v>
      </c>
      <c r="BT36" s="818">
        <f>((BB36-AB36)*'Fuel Prices'!$C$27)*(IF(ISBLANK(D36),15,D36))</f>
        <v>0</v>
      </c>
      <c r="BU36" s="818">
        <f>((BC36-AZ36)*'Fuel Prices'!$C$27)*(IF(ISBLANK(D36),15,D36))</f>
        <v>0</v>
      </c>
      <c r="BV36" s="818">
        <f t="shared" si="30"/>
        <v>0</v>
      </c>
      <c r="BW36" s="818">
        <f t="shared" si="31"/>
        <v>0</v>
      </c>
      <c r="BX36" s="804" t="str">
        <f t="shared" si="32"/>
        <v/>
      </c>
      <c r="BY36" s="804">
        <f t="shared" si="33"/>
        <v>0</v>
      </c>
      <c r="BZ36" s="804">
        <v>0</v>
      </c>
      <c r="CA36" s="804">
        <f t="shared" si="34"/>
        <v>0</v>
      </c>
      <c r="CB36" s="804">
        <f t="shared" si="35"/>
        <v>0</v>
      </c>
      <c r="CC36" s="804">
        <f t="shared" si="36"/>
        <v>0</v>
      </c>
      <c r="CD36" s="804">
        <f t="shared" si="37"/>
        <v>0</v>
      </c>
      <c r="CE36" s="804">
        <f t="shared" si="38"/>
        <v>0</v>
      </c>
      <c r="CF36" s="804">
        <f t="shared" si="39"/>
        <v>0</v>
      </c>
      <c r="CG36" s="818">
        <f t="shared" si="40"/>
        <v>0</v>
      </c>
    </row>
    <row r="37" spans="1:85" s="699" customFormat="1" ht="18" customHeight="1" x14ac:dyDescent="0.35">
      <c r="A37" s="696"/>
      <c r="B37" s="820"/>
      <c r="C37" s="825" t="str">
        <f t="shared" si="0"/>
        <v>(Required)</v>
      </c>
      <c r="D37" s="821"/>
      <c r="E37" s="825" t="str">
        <f t="shared" si="1"/>
        <v>(Required)</v>
      </c>
      <c r="F37" s="822"/>
      <c r="G37" s="825" t="str">
        <f t="shared" si="2"/>
        <v>(Required)</v>
      </c>
      <c r="H37" s="821"/>
      <c r="I37" s="825" t="str">
        <f t="shared" si="3"/>
        <v>(Required)</v>
      </c>
      <c r="J37" s="821"/>
      <c r="K37" s="825" t="str">
        <f t="shared" si="4"/>
        <v>(Required)</v>
      </c>
      <c r="L37" s="821"/>
      <c r="M37" s="825" t="str">
        <f t="shared" si="5"/>
        <v>(Required)</v>
      </c>
      <c r="N37" s="821"/>
      <c r="O37" s="825" t="str">
        <f t="shared" si="6"/>
        <v>(Required)</v>
      </c>
      <c r="P37" s="924"/>
      <c r="Q37" s="825" t="str">
        <f t="shared" si="7"/>
        <v>(Optional)</v>
      </c>
      <c r="R37" s="821"/>
      <c r="S37" s="827" t="str">
        <f t="shared" si="8"/>
        <v>(Required)</v>
      </c>
      <c r="T37" s="828"/>
      <c r="U37" s="799" t="str">
        <f t="shared" si="9"/>
        <v>(Optional)</v>
      </c>
      <c r="V37" s="824"/>
      <c r="W37" s="799" t="str">
        <f t="shared" si="9"/>
        <v>(Optional)</v>
      </c>
      <c r="X37" s="925"/>
      <c r="Y37" s="926" t="str">
        <f t="shared" si="10"/>
        <v>(Required)</v>
      </c>
      <c r="Z37" s="925"/>
      <c r="AA37" s="926" t="str">
        <f t="shared" si="11"/>
        <v>(Required)</v>
      </c>
      <c r="AB3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7" s="822"/>
      <c r="AE37" s="825" t="str">
        <f t="shared" si="12"/>
        <v>(Required)</v>
      </c>
      <c r="AF37" s="821"/>
      <c r="AG37" s="825" t="str">
        <f t="shared" si="13"/>
        <v>(Required)</v>
      </c>
      <c r="AH37" s="821"/>
      <c r="AI37" s="825" t="str">
        <f t="shared" si="14"/>
        <v>(Required)</v>
      </c>
      <c r="AJ37" s="821"/>
      <c r="AK37" s="825" t="str">
        <f t="shared" si="15"/>
        <v>(Required)</v>
      </c>
      <c r="AL37" s="821"/>
      <c r="AM37" s="825" t="str">
        <f t="shared" si="16"/>
        <v>(Required)</v>
      </c>
      <c r="AN37" s="924"/>
      <c r="AO37" s="825" t="str">
        <f t="shared" si="17"/>
        <v>(Required)</v>
      </c>
      <c r="AP37" s="821"/>
      <c r="AQ37" s="827" t="str">
        <f t="shared" si="18"/>
        <v>(Required)</v>
      </c>
      <c r="AR37" s="928"/>
      <c r="AS37" s="826" t="str">
        <f t="shared" si="19"/>
        <v>(Optional)</v>
      </c>
      <c r="AT37" s="928"/>
      <c r="AU37" s="826" t="str">
        <f t="shared" si="20"/>
        <v>(Optional)</v>
      </c>
      <c r="AV37" s="931"/>
      <c r="AW37" s="825" t="str">
        <f t="shared" si="21"/>
        <v>(Required)</v>
      </c>
      <c r="AX37" s="931"/>
      <c r="AY37" s="825" t="str">
        <f t="shared" si="22"/>
        <v>(Required)</v>
      </c>
      <c r="AZ3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7" s="804">
        <f>IFERROR(IF(Table411[[#This Row],[Is Baseline Pump Motor Energy Use Known? (Yes/No)]]="Yes",(Table411[[#This Row],[Annual Baseline Energy Use (kWh/yr)]]),(Table411[[#This Row],[Baseline Motor Energy Use (kWh)]])),0)</f>
        <v>0</v>
      </c>
      <c r="BC37" s="804">
        <f>IFERROR(IF(Table411[[#This Row],[Is Replacement Pump Motor Energy Use Known? (Yes/No)]]="Yes",(Table411[[#This Row],[Annual Replacement Energy Use (kWh/yr)]]),(Table411[[#This Row],[Replacement Motor Energy Use (kWh)]])),0)</f>
        <v>0</v>
      </c>
      <c r="BD37" s="804">
        <f>SUM((Table411[[#This Row],[Baseline Annual Energy Use]]-Table411[[#This Row],[Replacement Annual Energy Use]]),(Table411[[#This Row],[Replacement VFD Energy Savings (kWh)]]-Table411[[#This Row],[Baseline VFD Energy Savings (kWh)]]))</f>
        <v>0</v>
      </c>
      <c r="BE37" s="930">
        <f>'Grid Electricity'!$B$19</f>
        <v>2.1064475489616943E-4</v>
      </c>
      <c r="BF37" s="803" t="s">
        <v>586</v>
      </c>
      <c r="BG37" s="806">
        <f>Table411[[#This Row],[Baseline Annual Energy Use]]*Table411[[#This Row],[Fuel Carbon Content]]</f>
        <v>0</v>
      </c>
      <c r="BH37" s="806">
        <f>Table411[[#This Row],[Replacement Annual Energy Use]]*Table411[[#This Row],[Fuel Carbon Content]]</f>
        <v>0</v>
      </c>
      <c r="BI37" s="806">
        <f t="shared" si="23"/>
        <v>0</v>
      </c>
      <c r="BJ37" s="804">
        <f t="shared" si="24"/>
        <v>0</v>
      </c>
      <c r="BK37" s="807">
        <v>0.76</v>
      </c>
      <c r="BL37" s="813">
        <f>IFERROR(BD37*'Grid Electricity'!$D$39,0)</f>
        <v>0</v>
      </c>
      <c r="BM37" s="813">
        <f>IFERROR(BD37*'Grid Electricity'!$C$39,0)</f>
        <v>0</v>
      </c>
      <c r="BN37" s="813">
        <f>IFERROR(BD37*'Grid Electricity'!$F$39,0)</f>
        <v>0</v>
      </c>
      <c r="BO37" s="813">
        <f t="shared" si="25"/>
        <v>0</v>
      </c>
      <c r="BP37" s="814">
        <f t="shared" si="26"/>
        <v>0</v>
      </c>
      <c r="BQ37" s="814">
        <f t="shared" si="27"/>
        <v>0</v>
      </c>
      <c r="BR37" s="814">
        <f t="shared" si="28"/>
        <v>0</v>
      </c>
      <c r="BS37" s="814">
        <f t="shared" si="29"/>
        <v>0</v>
      </c>
      <c r="BT37" s="818">
        <f>((BB37-AB37)*'Fuel Prices'!$C$27)*(IF(ISBLANK(D37),15,D37))</f>
        <v>0</v>
      </c>
      <c r="BU37" s="818">
        <f>((BC37-AZ37)*'Fuel Prices'!$C$27)*(IF(ISBLANK(D37),15,D37))</f>
        <v>0</v>
      </c>
      <c r="BV37" s="818">
        <f t="shared" si="30"/>
        <v>0</v>
      </c>
      <c r="BW37" s="818">
        <f t="shared" si="31"/>
        <v>0</v>
      </c>
      <c r="BX37" s="804" t="str">
        <f t="shared" si="32"/>
        <v/>
      </c>
      <c r="BY37" s="804">
        <f t="shared" si="33"/>
        <v>0</v>
      </c>
      <c r="BZ37" s="804">
        <v>0</v>
      </c>
      <c r="CA37" s="804">
        <f t="shared" si="34"/>
        <v>0</v>
      </c>
      <c r="CB37" s="804">
        <f t="shared" si="35"/>
        <v>0</v>
      </c>
      <c r="CC37" s="804">
        <f t="shared" si="36"/>
        <v>0</v>
      </c>
      <c r="CD37" s="804">
        <f t="shared" si="37"/>
        <v>0</v>
      </c>
      <c r="CE37" s="804">
        <f t="shared" si="38"/>
        <v>0</v>
      </c>
      <c r="CF37" s="804">
        <f t="shared" si="39"/>
        <v>0</v>
      </c>
      <c r="CG37" s="818">
        <f t="shared" si="40"/>
        <v>0</v>
      </c>
    </row>
    <row r="38" spans="1:85" s="699" customFormat="1" ht="18" customHeight="1" x14ac:dyDescent="0.35">
      <c r="A38" s="635"/>
      <c r="B38" s="820"/>
      <c r="C38" s="825" t="str">
        <f t="shared" si="0"/>
        <v>(Required)</v>
      </c>
      <c r="D38" s="821"/>
      <c r="E38" s="825" t="str">
        <f t="shared" si="1"/>
        <v>(Required)</v>
      </c>
      <c r="F38" s="822"/>
      <c r="G38" s="825" t="str">
        <f t="shared" si="2"/>
        <v>(Required)</v>
      </c>
      <c r="H38" s="821"/>
      <c r="I38" s="825" t="str">
        <f t="shared" si="3"/>
        <v>(Required)</v>
      </c>
      <c r="J38" s="821"/>
      <c r="K38" s="825" t="str">
        <f t="shared" si="4"/>
        <v>(Required)</v>
      </c>
      <c r="L38" s="821"/>
      <c r="M38" s="825" t="str">
        <f t="shared" si="5"/>
        <v>(Required)</v>
      </c>
      <c r="N38" s="821"/>
      <c r="O38" s="825" t="str">
        <f t="shared" si="6"/>
        <v>(Required)</v>
      </c>
      <c r="P38" s="924"/>
      <c r="Q38" s="825" t="str">
        <f t="shared" si="7"/>
        <v>(Optional)</v>
      </c>
      <c r="R38" s="821"/>
      <c r="S38" s="827" t="str">
        <f t="shared" si="8"/>
        <v>(Required)</v>
      </c>
      <c r="T38" s="828"/>
      <c r="U38" s="799" t="str">
        <f t="shared" si="9"/>
        <v>(Optional)</v>
      </c>
      <c r="V38" s="824"/>
      <c r="W38" s="799" t="str">
        <f t="shared" si="9"/>
        <v>(Optional)</v>
      </c>
      <c r="X38" s="925"/>
      <c r="Y38" s="926" t="str">
        <f t="shared" si="10"/>
        <v>(Required)</v>
      </c>
      <c r="Z38" s="925"/>
      <c r="AA38" s="926" t="str">
        <f t="shared" si="11"/>
        <v>(Required)</v>
      </c>
      <c r="AB3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8" s="822"/>
      <c r="AE38" s="825" t="str">
        <f t="shared" si="12"/>
        <v>(Required)</v>
      </c>
      <c r="AF38" s="821"/>
      <c r="AG38" s="825" t="str">
        <f t="shared" si="13"/>
        <v>(Required)</v>
      </c>
      <c r="AH38" s="821"/>
      <c r="AI38" s="825" t="str">
        <f t="shared" si="14"/>
        <v>(Required)</v>
      </c>
      <c r="AJ38" s="821"/>
      <c r="AK38" s="825" t="str">
        <f t="shared" si="15"/>
        <v>(Required)</v>
      </c>
      <c r="AL38" s="821"/>
      <c r="AM38" s="825" t="str">
        <f t="shared" si="16"/>
        <v>(Required)</v>
      </c>
      <c r="AN38" s="924"/>
      <c r="AO38" s="825" t="str">
        <f t="shared" si="17"/>
        <v>(Required)</v>
      </c>
      <c r="AP38" s="821"/>
      <c r="AQ38" s="827" t="str">
        <f t="shared" si="18"/>
        <v>(Required)</v>
      </c>
      <c r="AR38" s="928"/>
      <c r="AS38" s="826" t="str">
        <f t="shared" si="19"/>
        <v>(Optional)</v>
      </c>
      <c r="AT38" s="928"/>
      <c r="AU38" s="826" t="str">
        <f t="shared" si="20"/>
        <v>(Optional)</v>
      </c>
      <c r="AV38" s="931"/>
      <c r="AW38" s="825" t="str">
        <f t="shared" si="21"/>
        <v>(Required)</v>
      </c>
      <c r="AX38" s="931"/>
      <c r="AY38" s="825" t="str">
        <f t="shared" si="22"/>
        <v>(Required)</v>
      </c>
      <c r="AZ3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8" s="804">
        <f>IFERROR(IF(Table411[[#This Row],[Is Baseline Pump Motor Energy Use Known? (Yes/No)]]="Yes",(Table411[[#This Row],[Annual Baseline Energy Use (kWh/yr)]]),(Table411[[#This Row],[Baseline Motor Energy Use (kWh)]])),0)</f>
        <v>0</v>
      </c>
      <c r="BC38" s="804">
        <f>IFERROR(IF(Table411[[#This Row],[Is Replacement Pump Motor Energy Use Known? (Yes/No)]]="Yes",(Table411[[#This Row],[Annual Replacement Energy Use (kWh/yr)]]),(Table411[[#This Row],[Replacement Motor Energy Use (kWh)]])),0)</f>
        <v>0</v>
      </c>
      <c r="BD38" s="804">
        <f>SUM((Table411[[#This Row],[Baseline Annual Energy Use]]-Table411[[#This Row],[Replacement Annual Energy Use]]),(Table411[[#This Row],[Replacement VFD Energy Savings (kWh)]]-Table411[[#This Row],[Baseline VFD Energy Savings (kWh)]]))</f>
        <v>0</v>
      </c>
      <c r="BE38" s="930">
        <f>'Grid Electricity'!$B$19</f>
        <v>2.1064475489616943E-4</v>
      </c>
      <c r="BF38" s="803" t="s">
        <v>586</v>
      </c>
      <c r="BG38" s="806">
        <f>Table411[[#This Row],[Baseline Annual Energy Use]]*Table411[[#This Row],[Fuel Carbon Content]]</f>
        <v>0</v>
      </c>
      <c r="BH38" s="806">
        <f>Table411[[#This Row],[Replacement Annual Energy Use]]*Table411[[#This Row],[Fuel Carbon Content]]</f>
        <v>0</v>
      </c>
      <c r="BI38" s="806">
        <f t="shared" si="23"/>
        <v>0</v>
      </c>
      <c r="BJ38" s="804">
        <f t="shared" si="24"/>
        <v>0</v>
      </c>
      <c r="BK38" s="807">
        <v>0.76</v>
      </c>
      <c r="BL38" s="813">
        <f>IFERROR(BD38*'Grid Electricity'!$D$39,0)</f>
        <v>0</v>
      </c>
      <c r="BM38" s="813">
        <f>IFERROR(BD38*'Grid Electricity'!$C$39,0)</f>
        <v>0</v>
      </c>
      <c r="BN38" s="813">
        <f>IFERROR(BD38*'Grid Electricity'!$F$39,0)</f>
        <v>0</v>
      </c>
      <c r="BO38" s="813">
        <f t="shared" si="25"/>
        <v>0</v>
      </c>
      <c r="BP38" s="814">
        <f t="shared" si="26"/>
        <v>0</v>
      </c>
      <c r="BQ38" s="814">
        <f t="shared" si="27"/>
        <v>0</v>
      </c>
      <c r="BR38" s="814">
        <f t="shared" si="28"/>
        <v>0</v>
      </c>
      <c r="BS38" s="814">
        <f t="shared" si="29"/>
        <v>0</v>
      </c>
      <c r="BT38" s="818">
        <f>((BB38-AB38)*'Fuel Prices'!$C$27)*(IF(ISBLANK(D38),15,D38))</f>
        <v>0</v>
      </c>
      <c r="BU38" s="818">
        <f>((BC38-AZ38)*'Fuel Prices'!$C$27)*(IF(ISBLANK(D38),15,D38))</f>
        <v>0</v>
      </c>
      <c r="BV38" s="818">
        <f t="shared" si="30"/>
        <v>0</v>
      </c>
      <c r="BW38" s="818">
        <f t="shared" si="31"/>
        <v>0</v>
      </c>
      <c r="BX38" s="804" t="str">
        <f t="shared" si="32"/>
        <v/>
      </c>
      <c r="BY38" s="804">
        <f t="shared" si="33"/>
        <v>0</v>
      </c>
      <c r="BZ38" s="804">
        <v>0</v>
      </c>
      <c r="CA38" s="804">
        <f t="shared" si="34"/>
        <v>0</v>
      </c>
      <c r="CB38" s="804">
        <f t="shared" si="35"/>
        <v>0</v>
      </c>
      <c r="CC38" s="804">
        <f t="shared" si="36"/>
        <v>0</v>
      </c>
      <c r="CD38" s="804">
        <f t="shared" si="37"/>
        <v>0</v>
      </c>
      <c r="CE38" s="804">
        <f t="shared" si="38"/>
        <v>0</v>
      </c>
      <c r="CF38" s="804">
        <f t="shared" si="39"/>
        <v>0</v>
      </c>
      <c r="CG38" s="818">
        <f t="shared" si="40"/>
        <v>0</v>
      </c>
    </row>
    <row r="39" spans="1:85" s="699" customFormat="1" ht="18" customHeight="1" x14ac:dyDescent="0.35">
      <c r="A39" s="696"/>
      <c r="B39" s="820"/>
      <c r="C39" s="825" t="str">
        <f t="shared" si="0"/>
        <v>(Required)</v>
      </c>
      <c r="D39" s="821"/>
      <c r="E39" s="825" t="str">
        <f t="shared" si="1"/>
        <v>(Required)</v>
      </c>
      <c r="F39" s="822"/>
      <c r="G39" s="825" t="str">
        <f t="shared" si="2"/>
        <v>(Required)</v>
      </c>
      <c r="H39" s="821"/>
      <c r="I39" s="825" t="str">
        <f t="shared" si="3"/>
        <v>(Required)</v>
      </c>
      <c r="J39" s="821"/>
      <c r="K39" s="825" t="str">
        <f t="shared" si="4"/>
        <v>(Required)</v>
      </c>
      <c r="L39" s="821"/>
      <c r="M39" s="825" t="str">
        <f t="shared" si="5"/>
        <v>(Required)</v>
      </c>
      <c r="N39" s="821"/>
      <c r="O39" s="825" t="str">
        <f t="shared" si="6"/>
        <v>(Required)</v>
      </c>
      <c r="P39" s="924"/>
      <c r="Q39" s="825" t="str">
        <f t="shared" si="7"/>
        <v>(Optional)</v>
      </c>
      <c r="R39" s="821"/>
      <c r="S39" s="827" t="str">
        <f t="shared" si="8"/>
        <v>(Required)</v>
      </c>
      <c r="T39" s="828"/>
      <c r="U39" s="799" t="str">
        <f t="shared" si="9"/>
        <v>(Optional)</v>
      </c>
      <c r="V39" s="824"/>
      <c r="W39" s="799" t="str">
        <f t="shared" si="9"/>
        <v>(Optional)</v>
      </c>
      <c r="X39" s="925"/>
      <c r="Y39" s="926" t="str">
        <f t="shared" si="10"/>
        <v>(Required)</v>
      </c>
      <c r="Z39" s="925"/>
      <c r="AA39" s="926" t="str">
        <f t="shared" si="11"/>
        <v>(Required)</v>
      </c>
      <c r="AB3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3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39" s="822"/>
      <c r="AE39" s="825" t="str">
        <f t="shared" si="12"/>
        <v>(Required)</v>
      </c>
      <c r="AF39" s="821"/>
      <c r="AG39" s="825" t="str">
        <f t="shared" si="13"/>
        <v>(Required)</v>
      </c>
      <c r="AH39" s="821"/>
      <c r="AI39" s="825" t="str">
        <f t="shared" si="14"/>
        <v>(Required)</v>
      </c>
      <c r="AJ39" s="821"/>
      <c r="AK39" s="825" t="str">
        <f t="shared" si="15"/>
        <v>(Required)</v>
      </c>
      <c r="AL39" s="821"/>
      <c r="AM39" s="825" t="str">
        <f t="shared" si="16"/>
        <v>(Required)</v>
      </c>
      <c r="AN39" s="924"/>
      <c r="AO39" s="825" t="str">
        <f t="shared" si="17"/>
        <v>(Required)</v>
      </c>
      <c r="AP39" s="821"/>
      <c r="AQ39" s="827" t="str">
        <f t="shared" si="18"/>
        <v>(Required)</v>
      </c>
      <c r="AR39" s="928"/>
      <c r="AS39" s="826" t="str">
        <f t="shared" si="19"/>
        <v>(Optional)</v>
      </c>
      <c r="AT39" s="928"/>
      <c r="AU39" s="826" t="str">
        <f t="shared" si="20"/>
        <v>(Optional)</v>
      </c>
      <c r="AV39" s="931"/>
      <c r="AW39" s="825" t="str">
        <f t="shared" si="21"/>
        <v>(Required)</v>
      </c>
      <c r="AX39" s="931"/>
      <c r="AY39" s="825" t="str">
        <f t="shared" si="22"/>
        <v>(Required)</v>
      </c>
      <c r="AZ3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3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39" s="804">
        <f>IFERROR(IF(Table411[[#This Row],[Is Baseline Pump Motor Energy Use Known? (Yes/No)]]="Yes",(Table411[[#This Row],[Annual Baseline Energy Use (kWh/yr)]]),(Table411[[#This Row],[Baseline Motor Energy Use (kWh)]])),0)</f>
        <v>0</v>
      </c>
      <c r="BC39" s="804">
        <f>IFERROR(IF(Table411[[#This Row],[Is Replacement Pump Motor Energy Use Known? (Yes/No)]]="Yes",(Table411[[#This Row],[Annual Replacement Energy Use (kWh/yr)]]),(Table411[[#This Row],[Replacement Motor Energy Use (kWh)]])),0)</f>
        <v>0</v>
      </c>
      <c r="BD39" s="804">
        <f>SUM((Table411[[#This Row],[Baseline Annual Energy Use]]-Table411[[#This Row],[Replacement Annual Energy Use]]),(Table411[[#This Row],[Replacement VFD Energy Savings (kWh)]]-Table411[[#This Row],[Baseline VFD Energy Savings (kWh)]]))</f>
        <v>0</v>
      </c>
      <c r="BE39" s="930">
        <f>'Grid Electricity'!$B$19</f>
        <v>2.1064475489616943E-4</v>
      </c>
      <c r="BF39" s="803" t="s">
        <v>586</v>
      </c>
      <c r="BG39" s="806">
        <f>Table411[[#This Row],[Baseline Annual Energy Use]]*Table411[[#This Row],[Fuel Carbon Content]]</f>
        <v>0</v>
      </c>
      <c r="BH39" s="806">
        <f>Table411[[#This Row],[Replacement Annual Energy Use]]*Table411[[#This Row],[Fuel Carbon Content]]</f>
        <v>0</v>
      </c>
      <c r="BI39" s="806">
        <f t="shared" si="23"/>
        <v>0</v>
      </c>
      <c r="BJ39" s="804">
        <f t="shared" si="24"/>
        <v>0</v>
      </c>
      <c r="BK39" s="807">
        <v>0.76</v>
      </c>
      <c r="BL39" s="813">
        <f>IFERROR(BD39*'Grid Electricity'!$D$39,0)</f>
        <v>0</v>
      </c>
      <c r="BM39" s="813">
        <f>IFERROR(BD39*'Grid Electricity'!$C$39,0)</f>
        <v>0</v>
      </c>
      <c r="BN39" s="813">
        <f>IFERROR(BD39*'Grid Electricity'!$F$39,0)</f>
        <v>0</v>
      </c>
      <c r="BO39" s="813">
        <f t="shared" si="25"/>
        <v>0</v>
      </c>
      <c r="BP39" s="814">
        <f t="shared" si="26"/>
        <v>0</v>
      </c>
      <c r="BQ39" s="814">
        <f t="shared" si="27"/>
        <v>0</v>
      </c>
      <c r="BR39" s="814">
        <f t="shared" si="28"/>
        <v>0</v>
      </c>
      <c r="BS39" s="814">
        <f t="shared" si="29"/>
        <v>0</v>
      </c>
      <c r="BT39" s="818">
        <f>((BB39-AB39)*'Fuel Prices'!$C$27)*(IF(ISBLANK(D39),15,D39))</f>
        <v>0</v>
      </c>
      <c r="BU39" s="818">
        <f>((BC39-AZ39)*'Fuel Prices'!$C$27)*(IF(ISBLANK(D39),15,D39))</f>
        <v>0</v>
      </c>
      <c r="BV39" s="818">
        <f t="shared" si="30"/>
        <v>0</v>
      </c>
      <c r="BW39" s="818">
        <f t="shared" si="31"/>
        <v>0</v>
      </c>
      <c r="BX39" s="804" t="str">
        <f t="shared" si="32"/>
        <v/>
      </c>
      <c r="BY39" s="804">
        <f t="shared" si="33"/>
        <v>0</v>
      </c>
      <c r="BZ39" s="804">
        <v>0</v>
      </c>
      <c r="CA39" s="804">
        <f t="shared" si="34"/>
        <v>0</v>
      </c>
      <c r="CB39" s="804">
        <f t="shared" si="35"/>
        <v>0</v>
      </c>
      <c r="CC39" s="804">
        <f t="shared" si="36"/>
        <v>0</v>
      </c>
      <c r="CD39" s="804">
        <f t="shared" si="37"/>
        <v>0</v>
      </c>
      <c r="CE39" s="804">
        <f t="shared" si="38"/>
        <v>0</v>
      </c>
      <c r="CF39" s="804">
        <f t="shared" si="39"/>
        <v>0</v>
      </c>
      <c r="CG39" s="818">
        <f t="shared" si="40"/>
        <v>0</v>
      </c>
    </row>
    <row r="40" spans="1:85" s="699" customFormat="1" ht="18" customHeight="1" x14ac:dyDescent="0.35">
      <c r="A40" s="635"/>
      <c r="B40" s="820"/>
      <c r="C40" s="825" t="str">
        <f t="shared" si="0"/>
        <v>(Required)</v>
      </c>
      <c r="D40" s="821"/>
      <c r="E40" s="825" t="str">
        <f t="shared" si="1"/>
        <v>(Required)</v>
      </c>
      <c r="F40" s="822"/>
      <c r="G40" s="825" t="str">
        <f t="shared" si="2"/>
        <v>(Required)</v>
      </c>
      <c r="H40" s="821"/>
      <c r="I40" s="825" t="str">
        <f t="shared" si="3"/>
        <v>(Required)</v>
      </c>
      <c r="J40" s="821"/>
      <c r="K40" s="825" t="str">
        <f t="shared" si="4"/>
        <v>(Required)</v>
      </c>
      <c r="L40" s="821"/>
      <c r="M40" s="825" t="str">
        <f t="shared" si="5"/>
        <v>(Required)</v>
      </c>
      <c r="N40" s="821"/>
      <c r="O40" s="825" t="str">
        <f t="shared" si="6"/>
        <v>(Required)</v>
      </c>
      <c r="P40" s="924"/>
      <c r="Q40" s="825" t="str">
        <f t="shared" si="7"/>
        <v>(Optional)</v>
      </c>
      <c r="R40" s="821"/>
      <c r="S40" s="827" t="str">
        <f t="shared" si="8"/>
        <v>(Required)</v>
      </c>
      <c r="T40" s="828"/>
      <c r="U40" s="799" t="str">
        <f t="shared" si="9"/>
        <v>(Optional)</v>
      </c>
      <c r="V40" s="824"/>
      <c r="W40" s="799" t="str">
        <f t="shared" si="9"/>
        <v>(Optional)</v>
      </c>
      <c r="X40" s="925"/>
      <c r="Y40" s="926" t="str">
        <f t="shared" si="10"/>
        <v>(Required)</v>
      </c>
      <c r="Z40" s="925"/>
      <c r="AA40" s="926" t="str">
        <f t="shared" si="11"/>
        <v>(Required)</v>
      </c>
      <c r="AB4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0" s="822"/>
      <c r="AE40" s="825" t="str">
        <f t="shared" si="12"/>
        <v>(Required)</v>
      </c>
      <c r="AF40" s="821"/>
      <c r="AG40" s="825" t="str">
        <f t="shared" si="13"/>
        <v>(Required)</v>
      </c>
      <c r="AH40" s="821"/>
      <c r="AI40" s="825" t="str">
        <f t="shared" si="14"/>
        <v>(Required)</v>
      </c>
      <c r="AJ40" s="821"/>
      <c r="AK40" s="825" t="str">
        <f t="shared" si="15"/>
        <v>(Required)</v>
      </c>
      <c r="AL40" s="821"/>
      <c r="AM40" s="825" t="str">
        <f t="shared" si="16"/>
        <v>(Required)</v>
      </c>
      <c r="AN40" s="924"/>
      <c r="AO40" s="825" t="str">
        <f t="shared" si="17"/>
        <v>(Required)</v>
      </c>
      <c r="AP40" s="821"/>
      <c r="AQ40" s="827" t="str">
        <f t="shared" si="18"/>
        <v>(Required)</v>
      </c>
      <c r="AR40" s="928"/>
      <c r="AS40" s="826" t="str">
        <f t="shared" si="19"/>
        <v>(Optional)</v>
      </c>
      <c r="AT40" s="928"/>
      <c r="AU40" s="826" t="str">
        <f t="shared" si="20"/>
        <v>(Optional)</v>
      </c>
      <c r="AV40" s="931"/>
      <c r="AW40" s="825" t="str">
        <f t="shared" si="21"/>
        <v>(Required)</v>
      </c>
      <c r="AX40" s="931"/>
      <c r="AY40" s="825" t="str">
        <f t="shared" si="22"/>
        <v>(Required)</v>
      </c>
      <c r="AZ4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0" s="804">
        <f>IFERROR(IF(Table411[[#This Row],[Is Baseline Pump Motor Energy Use Known? (Yes/No)]]="Yes",(Table411[[#This Row],[Annual Baseline Energy Use (kWh/yr)]]),(Table411[[#This Row],[Baseline Motor Energy Use (kWh)]])),0)</f>
        <v>0</v>
      </c>
      <c r="BC40" s="804">
        <f>IFERROR(IF(Table411[[#This Row],[Is Replacement Pump Motor Energy Use Known? (Yes/No)]]="Yes",(Table411[[#This Row],[Annual Replacement Energy Use (kWh/yr)]]),(Table411[[#This Row],[Replacement Motor Energy Use (kWh)]])),0)</f>
        <v>0</v>
      </c>
      <c r="BD40" s="804">
        <f>SUM((Table411[[#This Row],[Baseline Annual Energy Use]]-Table411[[#This Row],[Replacement Annual Energy Use]]),(Table411[[#This Row],[Replacement VFD Energy Savings (kWh)]]-Table411[[#This Row],[Baseline VFD Energy Savings (kWh)]]))</f>
        <v>0</v>
      </c>
      <c r="BE40" s="930">
        <f>'Grid Electricity'!$B$19</f>
        <v>2.1064475489616943E-4</v>
      </c>
      <c r="BF40" s="803" t="s">
        <v>586</v>
      </c>
      <c r="BG40" s="806">
        <f>Table411[[#This Row],[Baseline Annual Energy Use]]*Table411[[#This Row],[Fuel Carbon Content]]</f>
        <v>0</v>
      </c>
      <c r="BH40" s="806">
        <f>Table411[[#This Row],[Replacement Annual Energy Use]]*Table411[[#This Row],[Fuel Carbon Content]]</f>
        <v>0</v>
      </c>
      <c r="BI40" s="806">
        <f t="shared" si="23"/>
        <v>0</v>
      </c>
      <c r="BJ40" s="804">
        <f t="shared" si="24"/>
        <v>0</v>
      </c>
      <c r="BK40" s="807">
        <v>0.76</v>
      </c>
      <c r="BL40" s="813">
        <f>IFERROR(BD40*'Grid Electricity'!$D$39,0)</f>
        <v>0</v>
      </c>
      <c r="BM40" s="813">
        <f>IFERROR(BD40*'Grid Electricity'!$C$39,0)</f>
        <v>0</v>
      </c>
      <c r="BN40" s="813">
        <f>IFERROR(BD40*'Grid Electricity'!$F$39,0)</f>
        <v>0</v>
      </c>
      <c r="BO40" s="813">
        <f t="shared" si="25"/>
        <v>0</v>
      </c>
      <c r="BP40" s="814">
        <f t="shared" si="26"/>
        <v>0</v>
      </c>
      <c r="BQ40" s="814">
        <f t="shared" si="27"/>
        <v>0</v>
      </c>
      <c r="BR40" s="814">
        <f t="shared" si="28"/>
        <v>0</v>
      </c>
      <c r="BS40" s="814">
        <f t="shared" si="29"/>
        <v>0</v>
      </c>
      <c r="BT40" s="818">
        <f>((BB40-AB40)*'Fuel Prices'!$C$27)*(IF(ISBLANK(D40),15,D40))</f>
        <v>0</v>
      </c>
      <c r="BU40" s="818">
        <f>((BC40-AZ40)*'Fuel Prices'!$C$27)*(IF(ISBLANK(D40),15,D40))</f>
        <v>0</v>
      </c>
      <c r="BV40" s="818">
        <f t="shared" si="30"/>
        <v>0</v>
      </c>
      <c r="BW40" s="818">
        <f t="shared" si="31"/>
        <v>0</v>
      </c>
      <c r="BX40" s="804" t="str">
        <f t="shared" si="32"/>
        <v/>
      </c>
      <c r="BY40" s="804">
        <f t="shared" si="33"/>
        <v>0</v>
      </c>
      <c r="BZ40" s="804">
        <v>0</v>
      </c>
      <c r="CA40" s="804">
        <f t="shared" si="34"/>
        <v>0</v>
      </c>
      <c r="CB40" s="804">
        <f t="shared" si="35"/>
        <v>0</v>
      </c>
      <c r="CC40" s="804">
        <f t="shared" si="36"/>
        <v>0</v>
      </c>
      <c r="CD40" s="804">
        <f t="shared" si="37"/>
        <v>0</v>
      </c>
      <c r="CE40" s="804">
        <f t="shared" si="38"/>
        <v>0</v>
      </c>
      <c r="CF40" s="804">
        <f t="shared" si="39"/>
        <v>0</v>
      </c>
      <c r="CG40" s="818">
        <f t="shared" si="40"/>
        <v>0</v>
      </c>
    </row>
    <row r="41" spans="1:85" s="699" customFormat="1" ht="18" customHeight="1" x14ac:dyDescent="0.35">
      <c r="A41" s="696"/>
      <c r="B41" s="820"/>
      <c r="C41" s="825" t="str">
        <f t="shared" si="0"/>
        <v>(Required)</v>
      </c>
      <c r="D41" s="821"/>
      <c r="E41" s="825" t="str">
        <f t="shared" si="1"/>
        <v>(Required)</v>
      </c>
      <c r="F41" s="822"/>
      <c r="G41" s="825" t="str">
        <f t="shared" si="2"/>
        <v>(Required)</v>
      </c>
      <c r="H41" s="821"/>
      <c r="I41" s="825" t="str">
        <f t="shared" si="3"/>
        <v>(Required)</v>
      </c>
      <c r="J41" s="821"/>
      <c r="K41" s="825" t="str">
        <f t="shared" si="4"/>
        <v>(Required)</v>
      </c>
      <c r="L41" s="821"/>
      <c r="M41" s="825" t="str">
        <f t="shared" si="5"/>
        <v>(Required)</v>
      </c>
      <c r="N41" s="821"/>
      <c r="O41" s="825" t="str">
        <f t="shared" si="6"/>
        <v>(Required)</v>
      </c>
      <c r="P41" s="924"/>
      <c r="Q41" s="825" t="str">
        <f t="shared" si="7"/>
        <v>(Optional)</v>
      </c>
      <c r="R41" s="821"/>
      <c r="S41" s="827" t="str">
        <f t="shared" si="8"/>
        <v>(Required)</v>
      </c>
      <c r="T41" s="828"/>
      <c r="U41" s="799" t="str">
        <f t="shared" si="9"/>
        <v>(Optional)</v>
      </c>
      <c r="V41" s="824"/>
      <c r="W41" s="799" t="str">
        <f t="shared" si="9"/>
        <v>(Optional)</v>
      </c>
      <c r="X41" s="925"/>
      <c r="Y41" s="926" t="str">
        <f t="shared" si="10"/>
        <v>(Required)</v>
      </c>
      <c r="Z41" s="925"/>
      <c r="AA41" s="926" t="str">
        <f t="shared" si="11"/>
        <v>(Required)</v>
      </c>
      <c r="AB4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1" s="822"/>
      <c r="AE41" s="825" t="str">
        <f t="shared" si="12"/>
        <v>(Required)</v>
      </c>
      <c r="AF41" s="821"/>
      <c r="AG41" s="825" t="str">
        <f t="shared" si="13"/>
        <v>(Required)</v>
      </c>
      <c r="AH41" s="821"/>
      <c r="AI41" s="825" t="str">
        <f t="shared" si="14"/>
        <v>(Required)</v>
      </c>
      <c r="AJ41" s="821"/>
      <c r="AK41" s="825" t="str">
        <f t="shared" si="15"/>
        <v>(Required)</v>
      </c>
      <c r="AL41" s="821"/>
      <c r="AM41" s="825" t="str">
        <f t="shared" si="16"/>
        <v>(Required)</v>
      </c>
      <c r="AN41" s="924"/>
      <c r="AO41" s="825" t="str">
        <f t="shared" si="17"/>
        <v>(Required)</v>
      </c>
      <c r="AP41" s="821"/>
      <c r="AQ41" s="827" t="str">
        <f t="shared" si="18"/>
        <v>(Required)</v>
      </c>
      <c r="AR41" s="928"/>
      <c r="AS41" s="826" t="str">
        <f t="shared" si="19"/>
        <v>(Optional)</v>
      </c>
      <c r="AT41" s="928"/>
      <c r="AU41" s="826" t="str">
        <f t="shared" si="20"/>
        <v>(Optional)</v>
      </c>
      <c r="AV41" s="931"/>
      <c r="AW41" s="825" t="str">
        <f t="shared" si="21"/>
        <v>(Required)</v>
      </c>
      <c r="AX41" s="931"/>
      <c r="AY41" s="825" t="str">
        <f t="shared" si="22"/>
        <v>(Required)</v>
      </c>
      <c r="AZ4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1" s="804">
        <f>IFERROR(IF(Table411[[#This Row],[Is Baseline Pump Motor Energy Use Known? (Yes/No)]]="Yes",(Table411[[#This Row],[Annual Baseline Energy Use (kWh/yr)]]),(Table411[[#This Row],[Baseline Motor Energy Use (kWh)]])),0)</f>
        <v>0</v>
      </c>
      <c r="BC41" s="804">
        <f>IFERROR(IF(Table411[[#This Row],[Is Replacement Pump Motor Energy Use Known? (Yes/No)]]="Yes",(Table411[[#This Row],[Annual Replacement Energy Use (kWh/yr)]]),(Table411[[#This Row],[Replacement Motor Energy Use (kWh)]])),0)</f>
        <v>0</v>
      </c>
      <c r="BD41" s="804">
        <f>SUM((Table411[[#This Row],[Baseline Annual Energy Use]]-Table411[[#This Row],[Replacement Annual Energy Use]]),(Table411[[#This Row],[Replacement VFD Energy Savings (kWh)]]-Table411[[#This Row],[Baseline VFD Energy Savings (kWh)]]))</f>
        <v>0</v>
      </c>
      <c r="BE41" s="930">
        <f>'Grid Electricity'!$B$19</f>
        <v>2.1064475489616943E-4</v>
      </c>
      <c r="BF41" s="803" t="s">
        <v>586</v>
      </c>
      <c r="BG41" s="806">
        <f>Table411[[#This Row],[Baseline Annual Energy Use]]*Table411[[#This Row],[Fuel Carbon Content]]</f>
        <v>0</v>
      </c>
      <c r="BH41" s="806">
        <f>Table411[[#This Row],[Replacement Annual Energy Use]]*Table411[[#This Row],[Fuel Carbon Content]]</f>
        <v>0</v>
      </c>
      <c r="BI41" s="806">
        <f t="shared" si="23"/>
        <v>0</v>
      </c>
      <c r="BJ41" s="804">
        <f t="shared" si="24"/>
        <v>0</v>
      </c>
      <c r="BK41" s="807">
        <v>0.76</v>
      </c>
      <c r="BL41" s="813">
        <f>IFERROR(BD41*'Grid Electricity'!$D$39,0)</f>
        <v>0</v>
      </c>
      <c r="BM41" s="813">
        <f>IFERROR(BD41*'Grid Electricity'!$C$39,0)</f>
        <v>0</v>
      </c>
      <c r="BN41" s="813">
        <f>IFERROR(BD41*'Grid Electricity'!$F$39,0)</f>
        <v>0</v>
      </c>
      <c r="BO41" s="813">
        <f t="shared" si="25"/>
        <v>0</v>
      </c>
      <c r="BP41" s="814">
        <f t="shared" si="26"/>
        <v>0</v>
      </c>
      <c r="BQ41" s="814">
        <f t="shared" si="27"/>
        <v>0</v>
      </c>
      <c r="BR41" s="814">
        <f t="shared" si="28"/>
        <v>0</v>
      </c>
      <c r="BS41" s="814">
        <f t="shared" si="29"/>
        <v>0</v>
      </c>
      <c r="BT41" s="818">
        <f>((BB41-AB41)*'Fuel Prices'!$C$27)*(IF(ISBLANK(D41),15,D41))</f>
        <v>0</v>
      </c>
      <c r="BU41" s="818">
        <f>((BC41-AZ41)*'Fuel Prices'!$C$27)*(IF(ISBLANK(D41),15,D41))</f>
        <v>0</v>
      </c>
      <c r="BV41" s="818">
        <f t="shared" si="30"/>
        <v>0</v>
      </c>
      <c r="BW41" s="818">
        <f t="shared" si="31"/>
        <v>0</v>
      </c>
      <c r="BX41" s="804" t="str">
        <f t="shared" si="32"/>
        <v/>
      </c>
      <c r="BY41" s="804">
        <f t="shared" si="33"/>
        <v>0</v>
      </c>
      <c r="BZ41" s="804">
        <v>0</v>
      </c>
      <c r="CA41" s="804">
        <f t="shared" si="34"/>
        <v>0</v>
      </c>
      <c r="CB41" s="804">
        <f t="shared" si="35"/>
        <v>0</v>
      </c>
      <c r="CC41" s="804">
        <f t="shared" si="36"/>
        <v>0</v>
      </c>
      <c r="CD41" s="804">
        <f t="shared" si="37"/>
        <v>0</v>
      </c>
      <c r="CE41" s="804">
        <f t="shared" si="38"/>
        <v>0</v>
      </c>
      <c r="CF41" s="804">
        <f t="shared" si="39"/>
        <v>0</v>
      </c>
      <c r="CG41" s="818">
        <f t="shared" si="40"/>
        <v>0</v>
      </c>
    </row>
    <row r="42" spans="1:85" s="699" customFormat="1" ht="18" customHeight="1" x14ac:dyDescent="0.35">
      <c r="A42" s="635"/>
      <c r="B42" s="820"/>
      <c r="C42" s="825" t="str">
        <f t="shared" si="0"/>
        <v>(Required)</v>
      </c>
      <c r="D42" s="821"/>
      <c r="E42" s="825" t="str">
        <f t="shared" si="1"/>
        <v>(Required)</v>
      </c>
      <c r="F42" s="822"/>
      <c r="G42" s="825" t="str">
        <f t="shared" si="2"/>
        <v>(Required)</v>
      </c>
      <c r="H42" s="821"/>
      <c r="I42" s="825" t="str">
        <f t="shared" si="3"/>
        <v>(Required)</v>
      </c>
      <c r="J42" s="821"/>
      <c r="K42" s="825" t="str">
        <f t="shared" si="4"/>
        <v>(Required)</v>
      </c>
      <c r="L42" s="821"/>
      <c r="M42" s="825" t="str">
        <f t="shared" si="5"/>
        <v>(Required)</v>
      </c>
      <c r="N42" s="821"/>
      <c r="O42" s="825" t="str">
        <f t="shared" si="6"/>
        <v>(Required)</v>
      </c>
      <c r="P42" s="924"/>
      <c r="Q42" s="825" t="str">
        <f t="shared" si="7"/>
        <v>(Optional)</v>
      </c>
      <c r="R42" s="821"/>
      <c r="S42" s="827" t="str">
        <f t="shared" si="8"/>
        <v>(Required)</v>
      </c>
      <c r="T42" s="828"/>
      <c r="U42" s="799" t="str">
        <f t="shared" si="9"/>
        <v>(Optional)</v>
      </c>
      <c r="V42" s="824"/>
      <c r="W42" s="799" t="str">
        <f t="shared" si="9"/>
        <v>(Optional)</v>
      </c>
      <c r="X42" s="925"/>
      <c r="Y42" s="926" t="str">
        <f t="shared" si="10"/>
        <v>(Required)</v>
      </c>
      <c r="Z42" s="925"/>
      <c r="AA42" s="926" t="str">
        <f t="shared" si="11"/>
        <v>(Required)</v>
      </c>
      <c r="AB4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2" s="822"/>
      <c r="AE42" s="825" t="str">
        <f t="shared" si="12"/>
        <v>(Required)</v>
      </c>
      <c r="AF42" s="821"/>
      <c r="AG42" s="825" t="str">
        <f t="shared" si="13"/>
        <v>(Required)</v>
      </c>
      <c r="AH42" s="821"/>
      <c r="AI42" s="825" t="str">
        <f t="shared" si="14"/>
        <v>(Required)</v>
      </c>
      <c r="AJ42" s="821"/>
      <c r="AK42" s="825" t="str">
        <f t="shared" si="15"/>
        <v>(Required)</v>
      </c>
      <c r="AL42" s="821"/>
      <c r="AM42" s="825" t="str">
        <f t="shared" si="16"/>
        <v>(Required)</v>
      </c>
      <c r="AN42" s="924"/>
      <c r="AO42" s="825" t="str">
        <f t="shared" si="17"/>
        <v>(Required)</v>
      </c>
      <c r="AP42" s="821"/>
      <c r="AQ42" s="827" t="str">
        <f t="shared" si="18"/>
        <v>(Required)</v>
      </c>
      <c r="AR42" s="928"/>
      <c r="AS42" s="826" t="str">
        <f t="shared" si="19"/>
        <v>(Optional)</v>
      </c>
      <c r="AT42" s="928"/>
      <c r="AU42" s="826" t="str">
        <f t="shared" si="20"/>
        <v>(Optional)</v>
      </c>
      <c r="AV42" s="931"/>
      <c r="AW42" s="825" t="str">
        <f t="shared" si="21"/>
        <v>(Required)</v>
      </c>
      <c r="AX42" s="931"/>
      <c r="AY42" s="825" t="str">
        <f t="shared" si="22"/>
        <v>(Required)</v>
      </c>
      <c r="AZ4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2" s="804">
        <f>IFERROR(IF(Table411[[#This Row],[Is Baseline Pump Motor Energy Use Known? (Yes/No)]]="Yes",(Table411[[#This Row],[Annual Baseline Energy Use (kWh/yr)]]),(Table411[[#This Row],[Baseline Motor Energy Use (kWh)]])),0)</f>
        <v>0</v>
      </c>
      <c r="BC42" s="804">
        <f>IFERROR(IF(Table411[[#This Row],[Is Replacement Pump Motor Energy Use Known? (Yes/No)]]="Yes",(Table411[[#This Row],[Annual Replacement Energy Use (kWh/yr)]]),(Table411[[#This Row],[Replacement Motor Energy Use (kWh)]])),0)</f>
        <v>0</v>
      </c>
      <c r="BD42" s="804">
        <f>SUM((Table411[[#This Row],[Baseline Annual Energy Use]]-Table411[[#This Row],[Replacement Annual Energy Use]]),(Table411[[#This Row],[Replacement VFD Energy Savings (kWh)]]-Table411[[#This Row],[Baseline VFD Energy Savings (kWh)]]))</f>
        <v>0</v>
      </c>
      <c r="BE42" s="930">
        <f>'Grid Electricity'!$B$19</f>
        <v>2.1064475489616943E-4</v>
      </c>
      <c r="BF42" s="803" t="s">
        <v>586</v>
      </c>
      <c r="BG42" s="806">
        <f>Table411[[#This Row],[Baseline Annual Energy Use]]*Table411[[#This Row],[Fuel Carbon Content]]</f>
        <v>0</v>
      </c>
      <c r="BH42" s="806">
        <f>Table411[[#This Row],[Replacement Annual Energy Use]]*Table411[[#This Row],[Fuel Carbon Content]]</f>
        <v>0</v>
      </c>
      <c r="BI42" s="806">
        <f t="shared" si="23"/>
        <v>0</v>
      </c>
      <c r="BJ42" s="804">
        <f t="shared" si="24"/>
        <v>0</v>
      </c>
      <c r="BK42" s="807">
        <v>0.76</v>
      </c>
      <c r="BL42" s="813">
        <f>IFERROR(BD42*'Grid Electricity'!$D$39,0)</f>
        <v>0</v>
      </c>
      <c r="BM42" s="813">
        <f>IFERROR(BD42*'Grid Electricity'!$C$39,0)</f>
        <v>0</v>
      </c>
      <c r="BN42" s="813">
        <f>IFERROR(BD42*'Grid Electricity'!$F$39,0)</f>
        <v>0</v>
      </c>
      <c r="BO42" s="813">
        <f t="shared" si="25"/>
        <v>0</v>
      </c>
      <c r="BP42" s="814">
        <f t="shared" si="26"/>
        <v>0</v>
      </c>
      <c r="BQ42" s="814">
        <f t="shared" si="27"/>
        <v>0</v>
      </c>
      <c r="BR42" s="814">
        <f t="shared" si="28"/>
        <v>0</v>
      </c>
      <c r="BS42" s="814">
        <f t="shared" si="29"/>
        <v>0</v>
      </c>
      <c r="BT42" s="818">
        <f>((BB42-AB42)*'Fuel Prices'!$C$27)*(IF(ISBLANK(D42),15,D42))</f>
        <v>0</v>
      </c>
      <c r="BU42" s="818">
        <f>((BC42-AZ42)*'Fuel Prices'!$C$27)*(IF(ISBLANK(D42),15,D42))</f>
        <v>0</v>
      </c>
      <c r="BV42" s="818">
        <f t="shared" si="30"/>
        <v>0</v>
      </c>
      <c r="BW42" s="818">
        <f t="shared" si="31"/>
        <v>0</v>
      </c>
      <c r="BX42" s="804" t="str">
        <f t="shared" si="32"/>
        <v/>
      </c>
      <c r="BY42" s="804">
        <f t="shared" si="33"/>
        <v>0</v>
      </c>
      <c r="BZ42" s="804">
        <v>0</v>
      </c>
      <c r="CA42" s="804">
        <f t="shared" si="34"/>
        <v>0</v>
      </c>
      <c r="CB42" s="804">
        <f t="shared" si="35"/>
        <v>0</v>
      </c>
      <c r="CC42" s="804">
        <f t="shared" si="36"/>
        <v>0</v>
      </c>
      <c r="CD42" s="804">
        <f t="shared" si="37"/>
        <v>0</v>
      </c>
      <c r="CE42" s="804">
        <f t="shared" si="38"/>
        <v>0</v>
      </c>
      <c r="CF42" s="804">
        <f t="shared" si="39"/>
        <v>0</v>
      </c>
      <c r="CG42" s="818">
        <f t="shared" si="40"/>
        <v>0</v>
      </c>
    </row>
    <row r="43" spans="1:85" s="699" customFormat="1" ht="18" customHeight="1" x14ac:dyDescent="0.35">
      <c r="A43" s="696"/>
      <c r="B43" s="820"/>
      <c r="C43" s="825" t="str">
        <f t="shared" si="0"/>
        <v>(Required)</v>
      </c>
      <c r="D43" s="821"/>
      <c r="E43" s="825" t="str">
        <f t="shared" si="1"/>
        <v>(Required)</v>
      </c>
      <c r="F43" s="822"/>
      <c r="G43" s="825" t="str">
        <f t="shared" si="2"/>
        <v>(Required)</v>
      </c>
      <c r="H43" s="821"/>
      <c r="I43" s="825" t="str">
        <f t="shared" si="3"/>
        <v>(Required)</v>
      </c>
      <c r="J43" s="821"/>
      <c r="K43" s="825" t="str">
        <f t="shared" si="4"/>
        <v>(Required)</v>
      </c>
      <c r="L43" s="821"/>
      <c r="M43" s="825" t="str">
        <f t="shared" si="5"/>
        <v>(Required)</v>
      </c>
      <c r="N43" s="821"/>
      <c r="O43" s="825" t="str">
        <f t="shared" si="6"/>
        <v>(Required)</v>
      </c>
      <c r="P43" s="924"/>
      <c r="Q43" s="825" t="str">
        <f t="shared" si="7"/>
        <v>(Optional)</v>
      </c>
      <c r="R43" s="821"/>
      <c r="S43" s="827" t="str">
        <f t="shared" si="8"/>
        <v>(Required)</v>
      </c>
      <c r="T43" s="828"/>
      <c r="U43" s="799" t="str">
        <f t="shared" si="9"/>
        <v>(Optional)</v>
      </c>
      <c r="V43" s="824"/>
      <c r="W43" s="799" t="str">
        <f t="shared" si="9"/>
        <v>(Optional)</v>
      </c>
      <c r="X43" s="925"/>
      <c r="Y43" s="926" t="str">
        <f t="shared" si="10"/>
        <v>(Required)</v>
      </c>
      <c r="Z43" s="925"/>
      <c r="AA43" s="926" t="str">
        <f t="shared" si="11"/>
        <v>(Required)</v>
      </c>
      <c r="AB4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3" s="822"/>
      <c r="AE43" s="825" t="str">
        <f t="shared" si="12"/>
        <v>(Required)</v>
      </c>
      <c r="AF43" s="821"/>
      <c r="AG43" s="825" t="str">
        <f t="shared" si="13"/>
        <v>(Required)</v>
      </c>
      <c r="AH43" s="821"/>
      <c r="AI43" s="825" t="str">
        <f t="shared" si="14"/>
        <v>(Required)</v>
      </c>
      <c r="AJ43" s="821"/>
      <c r="AK43" s="825" t="str">
        <f t="shared" si="15"/>
        <v>(Required)</v>
      </c>
      <c r="AL43" s="821"/>
      <c r="AM43" s="825" t="str">
        <f t="shared" si="16"/>
        <v>(Required)</v>
      </c>
      <c r="AN43" s="924"/>
      <c r="AO43" s="825" t="str">
        <f t="shared" si="17"/>
        <v>(Required)</v>
      </c>
      <c r="AP43" s="821"/>
      <c r="AQ43" s="827" t="str">
        <f t="shared" si="18"/>
        <v>(Required)</v>
      </c>
      <c r="AR43" s="928"/>
      <c r="AS43" s="826" t="str">
        <f t="shared" si="19"/>
        <v>(Optional)</v>
      </c>
      <c r="AT43" s="928"/>
      <c r="AU43" s="826" t="str">
        <f t="shared" si="20"/>
        <v>(Optional)</v>
      </c>
      <c r="AV43" s="931"/>
      <c r="AW43" s="825" t="str">
        <f t="shared" si="21"/>
        <v>(Required)</v>
      </c>
      <c r="AX43" s="931"/>
      <c r="AY43" s="825" t="str">
        <f t="shared" si="22"/>
        <v>(Required)</v>
      </c>
      <c r="AZ4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3" s="804">
        <f>IFERROR(IF(Table411[[#This Row],[Is Baseline Pump Motor Energy Use Known? (Yes/No)]]="Yes",(Table411[[#This Row],[Annual Baseline Energy Use (kWh/yr)]]),(Table411[[#This Row],[Baseline Motor Energy Use (kWh)]])),0)</f>
        <v>0</v>
      </c>
      <c r="BC43" s="804">
        <f>IFERROR(IF(Table411[[#This Row],[Is Replacement Pump Motor Energy Use Known? (Yes/No)]]="Yes",(Table411[[#This Row],[Annual Replacement Energy Use (kWh/yr)]]),(Table411[[#This Row],[Replacement Motor Energy Use (kWh)]])),0)</f>
        <v>0</v>
      </c>
      <c r="BD43" s="804">
        <f>SUM((Table411[[#This Row],[Baseline Annual Energy Use]]-Table411[[#This Row],[Replacement Annual Energy Use]]),(Table411[[#This Row],[Replacement VFD Energy Savings (kWh)]]-Table411[[#This Row],[Baseline VFD Energy Savings (kWh)]]))</f>
        <v>0</v>
      </c>
      <c r="BE43" s="930">
        <f>'Grid Electricity'!$B$19</f>
        <v>2.1064475489616943E-4</v>
      </c>
      <c r="BF43" s="803" t="s">
        <v>586</v>
      </c>
      <c r="BG43" s="806">
        <f>Table411[[#This Row],[Baseline Annual Energy Use]]*Table411[[#This Row],[Fuel Carbon Content]]</f>
        <v>0</v>
      </c>
      <c r="BH43" s="806">
        <f>Table411[[#This Row],[Replacement Annual Energy Use]]*Table411[[#This Row],[Fuel Carbon Content]]</f>
        <v>0</v>
      </c>
      <c r="BI43" s="806">
        <f t="shared" si="23"/>
        <v>0</v>
      </c>
      <c r="BJ43" s="804">
        <f t="shared" si="24"/>
        <v>0</v>
      </c>
      <c r="BK43" s="807">
        <v>0.76</v>
      </c>
      <c r="BL43" s="813">
        <f>IFERROR(BD43*'Grid Electricity'!$D$39,0)</f>
        <v>0</v>
      </c>
      <c r="BM43" s="813">
        <f>IFERROR(BD43*'Grid Electricity'!$C$39,0)</f>
        <v>0</v>
      </c>
      <c r="BN43" s="813">
        <f>IFERROR(BD43*'Grid Electricity'!$F$39,0)</f>
        <v>0</v>
      </c>
      <c r="BO43" s="813">
        <f t="shared" si="25"/>
        <v>0</v>
      </c>
      <c r="BP43" s="814">
        <f t="shared" si="26"/>
        <v>0</v>
      </c>
      <c r="BQ43" s="814">
        <f t="shared" si="27"/>
        <v>0</v>
      </c>
      <c r="BR43" s="814">
        <f t="shared" si="28"/>
        <v>0</v>
      </c>
      <c r="BS43" s="814">
        <f t="shared" si="29"/>
        <v>0</v>
      </c>
      <c r="BT43" s="818">
        <f>((BB43-AB43)*'Fuel Prices'!$C$27)*(IF(ISBLANK(D43),15,D43))</f>
        <v>0</v>
      </c>
      <c r="BU43" s="818">
        <f>((BC43-AZ43)*'Fuel Prices'!$C$27)*(IF(ISBLANK(D43),15,D43))</f>
        <v>0</v>
      </c>
      <c r="BV43" s="818">
        <f t="shared" si="30"/>
        <v>0</v>
      </c>
      <c r="BW43" s="818">
        <f t="shared" si="31"/>
        <v>0</v>
      </c>
      <c r="BX43" s="804" t="str">
        <f t="shared" si="32"/>
        <v/>
      </c>
      <c r="BY43" s="804">
        <f t="shared" si="33"/>
        <v>0</v>
      </c>
      <c r="BZ43" s="804">
        <v>0</v>
      </c>
      <c r="CA43" s="804">
        <f t="shared" si="34"/>
        <v>0</v>
      </c>
      <c r="CB43" s="804">
        <f t="shared" si="35"/>
        <v>0</v>
      </c>
      <c r="CC43" s="804">
        <f t="shared" si="36"/>
        <v>0</v>
      </c>
      <c r="CD43" s="804">
        <f t="shared" si="37"/>
        <v>0</v>
      </c>
      <c r="CE43" s="804">
        <f t="shared" si="38"/>
        <v>0</v>
      </c>
      <c r="CF43" s="804">
        <f t="shared" si="39"/>
        <v>0</v>
      </c>
      <c r="CG43" s="818">
        <f t="shared" si="40"/>
        <v>0</v>
      </c>
    </row>
    <row r="44" spans="1:85" ht="18" customHeight="1" x14ac:dyDescent="0.35">
      <c r="A44" s="635"/>
      <c r="B44" s="820"/>
      <c r="C44" s="825" t="str">
        <f t="shared" si="0"/>
        <v>(Required)</v>
      </c>
      <c r="D44" s="821"/>
      <c r="E44" s="825" t="str">
        <f t="shared" si="1"/>
        <v>(Required)</v>
      </c>
      <c r="F44" s="822"/>
      <c r="G44" s="825" t="str">
        <f t="shared" si="2"/>
        <v>(Required)</v>
      </c>
      <c r="H44" s="821"/>
      <c r="I44" s="825" t="str">
        <f t="shared" si="3"/>
        <v>(Required)</v>
      </c>
      <c r="J44" s="821"/>
      <c r="K44" s="825" t="str">
        <f t="shared" si="4"/>
        <v>(Required)</v>
      </c>
      <c r="L44" s="821"/>
      <c r="M44" s="825" t="str">
        <f t="shared" si="5"/>
        <v>(Required)</v>
      </c>
      <c r="N44" s="821"/>
      <c r="O44" s="825" t="str">
        <f t="shared" si="6"/>
        <v>(Required)</v>
      </c>
      <c r="P44" s="924"/>
      <c r="Q44" s="825" t="str">
        <f t="shared" si="7"/>
        <v>(Optional)</v>
      </c>
      <c r="R44" s="821"/>
      <c r="S44" s="827" t="str">
        <f t="shared" si="8"/>
        <v>(Required)</v>
      </c>
      <c r="T44" s="828"/>
      <c r="U44" s="799" t="str">
        <f t="shared" si="9"/>
        <v>(Optional)</v>
      </c>
      <c r="V44" s="824"/>
      <c r="W44" s="799" t="str">
        <f t="shared" si="9"/>
        <v>(Optional)</v>
      </c>
      <c r="X44" s="925"/>
      <c r="Y44" s="926" t="str">
        <f t="shared" si="10"/>
        <v>(Required)</v>
      </c>
      <c r="Z44" s="925"/>
      <c r="AA44" s="926" t="str">
        <f t="shared" si="11"/>
        <v>(Required)</v>
      </c>
      <c r="AB4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4" s="822"/>
      <c r="AE44" s="825" t="str">
        <f t="shared" si="12"/>
        <v>(Required)</v>
      </c>
      <c r="AF44" s="821"/>
      <c r="AG44" s="825" t="str">
        <f t="shared" si="13"/>
        <v>(Required)</v>
      </c>
      <c r="AH44" s="821"/>
      <c r="AI44" s="825" t="str">
        <f t="shared" si="14"/>
        <v>(Required)</v>
      </c>
      <c r="AJ44" s="821"/>
      <c r="AK44" s="825" t="str">
        <f t="shared" si="15"/>
        <v>(Required)</v>
      </c>
      <c r="AL44" s="821"/>
      <c r="AM44" s="825" t="str">
        <f t="shared" si="16"/>
        <v>(Required)</v>
      </c>
      <c r="AN44" s="924"/>
      <c r="AO44" s="825" t="str">
        <f t="shared" si="17"/>
        <v>(Required)</v>
      </c>
      <c r="AP44" s="821"/>
      <c r="AQ44" s="827" t="str">
        <f t="shared" si="18"/>
        <v>(Required)</v>
      </c>
      <c r="AR44" s="928"/>
      <c r="AS44" s="826" t="str">
        <f t="shared" si="19"/>
        <v>(Optional)</v>
      </c>
      <c r="AT44" s="928"/>
      <c r="AU44" s="826" t="str">
        <f t="shared" si="20"/>
        <v>(Optional)</v>
      </c>
      <c r="AV44" s="931"/>
      <c r="AW44" s="825" t="str">
        <f t="shared" si="21"/>
        <v>(Required)</v>
      </c>
      <c r="AX44" s="931"/>
      <c r="AY44" s="825" t="str">
        <f t="shared" si="22"/>
        <v>(Required)</v>
      </c>
      <c r="AZ4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4" s="804">
        <f>IFERROR(IF(Table411[[#This Row],[Is Baseline Pump Motor Energy Use Known? (Yes/No)]]="Yes",(Table411[[#This Row],[Annual Baseline Energy Use (kWh/yr)]]),(Table411[[#This Row],[Baseline Motor Energy Use (kWh)]])),0)</f>
        <v>0</v>
      </c>
      <c r="BC44" s="804">
        <f>IFERROR(IF(Table411[[#This Row],[Is Replacement Pump Motor Energy Use Known? (Yes/No)]]="Yes",(Table411[[#This Row],[Annual Replacement Energy Use (kWh/yr)]]),(Table411[[#This Row],[Replacement Motor Energy Use (kWh)]])),0)</f>
        <v>0</v>
      </c>
      <c r="BD44" s="804">
        <f>SUM((Table411[[#This Row],[Baseline Annual Energy Use]]-Table411[[#This Row],[Replacement Annual Energy Use]]),(Table411[[#This Row],[Replacement VFD Energy Savings (kWh)]]-Table411[[#This Row],[Baseline VFD Energy Savings (kWh)]]))</f>
        <v>0</v>
      </c>
      <c r="BE44" s="930">
        <f>'Grid Electricity'!$B$19</f>
        <v>2.1064475489616943E-4</v>
      </c>
      <c r="BF44" s="803" t="s">
        <v>586</v>
      </c>
      <c r="BG44" s="806">
        <f>Table411[[#This Row],[Baseline Annual Energy Use]]*Table411[[#This Row],[Fuel Carbon Content]]</f>
        <v>0</v>
      </c>
      <c r="BH44" s="806">
        <f>Table411[[#This Row],[Replacement Annual Energy Use]]*Table411[[#This Row],[Fuel Carbon Content]]</f>
        <v>0</v>
      </c>
      <c r="BI44" s="806">
        <f t="shared" si="23"/>
        <v>0</v>
      </c>
      <c r="BJ44" s="804">
        <f t="shared" si="24"/>
        <v>0</v>
      </c>
      <c r="BK44" s="807">
        <v>0.76</v>
      </c>
      <c r="BL44" s="813">
        <f>IFERROR(BD44*'Grid Electricity'!$D$39,0)</f>
        <v>0</v>
      </c>
      <c r="BM44" s="813">
        <f>IFERROR(BD44*'Grid Electricity'!$C$39,0)</f>
        <v>0</v>
      </c>
      <c r="BN44" s="813">
        <f>IFERROR(BD44*'Grid Electricity'!$F$39,0)</f>
        <v>0</v>
      </c>
      <c r="BO44" s="813">
        <f t="shared" si="25"/>
        <v>0</v>
      </c>
      <c r="BP44" s="814">
        <f t="shared" si="26"/>
        <v>0</v>
      </c>
      <c r="BQ44" s="814">
        <f t="shared" si="27"/>
        <v>0</v>
      </c>
      <c r="BR44" s="814">
        <f t="shared" si="28"/>
        <v>0</v>
      </c>
      <c r="BS44" s="814">
        <f t="shared" si="29"/>
        <v>0</v>
      </c>
      <c r="BT44" s="818">
        <f>((BB44-AB44)*'Fuel Prices'!$C$27)*(IF(ISBLANK(D44),15,D44))</f>
        <v>0</v>
      </c>
      <c r="BU44" s="818">
        <f>((BC44-AZ44)*'Fuel Prices'!$C$27)*(IF(ISBLANK(D44),15,D44))</f>
        <v>0</v>
      </c>
      <c r="BV44" s="818">
        <f t="shared" si="30"/>
        <v>0</v>
      </c>
      <c r="BW44" s="818">
        <f t="shared" si="31"/>
        <v>0</v>
      </c>
      <c r="BX44" s="804" t="str">
        <f t="shared" si="32"/>
        <v/>
      </c>
      <c r="BY44" s="804">
        <f t="shared" si="33"/>
        <v>0</v>
      </c>
      <c r="BZ44" s="804">
        <v>0</v>
      </c>
      <c r="CA44" s="804">
        <f t="shared" si="34"/>
        <v>0</v>
      </c>
      <c r="CB44" s="804">
        <f t="shared" si="35"/>
        <v>0</v>
      </c>
      <c r="CC44" s="804">
        <f t="shared" si="36"/>
        <v>0</v>
      </c>
      <c r="CD44" s="804">
        <f t="shared" si="37"/>
        <v>0</v>
      </c>
      <c r="CE44" s="804">
        <f t="shared" si="38"/>
        <v>0</v>
      </c>
      <c r="CF44" s="804">
        <f t="shared" si="39"/>
        <v>0</v>
      </c>
      <c r="CG44" s="818">
        <f t="shared" si="40"/>
        <v>0</v>
      </c>
    </row>
    <row r="45" spans="1:85" ht="18" customHeight="1" x14ac:dyDescent="0.35">
      <c r="A45" s="696"/>
      <c r="B45" s="820"/>
      <c r="C45" s="825" t="str">
        <f t="shared" si="0"/>
        <v>(Required)</v>
      </c>
      <c r="D45" s="821"/>
      <c r="E45" s="825" t="str">
        <f t="shared" si="1"/>
        <v>(Required)</v>
      </c>
      <c r="F45" s="822"/>
      <c r="G45" s="825" t="str">
        <f t="shared" si="2"/>
        <v>(Required)</v>
      </c>
      <c r="H45" s="821"/>
      <c r="I45" s="825" t="str">
        <f t="shared" si="3"/>
        <v>(Required)</v>
      </c>
      <c r="J45" s="821"/>
      <c r="K45" s="825" t="str">
        <f t="shared" si="4"/>
        <v>(Required)</v>
      </c>
      <c r="L45" s="821"/>
      <c r="M45" s="825" t="str">
        <f t="shared" si="5"/>
        <v>(Required)</v>
      </c>
      <c r="N45" s="821"/>
      <c r="O45" s="825" t="str">
        <f t="shared" si="6"/>
        <v>(Required)</v>
      </c>
      <c r="P45" s="924"/>
      <c r="Q45" s="825" t="str">
        <f t="shared" si="7"/>
        <v>(Optional)</v>
      </c>
      <c r="R45" s="821"/>
      <c r="S45" s="827" t="str">
        <f t="shared" si="8"/>
        <v>(Required)</v>
      </c>
      <c r="T45" s="828"/>
      <c r="U45" s="799" t="str">
        <f t="shared" si="9"/>
        <v>(Optional)</v>
      </c>
      <c r="V45" s="824"/>
      <c r="W45" s="799" t="str">
        <f t="shared" si="9"/>
        <v>(Optional)</v>
      </c>
      <c r="X45" s="925"/>
      <c r="Y45" s="926" t="str">
        <f t="shared" si="10"/>
        <v>(Required)</v>
      </c>
      <c r="Z45" s="925"/>
      <c r="AA45" s="926" t="str">
        <f t="shared" si="11"/>
        <v>(Required)</v>
      </c>
      <c r="AB4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5" s="822"/>
      <c r="AE45" s="825" t="str">
        <f t="shared" si="12"/>
        <v>(Required)</v>
      </c>
      <c r="AF45" s="821"/>
      <c r="AG45" s="825" t="str">
        <f t="shared" si="13"/>
        <v>(Required)</v>
      </c>
      <c r="AH45" s="821"/>
      <c r="AI45" s="825" t="str">
        <f t="shared" si="14"/>
        <v>(Required)</v>
      </c>
      <c r="AJ45" s="821"/>
      <c r="AK45" s="825" t="str">
        <f t="shared" si="15"/>
        <v>(Required)</v>
      </c>
      <c r="AL45" s="821"/>
      <c r="AM45" s="825" t="str">
        <f t="shared" si="16"/>
        <v>(Required)</v>
      </c>
      <c r="AN45" s="924"/>
      <c r="AO45" s="825" t="str">
        <f t="shared" si="17"/>
        <v>(Required)</v>
      </c>
      <c r="AP45" s="821"/>
      <c r="AQ45" s="827" t="str">
        <f t="shared" si="18"/>
        <v>(Required)</v>
      </c>
      <c r="AR45" s="928"/>
      <c r="AS45" s="826" t="str">
        <f t="shared" si="19"/>
        <v>(Optional)</v>
      </c>
      <c r="AT45" s="928"/>
      <c r="AU45" s="826" t="str">
        <f t="shared" si="20"/>
        <v>(Optional)</v>
      </c>
      <c r="AV45" s="931"/>
      <c r="AW45" s="825" t="str">
        <f t="shared" si="21"/>
        <v>(Required)</v>
      </c>
      <c r="AX45" s="931"/>
      <c r="AY45" s="825" t="str">
        <f t="shared" si="22"/>
        <v>(Required)</v>
      </c>
      <c r="AZ4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5" s="804">
        <f>IFERROR(IF(Table411[[#This Row],[Is Baseline Pump Motor Energy Use Known? (Yes/No)]]="Yes",(Table411[[#This Row],[Annual Baseline Energy Use (kWh/yr)]]),(Table411[[#This Row],[Baseline Motor Energy Use (kWh)]])),0)</f>
        <v>0</v>
      </c>
      <c r="BC45" s="804">
        <f>IFERROR(IF(Table411[[#This Row],[Is Replacement Pump Motor Energy Use Known? (Yes/No)]]="Yes",(Table411[[#This Row],[Annual Replacement Energy Use (kWh/yr)]]),(Table411[[#This Row],[Replacement Motor Energy Use (kWh)]])),0)</f>
        <v>0</v>
      </c>
      <c r="BD45" s="804">
        <f>SUM((Table411[[#This Row],[Baseline Annual Energy Use]]-Table411[[#This Row],[Replacement Annual Energy Use]]),(Table411[[#This Row],[Replacement VFD Energy Savings (kWh)]]-Table411[[#This Row],[Baseline VFD Energy Savings (kWh)]]))</f>
        <v>0</v>
      </c>
      <c r="BE45" s="930">
        <f>'Grid Electricity'!$B$19</f>
        <v>2.1064475489616943E-4</v>
      </c>
      <c r="BF45" s="803" t="s">
        <v>586</v>
      </c>
      <c r="BG45" s="806">
        <f>Table411[[#This Row],[Baseline Annual Energy Use]]*Table411[[#This Row],[Fuel Carbon Content]]</f>
        <v>0</v>
      </c>
      <c r="BH45" s="806">
        <f>Table411[[#This Row],[Replacement Annual Energy Use]]*Table411[[#This Row],[Fuel Carbon Content]]</f>
        <v>0</v>
      </c>
      <c r="BI45" s="806">
        <f t="shared" si="23"/>
        <v>0</v>
      </c>
      <c r="BJ45" s="804">
        <f t="shared" si="24"/>
        <v>0</v>
      </c>
      <c r="BK45" s="807">
        <v>0.76</v>
      </c>
      <c r="BL45" s="813">
        <f>IFERROR(BD45*'Grid Electricity'!$D$39,0)</f>
        <v>0</v>
      </c>
      <c r="BM45" s="813">
        <f>IFERROR(BD45*'Grid Electricity'!$C$39,0)</f>
        <v>0</v>
      </c>
      <c r="BN45" s="813">
        <f>IFERROR(BD45*'Grid Electricity'!$F$39,0)</f>
        <v>0</v>
      </c>
      <c r="BO45" s="813">
        <f t="shared" si="25"/>
        <v>0</v>
      </c>
      <c r="BP45" s="814">
        <f t="shared" si="26"/>
        <v>0</v>
      </c>
      <c r="BQ45" s="814">
        <f t="shared" si="27"/>
        <v>0</v>
      </c>
      <c r="BR45" s="814">
        <f t="shared" si="28"/>
        <v>0</v>
      </c>
      <c r="BS45" s="814">
        <f t="shared" si="29"/>
        <v>0</v>
      </c>
      <c r="BT45" s="818">
        <f>((BB45-AB45)*'Fuel Prices'!$C$27)*(IF(ISBLANK(D45),15,D45))</f>
        <v>0</v>
      </c>
      <c r="BU45" s="818">
        <f>((BC45-AZ45)*'Fuel Prices'!$C$27)*(IF(ISBLANK(D45),15,D45))</f>
        <v>0</v>
      </c>
      <c r="BV45" s="818">
        <f t="shared" si="30"/>
        <v>0</v>
      </c>
      <c r="BW45" s="818">
        <f t="shared" si="31"/>
        <v>0</v>
      </c>
      <c r="BX45" s="804" t="str">
        <f t="shared" si="32"/>
        <v/>
      </c>
      <c r="BY45" s="804">
        <f t="shared" si="33"/>
        <v>0</v>
      </c>
      <c r="BZ45" s="804">
        <v>0</v>
      </c>
      <c r="CA45" s="804">
        <f t="shared" si="34"/>
        <v>0</v>
      </c>
      <c r="CB45" s="804">
        <f t="shared" si="35"/>
        <v>0</v>
      </c>
      <c r="CC45" s="804">
        <f t="shared" si="36"/>
        <v>0</v>
      </c>
      <c r="CD45" s="804">
        <f t="shared" si="37"/>
        <v>0</v>
      </c>
      <c r="CE45" s="804">
        <f t="shared" si="38"/>
        <v>0</v>
      </c>
      <c r="CF45" s="804">
        <f t="shared" si="39"/>
        <v>0</v>
      </c>
      <c r="CG45" s="818">
        <f t="shared" si="40"/>
        <v>0</v>
      </c>
    </row>
    <row r="46" spans="1:85" ht="18" customHeight="1" x14ac:dyDescent="0.35">
      <c r="A46" s="635"/>
      <c r="B46" s="820"/>
      <c r="C46" s="825" t="str">
        <f t="shared" si="0"/>
        <v>(Required)</v>
      </c>
      <c r="D46" s="821"/>
      <c r="E46" s="825" t="str">
        <f t="shared" si="1"/>
        <v>(Required)</v>
      </c>
      <c r="F46" s="822"/>
      <c r="G46" s="825" t="str">
        <f t="shared" si="2"/>
        <v>(Required)</v>
      </c>
      <c r="H46" s="821"/>
      <c r="I46" s="825" t="str">
        <f t="shared" si="3"/>
        <v>(Required)</v>
      </c>
      <c r="J46" s="821"/>
      <c r="K46" s="825" t="str">
        <f t="shared" si="4"/>
        <v>(Required)</v>
      </c>
      <c r="L46" s="821"/>
      <c r="M46" s="825" t="str">
        <f t="shared" si="5"/>
        <v>(Required)</v>
      </c>
      <c r="N46" s="821"/>
      <c r="O46" s="825" t="str">
        <f t="shared" si="6"/>
        <v>(Required)</v>
      </c>
      <c r="P46" s="924"/>
      <c r="Q46" s="825" t="str">
        <f t="shared" si="7"/>
        <v>(Optional)</v>
      </c>
      <c r="R46" s="821"/>
      <c r="S46" s="827" t="str">
        <f t="shared" si="8"/>
        <v>(Required)</v>
      </c>
      <c r="T46" s="828"/>
      <c r="U46" s="799" t="str">
        <f t="shared" si="9"/>
        <v>(Optional)</v>
      </c>
      <c r="V46" s="824"/>
      <c r="W46" s="799" t="str">
        <f t="shared" si="9"/>
        <v>(Optional)</v>
      </c>
      <c r="X46" s="925"/>
      <c r="Y46" s="926" t="str">
        <f t="shared" si="10"/>
        <v>(Required)</v>
      </c>
      <c r="Z46" s="925"/>
      <c r="AA46" s="926" t="str">
        <f t="shared" si="11"/>
        <v>(Required)</v>
      </c>
      <c r="AB4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6" s="822"/>
      <c r="AE46" s="825" t="str">
        <f t="shared" si="12"/>
        <v>(Required)</v>
      </c>
      <c r="AF46" s="821"/>
      <c r="AG46" s="825" t="str">
        <f t="shared" si="13"/>
        <v>(Required)</v>
      </c>
      <c r="AH46" s="821"/>
      <c r="AI46" s="825" t="str">
        <f t="shared" si="14"/>
        <v>(Required)</v>
      </c>
      <c r="AJ46" s="821"/>
      <c r="AK46" s="825" t="str">
        <f t="shared" si="15"/>
        <v>(Required)</v>
      </c>
      <c r="AL46" s="821"/>
      <c r="AM46" s="825" t="str">
        <f t="shared" si="16"/>
        <v>(Required)</v>
      </c>
      <c r="AN46" s="924"/>
      <c r="AO46" s="825" t="str">
        <f t="shared" si="17"/>
        <v>(Required)</v>
      </c>
      <c r="AP46" s="821"/>
      <c r="AQ46" s="827" t="str">
        <f t="shared" si="18"/>
        <v>(Required)</v>
      </c>
      <c r="AR46" s="928"/>
      <c r="AS46" s="826" t="str">
        <f t="shared" si="19"/>
        <v>(Optional)</v>
      </c>
      <c r="AT46" s="928"/>
      <c r="AU46" s="826" t="str">
        <f t="shared" si="20"/>
        <v>(Optional)</v>
      </c>
      <c r="AV46" s="931"/>
      <c r="AW46" s="825" t="str">
        <f t="shared" si="21"/>
        <v>(Required)</v>
      </c>
      <c r="AX46" s="931"/>
      <c r="AY46" s="825" t="str">
        <f t="shared" si="22"/>
        <v>(Required)</v>
      </c>
      <c r="AZ4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6" s="804">
        <f>IFERROR(IF(Table411[[#This Row],[Is Baseline Pump Motor Energy Use Known? (Yes/No)]]="Yes",(Table411[[#This Row],[Annual Baseline Energy Use (kWh/yr)]]),(Table411[[#This Row],[Baseline Motor Energy Use (kWh)]])),0)</f>
        <v>0</v>
      </c>
      <c r="BC46" s="804">
        <f>IFERROR(IF(Table411[[#This Row],[Is Replacement Pump Motor Energy Use Known? (Yes/No)]]="Yes",(Table411[[#This Row],[Annual Replacement Energy Use (kWh/yr)]]),(Table411[[#This Row],[Replacement Motor Energy Use (kWh)]])),0)</f>
        <v>0</v>
      </c>
      <c r="BD46" s="804">
        <f>SUM((Table411[[#This Row],[Baseline Annual Energy Use]]-Table411[[#This Row],[Replacement Annual Energy Use]]),(Table411[[#This Row],[Replacement VFD Energy Savings (kWh)]]-Table411[[#This Row],[Baseline VFD Energy Savings (kWh)]]))</f>
        <v>0</v>
      </c>
      <c r="BE46" s="930">
        <f>'Grid Electricity'!$B$19</f>
        <v>2.1064475489616943E-4</v>
      </c>
      <c r="BF46" s="803" t="s">
        <v>586</v>
      </c>
      <c r="BG46" s="806">
        <f>Table411[[#This Row],[Baseline Annual Energy Use]]*Table411[[#This Row],[Fuel Carbon Content]]</f>
        <v>0</v>
      </c>
      <c r="BH46" s="806">
        <f>Table411[[#This Row],[Replacement Annual Energy Use]]*Table411[[#This Row],[Fuel Carbon Content]]</f>
        <v>0</v>
      </c>
      <c r="BI46" s="806">
        <f t="shared" si="23"/>
        <v>0</v>
      </c>
      <c r="BJ46" s="804">
        <f t="shared" si="24"/>
        <v>0</v>
      </c>
      <c r="BK46" s="807">
        <v>0.76</v>
      </c>
      <c r="BL46" s="813">
        <f>IFERROR(BD46*'Grid Electricity'!$D$39,0)</f>
        <v>0</v>
      </c>
      <c r="BM46" s="813">
        <f>IFERROR(BD46*'Grid Electricity'!$C$39,0)</f>
        <v>0</v>
      </c>
      <c r="BN46" s="813">
        <f>IFERROR(BD46*'Grid Electricity'!$F$39,0)</f>
        <v>0</v>
      </c>
      <c r="BO46" s="813">
        <f t="shared" si="25"/>
        <v>0</v>
      </c>
      <c r="BP46" s="814">
        <f t="shared" si="26"/>
        <v>0</v>
      </c>
      <c r="BQ46" s="814">
        <f t="shared" si="27"/>
        <v>0</v>
      </c>
      <c r="BR46" s="814">
        <f t="shared" si="28"/>
        <v>0</v>
      </c>
      <c r="BS46" s="814">
        <f t="shared" si="29"/>
        <v>0</v>
      </c>
      <c r="BT46" s="818">
        <f>((BB46-AB46)*'Fuel Prices'!$C$27)*(IF(ISBLANK(D46),15,D46))</f>
        <v>0</v>
      </c>
      <c r="BU46" s="818">
        <f>((BC46-AZ46)*'Fuel Prices'!$C$27)*(IF(ISBLANK(D46),15,D46))</f>
        <v>0</v>
      </c>
      <c r="BV46" s="818">
        <f t="shared" si="30"/>
        <v>0</v>
      </c>
      <c r="BW46" s="818">
        <f t="shared" si="31"/>
        <v>0</v>
      </c>
      <c r="BX46" s="804" t="str">
        <f t="shared" si="32"/>
        <v/>
      </c>
      <c r="BY46" s="804">
        <f t="shared" si="33"/>
        <v>0</v>
      </c>
      <c r="BZ46" s="804">
        <v>0</v>
      </c>
      <c r="CA46" s="804">
        <f t="shared" si="34"/>
        <v>0</v>
      </c>
      <c r="CB46" s="804">
        <f t="shared" si="35"/>
        <v>0</v>
      </c>
      <c r="CC46" s="804">
        <f t="shared" si="36"/>
        <v>0</v>
      </c>
      <c r="CD46" s="804">
        <f t="shared" si="37"/>
        <v>0</v>
      </c>
      <c r="CE46" s="804">
        <f t="shared" si="38"/>
        <v>0</v>
      </c>
      <c r="CF46" s="804">
        <f t="shared" si="39"/>
        <v>0</v>
      </c>
      <c r="CG46" s="818">
        <f t="shared" si="40"/>
        <v>0</v>
      </c>
    </row>
    <row r="47" spans="1:85" ht="18" customHeight="1" x14ac:dyDescent="0.35">
      <c r="A47" s="696"/>
      <c r="B47" s="820"/>
      <c r="C47" s="825" t="str">
        <f t="shared" si="0"/>
        <v>(Required)</v>
      </c>
      <c r="D47" s="821"/>
      <c r="E47" s="825" t="str">
        <f t="shared" si="1"/>
        <v>(Required)</v>
      </c>
      <c r="F47" s="822"/>
      <c r="G47" s="825" t="str">
        <f t="shared" si="2"/>
        <v>(Required)</v>
      </c>
      <c r="H47" s="821"/>
      <c r="I47" s="825" t="str">
        <f t="shared" si="3"/>
        <v>(Required)</v>
      </c>
      <c r="J47" s="821"/>
      <c r="K47" s="825" t="str">
        <f t="shared" si="4"/>
        <v>(Required)</v>
      </c>
      <c r="L47" s="821"/>
      <c r="M47" s="825" t="str">
        <f t="shared" si="5"/>
        <v>(Required)</v>
      </c>
      <c r="N47" s="821"/>
      <c r="O47" s="825" t="str">
        <f t="shared" si="6"/>
        <v>(Required)</v>
      </c>
      <c r="P47" s="924"/>
      <c r="Q47" s="825" t="str">
        <f t="shared" si="7"/>
        <v>(Optional)</v>
      </c>
      <c r="R47" s="821"/>
      <c r="S47" s="827" t="str">
        <f t="shared" si="8"/>
        <v>(Required)</v>
      </c>
      <c r="T47" s="828"/>
      <c r="U47" s="799" t="str">
        <f t="shared" si="9"/>
        <v>(Optional)</v>
      </c>
      <c r="V47" s="824"/>
      <c r="W47" s="799" t="str">
        <f t="shared" si="9"/>
        <v>(Optional)</v>
      </c>
      <c r="X47" s="925"/>
      <c r="Y47" s="926" t="str">
        <f t="shared" si="10"/>
        <v>(Required)</v>
      </c>
      <c r="Z47" s="925"/>
      <c r="AA47" s="926" t="str">
        <f t="shared" si="11"/>
        <v>(Required)</v>
      </c>
      <c r="AB4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7" s="822"/>
      <c r="AE47" s="825" t="str">
        <f t="shared" si="12"/>
        <v>(Required)</v>
      </c>
      <c r="AF47" s="821"/>
      <c r="AG47" s="825" t="str">
        <f t="shared" si="13"/>
        <v>(Required)</v>
      </c>
      <c r="AH47" s="821"/>
      <c r="AI47" s="825" t="str">
        <f t="shared" si="14"/>
        <v>(Required)</v>
      </c>
      <c r="AJ47" s="821"/>
      <c r="AK47" s="825" t="str">
        <f t="shared" si="15"/>
        <v>(Required)</v>
      </c>
      <c r="AL47" s="821"/>
      <c r="AM47" s="825" t="str">
        <f t="shared" si="16"/>
        <v>(Required)</v>
      </c>
      <c r="AN47" s="924"/>
      <c r="AO47" s="825" t="str">
        <f t="shared" si="17"/>
        <v>(Required)</v>
      </c>
      <c r="AP47" s="821"/>
      <c r="AQ47" s="827" t="str">
        <f t="shared" si="18"/>
        <v>(Required)</v>
      </c>
      <c r="AR47" s="928"/>
      <c r="AS47" s="826" t="str">
        <f t="shared" si="19"/>
        <v>(Optional)</v>
      </c>
      <c r="AT47" s="928"/>
      <c r="AU47" s="826" t="str">
        <f t="shared" si="20"/>
        <v>(Optional)</v>
      </c>
      <c r="AV47" s="931"/>
      <c r="AW47" s="825" t="str">
        <f t="shared" si="21"/>
        <v>(Required)</v>
      </c>
      <c r="AX47" s="931"/>
      <c r="AY47" s="825" t="str">
        <f t="shared" si="22"/>
        <v>(Required)</v>
      </c>
      <c r="AZ4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7" s="804">
        <f>IFERROR(IF(Table411[[#This Row],[Is Baseline Pump Motor Energy Use Known? (Yes/No)]]="Yes",(Table411[[#This Row],[Annual Baseline Energy Use (kWh/yr)]]),(Table411[[#This Row],[Baseline Motor Energy Use (kWh)]])),0)</f>
        <v>0</v>
      </c>
      <c r="BC47" s="804">
        <f>IFERROR(IF(Table411[[#This Row],[Is Replacement Pump Motor Energy Use Known? (Yes/No)]]="Yes",(Table411[[#This Row],[Annual Replacement Energy Use (kWh/yr)]]),(Table411[[#This Row],[Replacement Motor Energy Use (kWh)]])),0)</f>
        <v>0</v>
      </c>
      <c r="BD47" s="804">
        <f>SUM((Table411[[#This Row],[Baseline Annual Energy Use]]-Table411[[#This Row],[Replacement Annual Energy Use]]),(Table411[[#This Row],[Replacement VFD Energy Savings (kWh)]]-Table411[[#This Row],[Baseline VFD Energy Savings (kWh)]]))</f>
        <v>0</v>
      </c>
      <c r="BE47" s="930">
        <f>'Grid Electricity'!$B$19</f>
        <v>2.1064475489616943E-4</v>
      </c>
      <c r="BF47" s="803" t="s">
        <v>586</v>
      </c>
      <c r="BG47" s="806">
        <f>Table411[[#This Row],[Baseline Annual Energy Use]]*Table411[[#This Row],[Fuel Carbon Content]]</f>
        <v>0</v>
      </c>
      <c r="BH47" s="806">
        <f>Table411[[#This Row],[Replacement Annual Energy Use]]*Table411[[#This Row],[Fuel Carbon Content]]</f>
        <v>0</v>
      </c>
      <c r="BI47" s="806">
        <f t="shared" si="23"/>
        <v>0</v>
      </c>
      <c r="BJ47" s="804">
        <f t="shared" si="24"/>
        <v>0</v>
      </c>
      <c r="BK47" s="807">
        <v>0.76</v>
      </c>
      <c r="BL47" s="813">
        <f>IFERROR(BD47*'Grid Electricity'!$D$39,0)</f>
        <v>0</v>
      </c>
      <c r="BM47" s="813">
        <f>IFERROR(BD47*'Grid Electricity'!$C$39,0)</f>
        <v>0</v>
      </c>
      <c r="BN47" s="813">
        <f>IFERROR(BD47*'Grid Electricity'!$F$39,0)</f>
        <v>0</v>
      </c>
      <c r="BO47" s="813">
        <f t="shared" si="25"/>
        <v>0</v>
      </c>
      <c r="BP47" s="814">
        <f t="shared" si="26"/>
        <v>0</v>
      </c>
      <c r="BQ47" s="814">
        <f t="shared" si="27"/>
        <v>0</v>
      </c>
      <c r="BR47" s="814">
        <f t="shared" si="28"/>
        <v>0</v>
      </c>
      <c r="BS47" s="814">
        <f t="shared" si="29"/>
        <v>0</v>
      </c>
      <c r="BT47" s="818">
        <f>((BB47-AB47)*'Fuel Prices'!$C$27)*(IF(ISBLANK(D47),15,D47))</f>
        <v>0</v>
      </c>
      <c r="BU47" s="818">
        <f>((BC47-AZ47)*'Fuel Prices'!$C$27)*(IF(ISBLANK(D47),15,D47))</f>
        <v>0</v>
      </c>
      <c r="BV47" s="818">
        <f t="shared" si="30"/>
        <v>0</v>
      </c>
      <c r="BW47" s="818">
        <f t="shared" si="31"/>
        <v>0</v>
      </c>
      <c r="BX47" s="804" t="str">
        <f t="shared" si="32"/>
        <v/>
      </c>
      <c r="BY47" s="804">
        <f t="shared" si="33"/>
        <v>0</v>
      </c>
      <c r="BZ47" s="804">
        <v>0</v>
      </c>
      <c r="CA47" s="804">
        <f t="shared" si="34"/>
        <v>0</v>
      </c>
      <c r="CB47" s="804">
        <f t="shared" si="35"/>
        <v>0</v>
      </c>
      <c r="CC47" s="804">
        <f t="shared" si="36"/>
        <v>0</v>
      </c>
      <c r="CD47" s="804">
        <f t="shared" si="37"/>
        <v>0</v>
      </c>
      <c r="CE47" s="804">
        <f t="shared" si="38"/>
        <v>0</v>
      </c>
      <c r="CF47" s="804">
        <f t="shared" si="39"/>
        <v>0</v>
      </c>
      <c r="CG47" s="818">
        <f t="shared" si="40"/>
        <v>0</v>
      </c>
    </row>
    <row r="48" spans="1:85" ht="18" customHeight="1" x14ac:dyDescent="0.35">
      <c r="A48" s="635"/>
      <c r="B48" s="820"/>
      <c r="C48" s="825" t="str">
        <f t="shared" si="0"/>
        <v>(Required)</v>
      </c>
      <c r="D48" s="821"/>
      <c r="E48" s="825" t="str">
        <f t="shared" si="1"/>
        <v>(Required)</v>
      </c>
      <c r="F48" s="822"/>
      <c r="G48" s="825" t="str">
        <f t="shared" si="2"/>
        <v>(Required)</v>
      </c>
      <c r="H48" s="821"/>
      <c r="I48" s="825" t="str">
        <f t="shared" si="3"/>
        <v>(Required)</v>
      </c>
      <c r="J48" s="821"/>
      <c r="K48" s="825" t="str">
        <f t="shared" si="4"/>
        <v>(Required)</v>
      </c>
      <c r="L48" s="821"/>
      <c r="M48" s="825" t="str">
        <f t="shared" si="5"/>
        <v>(Required)</v>
      </c>
      <c r="N48" s="821"/>
      <c r="O48" s="825" t="str">
        <f t="shared" si="6"/>
        <v>(Required)</v>
      </c>
      <c r="P48" s="924"/>
      <c r="Q48" s="825" t="str">
        <f t="shared" si="7"/>
        <v>(Optional)</v>
      </c>
      <c r="R48" s="821"/>
      <c r="S48" s="827" t="str">
        <f t="shared" si="8"/>
        <v>(Required)</v>
      </c>
      <c r="T48" s="828"/>
      <c r="U48" s="799" t="str">
        <f t="shared" si="9"/>
        <v>(Optional)</v>
      </c>
      <c r="V48" s="824"/>
      <c r="W48" s="799" t="str">
        <f t="shared" si="9"/>
        <v>(Optional)</v>
      </c>
      <c r="X48" s="925"/>
      <c r="Y48" s="926" t="str">
        <f t="shared" si="10"/>
        <v>(Required)</v>
      </c>
      <c r="Z48" s="925"/>
      <c r="AA48" s="926" t="str">
        <f t="shared" si="11"/>
        <v>(Required)</v>
      </c>
      <c r="AB4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8" s="822"/>
      <c r="AE48" s="825" t="str">
        <f t="shared" si="12"/>
        <v>(Required)</v>
      </c>
      <c r="AF48" s="821"/>
      <c r="AG48" s="825" t="str">
        <f t="shared" si="13"/>
        <v>(Required)</v>
      </c>
      <c r="AH48" s="821"/>
      <c r="AI48" s="825" t="str">
        <f t="shared" si="14"/>
        <v>(Required)</v>
      </c>
      <c r="AJ48" s="821"/>
      <c r="AK48" s="825" t="str">
        <f t="shared" si="15"/>
        <v>(Required)</v>
      </c>
      <c r="AL48" s="821"/>
      <c r="AM48" s="825" t="str">
        <f t="shared" si="16"/>
        <v>(Required)</v>
      </c>
      <c r="AN48" s="924"/>
      <c r="AO48" s="825" t="str">
        <f t="shared" si="17"/>
        <v>(Required)</v>
      </c>
      <c r="AP48" s="821"/>
      <c r="AQ48" s="827" t="str">
        <f t="shared" si="18"/>
        <v>(Required)</v>
      </c>
      <c r="AR48" s="928"/>
      <c r="AS48" s="826" t="str">
        <f t="shared" si="19"/>
        <v>(Optional)</v>
      </c>
      <c r="AT48" s="928"/>
      <c r="AU48" s="826" t="str">
        <f t="shared" si="20"/>
        <v>(Optional)</v>
      </c>
      <c r="AV48" s="931"/>
      <c r="AW48" s="825" t="str">
        <f t="shared" si="21"/>
        <v>(Required)</v>
      </c>
      <c r="AX48" s="931"/>
      <c r="AY48" s="825" t="str">
        <f t="shared" si="22"/>
        <v>(Required)</v>
      </c>
      <c r="AZ4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8" s="804">
        <f>IFERROR(IF(Table411[[#This Row],[Is Baseline Pump Motor Energy Use Known? (Yes/No)]]="Yes",(Table411[[#This Row],[Annual Baseline Energy Use (kWh/yr)]]),(Table411[[#This Row],[Baseline Motor Energy Use (kWh)]])),0)</f>
        <v>0</v>
      </c>
      <c r="BC48" s="804">
        <f>IFERROR(IF(Table411[[#This Row],[Is Replacement Pump Motor Energy Use Known? (Yes/No)]]="Yes",(Table411[[#This Row],[Annual Replacement Energy Use (kWh/yr)]]),(Table411[[#This Row],[Replacement Motor Energy Use (kWh)]])),0)</f>
        <v>0</v>
      </c>
      <c r="BD48" s="804">
        <f>SUM((Table411[[#This Row],[Baseline Annual Energy Use]]-Table411[[#This Row],[Replacement Annual Energy Use]]),(Table411[[#This Row],[Replacement VFD Energy Savings (kWh)]]-Table411[[#This Row],[Baseline VFD Energy Savings (kWh)]]))</f>
        <v>0</v>
      </c>
      <c r="BE48" s="930">
        <f>'Grid Electricity'!$B$19</f>
        <v>2.1064475489616943E-4</v>
      </c>
      <c r="BF48" s="803" t="s">
        <v>586</v>
      </c>
      <c r="BG48" s="806">
        <f>Table411[[#This Row],[Baseline Annual Energy Use]]*Table411[[#This Row],[Fuel Carbon Content]]</f>
        <v>0</v>
      </c>
      <c r="BH48" s="806">
        <f>Table411[[#This Row],[Replacement Annual Energy Use]]*Table411[[#This Row],[Fuel Carbon Content]]</f>
        <v>0</v>
      </c>
      <c r="BI48" s="806">
        <f t="shared" si="23"/>
        <v>0</v>
      </c>
      <c r="BJ48" s="804">
        <f t="shared" si="24"/>
        <v>0</v>
      </c>
      <c r="BK48" s="807">
        <v>0.76</v>
      </c>
      <c r="BL48" s="813">
        <f>IFERROR(BD48*'Grid Electricity'!$D$39,0)</f>
        <v>0</v>
      </c>
      <c r="BM48" s="813">
        <f>IFERROR(BD48*'Grid Electricity'!$C$39,0)</f>
        <v>0</v>
      </c>
      <c r="BN48" s="813">
        <f>IFERROR(BD48*'Grid Electricity'!$F$39,0)</f>
        <v>0</v>
      </c>
      <c r="BO48" s="813">
        <f t="shared" si="25"/>
        <v>0</v>
      </c>
      <c r="BP48" s="814">
        <f t="shared" si="26"/>
        <v>0</v>
      </c>
      <c r="BQ48" s="814">
        <f t="shared" si="27"/>
        <v>0</v>
      </c>
      <c r="BR48" s="814">
        <f t="shared" si="28"/>
        <v>0</v>
      </c>
      <c r="BS48" s="814">
        <f t="shared" si="29"/>
        <v>0</v>
      </c>
      <c r="BT48" s="818">
        <f>((BB48-AB48)*'Fuel Prices'!$C$27)*(IF(ISBLANK(D48),15,D48))</f>
        <v>0</v>
      </c>
      <c r="BU48" s="818">
        <f>((BC48-AZ48)*'Fuel Prices'!$C$27)*(IF(ISBLANK(D48),15,D48))</f>
        <v>0</v>
      </c>
      <c r="BV48" s="818">
        <f t="shared" si="30"/>
        <v>0</v>
      </c>
      <c r="BW48" s="818">
        <f t="shared" si="31"/>
        <v>0</v>
      </c>
      <c r="BX48" s="804" t="str">
        <f t="shared" si="32"/>
        <v/>
      </c>
      <c r="BY48" s="804">
        <f t="shared" si="33"/>
        <v>0</v>
      </c>
      <c r="BZ48" s="804">
        <v>0</v>
      </c>
      <c r="CA48" s="804">
        <f t="shared" si="34"/>
        <v>0</v>
      </c>
      <c r="CB48" s="804">
        <f t="shared" si="35"/>
        <v>0</v>
      </c>
      <c r="CC48" s="804">
        <f t="shared" si="36"/>
        <v>0</v>
      </c>
      <c r="CD48" s="804">
        <f t="shared" si="37"/>
        <v>0</v>
      </c>
      <c r="CE48" s="804">
        <f t="shared" si="38"/>
        <v>0</v>
      </c>
      <c r="CF48" s="804">
        <f t="shared" si="39"/>
        <v>0</v>
      </c>
      <c r="CG48" s="818">
        <f t="shared" si="40"/>
        <v>0</v>
      </c>
    </row>
    <row r="49" spans="1:85" ht="18" customHeight="1" x14ac:dyDescent="0.35">
      <c r="A49" s="696"/>
      <c r="B49" s="820"/>
      <c r="C49" s="825" t="str">
        <f t="shared" si="0"/>
        <v>(Required)</v>
      </c>
      <c r="D49" s="821"/>
      <c r="E49" s="825" t="str">
        <f t="shared" si="1"/>
        <v>(Required)</v>
      </c>
      <c r="F49" s="822"/>
      <c r="G49" s="825" t="str">
        <f t="shared" si="2"/>
        <v>(Required)</v>
      </c>
      <c r="H49" s="821"/>
      <c r="I49" s="825" t="str">
        <f t="shared" si="3"/>
        <v>(Required)</v>
      </c>
      <c r="J49" s="821"/>
      <c r="K49" s="825" t="str">
        <f t="shared" si="4"/>
        <v>(Required)</v>
      </c>
      <c r="L49" s="821"/>
      <c r="M49" s="825" t="str">
        <f t="shared" si="5"/>
        <v>(Required)</v>
      </c>
      <c r="N49" s="821"/>
      <c r="O49" s="825" t="str">
        <f t="shared" si="6"/>
        <v>(Required)</v>
      </c>
      <c r="P49" s="924"/>
      <c r="Q49" s="825" t="str">
        <f t="shared" si="7"/>
        <v>(Optional)</v>
      </c>
      <c r="R49" s="821"/>
      <c r="S49" s="827" t="str">
        <f t="shared" si="8"/>
        <v>(Required)</v>
      </c>
      <c r="T49" s="828"/>
      <c r="U49" s="799" t="str">
        <f t="shared" si="9"/>
        <v>(Optional)</v>
      </c>
      <c r="V49" s="824"/>
      <c r="W49" s="799" t="str">
        <f t="shared" si="9"/>
        <v>(Optional)</v>
      </c>
      <c r="X49" s="925"/>
      <c r="Y49" s="926" t="str">
        <f t="shared" si="10"/>
        <v>(Required)</v>
      </c>
      <c r="Z49" s="925"/>
      <c r="AA49" s="926" t="str">
        <f t="shared" si="11"/>
        <v>(Required)</v>
      </c>
      <c r="AB4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4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49" s="822"/>
      <c r="AE49" s="825" t="str">
        <f t="shared" si="12"/>
        <v>(Required)</v>
      </c>
      <c r="AF49" s="821"/>
      <c r="AG49" s="825" t="str">
        <f t="shared" si="13"/>
        <v>(Required)</v>
      </c>
      <c r="AH49" s="821"/>
      <c r="AI49" s="825" t="str">
        <f t="shared" si="14"/>
        <v>(Required)</v>
      </c>
      <c r="AJ49" s="821"/>
      <c r="AK49" s="825" t="str">
        <f t="shared" si="15"/>
        <v>(Required)</v>
      </c>
      <c r="AL49" s="821"/>
      <c r="AM49" s="825" t="str">
        <f t="shared" si="16"/>
        <v>(Required)</v>
      </c>
      <c r="AN49" s="924"/>
      <c r="AO49" s="825" t="str">
        <f t="shared" si="17"/>
        <v>(Required)</v>
      </c>
      <c r="AP49" s="821"/>
      <c r="AQ49" s="827" t="str">
        <f t="shared" si="18"/>
        <v>(Required)</v>
      </c>
      <c r="AR49" s="928"/>
      <c r="AS49" s="826" t="str">
        <f t="shared" si="19"/>
        <v>(Optional)</v>
      </c>
      <c r="AT49" s="928"/>
      <c r="AU49" s="826" t="str">
        <f t="shared" si="20"/>
        <v>(Optional)</v>
      </c>
      <c r="AV49" s="931"/>
      <c r="AW49" s="825" t="str">
        <f t="shared" si="21"/>
        <v>(Required)</v>
      </c>
      <c r="AX49" s="931"/>
      <c r="AY49" s="825" t="str">
        <f t="shared" si="22"/>
        <v>(Required)</v>
      </c>
      <c r="AZ4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4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49" s="804">
        <f>IFERROR(IF(Table411[[#This Row],[Is Baseline Pump Motor Energy Use Known? (Yes/No)]]="Yes",(Table411[[#This Row],[Annual Baseline Energy Use (kWh/yr)]]),(Table411[[#This Row],[Baseline Motor Energy Use (kWh)]])),0)</f>
        <v>0</v>
      </c>
      <c r="BC49" s="804">
        <f>IFERROR(IF(Table411[[#This Row],[Is Replacement Pump Motor Energy Use Known? (Yes/No)]]="Yes",(Table411[[#This Row],[Annual Replacement Energy Use (kWh/yr)]]),(Table411[[#This Row],[Replacement Motor Energy Use (kWh)]])),0)</f>
        <v>0</v>
      </c>
      <c r="BD49" s="804">
        <f>SUM((Table411[[#This Row],[Baseline Annual Energy Use]]-Table411[[#This Row],[Replacement Annual Energy Use]]),(Table411[[#This Row],[Replacement VFD Energy Savings (kWh)]]-Table411[[#This Row],[Baseline VFD Energy Savings (kWh)]]))</f>
        <v>0</v>
      </c>
      <c r="BE49" s="930">
        <f>'Grid Electricity'!$B$19</f>
        <v>2.1064475489616943E-4</v>
      </c>
      <c r="BF49" s="803" t="s">
        <v>586</v>
      </c>
      <c r="BG49" s="806">
        <f>Table411[[#This Row],[Baseline Annual Energy Use]]*Table411[[#This Row],[Fuel Carbon Content]]</f>
        <v>0</v>
      </c>
      <c r="BH49" s="806">
        <f>Table411[[#This Row],[Replacement Annual Energy Use]]*Table411[[#This Row],[Fuel Carbon Content]]</f>
        <v>0</v>
      </c>
      <c r="BI49" s="806">
        <f t="shared" si="23"/>
        <v>0</v>
      </c>
      <c r="BJ49" s="804">
        <f t="shared" si="24"/>
        <v>0</v>
      </c>
      <c r="BK49" s="807">
        <v>0.76</v>
      </c>
      <c r="BL49" s="813">
        <f>IFERROR(BD49*'Grid Electricity'!$D$39,0)</f>
        <v>0</v>
      </c>
      <c r="BM49" s="813">
        <f>IFERROR(BD49*'Grid Electricity'!$C$39,0)</f>
        <v>0</v>
      </c>
      <c r="BN49" s="813">
        <f>IFERROR(BD49*'Grid Electricity'!$F$39,0)</f>
        <v>0</v>
      </c>
      <c r="BO49" s="813">
        <f t="shared" si="25"/>
        <v>0</v>
      </c>
      <c r="BP49" s="814">
        <f t="shared" si="26"/>
        <v>0</v>
      </c>
      <c r="BQ49" s="814">
        <f t="shared" si="27"/>
        <v>0</v>
      </c>
      <c r="BR49" s="814">
        <f t="shared" si="28"/>
        <v>0</v>
      </c>
      <c r="BS49" s="814">
        <f t="shared" si="29"/>
        <v>0</v>
      </c>
      <c r="BT49" s="818">
        <f>((BB49-AB49)*'Fuel Prices'!$C$27)*(IF(ISBLANK(D49),15,D49))</f>
        <v>0</v>
      </c>
      <c r="BU49" s="818">
        <f>((BC49-AZ49)*'Fuel Prices'!$C$27)*(IF(ISBLANK(D49),15,D49))</f>
        <v>0</v>
      </c>
      <c r="BV49" s="818">
        <f t="shared" si="30"/>
        <v>0</v>
      </c>
      <c r="BW49" s="818">
        <f t="shared" si="31"/>
        <v>0</v>
      </c>
      <c r="BX49" s="804" t="str">
        <f t="shared" si="32"/>
        <v/>
      </c>
      <c r="BY49" s="804">
        <f t="shared" si="33"/>
        <v>0</v>
      </c>
      <c r="BZ49" s="804">
        <v>0</v>
      </c>
      <c r="CA49" s="804">
        <f t="shared" si="34"/>
        <v>0</v>
      </c>
      <c r="CB49" s="804">
        <f t="shared" si="35"/>
        <v>0</v>
      </c>
      <c r="CC49" s="804">
        <f t="shared" si="36"/>
        <v>0</v>
      </c>
      <c r="CD49" s="804">
        <f t="shared" si="37"/>
        <v>0</v>
      </c>
      <c r="CE49" s="804">
        <f t="shared" si="38"/>
        <v>0</v>
      </c>
      <c r="CF49" s="804">
        <f t="shared" si="39"/>
        <v>0</v>
      </c>
      <c r="CG49" s="818">
        <f t="shared" si="40"/>
        <v>0</v>
      </c>
    </row>
    <row r="50" spans="1:85" ht="18" customHeight="1" x14ac:dyDescent="0.35">
      <c r="A50" s="635"/>
      <c r="B50" s="820"/>
      <c r="C50" s="825" t="str">
        <f t="shared" si="0"/>
        <v>(Required)</v>
      </c>
      <c r="D50" s="821"/>
      <c r="E50" s="825" t="str">
        <f t="shared" si="1"/>
        <v>(Required)</v>
      </c>
      <c r="F50" s="822"/>
      <c r="G50" s="825" t="str">
        <f t="shared" si="2"/>
        <v>(Required)</v>
      </c>
      <c r="H50" s="821"/>
      <c r="I50" s="825" t="str">
        <f t="shared" si="3"/>
        <v>(Required)</v>
      </c>
      <c r="J50" s="821"/>
      <c r="K50" s="825" t="str">
        <f t="shared" si="4"/>
        <v>(Required)</v>
      </c>
      <c r="L50" s="821"/>
      <c r="M50" s="825" t="str">
        <f t="shared" si="5"/>
        <v>(Required)</v>
      </c>
      <c r="N50" s="821"/>
      <c r="O50" s="825" t="str">
        <f t="shared" si="6"/>
        <v>(Required)</v>
      </c>
      <c r="P50" s="924"/>
      <c r="Q50" s="825" t="str">
        <f t="shared" si="7"/>
        <v>(Optional)</v>
      </c>
      <c r="R50" s="821"/>
      <c r="S50" s="827" t="str">
        <f t="shared" si="8"/>
        <v>(Required)</v>
      </c>
      <c r="T50" s="828"/>
      <c r="U50" s="799" t="str">
        <f t="shared" si="9"/>
        <v>(Optional)</v>
      </c>
      <c r="V50" s="824"/>
      <c r="W50" s="799" t="str">
        <f t="shared" si="9"/>
        <v>(Optional)</v>
      </c>
      <c r="X50" s="925"/>
      <c r="Y50" s="926" t="str">
        <f t="shared" si="10"/>
        <v>(Required)</v>
      </c>
      <c r="Z50" s="925"/>
      <c r="AA50" s="926" t="str">
        <f t="shared" si="11"/>
        <v>(Required)</v>
      </c>
      <c r="AB5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0" s="822"/>
      <c r="AE50" s="825" t="str">
        <f t="shared" si="12"/>
        <v>(Required)</v>
      </c>
      <c r="AF50" s="821"/>
      <c r="AG50" s="825" t="str">
        <f t="shared" si="13"/>
        <v>(Required)</v>
      </c>
      <c r="AH50" s="821"/>
      <c r="AI50" s="825" t="str">
        <f t="shared" si="14"/>
        <v>(Required)</v>
      </c>
      <c r="AJ50" s="821"/>
      <c r="AK50" s="825" t="str">
        <f t="shared" si="15"/>
        <v>(Required)</v>
      </c>
      <c r="AL50" s="821"/>
      <c r="AM50" s="825" t="str">
        <f t="shared" si="16"/>
        <v>(Required)</v>
      </c>
      <c r="AN50" s="924"/>
      <c r="AO50" s="825" t="str">
        <f t="shared" si="17"/>
        <v>(Required)</v>
      </c>
      <c r="AP50" s="821"/>
      <c r="AQ50" s="827" t="str">
        <f t="shared" si="18"/>
        <v>(Required)</v>
      </c>
      <c r="AR50" s="928"/>
      <c r="AS50" s="826" t="str">
        <f t="shared" si="19"/>
        <v>(Optional)</v>
      </c>
      <c r="AT50" s="928"/>
      <c r="AU50" s="826" t="str">
        <f t="shared" si="20"/>
        <v>(Optional)</v>
      </c>
      <c r="AV50" s="931"/>
      <c r="AW50" s="825" t="str">
        <f t="shared" si="21"/>
        <v>(Required)</v>
      </c>
      <c r="AX50" s="931"/>
      <c r="AY50" s="825" t="str">
        <f t="shared" si="22"/>
        <v>(Required)</v>
      </c>
      <c r="AZ5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0" s="804">
        <f>IFERROR(IF(Table411[[#This Row],[Is Baseline Pump Motor Energy Use Known? (Yes/No)]]="Yes",(Table411[[#This Row],[Annual Baseline Energy Use (kWh/yr)]]),(Table411[[#This Row],[Baseline Motor Energy Use (kWh)]])),0)</f>
        <v>0</v>
      </c>
      <c r="BC50" s="804">
        <f>IFERROR(IF(Table411[[#This Row],[Is Replacement Pump Motor Energy Use Known? (Yes/No)]]="Yes",(Table411[[#This Row],[Annual Replacement Energy Use (kWh/yr)]]),(Table411[[#This Row],[Replacement Motor Energy Use (kWh)]])),0)</f>
        <v>0</v>
      </c>
      <c r="BD50" s="804">
        <f>SUM((Table411[[#This Row],[Baseline Annual Energy Use]]-Table411[[#This Row],[Replacement Annual Energy Use]]),(Table411[[#This Row],[Replacement VFD Energy Savings (kWh)]]-Table411[[#This Row],[Baseline VFD Energy Savings (kWh)]]))</f>
        <v>0</v>
      </c>
      <c r="BE50" s="930">
        <f>'Grid Electricity'!$B$19</f>
        <v>2.1064475489616943E-4</v>
      </c>
      <c r="BF50" s="803" t="s">
        <v>586</v>
      </c>
      <c r="BG50" s="806">
        <f>Table411[[#This Row],[Baseline Annual Energy Use]]*Table411[[#This Row],[Fuel Carbon Content]]</f>
        <v>0</v>
      </c>
      <c r="BH50" s="806">
        <f>Table411[[#This Row],[Replacement Annual Energy Use]]*Table411[[#This Row],[Fuel Carbon Content]]</f>
        <v>0</v>
      </c>
      <c r="BI50" s="806">
        <f t="shared" si="23"/>
        <v>0</v>
      </c>
      <c r="BJ50" s="804">
        <f t="shared" si="24"/>
        <v>0</v>
      </c>
      <c r="BK50" s="807">
        <v>0.76</v>
      </c>
      <c r="BL50" s="813">
        <f>IFERROR(BD50*'Grid Electricity'!$D$39,0)</f>
        <v>0</v>
      </c>
      <c r="BM50" s="813">
        <f>IFERROR(BD50*'Grid Electricity'!$C$39,0)</f>
        <v>0</v>
      </c>
      <c r="BN50" s="813">
        <f>IFERROR(BD50*'Grid Electricity'!$F$39,0)</f>
        <v>0</v>
      </c>
      <c r="BO50" s="813">
        <f t="shared" si="25"/>
        <v>0</v>
      </c>
      <c r="BP50" s="814">
        <f t="shared" si="26"/>
        <v>0</v>
      </c>
      <c r="BQ50" s="814">
        <f t="shared" si="27"/>
        <v>0</v>
      </c>
      <c r="BR50" s="814">
        <f t="shared" si="28"/>
        <v>0</v>
      </c>
      <c r="BS50" s="814">
        <f t="shared" si="29"/>
        <v>0</v>
      </c>
      <c r="BT50" s="818">
        <f>((BB50-AB50)*'Fuel Prices'!$C$27)*(IF(ISBLANK(D50),15,D50))</f>
        <v>0</v>
      </c>
      <c r="BU50" s="818">
        <f>((BC50-AZ50)*'Fuel Prices'!$C$27)*(IF(ISBLANK(D50),15,D50))</f>
        <v>0</v>
      </c>
      <c r="BV50" s="818">
        <f t="shared" si="30"/>
        <v>0</v>
      </c>
      <c r="BW50" s="818">
        <f t="shared" si="31"/>
        <v>0</v>
      </c>
      <c r="BX50" s="804" t="str">
        <f t="shared" si="32"/>
        <v/>
      </c>
      <c r="BY50" s="804">
        <f t="shared" si="33"/>
        <v>0</v>
      </c>
      <c r="BZ50" s="804">
        <v>0</v>
      </c>
      <c r="CA50" s="804">
        <f t="shared" si="34"/>
        <v>0</v>
      </c>
      <c r="CB50" s="804">
        <f t="shared" si="35"/>
        <v>0</v>
      </c>
      <c r="CC50" s="804">
        <f t="shared" si="36"/>
        <v>0</v>
      </c>
      <c r="CD50" s="804">
        <f t="shared" si="37"/>
        <v>0</v>
      </c>
      <c r="CE50" s="804">
        <f t="shared" si="38"/>
        <v>0</v>
      </c>
      <c r="CF50" s="804">
        <f t="shared" si="39"/>
        <v>0</v>
      </c>
      <c r="CG50" s="818">
        <f t="shared" si="40"/>
        <v>0</v>
      </c>
    </row>
    <row r="51" spans="1:85" ht="18" customHeight="1" x14ac:dyDescent="0.35">
      <c r="A51" s="696"/>
      <c r="B51" s="820"/>
      <c r="C51" s="825" t="str">
        <f t="shared" si="0"/>
        <v>(Required)</v>
      </c>
      <c r="D51" s="821"/>
      <c r="E51" s="825" t="str">
        <f t="shared" si="1"/>
        <v>(Required)</v>
      </c>
      <c r="F51" s="822"/>
      <c r="G51" s="825" t="str">
        <f t="shared" si="2"/>
        <v>(Required)</v>
      </c>
      <c r="H51" s="821"/>
      <c r="I51" s="825" t="str">
        <f t="shared" si="3"/>
        <v>(Required)</v>
      </c>
      <c r="J51" s="821"/>
      <c r="K51" s="825" t="str">
        <f t="shared" si="4"/>
        <v>(Required)</v>
      </c>
      <c r="L51" s="821"/>
      <c r="M51" s="825" t="str">
        <f t="shared" si="5"/>
        <v>(Required)</v>
      </c>
      <c r="N51" s="821"/>
      <c r="O51" s="825" t="str">
        <f t="shared" si="6"/>
        <v>(Required)</v>
      </c>
      <c r="P51" s="924"/>
      <c r="Q51" s="825" t="str">
        <f t="shared" si="7"/>
        <v>(Optional)</v>
      </c>
      <c r="R51" s="821"/>
      <c r="S51" s="827" t="str">
        <f t="shared" si="8"/>
        <v>(Required)</v>
      </c>
      <c r="T51" s="828"/>
      <c r="U51" s="799" t="str">
        <f t="shared" si="9"/>
        <v>(Optional)</v>
      </c>
      <c r="V51" s="824"/>
      <c r="W51" s="799" t="str">
        <f t="shared" si="9"/>
        <v>(Optional)</v>
      </c>
      <c r="X51" s="925"/>
      <c r="Y51" s="926" t="str">
        <f t="shared" si="10"/>
        <v>(Required)</v>
      </c>
      <c r="Z51" s="925"/>
      <c r="AA51" s="926" t="str">
        <f t="shared" si="11"/>
        <v>(Required)</v>
      </c>
      <c r="AB5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1" s="822"/>
      <c r="AE51" s="825" t="str">
        <f t="shared" si="12"/>
        <v>(Required)</v>
      </c>
      <c r="AF51" s="821"/>
      <c r="AG51" s="825" t="str">
        <f t="shared" si="13"/>
        <v>(Required)</v>
      </c>
      <c r="AH51" s="821"/>
      <c r="AI51" s="825" t="str">
        <f t="shared" si="14"/>
        <v>(Required)</v>
      </c>
      <c r="AJ51" s="821"/>
      <c r="AK51" s="825" t="str">
        <f t="shared" si="15"/>
        <v>(Required)</v>
      </c>
      <c r="AL51" s="821"/>
      <c r="AM51" s="825" t="str">
        <f t="shared" si="16"/>
        <v>(Required)</v>
      </c>
      <c r="AN51" s="924"/>
      <c r="AO51" s="825" t="str">
        <f t="shared" si="17"/>
        <v>(Required)</v>
      </c>
      <c r="AP51" s="821"/>
      <c r="AQ51" s="827" t="str">
        <f t="shared" si="18"/>
        <v>(Required)</v>
      </c>
      <c r="AR51" s="928"/>
      <c r="AS51" s="826" t="str">
        <f t="shared" si="19"/>
        <v>(Optional)</v>
      </c>
      <c r="AT51" s="928"/>
      <c r="AU51" s="826" t="str">
        <f t="shared" si="20"/>
        <v>(Optional)</v>
      </c>
      <c r="AV51" s="931"/>
      <c r="AW51" s="825" t="str">
        <f t="shared" si="21"/>
        <v>(Required)</v>
      </c>
      <c r="AX51" s="931"/>
      <c r="AY51" s="825" t="str">
        <f t="shared" si="22"/>
        <v>(Required)</v>
      </c>
      <c r="AZ5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1" s="804">
        <f>IFERROR(IF(Table411[[#This Row],[Is Baseline Pump Motor Energy Use Known? (Yes/No)]]="Yes",(Table411[[#This Row],[Annual Baseline Energy Use (kWh/yr)]]),(Table411[[#This Row],[Baseline Motor Energy Use (kWh)]])),0)</f>
        <v>0</v>
      </c>
      <c r="BC51" s="804">
        <f>IFERROR(IF(Table411[[#This Row],[Is Replacement Pump Motor Energy Use Known? (Yes/No)]]="Yes",(Table411[[#This Row],[Annual Replacement Energy Use (kWh/yr)]]),(Table411[[#This Row],[Replacement Motor Energy Use (kWh)]])),0)</f>
        <v>0</v>
      </c>
      <c r="BD51" s="804">
        <f>SUM((Table411[[#This Row],[Baseline Annual Energy Use]]-Table411[[#This Row],[Replacement Annual Energy Use]]),(Table411[[#This Row],[Replacement VFD Energy Savings (kWh)]]-Table411[[#This Row],[Baseline VFD Energy Savings (kWh)]]))</f>
        <v>0</v>
      </c>
      <c r="BE51" s="930">
        <f>'Grid Electricity'!$B$19</f>
        <v>2.1064475489616943E-4</v>
      </c>
      <c r="BF51" s="803" t="s">
        <v>586</v>
      </c>
      <c r="BG51" s="806">
        <f>Table411[[#This Row],[Baseline Annual Energy Use]]*Table411[[#This Row],[Fuel Carbon Content]]</f>
        <v>0</v>
      </c>
      <c r="BH51" s="806">
        <f>Table411[[#This Row],[Replacement Annual Energy Use]]*Table411[[#This Row],[Fuel Carbon Content]]</f>
        <v>0</v>
      </c>
      <c r="BI51" s="806">
        <f t="shared" si="23"/>
        <v>0</v>
      </c>
      <c r="BJ51" s="804">
        <f t="shared" si="24"/>
        <v>0</v>
      </c>
      <c r="BK51" s="807">
        <v>0.76</v>
      </c>
      <c r="BL51" s="813">
        <f>IFERROR(BD51*'Grid Electricity'!$D$39,0)</f>
        <v>0</v>
      </c>
      <c r="BM51" s="813">
        <f>IFERROR(BD51*'Grid Electricity'!$C$39,0)</f>
        <v>0</v>
      </c>
      <c r="BN51" s="813">
        <f>IFERROR(BD51*'Grid Electricity'!$F$39,0)</f>
        <v>0</v>
      </c>
      <c r="BO51" s="813">
        <f t="shared" si="25"/>
        <v>0</v>
      </c>
      <c r="BP51" s="814">
        <f t="shared" si="26"/>
        <v>0</v>
      </c>
      <c r="BQ51" s="814">
        <f t="shared" si="27"/>
        <v>0</v>
      </c>
      <c r="BR51" s="814">
        <f t="shared" si="28"/>
        <v>0</v>
      </c>
      <c r="BS51" s="814">
        <f t="shared" si="29"/>
        <v>0</v>
      </c>
      <c r="BT51" s="818">
        <f>((BB51-AB51)*'Fuel Prices'!$C$27)*(IF(ISBLANK(D51),15,D51))</f>
        <v>0</v>
      </c>
      <c r="BU51" s="818">
        <f>((BC51-AZ51)*'Fuel Prices'!$C$27)*(IF(ISBLANK(D51),15,D51))</f>
        <v>0</v>
      </c>
      <c r="BV51" s="818">
        <f t="shared" si="30"/>
        <v>0</v>
      </c>
      <c r="BW51" s="818">
        <f t="shared" si="31"/>
        <v>0</v>
      </c>
      <c r="BX51" s="804" t="str">
        <f t="shared" si="32"/>
        <v/>
      </c>
      <c r="BY51" s="804">
        <f t="shared" si="33"/>
        <v>0</v>
      </c>
      <c r="BZ51" s="804">
        <v>0</v>
      </c>
      <c r="CA51" s="804">
        <f t="shared" si="34"/>
        <v>0</v>
      </c>
      <c r="CB51" s="804">
        <f t="shared" si="35"/>
        <v>0</v>
      </c>
      <c r="CC51" s="804">
        <f t="shared" si="36"/>
        <v>0</v>
      </c>
      <c r="CD51" s="804">
        <f t="shared" si="37"/>
        <v>0</v>
      </c>
      <c r="CE51" s="804">
        <f t="shared" si="38"/>
        <v>0</v>
      </c>
      <c r="CF51" s="804">
        <f t="shared" si="39"/>
        <v>0</v>
      </c>
      <c r="CG51" s="818">
        <f t="shared" si="40"/>
        <v>0</v>
      </c>
    </row>
    <row r="52" spans="1:85" ht="18" customHeight="1" x14ac:dyDescent="0.35">
      <c r="A52" s="635"/>
      <c r="B52" s="820"/>
      <c r="C52" s="825" t="str">
        <f t="shared" ref="C52:C83" si="41">IF(ISBLANK(B52),"(Required)","")</f>
        <v>(Required)</v>
      </c>
      <c r="D52" s="821"/>
      <c r="E52" s="825" t="str">
        <f t="shared" si="1"/>
        <v>(Required)</v>
      </c>
      <c r="F52" s="822"/>
      <c r="G52" s="825" t="str">
        <f t="shared" ref="G52:G83" si="42">IF(ISBLANK(F52),"(Required)","")</f>
        <v>(Required)</v>
      </c>
      <c r="H52" s="821"/>
      <c r="I52" s="825" t="str">
        <f t="shared" si="3"/>
        <v>(Required)</v>
      </c>
      <c r="J52" s="821"/>
      <c r="K52" s="825" t="str">
        <f t="shared" si="4"/>
        <v>(Required)</v>
      </c>
      <c r="L52" s="821"/>
      <c r="M52" s="825" t="str">
        <f t="shared" si="5"/>
        <v>(Required)</v>
      </c>
      <c r="N52" s="821"/>
      <c r="O52" s="825" t="str">
        <f t="shared" si="6"/>
        <v>(Required)</v>
      </c>
      <c r="P52" s="924"/>
      <c r="Q52" s="825" t="str">
        <f t="shared" si="7"/>
        <v>(Optional)</v>
      </c>
      <c r="R52" s="821"/>
      <c r="S52" s="827" t="str">
        <f t="shared" ref="S52:S83" si="43">IF(ISBLANK(R52),"(Required)","")</f>
        <v>(Required)</v>
      </c>
      <c r="T52" s="828"/>
      <c r="U52" s="799" t="str">
        <f t="shared" si="9"/>
        <v>(Optional)</v>
      </c>
      <c r="V52" s="824"/>
      <c r="W52" s="799" t="str">
        <f t="shared" si="9"/>
        <v>(Optional)</v>
      </c>
      <c r="X52" s="925"/>
      <c r="Y52" s="926" t="str">
        <f t="shared" ref="Y52:Y83" si="44">IF(ISBLANK(X52),"(Required)","")</f>
        <v>(Required)</v>
      </c>
      <c r="Z52" s="925"/>
      <c r="AA52" s="926" t="str">
        <f t="shared" ref="AA52:AA83" si="45">IF(ISBLANK(Z52),"(Required)","")</f>
        <v>(Required)</v>
      </c>
      <c r="AB5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2" s="822"/>
      <c r="AE52" s="825" t="str">
        <f t="shared" si="12"/>
        <v>(Required)</v>
      </c>
      <c r="AF52" s="821"/>
      <c r="AG52" s="825" t="str">
        <f t="shared" si="13"/>
        <v>(Required)</v>
      </c>
      <c r="AH52" s="821"/>
      <c r="AI52" s="825" t="str">
        <f t="shared" si="14"/>
        <v>(Required)</v>
      </c>
      <c r="AJ52" s="821"/>
      <c r="AK52" s="825" t="str">
        <f t="shared" si="15"/>
        <v>(Required)</v>
      </c>
      <c r="AL52" s="821"/>
      <c r="AM52" s="825" t="str">
        <f t="shared" si="16"/>
        <v>(Required)</v>
      </c>
      <c r="AN52" s="924"/>
      <c r="AO52" s="825" t="str">
        <f t="shared" ref="AO52:AO83" si="46">IF(ISBLANK(AN52),"(Required)","")</f>
        <v>(Required)</v>
      </c>
      <c r="AP52" s="821"/>
      <c r="AQ52" s="827" t="str">
        <f t="shared" ref="AQ52:AQ83" si="47">IF(ISBLANK(AP52),"(Required)","")</f>
        <v>(Required)</v>
      </c>
      <c r="AR52" s="928"/>
      <c r="AS52" s="826" t="str">
        <f t="shared" ref="AS52:AS83" si="48">IF(ISBLANK(AR52),"(Optional)","")</f>
        <v>(Optional)</v>
      </c>
      <c r="AT52" s="928"/>
      <c r="AU52" s="826" t="str">
        <f t="shared" si="20"/>
        <v>(Optional)</v>
      </c>
      <c r="AV52" s="931"/>
      <c r="AW52" s="825" t="str">
        <f t="shared" ref="AW52:AW83" si="49">IF(ISBLANK(AV52),"(Required)","")</f>
        <v>(Required)</v>
      </c>
      <c r="AX52" s="931"/>
      <c r="AY52" s="825" t="str">
        <f t="shared" ref="AY52:AY83" si="50">IF(ISBLANK(AX52),"(Required)","")</f>
        <v>(Required)</v>
      </c>
      <c r="AZ5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2" s="804">
        <f>IFERROR(IF(Table411[[#This Row],[Is Baseline Pump Motor Energy Use Known? (Yes/No)]]="Yes",(Table411[[#This Row],[Annual Baseline Energy Use (kWh/yr)]]),(Table411[[#This Row],[Baseline Motor Energy Use (kWh)]])),0)</f>
        <v>0</v>
      </c>
      <c r="BC52" s="804">
        <f>IFERROR(IF(Table411[[#This Row],[Is Replacement Pump Motor Energy Use Known? (Yes/No)]]="Yes",(Table411[[#This Row],[Annual Replacement Energy Use (kWh/yr)]]),(Table411[[#This Row],[Replacement Motor Energy Use (kWh)]])),0)</f>
        <v>0</v>
      </c>
      <c r="BD52" s="804">
        <f>SUM((Table411[[#This Row],[Baseline Annual Energy Use]]-Table411[[#This Row],[Replacement Annual Energy Use]]),(Table411[[#This Row],[Replacement VFD Energy Savings (kWh)]]-Table411[[#This Row],[Baseline VFD Energy Savings (kWh)]]))</f>
        <v>0</v>
      </c>
      <c r="BE52" s="930">
        <f>'Grid Electricity'!$B$19</f>
        <v>2.1064475489616943E-4</v>
      </c>
      <c r="BF52" s="803" t="s">
        <v>586</v>
      </c>
      <c r="BG52" s="806">
        <f>Table411[[#This Row],[Baseline Annual Energy Use]]*Table411[[#This Row],[Fuel Carbon Content]]</f>
        <v>0</v>
      </c>
      <c r="BH52" s="806">
        <f>Table411[[#This Row],[Replacement Annual Energy Use]]*Table411[[#This Row],[Fuel Carbon Content]]</f>
        <v>0</v>
      </c>
      <c r="BI52" s="806">
        <f t="shared" si="23"/>
        <v>0</v>
      </c>
      <c r="BJ52" s="804">
        <f t="shared" ref="BJ52:BJ83" si="51">IFERROR((BI52*D52),"")</f>
        <v>0</v>
      </c>
      <c r="BK52" s="807">
        <v>0.76</v>
      </c>
      <c r="BL52" s="813">
        <f>IFERROR(BD52*'Grid Electricity'!$D$39,0)</f>
        <v>0</v>
      </c>
      <c r="BM52" s="813">
        <f>IFERROR(BD52*'Grid Electricity'!$C$39,0)</f>
        <v>0</v>
      </c>
      <c r="BN52" s="813">
        <f>IFERROR(BD52*'Grid Electricity'!$F$39,0)</f>
        <v>0</v>
      </c>
      <c r="BO52" s="813">
        <f t="shared" ref="BO52:BO83" si="52">IF(BN52=0,0,BN52*BK52)</f>
        <v>0</v>
      </c>
      <c r="BP52" s="814">
        <f t="shared" ref="BP52:BP83" si="53">BL52</f>
        <v>0</v>
      </c>
      <c r="BQ52" s="814">
        <f t="shared" ref="BQ52:BQ83" si="54">BM52</f>
        <v>0</v>
      </c>
      <c r="BR52" s="814">
        <f t="shared" ref="BR52:BR83" si="55">BN52</f>
        <v>0</v>
      </c>
      <c r="BS52" s="814">
        <f t="shared" ref="BS52:BS83" si="56">BO52</f>
        <v>0</v>
      </c>
      <c r="BT52" s="818">
        <f>((BB52-AB52)*'Fuel Prices'!$C$27)*(IF(ISBLANK(D52),15,D52))</f>
        <v>0</v>
      </c>
      <c r="BU52" s="818">
        <f>((BC52-AZ52)*'Fuel Prices'!$C$27)*(IF(ISBLANK(D52),15,D52))</f>
        <v>0</v>
      </c>
      <c r="BV52" s="818">
        <f t="shared" ref="BV52:BV83" si="57">BW52/(IF(ISBLANK(D52),15,D52))</f>
        <v>0</v>
      </c>
      <c r="BW52" s="818">
        <f t="shared" ref="BW52:BW83" si="58">IFERROR(BT52-BU52,"")</f>
        <v>0</v>
      </c>
      <c r="BX52" s="804" t="str">
        <f t="shared" ref="BX52:BX83" si="59">IF(AND(D52="",B52=""),"",IF(D52="",15,""))</f>
        <v/>
      </c>
      <c r="BY52" s="804">
        <f t="shared" ref="BY52:BY83" si="60">IFERROR(ROUND(BJ52,0),"")</f>
        <v>0</v>
      </c>
      <c r="BZ52" s="804">
        <v>0</v>
      </c>
      <c r="CA52" s="804">
        <f t="shared" si="34"/>
        <v>0</v>
      </c>
      <c r="CB52" s="804">
        <f t="shared" si="35"/>
        <v>0</v>
      </c>
      <c r="CC52" s="804">
        <f t="shared" si="36"/>
        <v>0</v>
      </c>
      <c r="CD52" s="804">
        <f t="shared" si="37"/>
        <v>0</v>
      </c>
      <c r="CE52" s="804">
        <f t="shared" si="38"/>
        <v>0</v>
      </c>
      <c r="CF52" s="804">
        <f t="shared" si="39"/>
        <v>0</v>
      </c>
      <c r="CG52" s="818">
        <f t="shared" si="40"/>
        <v>0</v>
      </c>
    </row>
    <row r="53" spans="1:85" ht="18" customHeight="1" x14ac:dyDescent="0.35">
      <c r="A53" s="696"/>
      <c r="B53" s="820"/>
      <c r="C53" s="825" t="str">
        <f t="shared" si="41"/>
        <v>(Required)</v>
      </c>
      <c r="D53" s="821"/>
      <c r="E53" s="825" t="str">
        <f t="shared" si="1"/>
        <v>(Required)</v>
      </c>
      <c r="F53" s="822"/>
      <c r="G53" s="825" t="str">
        <f t="shared" si="42"/>
        <v>(Required)</v>
      </c>
      <c r="H53" s="821"/>
      <c r="I53" s="825" t="str">
        <f t="shared" si="3"/>
        <v>(Required)</v>
      </c>
      <c r="J53" s="821"/>
      <c r="K53" s="825" t="str">
        <f t="shared" si="4"/>
        <v>(Required)</v>
      </c>
      <c r="L53" s="821"/>
      <c r="M53" s="825" t="str">
        <f t="shared" si="5"/>
        <v>(Required)</v>
      </c>
      <c r="N53" s="821"/>
      <c r="O53" s="825" t="str">
        <f t="shared" si="6"/>
        <v>(Required)</v>
      </c>
      <c r="P53" s="924"/>
      <c r="Q53" s="825" t="str">
        <f t="shared" si="7"/>
        <v>(Optional)</v>
      </c>
      <c r="R53" s="821"/>
      <c r="S53" s="827" t="str">
        <f t="shared" si="43"/>
        <v>(Required)</v>
      </c>
      <c r="T53" s="828"/>
      <c r="U53" s="799" t="str">
        <f t="shared" si="9"/>
        <v>(Optional)</v>
      </c>
      <c r="V53" s="824"/>
      <c r="W53" s="799" t="str">
        <f t="shared" si="9"/>
        <v>(Optional)</v>
      </c>
      <c r="X53" s="925"/>
      <c r="Y53" s="926" t="str">
        <f t="shared" si="44"/>
        <v>(Required)</v>
      </c>
      <c r="Z53" s="925"/>
      <c r="AA53" s="926" t="str">
        <f t="shared" si="45"/>
        <v>(Required)</v>
      </c>
      <c r="AB5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3" s="822"/>
      <c r="AE53" s="825" t="str">
        <f t="shared" si="12"/>
        <v>(Required)</v>
      </c>
      <c r="AF53" s="821"/>
      <c r="AG53" s="825" t="str">
        <f t="shared" si="13"/>
        <v>(Required)</v>
      </c>
      <c r="AH53" s="821"/>
      <c r="AI53" s="825" t="str">
        <f t="shared" si="14"/>
        <v>(Required)</v>
      </c>
      <c r="AJ53" s="821"/>
      <c r="AK53" s="825" t="str">
        <f t="shared" si="15"/>
        <v>(Required)</v>
      </c>
      <c r="AL53" s="821"/>
      <c r="AM53" s="825" t="str">
        <f t="shared" si="16"/>
        <v>(Required)</v>
      </c>
      <c r="AN53" s="924"/>
      <c r="AO53" s="825" t="str">
        <f t="shared" si="46"/>
        <v>(Required)</v>
      </c>
      <c r="AP53" s="821"/>
      <c r="AQ53" s="827" t="str">
        <f t="shared" si="47"/>
        <v>(Required)</v>
      </c>
      <c r="AR53" s="928"/>
      <c r="AS53" s="826" t="str">
        <f t="shared" si="48"/>
        <v>(Optional)</v>
      </c>
      <c r="AT53" s="928"/>
      <c r="AU53" s="826" t="str">
        <f t="shared" si="20"/>
        <v>(Optional)</v>
      </c>
      <c r="AV53" s="931"/>
      <c r="AW53" s="825" t="str">
        <f t="shared" si="49"/>
        <v>(Required)</v>
      </c>
      <c r="AX53" s="931"/>
      <c r="AY53" s="825" t="str">
        <f t="shared" si="50"/>
        <v>(Required)</v>
      </c>
      <c r="AZ5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3" s="804">
        <f>IFERROR(IF(Table411[[#This Row],[Is Baseline Pump Motor Energy Use Known? (Yes/No)]]="Yes",(Table411[[#This Row],[Annual Baseline Energy Use (kWh/yr)]]),(Table411[[#This Row],[Baseline Motor Energy Use (kWh)]])),0)</f>
        <v>0</v>
      </c>
      <c r="BC53" s="804">
        <f>IFERROR(IF(Table411[[#This Row],[Is Replacement Pump Motor Energy Use Known? (Yes/No)]]="Yes",(Table411[[#This Row],[Annual Replacement Energy Use (kWh/yr)]]),(Table411[[#This Row],[Replacement Motor Energy Use (kWh)]])),0)</f>
        <v>0</v>
      </c>
      <c r="BD53" s="804">
        <f>SUM((Table411[[#This Row],[Baseline Annual Energy Use]]-Table411[[#This Row],[Replacement Annual Energy Use]]),(Table411[[#This Row],[Replacement VFD Energy Savings (kWh)]]-Table411[[#This Row],[Baseline VFD Energy Savings (kWh)]]))</f>
        <v>0</v>
      </c>
      <c r="BE53" s="930">
        <f>'Grid Electricity'!$B$19</f>
        <v>2.1064475489616943E-4</v>
      </c>
      <c r="BF53" s="803" t="s">
        <v>586</v>
      </c>
      <c r="BG53" s="806">
        <f>Table411[[#This Row],[Baseline Annual Energy Use]]*Table411[[#This Row],[Fuel Carbon Content]]</f>
        <v>0</v>
      </c>
      <c r="BH53" s="806">
        <f>Table411[[#This Row],[Replacement Annual Energy Use]]*Table411[[#This Row],[Fuel Carbon Content]]</f>
        <v>0</v>
      </c>
      <c r="BI53" s="806">
        <f t="shared" si="23"/>
        <v>0</v>
      </c>
      <c r="BJ53" s="804">
        <f t="shared" si="51"/>
        <v>0</v>
      </c>
      <c r="BK53" s="807">
        <v>0.76</v>
      </c>
      <c r="BL53" s="813">
        <f>IFERROR(BD53*'Grid Electricity'!$D$39,0)</f>
        <v>0</v>
      </c>
      <c r="BM53" s="813">
        <f>IFERROR(BD53*'Grid Electricity'!$C$39,0)</f>
        <v>0</v>
      </c>
      <c r="BN53" s="813">
        <f>IFERROR(BD53*'Grid Electricity'!$F$39,0)</f>
        <v>0</v>
      </c>
      <c r="BO53" s="813">
        <f t="shared" si="52"/>
        <v>0</v>
      </c>
      <c r="BP53" s="814">
        <f t="shared" si="53"/>
        <v>0</v>
      </c>
      <c r="BQ53" s="814">
        <f t="shared" si="54"/>
        <v>0</v>
      </c>
      <c r="BR53" s="814">
        <f t="shared" si="55"/>
        <v>0</v>
      </c>
      <c r="BS53" s="814">
        <f t="shared" si="56"/>
        <v>0</v>
      </c>
      <c r="BT53" s="818">
        <f>((BB53-AB53)*'Fuel Prices'!$C$27)*(IF(ISBLANK(D53),15,D53))</f>
        <v>0</v>
      </c>
      <c r="BU53" s="818">
        <f>((BC53-AZ53)*'Fuel Prices'!$C$27)*(IF(ISBLANK(D53),15,D53))</f>
        <v>0</v>
      </c>
      <c r="BV53" s="818">
        <f t="shared" si="57"/>
        <v>0</v>
      </c>
      <c r="BW53" s="818">
        <f t="shared" si="58"/>
        <v>0</v>
      </c>
      <c r="BX53" s="804" t="str">
        <f t="shared" si="59"/>
        <v/>
      </c>
      <c r="BY53" s="804">
        <f t="shared" si="60"/>
        <v>0</v>
      </c>
      <c r="BZ53" s="804">
        <v>0</v>
      </c>
      <c r="CA53" s="804">
        <f t="shared" si="34"/>
        <v>0</v>
      </c>
      <c r="CB53" s="804">
        <f t="shared" si="35"/>
        <v>0</v>
      </c>
      <c r="CC53" s="804">
        <f t="shared" si="36"/>
        <v>0</v>
      </c>
      <c r="CD53" s="804">
        <f t="shared" si="37"/>
        <v>0</v>
      </c>
      <c r="CE53" s="804">
        <f t="shared" si="38"/>
        <v>0</v>
      </c>
      <c r="CF53" s="804">
        <f t="shared" si="39"/>
        <v>0</v>
      </c>
      <c r="CG53" s="818">
        <f t="shared" si="40"/>
        <v>0</v>
      </c>
    </row>
    <row r="54" spans="1:85" ht="18" customHeight="1" x14ac:dyDescent="0.35">
      <c r="A54" s="635"/>
      <c r="B54" s="820"/>
      <c r="C54" s="825" t="str">
        <f t="shared" si="41"/>
        <v>(Required)</v>
      </c>
      <c r="D54" s="821"/>
      <c r="E54" s="825" t="str">
        <f t="shared" si="1"/>
        <v>(Required)</v>
      </c>
      <c r="F54" s="822"/>
      <c r="G54" s="825" t="str">
        <f t="shared" si="42"/>
        <v>(Required)</v>
      </c>
      <c r="H54" s="821"/>
      <c r="I54" s="825" t="str">
        <f t="shared" si="3"/>
        <v>(Required)</v>
      </c>
      <c r="J54" s="821"/>
      <c r="K54" s="825" t="str">
        <f t="shared" si="4"/>
        <v>(Required)</v>
      </c>
      <c r="L54" s="821"/>
      <c r="M54" s="825" t="str">
        <f t="shared" si="5"/>
        <v>(Required)</v>
      </c>
      <c r="N54" s="821"/>
      <c r="O54" s="825" t="str">
        <f t="shared" si="6"/>
        <v>(Required)</v>
      </c>
      <c r="P54" s="924"/>
      <c r="Q54" s="825" t="str">
        <f t="shared" si="7"/>
        <v>(Optional)</v>
      </c>
      <c r="R54" s="821"/>
      <c r="S54" s="827" t="str">
        <f t="shared" si="43"/>
        <v>(Required)</v>
      </c>
      <c r="T54" s="828"/>
      <c r="U54" s="799" t="str">
        <f t="shared" si="9"/>
        <v>(Optional)</v>
      </c>
      <c r="V54" s="824"/>
      <c r="W54" s="799" t="str">
        <f t="shared" si="9"/>
        <v>(Optional)</v>
      </c>
      <c r="X54" s="925"/>
      <c r="Y54" s="926" t="str">
        <f t="shared" si="44"/>
        <v>(Required)</v>
      </c>
      <c r="Z54" s="925"/>
      <c r="AA54" s="926" t="str">
        <f t="shared" si="45"/>
        <v>(Required)</v>
      </c>
      <c r="AB5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4" s="822"/>
      <c r="AE54" s="825" t="str">
        <f t="shared" si="12"/>
        <v>(Required)</v>
      </c>
      <c r="AF54" s="821"/>
      <c r="AG54" s="825" t="str">
        <f t="shared" si="13"/>
        <v>(Required)</v>
      </c>
      <c r="AH54" s="821"/>
      <c r="AI54" s="825" t="str">
        <f t="shared" si="14"/>
        <v>(Required)</v>
      </c>
      <c r="AJ54" s="821"/>
      <c r="AK54" s="825" t="str">
        <f t="shared" si="15"/>
        <v>(Required)</v>
      </c>
      <c r="AL54" s="821"/>
      <c r="AM54" s="825" t="str">
        <f t="shared" si="16"/>
        <v>(Required)</v>
      </c>
      <c r="AN54" s="924"/>
      <c r="AO54" s="825" t="str">
        <f t="shared" si="46"/>
        <v>(Required)</v>
      </c>
      <c r="AP54" s="821"/>
      <c r="AQ54" s="827" t="str">
        <f t="shared" si="47"/>
        <v>(Required)</v>
      </c>
      <c r="AR54" s="928"/>
      <c r="AS54" s="826" t="str">
        <f t="shared" si="48"/>
        <v>(Optional)</v>
      </c>
      <c r="AT54" s="928"/>
      <c r="AU54" s="826" t="str">
        <f t="shared" si="20"/>
        <v>(Optional)</v>
      </c>
      <c r="AV54" s="931"/>
      <c r="AW54" s="825" t="str">
        <f t="shared" si="49"/>
        <v>(Required)</v>
      </c>
      <c r="AX54" s="931"/>
      <c r="AY54" s="825" t="str">
        <f t="shared" si="50"/>
        <v>(Required)</v>
      </c>
      <c r="AZ5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4" s="804">
        <f>IFERROR(IF(Table411[[#This Row],[Is Baseline Pump Motor Energy Use Known? (Yes/No)]]="Yes",(Table411[[#This Row],[Annual Baseline Energy Use (kWh/yr)]]),(Table411[[#This Row],[Baseline Motor Energy Use (kWh)]])),0)</f>
        <v>0</v>
      </c>
      <c r="BC54" s="804">
        <f>IFERROR(IF(Table411[[#This Row],[Is Replacement Pump Motor Energy Use Known? (Yes/No)]]="Yes",(Table411[[#This Row],[Annual Replacement Energy Use (kWh/yr)]]),(Table411[[#This Row],[Replacement Motor Energy Use (kWh)]])),0)</f>
        <v>0</v>
      </c>
      <c r="BD54" s="804">
        <f>SUM((Table411[[#This Row],[Baseline Annual Energy Use]]-Table411[[#This Row],[Replacement Annual Energy Use]]),(Table411[[#This Row],[Replacement VFD Energy Savings (kWh)]]-Table411[[#This Row],[Baseline VFD Energy Savings (kWh)]]))</f>
        <v>0</v>
      </c>
      <c r="BE54" s="930">
        <f>'Grid Electricity'!$B$19</f>
        <v>2.1064475489616943E-4</v>
      </c>
      <c r="BF54" s="803" t="s">
        <v>586</v>
      </c>
      <c r="BG54" s="806">
        <f>Table411[[#This Row],[Baseline Annual Energy Use]]*Table411[[#This Row],[Fuel Carbon Content]]</f>
        <v>0</v>
      </c>
      <c r="BH54" s="806">
        <f>Table411[[#This Row],[Replacement Annual Energy Use]]*Table411[[#This Row],[Fuel Carbon Content]]</f>
        <v>0</v>
      </c>
      <c r="BI54" s="806">
        <f t="shared" si="23"/>
        <v>0</v>
      </c>
      <c r="BJ54" s="804">
        <f t="shared" si="51"/>
        <v>0</v>
      </c>
      <c r="BK54" s="807">
        <v>0.76</v>
      </c>
      <c r="BL54" s="813">
        <f>IFERROR(BD54*'Grid Electricity'!$D$39,0)</f>
        <v>0</v>
      </c>
      <c r="BM54" s="813">
        <f>IFERROR(BD54*'Grid Electricity'!$C$39,0)</f>
        <v>0</v>
      </c>
      <c r="BN54" s="813">
        <f>IFERROR(BD54*'Grid Electricity'!$F$39,0)</f>
        <v>0</v>
      </c>
      <c r="BO54" s="813">
        <f t="shared" si="52"/>
        <v>0</v>
      </c>
      <c r="BP54" s="814">
        <f t="shared" si="53"/>
        <v>0</v>
      </c>
      <c r="BQ54" s="814">
        <f t="shared" si="54"/>
        <v>0</v>
      </c>
      <c r="BR54" s="814">
        <f t="shared" si="55"/>
        <v>0</v>
      </c>
      <c r="BS54" s="814">
        <f t="shared" si="56"/>
        <v>0</v>
      </c>
      <c r="BT54" s="818">
        <f>((BB54-AB54)*'Fuel Prices'!$C$27)*(IF(ISBLANK(D54),15,D54))</f>
        <v>0</v>
      </c>
      <c r="BU54" s="818">
        <f>((BC54-AZ54)*'Fuel Prices'!$C$27)*(IF(ISBLANK(D54),15,D54))</f>
        <v>0</v>
      </c>
      <c r="BV54" s="818">
        <f t="shared" si="57"/>
        <v>0</v>
      </c>
      <c r="BW54" s="818">
        <f t="shared" si="58"/>
        <v>0</v>
      </c>
      <c r="BX54" s="804" t="str">
        <f t="shared" si="59"/>
        <v/>
      </c>
      <c r="BY54" s="804">
        <f t="shared" si="60"/>
        <v>0</v>
      </c>
      <c r="BZ54" s="804">
        <v>0</v>
      </c>
      <c r="CA54" s="804">
        <f t="shared" si="34"/>
        <v>0</v>
      </c>
      <c r="CB54" s="804">
        <f t="shared" si="35"/>
        <v>0</v>
      </c>
      <c r="CC54" s="804">
        <f t="shared" si="36"/>
        <v>0</v>
      </c>
      <c r="CD54" s="804">
        <f t="shared" si="37"/>
        <v>0</v>
      </c>
      <c r="CE54" s="804">
        <f t="shared" si="38"/>
        <v>0</v>
      </c>
      <c r="CF54" s="804">
        <f t="shared" si="39"/>
        <v>0</v>
      </c>
      <c r="CG54" s="818">
        <f t="shared" si="40"/>
        <v>0</v>
      </c>
    </row>
    <row r="55" spans="1:85" ht="18" customHeight="1" x14ac:dyDescent="0.35">
      <c r="A55" s="696"/>
      <c r="B55" s="820"/>
      <c r="C55" s="825" t="str">
        <f t="shared" si="41"/>
        <v>(Required)</v>
      </c>
      <c r="D55" s="821"/>
      <c r="E55" s="825" t="str">
        <f t="shared" si="1"/>
        <v>(Required)</v>
      </c>
      <c r="F55" s="822"/>
      <c r="G55" s="825" t="str">
        <f t="shared" si="42"/>
        <v>(Required)</v>
      </c>
      <c r="H55" s="821"/>
      <c r="I55" s="825" t="str">
        <f t="shared" si="3"/>
        <v>(Required)</v>
      </c>
      <c r="J55" s="821"/>
      <c r="K55" s="825" t="str">
        <f t="shared" si="4"/>
        <v>(Required)</v>
      </c>
      <c r="L55" s="821"/>
      <c r="M55" s="825" t="str">
        <f t="shared" si="5"/>
        <v>(Required)</v>
      </c>
      <c r="N55" s="821"/>
      <c r="O55" s="825" t="str">
        <f t="shared" si="6"/>
        <v>(Required)</v>
      </c>
      <c r="P55" s="924"/>
      <c r="Q55" s="825" t="str">
        <f t="shared" si="7"/>
        <v>(Optional)</v>
      </c>
      <c r="R55" s="821"/>
      <c r="S55" s="827" t="str">
        <f t="shared" si="43"/>
        <v>(Required)</v>
      </c>
      <c r="T55" s="828"/>
      <c r="U55" s="799" t="str">
        <f t="shared" si="9"/>
        <v>(Optional)</v>
      </c>
      <c r="V55" s="824"/>
      <c r="W55" s="799" t="str">
        <f t="shared" si="9"/>
        <v>(Optional)</v>
      </c>
      <c r="X55" s="925"/>
      <c r="Y55" s="926" t="str">
        <f t="shared" si="44"/>
        <v>(Required)</v>
      </c>
      <c r="Z55" s="925"/>
      <c r="AA55" s="926" t="str">
        <f t="shared" si="45"/>
        <v>(Required)</v>
      </c>
      <c r="AB5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5" s="822"/>
      <c r="AE55" s="825" t="str">
        <f t="shared" si="12"/>
        <v>(Required)</v>
      </c>
      <c r="AF55" s="821"/>
      <c r="AG55" s="825" t="str">
        <f t="shared" si="13"/>
        <v>(Required)</v>
      </c>
      <c r="AH55" s="821"/>
      <c r="AI55" s="825" t="str">
        <f t="shared" si="14"/>
        <v>(Required)</v>
      </c>
      <c r="AJ55" s="821"/>
      <c r="AK55" s="825" t="str">
        <f t="shared" si="15"/>
        <v>(Required)</v>
      </c>
      <c r="AL55" s="821"/>
      <c r="AM55" s="825" t="str">
        <f t="shared" si="16"/>
        <v>(Required)</v>
      </c>
      <c r="AN55" s="924"/>
      <c r="AO55" s="825" t="str">
        <f t="shared" si="46"/>
        <v>(Required)</v>
      </c>
      <c r="AP55" s="821"/>
      <c r="AQ55" s="827" t="str">
        <f t="shared" si="47"/>
        <v>(Required)</v>
      </c>
      <c r="AR55" s="928"/>
      <c r="AS55" s="826" t="str">
        <f t="shared" si="48"/>
        <v>(Optional)</v>
      </c>
      <c r="AT55" s="928"/>
      <c r="AU55" s="826" t="str">
        <f t="shared" si="20"/>
        <v>(Optional)</v>
      </c>
      <c r="AV55" s="931"/>
      <c r="AW55" s="825" t="str">
        <f t="shared" si="49"/>
        <v>(Required)</v>
      </c>
      <c r="AX55" s="931"/>
      <c r="AY55" s="825" t="str">
        <f t="shared" si="50"/>
        <v>(Required)</v>
      </c>
      <c r="AZ5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5" s="804">
        <f>IFERROR(IF(Table411[[#This Row],[Is Baseline Pump Motor Energy Use Known? (Yes/No)]]="Yes",(Table411[[#This Row],[Annual Baseline Energy Use (kWh/yr)]]),(Table411[[#This Row],[Baseline Motor Energy Use (kWh)]])),0)</f>
        <v>0</v>
      </c>
      <c r="BC55" s="804">
        <f>IFERROR(IF(Table411[[#This Row],[Is Replacement Pump Motor Energy Use Known? (Yes/No)]]="Yes",(Table411[[#This Row],[Annual Replacement Energy Use (kWh/yr)]]),(Table411[[#This Row],[Replacement Motor Energy Use (kWh)]])),0)</f>
        <v>0</v>
      </c>
      <c r="BD55" s="804">
        <f>SUM((Table411[[#This Row],[Baseline Annual Energy Use]]-Table411[[#This Row],[Replacement Annual Energy Use]]),(Table411[[#This Row],[Replacement VFD Energy Savings (kWh)]]-Table411[[#This Row],[Baseline VFD Energy Savings (kWh)]]))</f>
        <v>0</v>
      </c>
      <c r="BE55" s="930">
        <f>'Grid Electricity'!$B$19</f>
        <v>2.1064475489616943E-4</v>
      </c>
      <c r="BF55" s="803" t="s">
        <v>586</v>
      </c>
      <c r="BG55" s="806">
        <f>Table411[[#This Row],[Baseline Annual Energy Use]]*Table411[[#This Row],[Fuel Carbon Content]]</f>
        <v>0</v>
      </c>
      <c r="BH55" s="806">
        <f>Table411[[#This Row],[Replacement Annual Energy Use]]*Table411[[#This Row],[Fuel Carbon Content]]</f>
        <v>0</v>
      </c>
      <c r="BI55" s="806">
        <f t="shared" si="23"/>
        <v>0</v>
      </c>
      <c r="BJ55" s="804">
        <f t="shared" si="51"/>
        <v>0</v>
      </c>
      <c r="BK55" s="807">
        <v>0.76</v>
      </c>
      <c r="BL55" s="813">
        <f>IFERROR(BD55*'Grid Electricity'!$D$39,0)</f>
        <v>0</v>
      </c>
      <c r="BM55" s="813">
        <f>IFERROR(BD55*'Grid Electricity'!$C$39,0)</f>
        <v>0</v>
      </c>
      <c r="BN55" s="813">
        <f>IFERROR(BD55*'Grid Electricity'!$F$39,0)</f>
        <v>0</v>
      </c>
      <c r="BO55" s="813">
        <f t="shared" si="52"/>
        <v>0</v>
      </c>
      <c r="BP55" s="814">
        <f t="shared" si="53"/>
        <v>0</v>
      </c>
      <c r="BQ55" s="814">
        <f t="shared" si="54"/>
        <v>0</v>
      </c>
      <c r="BR55" s="814">
        <f t="shared" si="55"/>
        <v>0</v>
      </c>
      <c r="BS55" s="814">
        <f t="shared" si="56"/>
        <v>0</v>
      </c>
      <c r="BT55" s="818">
        <f>((BB55-AB55)*'Fuel Prices'!$C$27)*(IF(ISBLANK(D55),15,D55))</f>
        <v>0</v>
      </c>
      <c r="BU55" s="818">
        <f>((BC55-AZ55)*'Fuel Prices'!$C$27)*(IF(ISBLANK(D55),15,D55))</f>
        <v>0</v>
      </c>
      <c r="BV55" s="818">
        <f t="shared" si="57"/>
        <v>0</v>
      </c>
      <c r="BW55" s="818">
        <f t="shared" si="58"/>
        <v>0</v>
      </c>
      <c r="BX55" s="804" t="str">
        <f t="shared" si="59"/>
        <v/>
      </c>
      <c r="BY55" s="804">
        <f t="shared" si="60"/>
        <v>0</v>
      </c>
      <c r="BZ55" s="804">
        <v>0</v>
      </c>
      <c r="CA55" s="804">
        <f t="shared" si="34"/>
        <v>0</v>
      </c>
      <c r="CB55" s="804">
        <f t="shared" si="35"/>
        <v>0</v>
      </c>
      <c r="CC55" s="804">
        <f t="shared" si="36"/>
        <v>0</v>
      </c>
      <c r="CD55" s="804">
        <f t="shared" si="37"/>
        <v>0</v>
      </c>
      <c r="CE55" s="804">
        <f t="shared" si="38"/>
        <v>0</v>
      </c>
      <c r="CF55" s="804">
        <f t="shared" si="39"/>
        <v>0</v>
      </c>
      <c r="CG55" s="818">
        <f t="shared" si="40"/>
        <v>0</v>
      </c>
    </row>
    <row r="56" spans="1:85" ht="18" customHeight="1" x14ac:dyDescent="0.35">
      <c r="A56" s="635"/>
      <c r="B56" s="820"/>
      <c r="C56" s="825" t="str">
        <f t="shared" si="41"/>
        <v>(Required)</v>
      </c>
      <c r="D56" s="821"/>
      <c r="E56" s="825" t="str">
        <f t="shared" si="1"/>
        <v>(Required)</v>
      </c>
      <c r="F56" s="822"/>
      <c r="G56" s="825" t="str">
        <f t="shared" si="42"/>
        <v>(Required)</v>
      </c>
      <c r="H56" s="821"/>
      <c r="I56" s="825" t="str">
        <f t="shared" si="3"/>
        <v>(Required)</v>
      </c>
      <c r="J56" s="821"/>
      <c r="K56" s="825" t="str">
        <f t="shared" si="4"/>
        <v>(Required)</v>
      </c>
      <c r="L56" s="821"/>
      <c r="M56" s="825" t="str">
        <f t="shared" si="5"/>
        <v>(Required)</v>
      </c>
      <c r="N56" s="821"/>
      <c r="O56" s="825" t="str">
        <f t="shared" si="6"/>
        <v>(Required)</v>
      </c>
      <c r="P56" s="924"/>
      <c r="Q56" s="825" t="str">
        <f t="shared" si="7"/>
        <v>(Optional)</v>
      </c>
      <c r="R56" s="821"/>
      <c r="S56" s="827" t="str">
        <f t="shared" si="43"/>
        <v>(Required)</v>
      </c>
      <c r="T56" s="828"/>
      <c r="U56" s="799" t="str">
        <f t="shared" si="9"/>
        <v>(Optional)</v>
      </c>
      <c r="V56" s="824"/>
      <c r="W56" s="799" t="str">
        <f t="shared" si="9"/>
        <v>(Optional)</v>
      </c>
      <c r="X56" s="925"/>
      <c r="Y56" s="926" t="str">
        <f t="shared" si="44"/>
        <v>(Required)</v>
      </c>
      <c r="Z56" s="925"/>
      <c r="AA56" s="926" t="str">
        <f t="shared" si="45"/>
        <v>(Required)</v>
      </c>
      <c r="AB5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6" s="822"/>
      <c r="AE56" s="825" t="str">
        <f t="shared" si="12"/>
        <v>(Required)</v>
      </c>
      <c r="AF56" s="821"/>
      <c r="AG56" s="825" t="str">
        <f t="shared" si="13"/>
        <v>(Required)</v>
      </c>
      <c r="AH56" s="821"/>
      <c r="AI56" s="825" t="str">
        <f t="shared" si="14"/>
        <v>(Required)</v>
      </c>
      <c r="AJ56" s="821"/>
      <c r="AK56" s="825" t="str">
        <f t="shared" si="15"/>
        <v>(Required)</v>
      </c>
      <c r="AL56" s="821"/>
      <c r="AM56" s="825" t="str">
        <f t="shared" si="16"/>
        <v>(Required)</v>
      </c>
      <c r="AN56" s="924"/>
      <c r="AO56" s="825" t="str">
        <f t="shared" si="46"/>
        <v>(Required)</v>
      </c>
      <c r="AP56" s="821"/>
      <c r="AQ56" s="827" t="str">
        <f t="shared" si="47"/>
        <v>(Required)</v>
      </c>
      <c r="AR56" s="928"/>
      <c r="AS56" s="826" t="str">
        <f t="shared" si="48"/>
        <v>(Optional)</v>
      </c>
      <c r="AT56" s="928"/>
      <c r="AU56" s="826" t="str">
        <f t="shared" si="20"/>
        <v>(Optional)</v>
      </c>
      <c r="AV56" s="931"/>
      <c r="AW56" s="825" t="str">
        <f t="shared" si="49"/>
        <v>(Required)</v>
      </c>
      <c r="AX56" s="931"/>
      <c r="AY56" s="825" t="str">
        <f t="shared" si="50"/>
        <v>(Required)</v>
      </c>
      <c r="AZ5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6" s="804">
        <f>IFERROR(IF(Table411[[#This Row],[Is Baseline Pump Motor Energy Use Known? (Yes/No)]]="Yes",(Table411[[#This Row],[Annual Baseline Energy Use (kWh/yr)]]),(Table411[[#This Row],[Baseline Motor Energy Use (kWh)]])),0)</f>
        <v>0</v>
      </c>
      <c r="BC56" s="804">
        <f>IFERROR(IF(Table411[[#This Row],[Is Replacement Pump Motor Energy Use Known? (Yes/No)]]="Yes",(Table411[[#This Row],[Annual Replacement Energy Use (kWh/yr)]]),(Table411[[#This Row],[Replacement Motor Energy Use (kWh)]])),0)</f>
        <v>0</v>
      </c>
      <c r="BD56" s="804">
        <f>SUM((Table411[[#This Row],[Baseline Annual Energy Use]]-Table411[[#This Row],[Replacement Annual Energy Use]]),(Table411[[#This Row],[Replacement VFD Energy Savings (kWh)]]-Table411[[#This Row],[Baseline VFD Energy Savings (kWh)]]))</f>
        <v>0</v>
      </c>
      <c r="BE56" s="930">
        <f>'Grid Electricity'!$B$19</f>
        <v>2.1064475489616943E-4</v>
      </c>
      <c r="BF56" s="803" t="s">
        <v>586</v>
      </c>
      <c r="BG56" s="806">
        <f>Table411[[#This Row],[Baseline Annual Energy Use]]*Table411[[#This Row],[Fuel Carbon Content]]</f>
        <v>0</v>
      </c>
      <c r="BH56" s="806">
        <f>Table411[[#This Row],[Replacement Annual Energy Use]]*Table411[[#This Row],[Fuel Carbon Content]]</f>
        <v>0</v>
      </c>
      <c r="BI56" s="806">
        <f t="shared" si="23"/>
        <v>0</v>
      </c>
      <c r="BJ56" s="804">
        <f t="shared" si="51"/>
        <v>0</v>
      </c>
      <c r="BK56" s="807">
        <v>0.76</v>
      </c>
      <c r="BL56" s="813">
        <f>IFERROR(BD56*'Grid Electricity'!$D$39,0)</f>
        <v>0</v>
      </c>
      <c r="BM56" s="813">
        <f>IFERROR(BD56*'Grid Electricity'!$C$39,0)</f>
        <v>0</v>
      </c>
      <c r="BN56" s="813">
        <f>IFERROR(BD56*'Grid Electricity'!$F$39,0)</f>
        <v>0</v>
      </c>
      <c r="BO56" s="813">
        <f t="shared" si="52"/>
        <v>0</v>
      </c>
      <c r="BP56" s="814">
        <f t="shared" si="53"/>
        <v>0</v>
      </c>
      <c r="BQ56" s="814">
        <f t="shared" si="54"/>
        <v>0</v>
      </c>
      <c r="BR56" s="814">
        <f t="shared" si="55"/>
        <v>0</v>
      </c>
      <c r="BS56" s="814">
        <f t="shared" si="56"/>
        <v>0</v>
      </c>
      <c r="BT56" s="818">
        <f>((BB56-AB56)*'Fuel Prices'!$C$27)*(IF(ISBLANK(D56),15,D56))</f>
        <v>0</v>
      </c>
      <c r="BU56" s="818">
        <f>((BC56-AZ56)*'Fuel Prices'!$C$27)*(IF(ISBLANK(D56),15,D56))</f>
        <v>0</v>
      </c>
      <c r="BV56" s="818">
        <f t="shared" si="57"/>
        <v>0</v>
      </c>
      <c r="BW56" s="818">
        <f t="shared" si="58"/>
        <v>0</v>
      </c>
      <c r="BX56" s="804" t="str">
        <f t="shared" si="59"/>
        <v/>
      </c>
      <c r="BY56" s="804">
        <f t="shared" si="60"/>
        <v>0</v>
      </c>
      <c r="BZ56" s="804">
        <v>0</v>
      </c>
      <c r="CA56" s="804">
        <f t="shared" si="34"/>
        <v>0</v>
      </c>
      <c r="CB56" s="804">
        <f t="shared" si="35"/>
        <v>0</v>
      </c>
      <c r="CC56" s="804">
        <f t="shared" si="36"/>
        <v>0</v>
      </c>
      <c r="CD56" s="804">
        <f t="shared" si="37"/>
        <v>0</v>
      </c>
      <c r="CE56" s="804">
        <f t="shared" si="38"/>
        <v>0</v>
      </c>
      <c r="CF56" s="804">
        <f t="shared" si="39"/>
        <v>0</v>
      </c>
      <c r="CG56" s="818">
        <f t="shared" si="40"/>
        <v>0</v>
      </c>
    </row>
    <row r="57" spans="1:85" ht="18" customHeight="1" x14ac:dyDescent="0.35">
      <c r="A57" s="696"/>
      <c r="B57" s="820"/>
      <c r="C57" s="825" t="str">
        <f t="shared" si="41"/>
        <v>(Required)</v>
      </c>
      <c r="D57" s="821"/>
      <c r="E57" s="825" t="str">
        <f t="shared" si="1"/>
        <v>(Required)</v>
      </c>
      <c r="F57" s="822"/>
      <c r="G57" s="825" t="str">
        <f t="shared" si="42"/>
        <v>(Required)</v>
      </c>
      <c r="H57" s="821"/>
      <c r="I57" s="825" t="str">
        <f t="shared" si="3"/>
        <v>(Required)</v>
      </c>
      <c r="J57" s="821"/>
      <c r="K57" s="825" t="str">
        <f t="shared" si="4"/>
        <v>(Required)</v>
      </c>
      <c r="L57" s="821"/>
      <c r="M57" s="825" t="str">
        <f t="shared" si="5"/>
        <v>(Required)</v>
      </c>
      <c r="N57" s="821"/>
      <c r="O57" s="825" t="str">
        <f t="shared" si="6"/>
        <v>(Required)</v>
      </c>
      <c r="P57" s="924"/>
      <c r="Q57" s="825" t="str">
        <f t="shared" si="7"/>
        <v>(Optional)</v>
      </c>
      <c r="R57" s="821"/>
      <c r="S57" s="827" t="str">
        <f t="shared" si="43"/>
        <v>(Required)</v>
      </c>
      <c r="T57" s="828"/>
      <c r="U57" s="799" t="str">
        <f t="shared" si="9"/>
        <v>(Optional)</v>
      </c>
      <c r="V57" s="824"/>
      <c r="W57" s="799" t="str">
        <f t="shared" si="9"/>
        <v>(Optional)</v>
      </c>
      <c r="X57" s="925"/>
      <c r="Y57" s="926" t="str">
        <f t="shared" si="44"/>
        <v>(Required)</v>
      </c>
      <c r="Z57" s="925"/>
      <c r="AA57" s="926" t="str">
        <f t="shared" si="45"/>
        <v>(Required)</v>
      </c>
      <c r="AB5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7" s="822"/>
      <c r="AE57" s="825" t="str">
        <f t="shared" si="12"/>
        <v>(Required)</v>
      </c>
      <c r="AF57" s="821"/>
      <c r="AG57" s="825" t="str">
        <f t="shared" si="13"/>
        <v>(Required)</v>
      </c>
      <c r="AH57" s="821"/>
      <c r="AI57" s="825" t="str">
        <f t="shared" si="14"/>
        <v>(Required)</v>
      </c>
      <c r="AJ57" s="821"/>
      <c r="AK57" s="825" t="str">
        <f t="shared" si="15"/>
        <v>(Required)</v>
      </c>
      <c r="AL57" s="821"/>
      <c r="AM57" s="825" t="str">
        <f t="shared" si="16"/>
        <v>(Required)</v>
      </c>
      <c r="AN57" s="924"/>
      <c r="AO57" s="825" t="str">
        <f t="shared" si="46"/>
        <v>(Required)</v>
      </c>
      <c r="AP57" s="821"/>
      <c r="AQ57" s="827" t="str">
        <f t="shared" si="47"/>
        <v>(Required)</v>
      </c>
      <c r="AR57" s="928"/>
      <c r="AS57" s="826" t="str">
        <f t="shared" si="48"/>
        <v>(Optional)</v>
      </c>
      <c r="AT57" s="928"/>
      <c r="AU57" s="826" t="str">
        <f t="shared" si="20"/>
        <v>(Optional)</v>
      </c>
      <c r="AV57" s="931"/>
      <c r="AW57" s="825" t="str">
        <f t="shared" si="49"/>
        <v>(Required)</v>
      </c>
      <c r="AX57" s="931"/>
      <c r="AY57" s="825" t="str">
        <f t="shared" si="50"/>
        <v>(Required)</v>
      </c>
      <c r="AZ5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7" s="804">
        <f>IFERROR(IF(Table411[[#This Row],[Is Baseline Pump Motor Energy Use Known? (Yes/No)]]="Yes",(Table411[[#This Row],[Annual Baseline Energy Use (kWh/yr)]]),(Table411[[#This Row],[Baseline Motor Energy Use (kWh)]])),0)</f>
        <v>0</v>
      </c>
      <c r="BC57" s="804">
        <f>IFERROR(IF(Table411[[#This Row],[Is Replacement Pump Motor Energy Use Known? (Yes/No)]]="Yes",(Table411[[#This Row],[Annual Replacement Energy Use (kWh/yr)]]),(Table411[[#This Row],[Replacement Motor Energy Use (kWh)]])),0)</f>
        <v>0</v>
      </c>
      <c r="BD57" s="804">
        <f>SUM((Table411[[#This Row],[Baseline Annual Energy Use]]-Table411[[#This Row],[Replacement Annual Energy Use]]),(Table411[[#This Row],[Replacement VFD Energy Savings (kWh)]]-Table411[[#This Row],[Baseline VFD Energy Savings (kWh)]]))</f>
        <v>0</v>
      </c>
      <c r="BE57" s="930">
        <f>'Grid Electricity'!$B$19</f>
        <v>2.1064475489616943E-4</v>
      </c>
      <c r="BF57" s="803" t="s">
        <v>586</v>
      </c>
      <c r="BG57" s="806">
        <f>Table411[[#This Row],[Baseline Annual Energy Use]]*Table411[[#This Row],[Fuel Carbon Content]]</f>
        <v>0</v>
      </c>
      <c r="BH57" s="806">
        <f>Table411[[#This Row],[Replacement Annual Energy Use]]*Table411[[#This Row],[Fuel Carbon Content]]</f>
        <v>0</v>
      </c>
      <c r="BI57" s="806">
        <f t="shared" si="23"/>
        <v>0</v>
      </c>
      <c r="BJ57" s="804">
        <f t="shared" si="51"/>
        <v>0</v>
      </c>
      <c r="BK57" s="807">
        <v>0.76</v>
      </c>
      <c r="BL57" s="813">
        <f>IFERROR(BD57*'Grid Electricity'!$D$39,0)</f>
        <v>0</v>
      </c>
      <c r="BM57" s="813">
        <f>IFERROR(BD57*'Grid Electricity'!$C$39,0)</f>
        <v>0</v>
      </c>
      <c r="BN57" s="813">
        <f>IFERROR(BD57*'Grid Electricity'!$F$39,0)</f>
        <v>0</v>
      </c>
      <c r="BO57" s="813">
        <f t="shared" si="52"/>
        <v>0</v>
      </c>
      <c r="BP57" s="814">
        <f t="shared" si="53"/>
        <v>0</v>
      </c>
      <c r="BQ57" s="814">
        <f t="shared" si="54"/>
        <v>0</v>
      </c>
      <c r="BR57" s="814">
        <f t="shared" si="55"/>
        <v>0</v>
      </c>
      <c r="BS57" s="814">
        <f t="shared" si="56"/>
        <v>0</v>
      </c>
      <c r="BT57" s="818">
        <f>((BB57-AB57)*'Fuel Prices'!$C$27)*(IF(ISBLANK(D57),15,D57))</f>
        <v>0</v>
      </c>
      <c r="BU57" s="818">
        <f>((BC57-AZ57)*'Fuel Prices'!$C$27)*(IF(ISBLANK(D57),15,D57))</f>
        <v>0</v>
      </c>
      <c r="BV57" s="818">
        <f t="shared" si="57"/>
        <v>0</v>
      </c>
      <c r="BW57" s="818">
        <f t="shared" si="58"/>
        <v>0</v>
      </c>
      <c r="BX57" s="804" t="str">
        <f t="shared" si="59"/>
        <v/>
      </c>
      <c r="BY57" s="804">
        <f t="shared" si="60"/>
        <v>0</v>
      </c>
      <c r="BZ57" s="804">
        <v>0</v>
      </c>
      <c r="CA57" s="804">
        <f t="shared" si="34"/>
        <v>0</v>
      </c>
      <c r="CB57" s="804">
        <f t="shared" si="35"/>
        <v>0</v>
      </c>
      <c r="CC57" s="804">
        <f t="shared" si="36"/>
        <v>0</v>
      </c>
      <c r="CD57" s="804">
        <f t="shared" si="37"/>
        <v>0</v>
      </c>
      <c r="CE57" s="804">
        <f t="shared" si="38"/>
        <v>0</v>
      </c>
      <c r="CF57" s="804">
        <f t="shared" si="39"/>
        <v>0</v>
      </c>
      <c r="CG57" s="818">
        <f t="shared" si="40"/>
        <v>0</v>
      </c>
    </row>
    <row r="58" spans="1:85" ht="18" customHeight="1" x14ac:dyDescent="0.35">
      <c r="A58" s="635"/>
      <c r="B58" s="820"/>
      <c r="C58" s="825" t="str">
        <f t="shared" si="41"/>
        <v>(Required)</v>
      </c>
      <c r="D58" s="821"/>
      <c r="E58" s="825" t="str">
        <f t="shared" si="1"/>
        <v>(Required)</v>
      </c>
      <c r="F58" s="822"/>
      <c r="G58" s="825" t="str">
        <f t="shared" si="42"/>
        <v>(Required)</v>
      </c>
      <c r="H58" s="821"/>
      <c r="I58" s="825" t="str">
        <f t="shared" si="3"/>
        <v>(Required)</v>
      </c>
      <c r="J58" s="821"/>
      <c r="K58" s="825" t="str">
        <f t="shared" si="4"/>
        <v>(Required)</v>
      </c>
      <c r="L58" s="821"/>
      <c r="M58" s="825" t="str">
        <f t="shared" si="5"/>
        <v>(Required)</v>
      </c>
      <c r="N58" s="821"/>
      <c r="O58" s="825" t="str">
        <f t="shared" si="6"/>
        <v>(Required)</v>
      </c>
      <c r="P58" s="924"/>
      <c r="Q58" s="825" t="str">
        <f t="shared" si="7"/>
        <v>(Optional)</v>
      </c>
      <c r="R58" s="821"/>
      <c r="S58" s="827" t="str">
        <f t="shared" si="43"/>
        <v>(Required)</v>
      </c>
      <c r="T58" s="828"/>
      <c r="U58" s="799" t="str">
        <f t="shared" si="9"/>
        <v>(Optional)</v>
      </c>
      <c r="V58" s="824"/>
      <c r="W58" s="799" t="str">
        <f t="shared" si="9"/>
        <v>(Optional)</v>
      </c>
      <c r="X58" s="925"/>
      <c r="Y58" s="926" t="str">
        <f t="shared" si="44"/>
        <v>(Required)</v>
      </c>
      <c r="Z58" s="925"/>
      <c r="AA58" s="926" t="str">
        <f t="shared" si="45"/>
        <v>(Required)</v>
      </c>
      <c r="AB5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8" s="822"/>
      <c r="AE58" s="825" t="str">
        <f t="shared" si="12"/>
        <v>(Required)</v>
      </c>
      <c r="AF58" s="821"/>
      <c r="AG58" s="825" t="str">
        <f t="shared" si="13"/>
        <v>(Required)</v>
      </c>
      <c r="AH58" s="821"/>
      <c r="AI58" s="825" t="str">
        <f t="shared" si="14"/>
        <v>(Required)</v>
      </c>
      <c r="AJ58" s="821"/>
      <c r="AK58" s="825" t="str">
        <f t="shared" si="15"/>
        <v>(Required)</v>
      </c>
      <c r="AL58" s="821"/>
      <c r="AM58" s="825" t="str">
        <f t="shared" si="16"/>
        <v>(Required)</v>
      </c>
      <c r="AN58" s="924"/>
      <c r="AO58" s="825" t="str">
        <f t="shared" si="46"/>
        <v>(Required)</v>
      </c>
      <c r="AP58" s="821"/>
      <c r="AQ58" s="827" t="str">
        <f t="shared" si="47"/>
        <v>(Required)</v>
      </c>
      <c r="AR58" s="928"/>
      <c r="AS58" s="826" t="str">
        <f t="shared" si="48"/>
        <v>(Optional)</v>
      </c>
      <c r="AT58" s="928"/>
      <c r="AU58" s="826" t="str">
        <f t="shared" si="20"/>
        <v>(Optional)</v>
      </c>
      <c r="AV58" s="931"/>
      <c r="AW58" s="825" t="str">
        <f t="shared" si="49"/>
        <v>(Required)</v>
      </c>
      <c r="AX58" s="931"/>
      <c r="AY58" s="825" t="str">
        <f t="shared" si="50"/>
        <v>(Required)</v>
      </c>
      <c r="AZ5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8" s="804">
        <f>IFERROR(IF(Table411[[#This Row],[Is Baseline Pump Motor Energy Use Known? (Yes/No)]]="Yes",(Table411[[#This Row],[Annual Baseline Energy Use (kWh/yr)]]),(Table411[[#This Row],[Baseline Motor Energy Use (kWh)]])),0)</f>
        <v>0</v>
      </c>
      <c r="BC58" s="804">
        <f>IFERROR(IF(Table411[[#This Row],[Is Replacement Pump Motor Energy Use Known? (Yes/No)]]="Yes",(Table411[[#This Row],[Annual Replacement Energy Use (kWh/yr)]]),(Table411[[#This Row],[Replacement Motor Energy Use (kWh)]])),0)</f>
        <v>0</v>
      </c>
      <c r="BD58" s="804">
        <f>SUM((Table411[[#This Row],[Baseline Annual Energy Use]]-Table411[[#This Row],[Replacement Annual Energy Use]]),(Table411[[#This Row],[Replacement VFD Energy Savings (kWh)]]-Table411[[#This Row],[Baseline VFD Energy Savings (kWh)]]))</f>
        <v>0</v>
      </c>
      <c r="BE58" s="930">
        <f>'Grid Electricity'!$B$19</f>
        <v>2.1064475489616943E-4</v>
      </c>
      <c r="BF58" s="803" t="s">
        <v>586</v>
      </c>
      <c r="BG58" s="806">
        <f>Table411[[#This Row],[Baseline Annual Energy Use]]*Table411[[#This Row],[Fuel Carbon Content]]</f>
        <v>0</v>
      </c>
      <c r="BH58" s="806">
        <f>Table411[[#This Row],[Replacement Annual Energy Use]]*Table411[[#This Row],[Fuel Carbon Content]]</f>
        <v>0</v>
      </c>
      <c r="BI58" s="806">
        <f t="shared" si="23"/>
        <v>0</v>
      </c>
      <c r="BJ58" s="804">
        <f t="shared" si="51"/>
        <v>0</v>
      </c>
      <c r="BK58" s="807">
        <v>0.76</v>
      </c>
      <c r="BL58" s="813">
        <f>IFERROR(BD58*'Grid Electricity'!$D$39,0)</f>
        <v>0</v>
      </c>
      <c r="BM58" s="813">
        <f>IFERROR(BD58*'Grid Electricity'!$C$39,0)</f>
        <v>0</v>
      </c>
      <c r="BN58" s="813">
        <f>IFERROR(BD58*'Grid Electricity'!$F$39,0)</f>
        <v>0</v>
      </c>
      <c r="BO58" s="813">
        <f t="shared" si="52"/>
        <v>0</v>
      </c>
      <c r="BP58" s="814">
        <f t="shared" si="53"/>
        <v>0</v>
      </c>
      <c r="BQ58" s="814">
        <f t="shared" si="54"/>
        <v>0</v>
      </c>
      <c r="BR58" s="814">
        <f t="shared" si="55"/>
        <v>0</v>
      </c>
      <c r="BS58" s="814">
        <f t="shared" si="56"/>
        <v>0</v>
      </c>
      <c r="BT58" s="818">
        <f>((BB58-AB58)*'Fuel Prices'!$C$27)*(IF(ISBLANK(D58),15,D58))</f>
        <v>0</v>
      </c>
      <c r="BU58" s="818">
        <f>((BC58-AZ58)*'Fuel Prices'!$C$27)*(IF(ISBLANK(D58),15,D58))</f>
        <v>0</v>
      </c>
      <c r="BV58" s="818">
        <f t="shared" si="57"/>
        <v>0</v>
      </c>
      <c r="BW58" s="818">
        <f t="shared" si="58"/>
        <v>0</v>
      </c>
      <c r="BX58" s="804" t="str">
        <f t="shared" si="59"/>
        <v/>
      </c>
      <c r="BY58" s="804">
        <f t="shared" si="60"/>
        <v>0</v>
      </c>
      <c r="BZ58" s="804">
        <v>0</v>
      </c>
      <c r="CA58" s="804">
        <f t="shared" si="34"/>
        <v>0</v>
      </c>
      <c r="CB58" s="804">
        <f t="shared" si="35"/>
        <v>0</v>
      </c>
      <c r="CC58" s="804">
        <f t="shared" si="36"/>
        <v>0</v>
      </c>
      <c r="CD58" s="804">
        <f t="shared" si="37"/>
        <v>0</v>
      </c>
      <c r="CE58" s="804">
        <f t="shared" si="38"/>
        <v>0</v>
      </c>
      <c r="CF58" s="804">
        <f t="shared" si="39"/>
        <v>0</v>
      </c>
      <c r="CG58" s="818">
        <f t="shared" si="40"/>
        <v>0</v>
      </c>
    </row>
    <row r="59" spans="1:85" ht="18" customHeight="1" x14ac:dyDescent="0.35">
      <c r="A59" s="696"/>
      <c r="B59" s="820"/>
      <c r="C59" s="825" t="str">
        <f t="shared" si="41"/>
        <v>(Required)</v>
      </c>
      <c r="D59" s="821"/>
      <c r="E59" s="825" t="str">
        <f t="shared" si="1"/>
        <v>(Required)</v>
      </c>
      <c r="F59" s="822"/>
      <c r="G59" s="825" t="str">
        <f t="shared" si="42"/>
        <v>(Required)</v>
      </c>
      <c r="H59" s="821"/>
      <c r="I59" s="825" t="str">
        <f t="shared" si="3"/>
        <v>(Required)</v>
      </c>
      <c r="J59" s="821"/>
      <c r="K59" s="825" t="str">
        <f t="shared" si="4"/>
        <v>(Required)</v>
      </c>
      <c r="L59" s="821"/>
      <c r="M59" s="825" t="str">
        <f t="shared" si="5"/>
        <v>(Required)</v>
      </c>
      <c r="N59" s="821"/>
      <c r="O59" s="825" t="str">
        <f t="shared" si="6"/>
        <v>(Required)</v>
      </c>
      <c r="P59" s="924"/>
      <c r="Q59" s="825" t="str">
        <f t="shared" si="7"/>
        <v>(Optional)</v>
      </c>
      <c r="R59" s="821"/>
      <c r="S59" s="827" t="str">
        <f t="shared" si="43"/>
        <v>(Required)</v>
      </c>
      <c r="T59" s="828"/>
      <c r="U59" s="799" t="str">
        <f t="shared" si="9"/>
        <v>(Optional)</v>
      </c>
      <c r="V59" s="824"/>
      <c r="W59" s="799" t="str">
        <f t="shared" si="9"/>
        <v>(Optional)</v>
      </c>
      <c r="X59" s="925"/>
      <c r="Y59" s="926" t="str">
        <f t="shared" si="44"/>
        <v>(Required)</v>
      </c>
      <c r="Z59" s="925"/>
      <c r="AA59" s="926" t="str">
        <f t="shared" si="45"/>
        <v>(Required)</v>
      </c>
      <c r="AB5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5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59" s="822"/>
      <c r="AE59" s="825" t="str">
        <f t="shared" si="12"/>
        <v>(Required)</v>
      </c>
      <c r="AF59" s="821"/>
      <c r="AG59" s="825" t="str">
        <f t="shared" si="13"/>
        <v>(Required)</v>
      </c>
      <c r="AH59" s="821"/>
      <c r="AI59" s="825" t="str">
        <f t="shared" si="14"/>
        <v>(Required)</v>
      </c>
      <c r="AJ59" s="821"/>
      <c r="AK59" s="825" t="str">
        <f t="shared" si="15"/>
        <v>(Required)</v>
      </c>
      <c r="AL59" s="821"/>
      <c r="AM59" s="825" t="str">
        <f t="shared" si="16"/>
        <v>(Required)</v>
      </c>
      <c r="AN59" s="924"/>
      <c r="AO59" s="825" t="str">
        <f t="shared" si="46"/>
        <v>(Required)</v>
      </c>
      <c r="AP59" s="821"/>
      <c r="AQ59" s="827" t="str">
        <f t="shared" si="47"/>
        <v>(Required)</v>
      </c>
      <c r="AR59" s="928"/>
      <c r="AS59" s="826" t="str">
        <f t="shared" si="48"/>
        <v>(Optional)</v>
      </c>
      <c r="AT59" s="928"/>
      <c r="AU59" s="826" t="str">
        <f t="shared" si="20"/>
        <v>(Optional)</v>
      </c>
      <c r="AV59" s="931"/>
      <c r="AW59" s="825" t="str">
        <f t="shared" si="49"/>
        <v>(Required)</v>
      </c>
      <c r="AX59" s="931"/>
      <c r="AY59" s="825" t="str">
        <f t="shared" si="50"/>
        <v>(Required)</v>
      </c>
      <c r="AZ5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5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59" s="804">
        <f>IFERROR(IF(Table411[[#This Row],[Is Baseline Pump Motor Energy Use Known? (Yes/No)]]="Yes",(Table411[[#This Row],[Annual Baseline Energy Use (kWh/yr)]]),(Table411[[#This Row],[Baseline Motor Energy Use (kWh)]])),0)</f>
        <v>0</v>
      </c>
      <c r="BC59" s="804">
        <f>IFERROR(IF(Table411[[#This Row],[Is Replacement Pump Motor Energy Use Known? (Yes/No)]]="Yes",(Table411[[#This Row],[Annual Replacement Energy Use (kWh/yr)]]),(Table411[[#This Row],[Replacement Motor Energy Use (kWh)]])),0)</f>
        <v>0</v>
      </c>
      <c r="BD59" s="804">
        <f>SUM((Table411[[#This Row],[Baseline Annual Energy Use]]-Table411[[#This Row],[Replacement Annual Energy Use]]),(Table411[[#This Row],[Replacement VFD Energy Savings (kWh)]]-Table411[[#This Row],[Baseline VFD Energy Savings (kWh)]]))</f>
        <v>0</v>
      </c>
      <c r="BE59" s="930">
        <f>'Grid Electricity'!$B$19</f>
        <v>2.1064475489616943E-4</v>
      </c>
      <c r="BF59" s="803" t="s">
        <v>586</v>
      </c>
      <c r="BG59" s="806">
        <f>Table411[[#This Row],[Baseline Annual Energy Use]]*Table411[[#This Row],[Fuel Carbon Content]]</f>
        <v>0</v>
      </c>
      <c r="BH59" s="806">
        <f>Table411[[#This Row],[Replacement Annual Energy Use]]*Table411[[#This Row],[Fuel Carbon Content]]</f>
        <v>0</v>
      </c>
      <c r="BI59" s="806">
        <f t="shared" si="23"/>
        <v>0</v>
      </c>
      <c r="BJ59" s="804">
        <f t="shared" si="51"/>
        <v>0</v>
      </c>
      <c r="BK59" s="807">
        <v>0.76</v>
      </c>
      <c r="BL59" s="813">
        <f>IFERROR(BD59*'Grid Electricity'!$D$39,0)</f>
        <v>0</v>
      </c>
      <c r="BM59" s="813">
        <f>IFERROR(BD59*'Grid Electricity'!$C$39,0)</f>
        <v>0</v>
      </c>
      <c r="BN59" s="813">
        <f>IFERROR(BD59*'Grid Electricity'!$F$39,0)</f>
        <v>0</v>
      </c>
      <c r="BO59" s="813">
        <f t="shared" si="52"/>
        <v>0</v>
      </c>
      <c r="BP59" s="814">
        <f t="shared" si="53"/>
        <v>0</v>
      </c>
      <c r="BQ59" s="814">
        <f t="shared" si="54"/>
        <v>0</v>
      </c>
      <c r="BR59" s="814">
        <f t="shared" si="55"/>
        <v>0</v>
      </c>
      <c r="BS59" s="814">
        <f t="shared" si="56"/>
        <v>0</v>
      </c>
      <c r="BT59" s="818">
        <f>((BB59-AB59)*'Fuel Prices'!$C$27)*(IF(ISBLANK(D59),15,D59))</f>
        <v>0</v>
      </c>
      <c r="BU59" s="818">
        <f>((BC59-AZ59)*'Fuel Prices'!$C$27)*(IF(ISBLANK(D59),15,D59))</f>
        <v>0</v>
      </c>
      <c r="BV59" s="818">
        <f t="shared" si="57"/>
        <v>0</v>
      </c>
      <c r="BW59" s="818">
        <f t="shared" si="58"/>
        <v>0</v>
      </c>
      <c r="BX59" s="804" t="str">
        <f t="shared" si="59"/>
        <v/>
      </c>
      <c r="BY59" s="804">
        <f t="shared" si="60"/>
        <v>0</v>
      </c>
      <c r="BZ59" s="804">
        <v>0</v>
      </c>
      <c r="CA59" s="804">
        <f t="shared" si="34"/>
        <v>0</v>
      </c>
      <c r="CB59" s="804">
        <f t="shared" si="35"/>
        <v>0</v>
      </c>
      <c r="CC59" s="804">
        <f t="shared" si="36"/>
        <v>0</v>
      </c>
      <c r="CD59" s="804">
        <f t="shared" si="37"/>
        <v>0</v>
      </c>
      <c r="CE59" s="804">
        <f t="shared" si="38"/>
        <v>0</v>
      </c>
      <c r="CF59" s="804">
        <f t="shared" si="39"/>
        <v>0</v>
      </c>
      <c r="CG59" s="818">
        <f t="shared" si="40"/>
        <v>0</v>
      </c>
    </row>
    <row r="60" spans="1:85" ht="18" customHeight="1" x14ac:dyDescent="0.35">
      <c r="A60" s="635"/>
      <c r="B60" s="820"/>
      <c r="C60" s="825" t="str">
        <f t="shared" si="41"/>
        <v>(Required)</v>
      </c>
      <c r="D60" s="821"/>
      <c r="E60" s="825" t="str">
        <f t="shared" si="1"/>
        <v>(Required)</v>
      </c>
      <c r="F60" s="822"/>
      <c r="G60" s="825" t="str">
        <f t="shared" si="42"/>
        <v>(Required)</v>
      </c>
      <c r="H60" s="821"/>
      <c r="I60" s="825" t="str">
        <f t="shared" si="3"/>
        <v>(Required)</v>
      </c>
      <c r="J60" s="821"/>
      <c r="K60" s="825" t="str">
        <f t="shared" si="4"/>
        <v>(Required)</v>
      </c>
      <c r="L60" s="821"/>
      <c r="M60" s="825" t="str">
        <f t="shared" si="5"/>
        <v>(Required)</v>
      </c>
      <c r="N60" s="821"/>
      <c r="O60" s="825" t="str">
        <f t="shared" si="6"/>
        <v>(Required)</v>
      </c>
      <c r="P60" s="924"/>
      <c r="Q60" s="825" t="str">
        <f t="shared" si="7"/>
        <v>(Optional)</v>
      </c>
      <c r="R60" s="821"/>
      <c r="S60" s="827" t="str">
        <f t="shared" si="43"/>
        <v>(Required)</v>
      </c>
      <c r="T60" s="828"/>
      <c r="U60" s="799" t="str">
        <f t="shared" si="9"/>
        <v>(Optional)</v>
      </c>
      <c r="V60" s="824"/>
      <c r="W60" s="799" t="str">
        <f t="shared" si="9"/>
        <v>(Optional)</v>
      </c>
      <c r="X60" s="925"/>
      <c r="Y60" s="926" t="str">
        <f t="shared" si="44"/>
        <v>(Required)</v>
      </c>
      <c r="Z60" s="925"/>
      <c r="AA60" s="926" t="str">
        <f t="shared" si="45"/>
        <v>(Required)</v>
      </c>
      <c r="AB6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0" s="822"/>
      <c r="AE60" s="825" t="str">
        <f t="shared" si="12"/>
        <v>(Required)</v>
      </c>
      <c r="AF60" s="821"/>
      <c r="AG60" s="825" t="str">
        <f t="shared" si="13"/>
        <v>(Required)</v>
      </c>
      <c r="AH60" s="821"/>
      <c r="AI60" s="825" t="str">
        <f t="shared" si="14"/>
        <v>(Required)</v>
      </c>
      <c r="AJ60" s="821"/>
      <c r="AK60" s="825" t="str">
        <f t="shared" si="15"/>
        <v>(Required)</v>
      </c>
      <c r="AL60" s="821"/>
      <c r="AM60" s="825" t="str">
        <f t="shared" si="16"/>
        <v>(Required)</v>
      </c>
      <c r="AN60" s="924"/>
      <c r="AO60" s="825" t="str">
        <f t="shared" si="46"/>
        <v>(Required)</v>
      </c>
      <c r="AP60" s="821"/>
      <c r="AQ60" s="827" t="str">
        <f t="shared" si="47"/>
        <v>(Required)</v>
      </c>
      <c r="AR60" s="928"/>
      <c r="AS60" s="826" t="str">
        <f t="shared" si="48"/>
        <v>(Optional)</v>
      </c>
      <c r="AT60" s="928"/>
      <c r="AU60" s="826" t="str">
        <f t="shared" si="20"/>
        <v>(Optional)</v>
      </c>
      <c r="AV60" s="931"/>
      <c r="AW60" s="825" t="str">
        <f t="shared" si="49"/>
        <v>(Required)</v>
      </c>
      <c r="AX60" s="931"/>
      <c r="AY60" s="825" t="str">
        <f t="shared" si="50"/>
        <v>(Required)</v>
      </c>
      <c r="AZ6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0" s="804">
        <f>IFERROR(IF(Table411[[#This Row],[Is Baseline Pump Motor Energy Use Known? (Yes/No)]]="Yes",(Table411[[#This Row],[Annual Baseline Energy Use (kWh/yr)]]),(Table411[[#This Row],[Baseline Motor Energy Use (kWh)]])),0)</f>
        <v>0</v>
      </c>
      <c r="BC60" s="804">
        <f>IFERROR(IF(Table411[[#This Row],[Is Replacement Pump Motor Energy Use Known? (Yes/No)]]="Yes",(Table411[[#This Row],[Annual Replacement Energy Use (kWh/yr)]]),(Table411[[#This Row],[Replacement Motor Energy Use (kWh)]])),0)</f>
        <v>0</v>
      </c>
      <c r="BD60" s="804">
        <f>SUM((Table411[[#This Row],[Baseline Annual Energy Use]]-Table411[[#This Row],[Replacement Annual Energy Use]]),(Table411[[#This Row],[Replacement VFD Energy Savings (kWh)]]-Table411[[#This Row],[Baseline VFD Energy Savings (kWh)]]))</f>
        <v>0</v>
      </c>
      <c r="BE60" s="930">
        <f>'Grid Electricity'!$B$19</f>
        <v>2.1064475489616943E-4</v>
      </c>
      <c r="BF60" s="803" t="s">
        <v>586</v>
      </c>
      <c r="BG60" s="806">
        <f>Table411[[#This Row],[Baseline Annual Energy Use]]*Table411[[#This Row],[Fuel Carbon Content]]</f>
        <v>0</v>
      </c>
      <c r="BH60" s="806">
        <f>Table411[[#This Row],[Replacement Annual Energy Use]]*Table411[[#This Row],[Fuel Carbon Content]]</f>
        <v>0</v>
      </c>
      <c r="BI60" s="806">
        <f t="shared" si="23"/>
        <v>0</v>
      </c>
      <c r="BJ60" s="804">
        <f t="shared" si="51"/>
        <v>0</v>
      </c>
      <c r="BK60" s="807">
        <v>0.76</v>
      </c>
      <c r="BL60" s="813">
        <f>IFERROR(BD60*'Grid Electricity'!$D$39,0)</f>
        <v>0</v>
      </c>
      <c r="BM60" s="813">
        <f>IFERROR(BD60*'Grid Electricity'!$C$39,0)</f>
        <v>0</v>
      </c>
      <c r="BN60" s="813">
        <f>IFERROR(BD60*'Grid Electricity'!$F$39,0)</f>
        <v>0</v>
      </c>
      <c r="BO60" s="813">
        <f t="shared" si="52"/>
        <v>0</v>
      </c>
      <c r="BP60" s="814">
        <f t="shared" si="53"/>
        <v>0</v>
      </c>
      <c r="BQ60" s="814">
        <f t="shared" si="54"/>
        <v>0</v>
      </c>
      <c r="BR60" s="814">
        <f t="shared" si="55"/>
        <v>0</v>
      </c>
      <c r="BS60" s="814">
        <f t="shared" si="56"/>
        <v>0</v>
      </c>
      <c r="BT60" s="818">
        <f>((BB60-AB60)*'Fuel Prices'!$C$27)*(IF(ISBLANK(D60),15,D60))</f>
        <v>0</v>
      </c>
      <c r="BU60" s="818">
        <f>((BC60-AZ60)*'Fuel Prices'!$C$27)*(IF(ISBLANK(D60),15,D60))</f>
        <v>0</v>
      </c>
      <c r="BV60" s="818">
        <f t="shared" si="57"/>
        <v>0</v>
      </c>
      <c r="BW60" s="818">
        <f t="shared" si="58"/>
        <v>0</v>
      </c>
      <c r="BX60" s="804" t="str">
        <f t="shared" si="59"/>
        <v/>
      </c>
      <c r="BY60" s="804">
        <f t="shared" si="60"/>
        <v>0</v>
      </c>
      <c r="BZ60" s="804">
        <v>0</v>
      </c>
      <c r="CA60" s="804">
        <f t="shared" si="34"/>
        <v>0</v>
      </c>
      <c r="CB60" s="804">
        <f t="shared" si="35"/>
        <v>0</v>
      </c>
      <c r="CC60" s="804">
        <f t="shared" si="36"/>
        <v>0</v>
      </c>
      <c r="CD60" s="804">
        <f t="shared" si="37"/>
        <v>0</v>
      </c>
      <c r="CE60" s="804">
        <f t="shared" si="38"/>
        <v>0</v>
      </c>
      <c r="CF60" s="804">
        <f t="shared" si="39"/>
        <v>0</v>
      </c>
      <c r="CG60" s="818">
        <f t="shared" si="40"/>
        <v>0</v>
      </c>
    </row>
    <row r="61" spans="1:85" ht="18" customHeight="1" x14ac:dyDescent="0.35">
      <c r="A61" s="696"/>
      <c r="B61" s="820"/>
      <c r="C61" s="825" t="str">
        <f t="shared" si="41"/>
        <v>(Required)</v>
      </c>
      <c r="D61" s="821"/>
      <c r="E61" s="825" t="str">
        <f t="shared" si="1"/>
        <v>(Required)</v>
      </c>
      <c r="F61" s="822"/>
      <c r="G61" s="825" t="str">
        <f t="shared" si="42"/>
        <v>(Required)</v>
      </c>
      <c r="H61" s="821"/>
      <c r="I61" s="825" t="str">
        <f t="shared" si="3"/>
        <v>(Required)</v>
      </c>
      <c r="J61" s="821"/>
      <c r="K61" s="825" t="str">
        <f t="shared" si="4"/>
        <v>(Required)</v>
      </c>
      <c r="L61" s="821"/>
      <c r="M61" s="825" t="str">
        <f t="shared" si="5"/>
        <v>(Required)</v>
      </c>
      <c r="N61" s="821"/>
      <c r="O61" s="825" t="str">
        <f t="shared" si="6"/>
        <v>(Required)</v>
      </c>
      <c r="P61" s="924"/>
      <c r="Q61" s="825" t="str">
        <f t="shared" si="7"/>
        <v>(Optional)</v>
      </c>
      <c r="R61" s="821"/>
      <c r="S61" s="827" t="str">
        <f t="shared" si="43"/>
        <v>(Required)</v>
      </c>
      <c r="T61" s="828"/>
      <c r="U61" s="799" t="str">
        <f t="shared" si="9"/>
        <v>(Optional)</v>
      </c>
      <c r="V61" s="824"/>
      <c r="W61" s="799" t="str">
        <f t="shared" si="9"/>
        <v>(Optional)</v>
      </c>
      <c r="X61" s="925"/>
      <c r="Y61" s="926" t="str">
        <f t="shared" si="44"/>
        <v>(Required)</v>
      </c>
      <c r="Z61" s="925"/>
      <c r="AA61" s="926" t="str">
        <f t="shared" si="45"/>
        <v>(Required)</v>
      </c>
      <c r="AB6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1" s="822"/>
      <c r="AE61" s="825" t="str">
        <f t="shared" si="12"/>
        <v>(Required)</v>
      </c>
      <c r="AF61" s="821"/>
      <c r="AG61" s="825" t="str">
        <f t="shared" si="13"/>
        <v>(Required)</v>
      </c>
      <c r="AH61" s="821"/>
      <c r="AI61" s="825" t="str">
        <f t="shared" si="14"/>
        <v>(Required)</v>
      </c>
      <c r="AJ61" s="821"/>
      <c r="AK61" s="825" t="str">
        <f t="shared" si="15"/>
        <v>(Required)</v>
      </c>
      <c r="AL61" s="821"/>
      <c r="AM61" s="825" t="str">
        <f t="shared" si="16"/>
        <v>(Required)</v>
      </c>
      <c r="AN61" s="924"/>
      <c r="AO61" s="825" t="str">
        <f t="shared" si="46"/>
        <v>(Required)</v>
      </c>
      <c r="AP61" s="821"/>
      <c r="AQ61" s="827" t="str">
        <f t="shared" si="47"/>
        <v>(Required)</v>
      </c>
      <c r="AR61" s="928"/>
      <c r="AS61" s="826" t="str">
        <f t="shared" si="48"/>
        <v>(Optional)</v>
      </c>
      <c r="AT61" s="928"/>
      <c r="AU61" s="826" t="str">
        <f t="shared" si="20"/>
        <v>(Optional)</v>
      </c>
      <c r="AV61" s="931"/>
      <c r="AW61" s="825" t="str">
        <f t="shared" si="49"/>
        <v>(Required)</v>
      </c>
      <c r="AX61" s="931"/>
      <c r="AY61" s="825" t="str">
        <f t="shared" si="50"/>
        <v>(Required)</v>
      </c>
      <c r="AZ6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1" s="804">
        <f>IFERROR(IF(Table411[[#This Row],[Is Baseline Pump Motor Energy Use Known? (Yes/No)]]="Yes",(Table411[[#This Row],[Annual Baseline Energy Use (kWh/yr)]]),(Table411[[#This Row],[Baseline Motor Energy Use (kWh)]])),0)</f>
        <v>0</v>
      </c>
      <c r="BC61" s="804">
        <f>IFERROR(IF(Table411[[#This Row],[Is Replacement Pump Motor Energy Use Known? (Yes/No)]]="Yes",(Table411[[#This Row],[Annual Replacement Energy Use (kWh/yr)]]),(Table411[[#This Row],[Replacement Motor Energy Use (kWh)]])),0)</f>
        <v>0</v>
      </c>
      <c r="BD61" s="804">
        <f>SUM((Table411[[#This Row],[Baseline Annual Energy Use]]-Table411[[#This Row],[Replacement Annual Energy Use]]),(Table411[[#This Row],[Replacement VFD Energy Savings (kWh)]]-Table411[[#This Row],[Baseline VFD Energy Savings (kWh)]]))</f>
        <v>0</v>
      </c>
      <c r="BE61" s="930">
        <f>'Grid Electricity'!$B$19</f>
        <v>2.1064475489616943E-4</v>
      </c>
      <c r="BF61" s="803" t="s">
        <v>586</v>
      </c>
      <c r="BG61" s="806">
        <f>Table411[[#This Row],[Baseline Annual Energy Use]]*Table411[[#This Row],[Fuel Carbon Content]]</f>
        <v>0</v>
      </c>
      <c r="BH61" s="806">
        <f>Table411[[#This Row],[Replacement Annual Energy Use]]*Table411[[#This Row],[Fuel Carbon Content]]</f>
        <v>0</v>
      </c>
      <c r="BI61" s="806">
        <f t="shared" si="23"/>
        <v>0</v>
      </c>
      <c r="BJ61" s="804">
        <f t="shared" si="51"/>
        <v>0</v>
      </c>
      <c r="BK61" s="807">
        <v>0.76</v>
      </c>
      <c r="BL61" s="813">
        <f>IFERROR(BD61*'Grid Electricity'!$D$39,0)</f>
        <v>0</v>
      </c>
      <c r="BM61" s="813">
        <f>IFERROR(BD61*'Grid Electricity'!$C$39,0)</f>
        <v>0</v>
      </c>
      <c r="BN61" s="813">
        <f>IFERROR(BD61*'Grid Electricity'!$F$39,0)</f>
        <v>0</v>
      </c>
      <c r="BO61" s="813">
        <f t="shared" si="52"/>
        <v>0</v>
      </c>
      <c r="BP61" s="814">
        <f t="shared" si="53"/>
        <v>0</v>
      </c>
      <c r="BQ61" s="814">
        <f t="shared" si="54"/>
        <v>0</v>
      </c>
      <c r="BR61" s="814">
        <f t="shared" si="55"/>
        <v>0</v>
      </c>
      <c r="BS61" s="814">
        <f t="shared" si="56"/>
        <v>0</v>
      </c>
      <c r="BT61" s="818">
        <f>((BB61-AB61)*'Fuel Prices'!$C$27)*(IF(ISBLANK(D61),15,D61))</f>
        <v>0</v>
      </c>
      <c r="BU61" s="818">
        <f>((BC61-AZ61)*'Fuel Prices'!$C$27)*(IF(ISBLANK(D61),15,D61))</f>
        <v>0</v>
      </c>
      <c r="BV61" s="818">
        <f t="shared" si="57"/>
        <v>0</v>
      </c>
      <c r="BW61" s="818">
        <f t="shared" si="58"/>
        <v>0</v>
      </c>
      <c r="BX61" s="804" t="str">
        <f t="shared" si="59"/>
        <v/>
      </c>
      <c r="BY61" s="804">
        <f t="shared" si="60"/>
        <v>0</v>
      </c>
      <c r="BZ61" s="804">
        <v>0</v>
      </c>
      <c r="CA61" s="804">
        <f t="shared" si="34"/>
        <v>0</v>
      </c>
      <c r="CB61" s="804">
        <f t="shared" si="35"/>
        <v>0</v>
      </c>
      <c r="CC61" s="804">
        <f t="shared" si="36"/>
        <v>0</v>
      </c>
      <c r="CD61" s="804">
        <f t="shared" si="37"/>
        <v>0</v>
      </c>
      <c r="CE61" s="804">
        <f t="shared" si="38"/>
        <v>0</v>
      </c>
      <c r="CF61" s="804">
        <f t="shared" si="39"/>
        <v>0</v>
      </c>
      <c r="CG61" s="818">
        <f t="shared" si="40"/>
        <v>0</v>
      </c>
    </row>
    <row r="62" spans="1:85" ht="18" customHeight="1" x14ac:dyDescent="0.35">
      <c r="A62" s="635"/>
      <c r="B62" s="820"/>
      <c r="C62" s="825" t="str">
        <f t="shared" si="41"/>
        <v>(Required)</v>
      </c>
      <c r="D62" s="821"/>
      <c r="E62" s="825" t="str">
        <f t="shared" si="1"/>
        <v>(Required)</v>
      </c>
      <c r="F62" s="822"/>
      <c r="G62" s="825" t="str">
        <f t="shared" si="42"/>
        <v>(Required)</v>
      </c>
      <c r="H62" s="821"/>
      <c r="I62" s="825" t="str">
        <f t="shared" si="3"/>
        <v>(Required)</v>
      </c>
      <c r="J62" s="821"/>
      <c r="K62" s="825" t="str">
        <f t="shared" si="4"/>
        <v>(Required)</v>
      </c>
      <c r="L62" s="821"/>
      <c r="M62" s="825" t="str">
        <f t="shared" si="5"/>
        <v>(Required)</v>
      </c>
      <c r="N62" s="821"/>
      <c r="O62" s="825" t="str">
        <f t="shared" si="6"/>
        <v>(Required)</v>
      </c>
      <c r="P62" s="924"/>
      <c r="Q62" s="825" t="str">
        <f t="shared" si="7"/>
        <v>(Optional)</v>
      </c>
      <c r="R62" s="821"/>
      <c r="S62" s="827" t="str">
        <f t="shared" si="43"/>
        <v>(Required)</v>
      </c>
      <c r="T62" s="828"/>
      <c r="U62" s="799" t="str">
        <f t="shared" si="9"/>
        <v>(Optional)</v>
      </c>
      <c r="V62" s="824"/>
      <c r="W62" s="799" t="str">
        <f t="shared" si="9"/>
        <v>(Optional)</v>
      </c>
      <c r="X62" s="925"/>
      <c r="Y62" s="926" t="str">
        <f t="shared" si="44"/>
        <v>(Required)</v>
      </c>
      <c r="Z62" s="925"/>
      <c r="AA62" s="926" t="str">
        <f t="shared" si="45"/>
        <v>(Required)</v>
      </c>
      <c r="AB6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2" s="822"/>
      <c r="AE62" s="825" t="str">
        <f t="shared" si="12"/>
        <v>(Required)</v>
      </c>
      <c r="AF62" s="821"/>
      <c r="AG62" s="825" t="str">
        <f t="shared" si="13"/>
        <v>(Required)</v>
      </c>
      <c r="AH62" s="821"/>
      <c r="AI62" s="825" t="str">
        <f t="shared" si="14"/>
        <v>(Required)</v>
      </c>
      <c r="AJ62" s="821"/>
      <c r="AK62" s="825" t="str">
        <f t="shared" si="15"/>
        <v>(Required)</v>
      </c>
      <c r="AL62" s="821"/>
      <c r="AM62" s="825" t="str">
        <f t="shared" si="16"/>
        <v>(Required)</v>
      </c>
      <c r="AN62" s="924"/>
      <c r="AO62" s="825" t="str">
        <f t="shared" si="46"/>
        <v>(Required)</v>
      </c>
      <c r="AP62" s="821"/>
      <c r="AQ62" s="827" t="str">
        <f t="shared" si="47"/>
        <v>(Required)</v>
      </c>
      <c r="AR62" s="928"/>
      <c r="AS62" s="826" t="str">
        <f t="shared" si="48"/>
        <v>(Optional)</v>
      </c>
      <c r="AT62" s="928"/>
      <c r="AU62" s="826" t="str">
        <f t="shared" si="20"/>
        <v>(Optional)</v>
      </c>
      <c r="AV62" s="931"/>
      <c r="AW62" s="825" t="str">
        <f t="shared" si="49"/>
        <v>(Required)</v>
      </c>
      <c r="AX62" s="931"/>
      <c r="AY62" s="825" t="str">
        <f t="shared" si="50"/>
        <v>(Required)</v>
      </c>
      <c r="AZ6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2" s="804">
        <f>IFERROR(IF(Table411[[#This Row],[Is Baseline Pump Motor Energy Use Known? (Yes/No)]]="Yes",(Table411[[#This Row],[Annual Baseline Energy Use (kWh/yr)]]),(Table411[[#This Row],[Baseline Motor Energy Use (kWh)]])),0)</f>
        <v>0</v>
      </c>
      <c r="BC62" s="804">
        <f>IFERROR(IF(Table411[[#This Row],[Is Replacement Pump Motor Energy Use Known? (Yes/No)]]="Yes",(Table411[[#This Row],[Annual Replacement Energy Use (kWh/yr)]]),(Table411[[#This Row],[Replacement Motor Energy Use (kWh)]])),0)</f>
        <v>0</v>
      </c>
      <c r="BD62" s="804">
        <f>SUM((Table411[[#This Row],[Baseline Annual Energy Use]]-Table411[[#This Row],[Replacement Annual Energy Use]]),(Table411[[#This Row],[Replacement VFD Energy Savings (kWh)]]-Table411[[#This Row],[Baseline VFD Energy Savings (kWh)]]))</f>
        <v>0</v>
      </c>
      <c r="BE62" s="930">
        <f>'Grid Electricity'!$B$19</f>
        <v>2.1064475489616943E-4</v>
      </c>
      <c r="BF62" s="803" t="s">
        <v>586</v>
      </c>
      <c r="BG62" s="806">
        <f>Table411[[#This Row],[Baseline Annual Energy Use]]*Table411[[#This Row],[Fuel Carbon Content]]</f>
        <v>0</v>
      </c>
      <c r="BH62" s="806">
        <f>Table411[[#This Row],[Replacement Annual Energy Use]]*Table411[[#This Row],[Fuel Carbon Content]]</f>
        <v>0</v>
      </c>
      <c r="BI62" s="806">
        <f t="shared" si="23"/>
        <v>0</v>
      </c>
      <c r="BJ62" s="804">
        <f t="shared" si="51"/>
        <v>0</v>
      </c>
      <c r="BK62" s="807">
        <v>0.76</v>
      </c>
      <c r="BL62" s="813">
        <f>IFERROR(BD62*'Grid Electricity'!$D$39,0)</f>
        <v>0</v>
      </c>
      <c r="BM62" s="813">
        <f>IFERROR(BD62*'Grid Electricity'!$C$39,0)</f>
        <v>0</v>
      </c>
      <c r="BN62" s="813">
        <f>IFERROR(BD62*'Grid Electricity'!$F$39,0)</f>
        <v>0</v>
      </c>
      <c r="BO62" s="813">
        <f t="shared" si="52"/>
        <v>0</v>
      </c>
      <c r="BP62" s="814">
        <f t="shared" si="53"/>
        <v>0</v>
      </c>
      <c r="BQ62" s="814">
        <f t="shared" si="54"/>
        <v>0</v>
      </c>
      <c r="BR62" s="814">
        <f t="shared" si="55"/>
        <v>0</v>
      </c>
      <c r="BS62" s="814">
        <f t="shared" si="56"/>
        <v>0</v>
      </c>
      <c r="BT62" s="818">
        <f>((BB62-AB62)*'Fuel Prices'!$C$27)*(IF(ISBLANK(D62),15,D62))</f>
        <v>0</v>
      </c>
      <c r="BU62" s="818">
        <f>((BC62-AZ62)*'Fuel Prices'!$C$27)*(IF(ISBLANK(D62),15,D62))</f>
        <v>0</v>
      </c>
      <c r="BV62" s="818">
        <f t="shared" si="57"/>
        <v>0</v>
      </c>
      <c r="BW62" s="818">
        <f t="shared" si="58"/>
        <v>0</v>
      </c>
      <c r="BX62" s="804" t="str">
        <f t="shared" si="59"/>
        <v/>
      </c>
      <c r="BY62" s="804">
        <f t="shared" si="60"/>
        <v>0</v>
      </c>
      <c r="BZ62" s="804">
        <v>0</v>
      </c>
      <c r="CA62" s="804">
        <f t="shared" si="34"/>
        <v>0</v>
      </c>
      <c r="CB62" s="804">
        <f t="shared" si="35"/>
        <v>0</v>
      </c>
      <c r="CC62" s="804">
        <f t="shared" si="36"/>
        <v>0</v>
      </c>
      <c r="CD62" s="804">
        <f t="shared" si="37"/>
        <v>0</v>
      </c>
      <c r="CE62" s="804">
        <f t="shared" si="38"/>
        <v>0</v>
      </c>
      <c r="CF62" s="804">
        <f t="shared" si="39"/>
        <v>0</v>
      </c>
      <c r="CG62" s="818">
        <f t="shared" si="40"/>
        <v>0</v>
      </c>
    </row>
    <row r="63" spans="1:85" ht="18" customHeight="1" x14ac:dyDescent="0.35">
      <c r="A63" s="696"/>
      <c r="B63" s="820"/>
      <c r="C63" s="825" t="str">
        <f t="shared" si="41"/>
        <v>(Required)</v>
      </c>
      <c r="D63" s="821"/>
      <c r="E63" s="825" t="str">
        <f t="shared" si="1"/>
        <v>(Required)</v>
      </c>
      <c r="F63" s="822"/>
      <c r="G63" s="825" t="str">
        <f t="shared" si="42"/>
        <v>(Required)</v>
      </c>
      <c r="H63" s="821"/>
      <c r="I63" s="825" t="str">
        <f t="shared" si="3"/>
        <v>(Required)</v>
      </c>
      <c r="J63" s="821"/>
      <c r="K63" s="825" t="str">
        <f t="shared" si="4"/>
        <v>(Required)</v>
      </c>
      <c r="L63" s="821"/>
      <c r="M63" s="825" t="str">
        <f t="shared" si="5"/>
        <v>(Required)</v>
      </c>
      <c r="N63" s="821"/>
      <c r="O63" s="825" t="str">
        <f t="shared" si="6"/>
        <v>(Required)</v>
      </c>
      <c r="P63" s="924"/>
      <c r="Q63" s="825" t="str">
        <f t="shared" si="7"/>
        <v>(Optional)</v>
      </c>
      <c r="R63" s="821"/>
      <c r="S63" s="827" t="str">
        <f t="shared" si="43"/>
        <v>(Required)</v>
      </c>
      <c r="T63" s="828"/>
      <c r="U63" s="799" t="str">
        <f t="shared" si="9"/>
        <v>(Optional)</v>
      </c>
      <c r="V63" s="824"/>
      <c r="W63" s="799" t="str">
        <f t="shared" si="9"/>
        <v>(Optional)</v>
      </c>
      <c r="X63" s="925"/>
      <c r="Y63" s="926" t="str">
        <f t="shared" si="44"/>
        <v>(Required)</v>
      </c>
      <c r="Z63" s="925"/>
      <c r="AA63" s="926" t="str">
        <f t="shared" si="45"/>
        <v>(Required)</v>
      </c>
      <c r="AB6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3" s="822"/>
      <c r="AE63" s="825" t="str">
        <f t="shared" si="12"/>
        <v>(Required)</v>
      </c>
      <c r="AF63" s="821"/>
      <c r="AG63" s="825" t="str">
        <f t="shared" si="13"/>
        <v>(Required)</v>
      </c>
      <c r="AH63" s="821"/>
      <c r="AI63" s="825" t="str">
        <f t="shared" si="14"/>
        <v>(Required)</v>
      </c>
      <c r="AJ63" s="821"/>
      <c r="AK63" s="825" t="str">
        <f t="shared" si="15"/>
        <v>(Required)</v>
      </c>
      <c r="AL63" s="821"/>
      <c r="AM63" s="825" t="str">
        <f t="shared" si="16"/>
        <v>(Required)</v>
      </c>
      <c r="AN63" s="924"/>
      <c r="AO63" s="825" t="str">
        <f t="shared" si="46"/>
        <v>(Required)</v>
      </c>
      <c r="AP63" s="821"/>
      <c r="AQ63" s="827" t="str">
        <f t="shared" si="47"/>
        <v>(Required)</v>
      </c>
      <c r="AR63" s="928"/>
      <c r="AS63" s="826" t="str">
        <f t="shared" si="48"/>
        <v>(Optional)</v>
      </c>
      <c r="AT63" s="928"/>
      <c r="AU63" s="826" t="str">
        <f t="shared" si="20"/>
        <v>(Optional)</v>
      </c>
      <c r="AV63" s="931"/>
      <c r="AW63" s="825" t="str">
        <f t="shared" si="49"/>
        <v>(Required)</v>
      </c>
      <c r="AX63" s="931"/>
      <c r="AY63" s="825" t="str">
        <f t="shared" si="50"/>
        <v>(Required)</v>
      </c>
      <c r="AZ6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3" s="804">
        <f>IFERROR(IF(Table411[[#This Row],[Is Baseline Pump Motor Energy Use Known? (Yes/No)]]="Yes",(Table411[[#This Row],[Annual Baseline Energy Use (kWh/yr)]]),(Table411[[#This Row],[Baseline Motor Energy Use (kWh)]])),0)</f>
        <v>0</v>
      </c>
      <c r="BC63" s="804">
        <f>IFERROR(IF(Table411[[#This Row],[Is Replacement Pump Motor Energy Use Known? (Yes/No)]]="Yes",(Table411[[#This Row],[Annual Replacement Energy Use (kWh/yr)]]),(Table411[[#This Row],[Replacement Motor Energy Use (kWh)]])),0)</f>
        <v>0</v>
      </c>
      <c r="BD63" s="804">
        <f>SUM((Table411[[#This Row],[Baseline Annual Energy Use]]-Table411[[#This Row],[Replacement Annual Energy Use]]),(Table411[[#This Row],[Replacement VFD Energy Savings (kWh)]]-Table411[[#This Row],[Baseline VFD Energy Savings (kWh)]]))</f>
        <v>0</v>
      </c>
      <c r="BE63" s="930">
        <f>'Grid Electricity'!$B$19</f>
        <v>2.1064475489616943E-4</v>
      </c>
      <c r="BF63" s="803" t="s">
        <v>586</v>
      </c>
      <c r="BG63" s="806">
        <f>Table411[[#This Row],[Baseline Annual Energy Use]]*Table411[[#This Row],[Fuel Carbon Content]]</f>
        <v>0</v>
      </c>
      <c r="BH63" s="806">
        <f>Table411[[#This Row],[Replacement Annual Energy Use]]*Table411[[#This Row],[Fuel Carbon Content]]</f>
        <v>0</v>
      </c>
      <c r="BI63" s="806">
        <f t="shared" si="23"/>
        <v>0</v>
      </c>
      <c r="BJ63" s="804">
        <f t="shared" si="51"/>
        <v>0</v>
      </c>
      <c r="BK63" s="807">
        <v>0.76</v>
      </c>
      <c r="BL63" s="813">
        <f>IFERROR(BD63*'Grid Electricity'!$D$39,0)</f>
        <v>0</v>
      </c>
      <c r="BM63" s="813">
        <f>IFERROR(BD63*'Grid Electricity'!$C$39,0)</f>
        <v>0</v>
      </c>
      <c r="BN63" s="813">
        <f>IFERROR(BD63*'Grid Electricity'!$F$39,0)</f>
        <v>0</v>
      </c>
      <c r="BO63" s="813">
        <f t="shared" si="52"/>
        <v>0</v>
      </c>
      <c r="BP63" s="814">
        <f t="shared" si="53"/>
        <v>0</v>
      </c>
      <c r="BQ63" s="814">
        <f t="shared" si="54"/>
        <v>0</v>
      </c>
      <c r="BR63" s="814">
        <f t="shared" si="55"/>
        <v>0</v>
      </c>
      <c r="BS63" s="814">
        <f t="shared" si="56"/>
        <v>0</v>
      </c>
      <c r="BT63" s="818">
        <f>((BB63-AB63)*'Fuel Prices'!$C$27)*(IF(ISBLANK(D63),15,D63))</f>
        <v>0</v>
      </c>
      <c r="BU63" s="818">
        <f>((BC63-AZ63)*'Fuel Prices'!$C$27)*(IF(ISBLANK(D63),15,D63))</f>
        <v>0</v>
      </c>
      <c r="BV63" s="818">
        <f t="shared" si="57"/>
        <v>0</v>
      </c>
      <c r="BW63" s="818">
        <f t="shared" si="58"/>
        <v>0</v>
      </c>
      <c r="BX63" s="804" t="str">
        <f t="shared" si="59"/>
        <v/>
      </c>
      <c r="BY63" s="804">
        <f t="shared" si="60"/>
        <v>0</v>
      </c>
      <c r="BZ63" s="804">
        <v>0</v>
      </c>
      <c r="CA63" s="804">
        <f t="shared" si="34"/>
        <v>0</v>
      </c>
      <c r="CB63" s="804">
        <f t="shared" si="35"/>
        <v>0</v>
      </c>
      <c r="CC63" s="804">
        <f t="shared" si="36"/>
        <v>0</v>
      </c>
      <c r="CD63" s="804">
        <f t="shared" si="37"/>
        <v>0</v>
      </c>
      <c r="CE63" s="804">
        <f t="shared" si="38"/>
        <v>0</v>
      </c>
      <c r="CF63" s="804">
        <f t="shared" si="39"/>
        <v>0</v>
      </c>
      <c r="CG63" s="818">
        <f t="shared" si="40"/>
        <v>0</v>
      </c>
    </row>
    <row r="64" spans="1:85" ht="18" customHeight="1" x14ac:dyDescent="0.35">
      <c r="A64" s="635"/>
      <c r="B64" s="820"/>
      <c r="C64" s="825" t="str">
        <f t="shared" si="41"/>
        <v>(Required)</v>
      </c>
      <c r="D64" s="821"/>
      <c r="E64" s="825" t="str">
        <f t="shared" si="1"/>
        <v>(Required)</v>
      </c>
      <c r="F64" s="822"/>
      <c r="G64" s="825" t="str">
        <f t="shared" si="42"/>
        <v>(Required)</v>
      </c>
      <c r="H64" s="821"/>
      <c r="I64" s="825" t="str">
        <f t="shared" si="3"/>
        <v>(Required)</v>
      </c>
      <c r="J64" s="821"/>
      <c r="K64" s="825" t="str">
        <f t="shared" si="4"/>
        <v>(Required)</v>
      </c>
      <c r="L64" s="821"/>
      <c r="M64" s="825" t="str">
        <f t="shared" si="5"/>
        <v>(Required)</v>
      </c>
      <c r="N64" s="821"/>
      <c r="O64" s="825" t="str">
        <f t="shared" si="6"/>
        <v>(Required)</v>
      </c>
      <c r="P64" s="924"/>
      <c r="Q64" s="825" t="str">
        <f t="shared" si="7"/>
        <v>(Optional)</v>
      </c>
      <c r="R64" s="821"/>
      <c r="S64" s="827" t="str">
        <f t="shared" si="43"/>
        <v>(Required)</v>
      </c>
      <c r="T64" s="828"/>
      <c r="U64" s="799" t="str">
        <f t="shared" si="9"/>
        <v>(Optional)</v>
      </c>
      <c r="V64" s="824"/>
      <c r="W64" s="799" t="str">
        <f t="shared" si="9"/>
        <v>(Optional)</v>
      </c>
      <c r="X64" s="925"/>
      <c r="Y64" s="926" t="str">
        <f t="shared" si="44"/>
        <v>(Required)</v>
      </c>
      <c r="Z64" s="925"/>
      <c r="AA64" s="926" t="str">
        <f t="shared" si="45"/>
        <v>(Required)</v>
      </c>
      <c r="AB6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4" s="822"/>
      <c r="AE64" s="825" t="str">
        <f t="shared" si="12"/>
        <v>(Required)</v>
      </c>
      <c r="AF64" s="821"/>
      <c r="AG64" s="825" t="str">
        <f t="shared" si="13"/>
        <v>(Required)</v>
      </c>
      <c r="AH64" s="821"/>
      <c r="AI64" s="825" t="str">
        <f t="shared" si="14"/>
        <v>(Required)</v>
      </c>
      <c r="AJ64" s="821"/>
      <c r="AK64" s="825" t="str">
        <f t="shared" si="15"/>
        <v>(Required)</v>
      </c>
      <c r="AL64" s="821"/>
      <c r="AM64" s="825" t="str">
        <f t="shared" si="16"/>
        <v>(Required)</v>
      </c>
      <c r="AN64" s="924"/>
      <c r="AO64" s="825" t="str">
        <f t="shared" si="46"/>
        <v>(Required)</v>
      </c>
      <c r="AP64" s="821"/>
      <c r="AQ64" s="827" t="str">
        <f t="shared" si="47"/>
        <v>(Required)</v>
      </c>
      <c r="AR64" s="928"/>
      <c r="AS64" s="826" t="str">
        <f t="shared" si="48"/>
        <v>(Optional)</v>
      </c>
      <c r="AT64" s="928"/>
      <c r="AU64" s="826" t="str">
        <f t="shared" si="20"/>
        <v>(Optional)</v>
      </c>
      <c r="AV64" s="931"/>
      <c r="AW64" s="825" t="str">
        <f t="shared" si="49"/>
        <v>(Required)</v>
      </c>
      <c r="AX64" s="931"/>
      <c r="AY64" s="825" t="str">
        <f t="shared" si="50"/>
        <v>(Required)</v>
      </c>
      <c r="AZ6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4" s="804">
        <f>IFERROR(IF(Table411[[#This Row],[Is Baseline Pump Motor Energy Use Known? (Yes/No)]]="Yes",(Table411[[#This Row],[Annual Baseline Energy Use (kWh/yr)]]),(Table411[[#This Row],[Baseline Motor Energy Use (kWh)]])),0)</f>
        <v>0</v>
      </c>
      <c r="BC64" s="804">
        <f>IFERROR(IF(Table411[[#This Row],[Is Replacement Pump Motor Energy Use Known? (Yes/No)]]="Yes",(Table411[[#This Row],[Annual Replacement Energy Use (kWh/yr)]]),(Table411[[#This Row],[Replacement Motor Energy Use (kWh)]])),0)</f>
        <v>0</v>
      </c>
      <c r="BD64" s="804">
        <f>SUM((Table411[[#This Row],[Baseline Annual Energy Use]]-Table411[[#This Row],[Replacement Annual Energy Use]]),(Table411[[#This Row],[Replacement VFD Energy Savings (kWh)]]-Table411[[#This Row],[Baseline VFD Energy Savings (kWh)]]))</f>
        <v>0</v>
      </c>
      <c r="BE64" s="930">
        <f>'Grid Electricity'!$B$19</f>
        <v>2.1064475489616943E-4</v>
      </c>
      <c r="BF64" s="803" t="s">
        <v>586</v>
      </c>
      <c r="BG64" s="806">
        <f>Table411[[#This Row],[Baseline Annual Energy Use]]*Table411[[#This Row],[Fuel Carbon Content]]</f>
        <v>0</v>
      </c>
      <c r="BH64" s="806">
        <f>Table411[[#This Row],[Replacement Annual Energy Use]]*Table411[[#This Row],[Fuel Carbon Content]]</f>
        <v>0</v>
      </c>
      <c r="BI64" s="806">
        <f t="shared" si="23"/>
        <v>0</v>
      </c>
      <c r="BJ64" s="804">
        <f t="shared" si="51"/>
        <v>0</v>
      </c>
      <c r="BK64" s="807">
        <v>0.76</v>
      </c>
      <c r="BL64" s="813">
        <f>IFERROR(BD64*'Grid Electricity'!$D$39,0)</f>
        <v>0</v>
      </c>
      <c r="BM64" s="813">
        <f>IFERROR(BD64*'Grid Electricity'!$C$39,0)</f>
        <v>0</v>
      </c>
      <c r="BN64" s="813">
        <f>IFERROR(BD64*'Grid Electricity'!$F$39,0)</f>
        <v>0</v>
      </c>
      <c r="BO64" s="813">
        <f t="shared" si="52"/>
        <v>0</v>
      </c>
      <c r="BP64" s="814">
        <f t="shared" si="53"/>
        <v>0</v>
      </c>
      <c r="BQ64" s="814">
        <f t="shared" si="54"/>
        <v>0</v>
      </c>
      <c r="BR64" s="814">
        <f t="shared" si="55"/>
        <v>0</v>
      </c>
      <c r="BS64" s="814">
        <f t="shared" si="56"/>
        <v>0</v>
      </c>
      <c r="BT64" s="818">
        <f>((BB64-AB64)*'Fuel Prices'!$C$27)*(IF(ISBLANK(D64),15,D64))</f>
        <v>0</v>
      </c>
      <c r="BU64" s="818">
        <f>((BC64-AZ64)*'Fuel Prices'!$C$27)*(IF(ISBLANK(D64),15,D64))</f>
        <v>0</v>
      </c>
      <c r="BV64" s="818">
        <f t="shared" si="57"/>
        <v>0</v>
      </c>
      <c r="BW64" s="818">
        <f t="shared" si="58"/>
        <v>0</v>
      </c>
      <c r="BX64" s="804" t="str">
        <f t="shared" si="59"/>
        <v/>
      </c>
      <c r="BY64" s="804">
        <f t="shared" si="60"/>
        <v>0</v>
      </c>
      <c r="BZ64" s="804">
        <v>0</v>
      </c>
      <c r="CA64" s="804">
        <f t="shared" si="34"/>
        <v>0</v>
      </c>
      <c r="CB64" s="804">
        <f t="shared" si="35"/>
        <v>0</v>
      </c>
      <c r="CC64" s="804">
        <f t="shared" si="36"/>
        <v>0</v>
      </c>
      <c r="CD64" s="804">
        <f t="shared" si="37"/>
        <v>0</v>
      </c>
      <c r="CE64" s="804">
        <f t="shared" si="38"/>
        <v>0</v>
      </c>
      <c r="CF64" s="804">
        <f t="shared" si="39"/>
        <v>0</v>
      </c>
      <c r="CG64" s="818">
        <f t="shared" si="40"/>
        <v>0</v>
      </c>
    </row>
    <row r="65" spans="1:85" ht="18" customHeight="1" x14ac:dyDescent="0.35">
      <c r="A65" s="696"/>
      <c r="B65" s="820"/>
      <c r="C65" s="825" t="str">
        <f t="shared" si="41"/>
        <v>(Required)</v>
      </c>
      <c r="D65" s="821"/>
      <c r="E65" s="825" t="str">
        <f t="shared" si="1"/>
        <v>(Required)</v>
      </c>
      <c r="F65" s="822"/>
      <c r="G65" s="825" t="str">
        <f t="shared" si="42"/>
        <v>(Required)</v>
      </c>
      <c r="H65" s="821"/>
      <c r="I65" s="825" t="str">
        <f t="shared" si="3"/>
        <v>(Required)</v>
      </c>
      <c r="J65" s="821"/>
      <c r="K65" s="825" t="str">
        <f t="shared" si="4"/>
        <v>(Required)</v>
      </c>
      <c r="L65" s="821"/>
      <c r="M65" s="825" t="str">
        <f t="shared" si="5"/>
        <v>(Required)</v>
      </c>
      <c r="N65" s="821"/>
      <c r="O65" s="825" t="str">
        <f t="shared" si="6"/>
        <v>(Required)</v>
      </c>
      <c r="P65" s="924"/>
      <c r="Q65" s="825" t="str">
        <f t="shared" si="7"/>
        <v>(Optional)</v>
      </c>
      <c r="R65" s="821"/>
      <c r="S65" s="827" t="str">
        <f t="shared" si="43"/>
        <v>(Required)</v>
      </c>
      <c r="T65" s="828"/>
      <c r="U65" s="799" t="str">
        <f t="shared" si="9"/>
        <v>(Optional)</v>
      </c>
      <c r="V65" s="824"/>
      <c r="W65" s="799" t="str">
        <f t="shared" si="9"/>
        <v>(Optional)</v>
      </c>
      <c r="X65" s="925"/>
      <c r="Y65" s="926" t="str">
        <f t="shared" si="44"/>
        <v>(Required)</v>
      </c>
      <c r="Z65" s="925"/>
      <c r="AA65" s="926" t="str">
        <f t="shared" si="45"/>
        <v>(Required)</v>
      </c>
      <c r="AB6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5" s="822"/>
      <c r="AE65" s="825" t="str">
        <f t="shared" si="12"/>
        <v>(Required)</v>
      </c>
      <c r="AF65" s="821"/>
      <c r="AG65" s="825" t="str">
        <f t="shared" si="13"/>
        <v>(Required)</v>
      </c>
      <c r="AH65" s="821"/>
      <c r="AI65" s="825" t="str">
        <f t="shared" si="14"/>
        <v>(Required)</v>
      </c>
      <c r="AJ65" s="821"/>
      <c r="AK65" s="825" t="str">
        <f t="shared" si="15"/>
        <v>(Required)</v>
      </c>
      <c r="AL65" s="821"/>
      <c r="AM65" s="825" t="str">
        <f t="shared" si="16"/>
        <v>(Required)</v>
      </c>
      <c r="AN65" s="924"/>
      <c r="AO65" s="825" t="str">
        <f t="shared" si="46"/>
        <v>(Required)</v>
      </c>
      <c r="AP65" s="821"/>
      <c r="AQ65" s="827" t="str">
        <f t="shared" si="47"/>
        <v>(Required)</v>
      </c>
      <c r="AR65" s="928"/>
      <c r="AS65" s="826" t="str">
        <f t="shared" si="48"/>
        <v>(Optional)</v>
      </c>
      <c r="AT65" s="928"/>
      <c r="AU65" s="826" t="str">
        <f t="shared" si="20"/>
        <v>(Optional)</v>
      </c>
      <c r="AV65" s="931"/>
      <c r="AW65" s="825" t="str">
        <f t="shared" si="49"/>
        <v>(Required)</v>
      </c>
      <c r="AX65" s="931"/>
      <c r="AY65" s="825" t="str">
        <f t="shared" si="50"/>
        <v>(Required)</v>
      </c>
      <c r="AZ6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5" s="804">
        <f>IFERROR(IF(Table411[[#This Row],[Is Baseline Pump Motor Energy Use Known? (Yes/No)]]="Yes",(Table411[[#This Row],[Annual Baseline Energy Use (kWh/yr)]]),(Table411[[#This Row],[Baseline Motor Energy Use (kWh)]])),0)</f>
        <v>0</v>
      </c>
      <c r="BC65" s="804">
        <f>IFERROR(IF(Table411[[#This Row],[Is Replacement Pump Motor Energy Use Known? (Yes/No)]]="Yes",(Table411[[#This Row],[Annual Replacement Energy Use (kWh/yr)]]),(Table411[[#This Row],[Replacement Motor Energy Use (kWh)]])),0)</f>
        <v>0</v>
      </c>
      <c r="BD65" s="804">
        <f>SUM((Table411[[#This Row],[Baseline Annual Energy Use]]-Table411[[#This Row],[Replacement Annual Energy Use]]),(Table411[[#This Row],[Replacement VFD Energy Savings (kWh)]]-Table411[[#This Row],[Baseline VFD Energy Savings (kWh)]]))</f>
        <v>0</v>
      </c>
      <c r="BE65" s="930">
        <f>'Grid Electricity'!$B$19</f>
        <v>2.1064475489616943E-4</v>
      </c>
      <c r="BF65" s="803" t="s">
        <v>586</v>
      </c>
      <c r="BG65" s="806">
        <f>Table411[[#This Row],[Baseline Annual Energy Use]]*Table411[[#This Row],[Fuel Carbon Content]]</f>
        <v>0</v>
      </c>
      <c r="BH65" s="806">
        <f>Table411[[#This Row],[Replacement Annual Energy Use]]*Table411[[#This Row],[Fuel Carbon Content]]</f>
        <v>0</v>
      </c>
      <c r="BI65" s="806">
        <f t="shared" si="23"/>
        <v>0</v>
      </c>
      <c r="BJ65" s="804">
        <f t="shared" si="51"/>
        <v>0</v>
      </c>
      <c r="BK65" s="807">
        <v>0.76</v>
      </c>
      <c r="BL65" s="813">
        <f>IFERROR(BD65*'Grid Electricity'!$D$39,0)</f>
        <v>0</v>
      </c>
      <c r="BM65" s="813">
        <f>IFERROR(BD65*'Grid Electricity'!$C$39,0)</f>
        <v>0</v>
      </c>
      <c r="BN65" s="813">
        <f>IFERROR(BD65*'Grid Electricity'!$F$39,0)</f>
        <v>0</v>
      </c>
      <c r="BO65" s="813">
        <f t="shared" si="52"/>
        <v>0</v>
      </c>
      <c r="BP65" s="814">
        <f t="shared" si="53"/>
        <v>0</v>
      </c>
      <c r="BQ65" s="814">
        <f t="shared" si="54"/>
        <v>0</v>
      </c>
      <c r="BR65" s="814">
        <f t="shared" si="55"/>
        <v>0</v>
      </c>
      <c r="BS65" s="814">
        <f t="shared" si="56"/>
        <v>0</v>
      </c>
      <c r="BT65" s="818">
        <f>((BB65-AB65)*'Fuel Prices'!$C$27)*(IF(ISBLANK(D65),15,D65))</f>
        <v>0</v>
      </c>
      <c r="BU65" s="818">
        <f>((BC65-AZ65)*'Fuel Prices'!$C$27)*(IF(ISBLANK(D65),15,D65))</f>
        <v>0</v>
      </c>
      <c r="BV65" s="818">
        <f t="shared" si="57"/>
        <v>0</v>
      </c>
      <c r="BW65" s="818">
        <f t="shared" si="58"/>
        <v>0</v>
      </c>
      <c r="BX65" s="804" t="str">
        <f t="shared" si="59"/>
        <v/>
      </c>
      <c r="BY65" s="804">
        <f t="shared" si="60"/>
        <v>0</v>
      </c>
      <c r="BZ65" s="804">
        <v>0</v>
      </c>
      <c r="CA65" s="804">
        <f t="shared" si="34"/>
        <v>0</v>
      </c>
      <c r="CB65" s="804">
        <f t="shared" si="35"/>
        <v>0</v>
      </c>
      <c r="CC65" s="804">
        <f t="shared" si="36"/>
        <v>0</v>
      </c>
      <c r="CD65" s="804">
        <f t="shared" si="37"/>
        <v>0</v>
      </c>
      <c r="CE65" s="804">
        <f t="shared" si="38"/>
        <v>0</v>
      </c>
      <c r="CF65" s="804">
        <f t="shared" si="39"/>
        <v>0</v>
      </c>
      <c r="CG65" s="818">
        <f t="shared" si="40"/>
        <v>0</v>
      </c>
    </row>
    <row r="66" spans="1:85" ht="18" customHeight="1" x14ac:dyDescent="0.35">
      <c r="A66" s="635"/>
      <c r="B66" s="820"/>
      <c r="C66" s="825" t="str">
        <f t="shared" si="41"/>
        <v>(Required)</v>
      </c>
      <c r="D66" s="821"/>
      <c r="E66" s="825" t="str">
        <f t="shared" si="1"/>
        <v>(Required)</v>
      </c>
      <c r="F66" s="822"/>
      <c r="G66" s="825" t="str">
        <f t="shared" si="42"/>
        <v>(Required)</v>
      </c>
      <c r="H66" s="821"/>
      <c r="I66" s="825" t="str">
        <f t="shared" si="3"/>
        <v>(Required)</v>
      </c>
      <c r="J66" s="821"/>
      <c r="K66" s="825" t="str">
        <f t="shared" si="4"/>
        <v>(Required)</v>
      </c>
      <c r="L66" s="821"/>
      <c r="M66" s="825" t="str">
        <f t="shared" si="5"/>
        <v>(Required)</v>
      </c>
      <c r="N66" s="821"/>
      <c r="O66" s="825" t="str">
        <f t="shared" si="6"/>
        <v>(Required)</v>
      </c>
      <c r="P66" s="924"/>
      <c r="Q66" s="825" t="str">
        <f t="shared" si="7"/>
        <v>(Optional)</v>
      </c>
      <c r="R66" s="821"/>
      <c r="S66" s="827" t="str">
        <f t="shared" si="43"/>
        <v>(Required)</v>
      </c>
      <c r="T66" s="828"/>
      <c r="U66" s="799" t="str">
        <f t="shared" si="9"/>
        <v>(Optional)</v>
      </c>
      <c r="V66" s="824"/>
      <c r="W66" s="799" t="str">
        <f t="shared" si="9"/>
        <v>(Optional)</v>
      </c>
      <c r="X66" s="925"/>
      <c r="Y66" s="926" t="str">
        <f t="shared" si="44"/>
        <v>(Required)</v>
      </c>
      <c r="Z66" s="925"/>
      <c r="AA66" s="926" t="str">
        <f t="shared" si="45"/>
        <v>(Required)</v>
      </c>
      <c r="AB6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6" s="822"/>
      <c r="AE66" s="825" t="str">
        <f t="shared" si="12"/>
        <v>(Required)</v>
      </c>
      <c r="AF66" s="821"/>
      <c r="AG66" s="825" t="str">
        <f t="shared" si="13"/>
        <v>(Required)</v>
      </c>
      <c r="AH66" s="821"/>
      <c r="AI66" s="825" t="str">
        <f t="shared" si="14"/>
        <v>(Required)</v>
      </c>
      <c r="AJ66" s="821"/>
      <c r="AK66" s="825" t="str">
        <f t="shared" si="15"/>
        <v>(Required)</v>
      </c>
      <c r="AL66" s="821"/>
      <c r="AM66" s="825" t="str">
        <f t="shared" si="16"/>
        <v>(Required)</v>
      </c>
      <c r="AN66" s="924"/>
      <c r="AO66" s="825" t="str">
        <f t="shared" si="46"/>
        <v>(Required)</v>
      </c>
      <c r="AP66" s="821"/>
      <c r="AQ66" s="827" t="str">
        <f t="shared" si="47"/>
        <v>(Required)</v>
      </c>
      <c r="AR66" s="928"/>
      <c r="AS66" s="826" t="str">
        <f t="shared" si="48"/>
        <v>(Optional)</v>
      </c>
      <c r="AT66" s="928"/>
      <c r="AU66" s="826" t="str">
        <f t="shared" si="20"/>
        <v>(Optional)</v>
      </c>
      <c r="AV66" s="931"/>
      <c r="AW66" s="825" t="str">
        <f t="shared" si="49"/>
        <v>(Required)</v>
      </c>
      <c r="AX66" s="931"/>
      <c r="AY66" s="825" t="str">
        <f t="shared" si="50"/>
        <v>(Required)</v>
      </c>
      <c r="AZ6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6" s="804">
        <f>IFERROR(IF(Table411[[#This Row],[Is Baseline Pump Motor Energy Use Known? (Yes/No)]]="Yes",(Table411[[#This Row],[Annual Baseline Energy Use (kWh/yr)]]),(Table411[[#This Row],[Baseline Motor Energy Use (kWh)]])),0)</f>
        <v>0</v>
      </c>
      <c r="BC66" s="804">
        <f>IFERROR(IF(Table411[[#This Row],[Is Replacement Pump Motor Energy Use Known? (Yes/No)]]="Yes",(Table411[[#This Row],[Annual Replacement Energy Use (kWh/yr)]]),(Table411[[#This Row],[Replacement Motor Energy Use (kWh)]])),0)</f>
        <v>0</v>
      </c>
      <c r="BD66" s="804">
        <f>SUM((Table411[[#This Row],[Baseline Annual Energy Use]]-Table411[[#This Row],[Replacement Annual Energy Use]]),(Table411[[#This Row],[Replacement VFD Energy Savings (kWh)]]-Table411[[#This Row],[Baseline VFD Energy Savings (kWh)]]))</f>
        <v>0</v>
      </c>
      <c r="BE66" s="930">
        <f>'Grid Electricity'!$B$19</f>
        <v>2.1064475489616943E-4</v>
      </c>
      <c r="BF66" s="803" t="s">
        <v>586</v>
      </c>
      <c r="BG66" s="806">
        <f>Table411[[#This Row],[Baseline Annual Energy Use]]*Table411[[#This Row],[Fuel Carbon Content]]</f>
        <v>0</v>
      </c>
      <c r="BH66" s="806">
        <f>Table411[[#This Row],[Replacement Annual Energy Use]]*Table411[[#This Row],[Fuel Carbon Content]]</f>
        <v>0</v>
      </c>
      <c r="BI66" s="806">
        <f t="shared" si="23"/>
        <v>0</v>
      </c>
      <c r="BJ66" s="804">
        <f t="shared" si="51"/>
        <v>0</v>
      </c>
      <c r="BK66" s="807">
        <v>0.76</v>
      </c>
      <c r="BL66" s="813">
        <f>IFERROR(BD66*'Grid Electricity'!$D$39,0)</f>
        <v>0</v>
      </c>
      <c r="BM66" s="813">
        <f>IFERROR(BD66*'Grid Electricity'!$C$39,0)</f>
        <v>0</v>
      </c>
      <c r="BN66" s="813">
        <f>IFERROR(BD66*'Grid Electricity'!$F$39,0)</f>
        <v>0</v>
      </c>
      <c r="BO66" s="813">
        <f t="shared" si="52"/>
        <v>0</v>
      </c>
      <c r="BP66" s="814">
        <f t="shared" si="53"/>
        <v>0</v>
      </c>
      <c r="BQ66" s="814">
        <f t="shared" si="54"/>
        <v>0</v>
      </c>
      <c r="BR66" s="814">
        <f t="shared" si="55"/>
        <v>0</v>
      </c>
      <c r="BS66" s="814">
        <f t="shared" si="56"/>
        <v>0</v>
      </c>
      <c r="BT66" s="818">
        <f>((BB66-AB66)*'Fuel Prices'!$C$27)*(IF(ISBLANK(D66),15,D66))</f>
        <v>0</v>
      </c>
      <c r="BU66" s="818">
        <f>((BC66-AZ66)*'Fuel Prices'!$C$27)*(IF(ISBLANK(D66),15,D66))</f>
        <v>0</v>
      </c>
      <c r="BV66" s="818">
        <f t="shared" si="57"/>
        <v>0</v>
      </c>
      <c r="BW66" s="818">
        <f t="shared" si="58"/>
        <v>0</v>
      </c>
      <c r="BX66" s="804" t="str">
        <f t="shared" si="59"/>
        <v/>
      </c>
      <c r="BY66" s="804">
        <f t="shared" si="60"/>
        <v>0</v>
      </c>
      <c r="BZ66" s="804">
        <v>0</v>
      </c>
      <c r="CA66" s="804">
        <f t="shared" si="34"/>
        <v>0</v>
      </c>
      <c r="CB66" s="804">
        <f t="shared" si="35"/>
        <v>0</v>
      </c>
      <c r="CC66" s="804">
        <f t="shared" si="36"/>
        <v>0</v>
      </c>
      <c r="CD66" s="804">
        <f t="shared" si="37"/>
        <v>0</v>
      </c>
      <c r="CE66" s="804">
        <f t="shared" si="38"/>
        <v>0</v>
      </c>
      <c r="CF66" s="804">
        <f t="shared" si="39"/>
        <v>0</v>
      </c>
      <c r="CG66" s="818">
        <f t="shared" si="40"/>
        <v>0</v>
      </c>
    </row>
    <row r="67" spans="1:85" ht="18" customHeight="1" x14ac:dyDescent="0.35">
      <c r="A67" s="696"/>
      <c r="B67" s="820"/>
      <c r="C67" s="825" t="str">
        <f t="shared" si="41"/>
        <v>(Required)</v>
      </c>
      <c r="D67" s="821"/>
      <c r="E67" s="825" t="str">
        <f t="shared" si="1"/>
        <v>(Required)</v>
      </c>
      <c r="F67" s="822"/>
      <c r="G67" s="825" t="str">
        <f t="shared" si="42"/>
        <v>(Required)</v>
      </c>
      <c r="H67" s="821"/>
      <c r="I67" s="825" t="str">
        <f t="shared" si="3"/>
        <v>(Required)</v>
      </c>
      <c r="J67" s="821"/>
      <c r="K67" s="825" t="str">
        <f t="shared" si="4"/>
        <v>(Required)</v>
      </c>
      <c r="L67" s="821"/>
      <c r="M67" s="825" t="str">
        <f t="shared" si="5"/>
        <v>(Required)</v>
      </c>
      <c r="N67" s="821"/>
      <c r="O67" s="825" t="str">
        <f t="shared" si="6"/>
        <v>(Required)</v>
      </c>
      <c r="P67" s="924"/>
      <c r="Q67" s="825" t="str">
        <f t="shared" si="7"/>
        <v>(Optional)</v>
      </c>
      <c r="R67" s="821"/>
      <c r="S67" s="827" t="str">
        <f t="shared" si="43"/>
        <v>(Required)</v>
      </c>
      <c r="T67" s="828"/>
      <c r="U67" s="799" t="str">
        <f t="shared" si="9"/>
        <v>(Optional)</v>
      </c>
      <c r="V67" s="824"/>
      <c r="W67" s="799" t="str">
        <f t="shared" si="9"/>
        <v>(Optional)</v>
      </c>
      <c r="X67" s="925"/>
      <c r="Y67" s="926" t="str">
        <f t="shared" si="44"/>
        <v>(Required)</v>
      </c>
      <c r="Z67" s="925"/>
      <c r="AA67" s="926" t="str">
        <f t="shared" si="45"/>
        <v>(Required)</v>
      </c>
      <c r="AB6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7" s="822"/>
      <c r="AE67" s="825" t="str">
        <f t="shared" si="12"/>
        <v>(Required)</v>
      </c>
      <c r="AF67" s="821"/>
      <c r="AG67" s="825" t="str">
        <f t="shared" si="13"/>
        <v>(Required)</v>
      </c>
      <c r="AH67" s="821"/>
      <c r="AI67" s="825" t="str">
        <f t="shared" si="14"/>
        <v>(Required)</v>
      </c>
      <c r="AJ67" s="821"/>
      <c r="AK67" s="825" t="str">
        <f t="shared" si="15"/>
        <v>(Required)</v>
      </c>
      <c r="AL67" s="821"/>
      <c r="AM67" s="825" t="str">
        <f t="shared" si="16"/>
        <v>(Required)</v>
      </c>
      <c r="AN67" s="924"/>
      <c r="AO67" s="825" t="str">
        <f t="shared" si="46"/>
        <v>(Required)</v>
      </c>
      <c r="AP67" s="821"/>
      <c r="AQ67" s="827" t="str">
        <f t="shared" si="47"/>
        <v>(Required)</v>
      </c>
      <c r="AR67" s="928"/>
      <c r="AS67" s="826" t="str">
        <f t="shared" si="48"/>
        <v>(Optional)</v>
      </c>
      <c r="AT67" s="928"/>
      <c r="AU67" s="826" t="str">
        <f t="shared" si="20"/>
        <v>(Optional)</v>
      </c>
      <c r="AV67" s="931"/>
      <c r="AW67" s="825" t="str">
        <f t="shared" si="49"/>
        <v>(Required)</v>
      </c>
      <c r="AX67" s="931"/>
      <c r="AY67" s="825" t="str">
        <f t="shared" si="50"/>
        <v>(Required)</v>
      </c>
      <c r="AZ6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7" s="804">
        <f>IFERROR(IF(Table411[[#This Row],[Is Baseline Pump Motor Energy Use Known? (Yes/No)]]="Yes",(Table411[[#This Row],[Annual Baseline Energy Use (kWh/yr)]]),(Table411[[#This Row],[Baseline Motor Energy Use (kWh)]])),0)</f>
        <v>0</v>
      </c>
      <c r="BC67" s="804">
        <f>IFERROR(IF(Table411[[#This Row],[Is Replacement Pump Motor Energy Use Known? (Yes/No)]]="Yes",(Table411[[#This Row],[Annual Replacement Energy Use (kWh/yr)]]),(Table411[[#This Row],[Replacement Motor Energy Use (kWh)]])),0)</f>
        <v>0</v>
      </c>
      <c r="BD67" s="804">
        <f>SUM((Table411[[#This Row],[Baseline Annual Energy Use]]-Table411[[#This Row],[Replacement Annual Energy Use]]),(Table411[[#This Row],[Replacement VFD Energy Savings (kWh)]]-Table411[[#This Row],[Baseline VFD Energy Savings (kWh)]]))</f>
        <v>0</v>
      </c>
      <c r="BE67" s="930">
        <f>'Grid Electricity'!$B$19</f>
        <v>2.1064475489616943E-4</v>
      </c>
      <c r="BF67" s="803" t="s">
        <v>586</v>
      </c>
      <c r="BG67" s="806">
        <f>Table411[[#This Row],[Baseline Annual Energy Use]]*Table411[[#This Row],[Fuel Carbon Content]]</f>
        <v>0</v>
      </c>
      <c r="BH67" s="806">
        <f>Table411[[#This Row],[Replacement Annual Energy Use]]*Table411[[#This Row],[Fuel Carbon Content]]</f>
        <v>0</v>
      </c>
      <c r="BI67" s="806">
        <f t="shared" si="23"/>
        <v>0</v>
      </c>
      <c r="BJ67" s="804">
        <f t="shared" si="51"/>
        <v>0</v>
      </c>
      <c r="BK67" s="807">
        <v>0.76</v>
      </c>
      <c r="BL67" s="813">
        <f>IFERROR(BD67*'Grid Electricity'!$D$39,0)</f>
        <v>0</v>
      </c>
      <c r="BM67" s="813">
        <f>IFERROR(BD67*'Grid Electricity'!$C$39,0)</f>
        <v>0</v>
      </c>
      <c r="BN67" s="813">
        <f>IFERROR(BD67*'Grid Electricity'!$F$39,0)</f>
        <v>0</v>
      </c>
      <c r="BO67" s="813">
        <f t="shared" si="52"/>
        <v>0</v>
      </c>
      <c r="BP67" s="814">
        <f t="shared" si="53"/>
        <v>0</v>
      </c>
      <c r="BQ67" s="814">
        <f t="shared" si="54"/>
        <v>0</v>
      </c>
      <c r="BR67" s="814">
        <f t="shared" si="55"/>
        <v>0</v>
      </c>
      <c r="BS67" s="814">
        <f t="shared" si="56"/>
        <v>0</v>
      </c>
      <c r="BT67" s="818">
        <f>((BB67-AB67)*'Fuel Prices'!$C$27)*(IF(ISBLANK(D67),15,D67))</f>
        <v>0</v>
      </c>
      <c r="BU67" s="818">
        <f>((BC67-AZ67)*'Fuel Prices'!$C$27)*(IF(ISBLANK(D67),15,D67))</f>
        <v>0</v>
      </c>
      <c r="BV67" s="818">
        <f t="shared" si="57"/>
        <v>0</v>
      </c>
      <c r="BW67" s="818">
        <f t="shared" si="58"/>
        <v>0</v>
      </c>
      <c r="BX67" s="804" t="str">
        <f t="shared" si="59"/>
        <v/>
      </c>
      <c r="BY67" s="804">
        <f t="shared" si="60"/>
        <v>0</v>
      </c>
      <c r="BZ67" s="804">
        <v>0</v>
      </c>
      <c r="CA67" s="804">
        <f t="shared" si="34"/>
        <v>0</v>
      </c>
      <c r="CB67" s="804">
        <f t="shared" si="35"/>
        <v>0</v>
      </c>
      <c r="CC67" s="804">
        <f t="shared" si="36"/>
        <v>0</v>
      </c>
      <c r="CD67" s="804">
        <f t="shared" si="37"/>
        <v>0</v>
      </c>
      <c r="CE67" s="804">
        <f t="shared" si="38"/>
        <v>0</v>
      </c>
      <c r="CF67" s="804">
        <f t="shared" si="39"/>
        <v>0</v>
      </c>
      <c r="CG67" s="818">
        <f t="shared" si="40"/>
        <v>0</v>
      </c>
    </row>
    <row r="68" spans="1:85" ht="18" customHeight="1" x14ac:dyDescent="0.35">
      <c r="A68" s="635"/>
      <c r="B68" s="820"/>
      <c r="C68" s="825" t="str">
        <f t="shared" si="41"/>
        <v>(Required)</v>
      </c>
      <c r="D68" s="821"/>
      <c r="E68" s="825" t="str">
        <f t="shared" si="1"/>
        <v>(Required)</v>
      </c>
      <c r="F68" s="822"/>
      <c r="G68" s="825" t="str">
        <f t="shared" si="42"/>
        <v>(Required)</v>
      </c>
      <c r="H68" s="821"/>
      <c r="I68" s="825" t="str">
        <f t="shared" si="3"/>
        <v>(Required)</v>
      </c>
      <c r="J68" s="821"/>
      <c r="K68" s="825" t="str">
        <f t="shared" si="4"/>
        <v>(Required)</v>
      </c>
      <c r="L68" s="821"/>
      <c r="M68" s="825" t="str">
        <f t="shared" si="5"/>
        <v>(Required)</v>
      </c>
      <c r="N68" s="821"/>
      <c r="O68" s="825" t="str">
        <f t="shared" si="6"/>
        <v>(Required)</v>
      </c>
      <c r="P68" s="924"/>
      <c r="Q68" s="825" t="str">
        <f t="shared" si="7"/>
        <v>(Optional)</v>
      </c>
      <c r="R68" s="821"/>
      <c r="S68" s="827" t="str">
        <f t="shared" si="43"/>
        <v>(Required)</v>
      </c>
      <c r="T68" s="828"/>
      <c r="U68" s="799" t="str">
        <f t="shared" si="9"/>
        <v>(Optional)</v>
      </c>
      <c r="V68" s="824"/>
      <c r="W68" s="799" t="str">
        <f t="shared" si="9"/>
        <v>(Optional)</v>
      </c>
      <c r="X68" s="925"/>
      <c r="Y68" s="926" t="str">
        <f t="shared" si="44"/>
        <v>(Required)</v>
      </c>
      <c r="Z68" s="925"/>
      <c r="AA68" s="926" t="str">
        <f t="shared" si="45"/>
        <v>(Required)</v>
      </c>
      <c r="AB6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8" s="822"/>
      <c r="AE68" s="825" t="str">
        <f t="shared" si="12"/>
        <v>(Required)</v>
      </c>
      <c r="AF68" s="821"/>
      <c r="AG68" s="825" t="str">
        <f t="shared" si="13"/>
        <v>(Required)</v>
      </c>
      <c r="AH68" s="821"/>
      <c r="AI68" s="825" t="str">
        <f t="shared" si="14"/>
        <v>(Required)</v>
      </c>
      <c r="AJ68" s="821"/>
      <c r="AK68" s="825" t="str">
        <f t="shared" si="15"/>
        <v>(Required)</v>
      </c>
      <c r="AL68" s="821"/>
      <c r="AM68" s="825" t="str">
        <f t="shared" si="16"/>
        <v>(Required)</v>
      </c>
      <c r="AN68" s="924"/>
      <c r="AO68" s="825" t="str">
        <f t="shared" si="46"/>
        <v>(Required)</v>
      </c>
      <c r="AP68" s="821"/>
      <c r="AQ68" s="827" t="str">
        <f t="shared" si="47"/>
        <v>(Required)</v>
      </c>
      <c r="AR68" s="928"/>
      <c r="AS68" s="826" t="str">
        <f t="shared" si="48"/>
        <v>(Optional)</v>
      </c>
      <c r="AT68" s="928"/>
      <c r="AU68" s="826" t="str">
        <f t="shared" si="20"/>
        <v>(Optional)</v>
      </c>
      <c r="AV68" s="931"/>
      <c r="AW68" s="825" t="str">
        <f t="shared" si="49"/>
        <v>(Required)</v>
      </c>
      <c r="AX68" s="931"/>
      <c r="AY68" s="825" t="str">
        <f t="shared" si="50"/>
        <v>(Required)</v>
      </c>
      <c r="AZ6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8" s="804">
        <f>IFERROR(IF(Table411[[#This Row],[Is Baseline Pump Motor Energy Use Known? (Yes/No)]]="Yes",(Table411[[#This Row],[Annual Baseline Energy Use (kWh/yr)]]),(Table411[[#This Row],[Baseline Motor Energy Use (kWh)]])),0)</f>
        <v>0</v>
      </c>
      <c r="BC68" s="804">
        <f>IFERROR(IF(Table411[[#This Row],[Is Replacement Pump Motor Energy Use Known? (Yes/No)]]="Yes",(Table411[[#This Row],[Annual Replacement Energy Use (kWh/yr)]]),(Table411[[#This Row],[Replacement Motor Energy Use (kWh)]])),0)</f>
        <v>0</v>
      </c>
      <c r="BD68" s="804">
        <f>SUM((Table411[[#This Row],[Baseline Annual Energy Use]]-Table411[[#This Row],[Replacement Annual Energy Use]]),(Table411[[#This Row],[Replacement VFD Energy Savings (kWh)]]-Table411[[#This Row],[Baseline VFD Energy Savings (kWh)]]))</f>
        <v>0</v>
      </c>
      <c r="BE68" s="930">
        <f>'Grid Electricity'!$B$19</f>
        <v>2.1064475489616943E-4</v>
      </c>
      <c r="BF68" s="803" t="s">
        <v>586</v>
      </c>
      <c r="BG68" s="806">
        <f>Table411[[#This Row],[Baseline Annual Energy Use]]*Table411[[#This Row],[Fuel Carbon Content]]</f>
        <v>0</v>
      </c>
      <c r="BH68" s="806">
        <f>Table411[[#This Row],[Replacement Annual Energy Use]]*Table411[[#This Row],[Fuel Carbon Content]]</f>
        <v>0</v>
      </c>
      <c r="BI68" s="806">
        <f t="shared" si="23"/>
        <v>0</v>
      </c>
      <c r="BJ68" s="804">
        <f t="shared" si="51"/>
        <v>0</v>
      </c>
      <c r="BK68" s="807">
        <v>0.76</v>
      </c>
      <c r="BL68" s="813">
        <f>IFERROR(BD68*'Grid Electricity'!$D$39,0)</f>
        <v>0</v>
      </c>
      <c r="BM68" s="813">
        <f>IFERROR(BD68*'Grid Electricity'!$C$39,0)</f>
        <v>0</v>
      </c>
      <c r="BN68" s="813">
        <f>IFERROR(BD68*'Grid Electricity'!$F$39,0)</f>
        <v>0</v>
      </c>
      <c r="BO68" s="813">
        <f t="shared" si="52"/>
        <v>0</v>
      </c>
      <c r="BP68" s="814">
        <f t="shared" si="53"/>
        <v>0</v>
      </c>
      <c r="BQ68" s="814">
        <f t="shared" si="54"/>
        <v>0</v>
      </c>
      <c r="BR68" s="814">
        <f t="shared" si="55"/>
        <v>0</v>
      </c>
      <c r="BS68" s="814">
        <f t="shared" si="56"/>
        <v>0</v>
      </c>
      <c r="BT68" s="818">
        <f>((BB68-AB68)*'Fuel Prices'!$C$27)*(IF(ISBLANK(D68),15,D68))</f>
        <v>0</v>
      </c>
      <c r="BU68" s="818">
        <f>((BC68-AZ68)*'Fuel Prices'!$C$27)*(IF(ISBLANK(D68),15,D68))</f>
        <v>0</v>
      </c>
      <c r="BV68" s="818">
        <f t="shared" si="57"/>
        <v>0</v>
      </c>
      <c r="BW68" s="818">
        <f t="shared" si="58"/>
        <v>0</v>
      </c>
      <c r="BX68" s="804" t="str">
        <f t="shared" si="59"/>
        <v/>
      </c>
      <c r="BY68" s="804">
        <f t="shared" si="60"/>
        <v>0</v>
      </c>
      <c r="BZ68" s="804">
        <v>0</v>
      </c>
      <c r="CA68" s="804">
        <f t="shared" si="34"/>
        <v>0</v>
      </c>
      <c r="CB68" s="804">
        <f t="shared" si="35"/>
        <v>0</v>
      </c>
      <c r="CC68" s="804">
        <f t="shared" si="36"/>
        <v>0</v>
      </c>
      <c r="CD68" s="804">
        <f t="shared" si="37"/>
        <v>0</v>
      </c>
      <c r="CE68" s="804">
        <f t="shared" si="38"/>
        <v>0</v>
      </c>
      <c r="CF68" s="804">
        <f t="shared" si="39"/>
        <v>0</v>
      </c>
      <c r="CG68" s="818">
        <f t="shared" si="40"/>
        <v>0</v>
      </c>
    </row>
    <row r="69" spans="1:85" ht="18" customHeight="1" x14ac:dyDescent="0.35">
      <c r="A69" s="696"/>
      <c r="B69" s="820"/>
      <c r="C69" s="825" t="str">
        <f t="shared" si="41"/>
        <v>(Required)</v>
      </c>
      <c r="D69" s="821"/>
      <c r="E69" s="825" t="str">
        <f t="shared" si="1"/>
        <v>(Required)</v>
      </c>
      <c r="F69" s="822"/>
      <c r="G69" s="825" t="str">
        <f t="shared" si="42"/>
        <v>(Required)</v>
      </c>
      <c r="H69" s="821"/>
      <c r="I69" s="825" t="str">
        <f t="shared" si="3"/>
        <v>(Required)</v>
      </c>
      <c r="J69" s="821"/>
      <c r="K69" s="825" t="str">
        <f t="shared" si="4"/>
        <v>(Required)</v>
      </c>
      <c r="L69" s="821"/>
      <c r="M69" s="825" t="str">
        <f t="shared" si="5"/>
        <v>(Required)</v>
      </c>
      <c r="N69" s="821"/>
      <c r="O69" s="825" t="str">
        <f t="shared" si="6"/>
        <v>(Required)</v>
      </c>
      <c r="P69" s="924"/>
      <c r="Q69" s="825" t="str">
        <f t="shared" si="7"/>
        <v>(Optional)</v>
      </c>
      <c r="R69" s="821"/>
      <c r="S69" s="827" t="str">
        <f t="shared" si="43"/>
        <v>(Required)</v>
      </c>
      <c r="T69" s="828"/>
      <c r="U69" s="799" t="str">
        <f t="shared" si="9"/>
        <v>(Optional)</v>
      </c>
      <c r="V69" s="824"/>
      <c r="W69" s="799" t="str">
        <f t="shared" si="9"/>
        <v>(Optional)</v>
      </c>
      <c r="X69" s="925"/>
      <c r="Y69" s="926" t="str">
        <f t="shared" si="44"/>
        <v>(Required)</v>
      </c>
      <c r="Z69" s="925"/>
      <c r="AA69" s="926" t="str">
        <f t="shared" si="45"/>
        <v>(Required)</v>
      </c>
      <c r="AB6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6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69" s="822"/>
      <c r="AE69" s="825" t="str">
        <f t="shared" si="12"/>
        <v>(Required)</v>
      </c>
      <c r="AF69" s="821"/>
      <c r="AG69" s="825" t="str">
        <f t="shared" si="13"/>
        <v>(Required)</v>
      </c>
      <c r="AH69" s="821"/>
      <c r="AI69" s="825" t="str">
        <f t="shared" si="14"/>
        <v>(Required)</v>
      </c>
      <c r="AJ69" s="821"/>
      <c r="AK69" s="825" t="str">
        <f t="shared" si="15"/>
        <v>(Required)</v>
      </c>
      <c r="AL69" s="821"/>
      <c r="AM69" s="825" t="str">
        <f t="shared" si="16"/>
        <v>(Required)</v>
      </c>
      <c r="AN69" s="924"/>
      <c r="AO69" s="825" t="str">
        <f t="shared" si="46"/>
        <v>(Required)</v>
      </c>
      <c r="AP69" s="821"/>
      <c r="AQ69" s="827" t="str">
        <f t="shared" si="47"/>
        <v>(Required)</v>
      </c>
      <c r="AR69" s="928"/>
      <c r="AS69" s="826" t="str">
        <f t="shared" si="48"/>
        <v>(Optional)</v>
      </c>
      <c r="AT69" s="928"/>
      <c r="AU69" s="826" t="str">
        <f t="shared" si="20"/>
        <v>(Optional)</v>
      </c>
      <c r="AV69" s="931"/>
      <c r="AW69" s="825" t="str">
        <f t="shared" si="49"/>
        <v>(Required)</v>
      </c>
      <c r="AX69" s="931"/>
      <c r="AY69" s="825" t="str">
        <f t="shared" si="50"/>
        <v>(Required)</v>
      </c>
      <c r="AZ6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6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69" s="804">
        <f>IFERROR(IF(Table411[[#This Row],[Is Baseline Pump Motor Energy Use Known? (Yes/No)]]="Yes",(Table411[[#This Row],[Annual Baseline Energy Use (kWh/yr)]]),(Table411[[#This Row],[Baseline Motor Energy Use (kWh)]])),0)</f>
        <v>0</v>
      </c>
      <c r="BC69" s="804">
        <f>IFERROR(IF(Table411[[#This Row],[Is Replacement Pump Motor Energy Use Known? (Yes/No)]]="Yes",(Table411[[#This Row],[Annual Replacement Energy Use (kWh/yr)]]),(Table411[[#This Row],[Replacement Motor Energy Use (kWh)]])),0)</f>
        <v>0</v>
      </c>
      <c r="BD69" s="804">
        <f>SUM((Table411[[#This Row],[Baseline Annual Energy Use]]-Table411[[#This Row],[Replacement Annual Energy Use]]),(Table411[[#This Row],[Replacement VFD Energy Savings (kWh)]]-Table411[[#This Row],[Baseline VFD Energy Savings (kWh)]]))</f>
        <v>0</v>
      </c>
      <c r="BE69" s="930">
        <f>'Grid Electricity'!$B$19</f>
        <v>2.1064475489616943E-4</v>
      </c>
      <c r="BF69" s="803" t="s">
        <v>586</v>
      </c>
      <c r="BG69" s="806">
        <f>Table411[[#This Row],[Baseline Annual Energy Use]]*Table411[[#This Row],[Fuel Carbon Content]]</f>
        <v>0</v>
      </c>
      <c r="BH69" s="806">
        <f>Table411[[#This Row],[Replacement Annual Energy Use]]*Table411[[#This Row],[Fuel Carbon Content]]</f>
        <v>0</v>
      </c>
      <c r="BI69" s="806">
        <f t="shared" si="23"/>
        <v>0</v>
      </c>
      <c r="BJ69" s="804">
        <f t="shared" si="51"/>
        <v>0</v>
      </c>
      <c r="BK69" s="807">
        <v>0.76</v>
      </c>
      <c r="BL69" s="813">
        <f>IFERROR(BD69*'Grid Electricity'!$D$39,0)</f>
        <v>0</v>
      </c>
      <c r="BM69" s="813">
        <f>IFERROR(BD69*'Grid Electricity'!$C$39,0)</f>
        <v>0</v>
      </c>
      <c r="BN69" s="813">
        <f>IFERROR(BD69*'Grid Electricity'!$F$39,0)</f>
        <v>0</v>
      </c>
      <c r="BO69" s="813">
        <f t="shared" si="52"/>
        <v>0</v>
      </c>
      <c r="BP69" s="814">
        <f t="shared" si="53"/>
        <v>0</v>
      </c>
      <c r="BQ69" s="814">
        <f t="shared" si="54"/>
        <v>0</v>
      </c>
      <c r="BR69" s="814">
        <f t="shared" si="55"/>
        <v>0</v>
      </c>
      <c r="BS69" s="814">
        <f t="shared" si="56"/>
        <v>0</v>
      </c>
      <c r="BT69" s="818">
        <f>((BB69-AB69)*'Fuel Prices'!$C$27)*(IF(ISBLANK(D69),15,D69))</f>
        <v>0</v>
      </c>
      <c r="BU69" s="818">
        <f>((BC69-AZ69)*'Fuel Prices'!$C$27)*(IF(ISBLANK(D69),15,D69))</f>
        <v>0</v>
      </c>
      <c r="BV69" s="818">
        <f t="shared" si="57"/>
        <v>0</v>
      </c>
      <c r="BW69" s="818">
        <f t="shared" si="58"/>
        <v>0</v>
      </c>
      <c r="BX69" s="804" t="str">
        <f t="shared" si="59"/>
        <v/>
      </c>
      <c r="BY69" s="804">
        <f t="shared" si="60"/>
        <v>0</v>
      </c>
      <c r="BZ69" s="804">
        <v>0</v>
      </c>
      <c r="CA69" s="804">
        <f t="shared" si="34"/>
        <v>0</v>
      </c>
      <c r="CB69" s="804">
        <f t="shared" si="35"/>
        <v>0</v>
      </c>
      <c r="CC69" s="804">
        <f t="shared" si="36"/>
        <v>0</v>
      </c>
      <c r="CD69" s="804">
        <f t="shared" si="37"/>
        <v>0</v>
      </c>
      <c r="CE69" s="804">
        <f t="shared" si="38"/>
        <v>0</v>
      </c>
      <c r="CF69" s="804">
        <f t="shared" si="39"/>
        <v>0</v>
      </c>
      <c r="CG69" s="818">
        <f t="shared" si="40"/>
        <v>0</v>
      </c>
    </row>
    <row r="70" spans="1:85" ht="18" customHeight="1" x14ac:dyDescent="0.35">
      <c r="A70" s="635"/>
      <c r="B70" s="820"/>
      <c r="C70" s="825" t="str">
        <f t="shared" si="41"/>
        <v>(Required)</v>
      </c>
      <c r="D70" s="821"/>
      <c r="E70" s="825" t="str">
        <f t="shared" si="1"/>
        <v>(Required)</v>
      </c>
      <c r="F70" s="822"/>
      <c r="G70" s="825" t="str">
        <f t="shared" si="42"/>
        <v>(Required)</v>
      </c>
      <c r="H70" s="821"/>
      <c r="I70" s="825" t="str">
        <f t="shared" si="3"/>
        <v>(Required)</v>
      </c>
      <c r="J70" s="821"/>
      <c r="K70" s="825" t="str">
        <f t="shared" si="4"/>
        <v>(Required)</v>
      </c>
      <c r="L70" s="821"/>
      <c r="M70" s="825" t="str">
        <f t="shared" si="5"/>
        <v>(Required)</v>
      </c>
      <c r="N70" s="821"/>
      <c r="O70" s="825" t="str">
        <f t="shared" si="6"/>
        <v>(Required)</v>
      </c>
      <c r="P70" s="924"/>
      <c r="Q70" s="825" t="str">
        <f t="shared" si="7"/>
        <v>(Optional)</v>
      </c>
      <c r="R70" s="821"/>
      <c r="S70" s="827" t="str">
        <f t="shared" si="43"/>
        <v>(Required)</v>
      </c>
      <c r="T70" s="828"/>
      <c r="U70" s="799" t="str">
        <f t="shared" si="9"/>
        <v>(Optional)</v>
      </c>
      <c r="V70" s="824"/>
      <c r="W70" s="799" t="str">
        <f t="shared" si="9"/>
        <v>(Optional)</v>
      </c>
      <c r="X70" s="925"/>
      <c r="Y70" s="926" t="str">
        <f t="shared" si="44"/>
        <v>(Required)</v>
      </c>
      <c r="Z70" s="925"/>
      <c r="AA70" s="926" t="str">
        <f t="shared" si="45"/>
        <v>(Required)</v>
      </c>
      <c r="AB7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0" s="822"/>
      <c r="AE70" s="825" t="str">
        <f t="shared" si="12"/>
        <v>(Required)</v>
      </c>
      <c r="AF70" s="821"/>
      <c r="AG70" s="825" t="str">
        <f t="shared" si="13"/>
        <v>(Required)</v>
      </c>
      <c r="AH70" s="821"/>
      <c r="AI70" s="825" t="str">
        <f t="shared" si="14"/>
        <v>(Required)</v>
      </c>
      <c r="AJ70" s="821"/>
      <c r="AK70" s="825" t="str">
        <f t="shared" si="15"/>
        <v>(Required)</v>
      </c>
      <c r="AL70" s="821"/>
      <c r="AM70" s="825" t="str">
        <f t="shared" si="16"/>
        <v>(Required)</v>
      </c>
      <c r="AN70" s="924"/>
      <c r="AO70" s="825" t="str">
        <f t="shared" si="46"/>
        <v>(Required)</v>
      </c>
      <c r="AP70" s="821"/>
      <c r="AQ70" s="827" t="str">
        <f t="shared" si="47"/>
        <v>(Required)</v>
      </c>
      <c r="AR70" s="928"/>
      <c r="AS70" s="826" t="str">
        <f t="shared" si="48"/>
        <v>(Optional)</v>
      </c>
      <c r="AT70" s="928"/>
      <c r="AU70" s="826" t="str">
        <f t="shared" si="20"/>
        <v>(Optional)</v>
      </c>
      <c r="AV70" s="931"/>
      <c r="AW70" s="825" t="str">
        <f t="shared" si="49"/>
        <v>(Required)</v>
      </c>
      <c r="AX70" s="931"/>
      <c r="AY70" s="825" t="str">
        <f t="shared" si="50"/>
        <v>(Required)</v>
      </c>
      <c r="AZ7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0" s="804">
        <f>IFERROR(IF(Table411[[#This Row],[Is Baseline Pump Motor Energy Use Known? (Yes/No)]]="Yes",(Table411[[#This Row],[Annual Baseline Energy Use (kWh/yr)]]),(Table411[[#This Row],[Baseline Motor Energy Use (kWh)]])),0)</f>
        <v>0</v>
      </c>
      <c r="BC70" s="804">
        <f>IFERROR(IF(Table411[[#This Row],[Is Replacement Pump Motor Energy Use Known? (Yes/No)]]="Yes",(Table411[[#This Row],[Annual Replacement Energy Use (kWh/yr)]]),(Table411[[#This Row],[Replacement Motor Energy Use (kWh)]])),0)</f>
        <v>0</v>
      </c>
      <c r="BD70" s="804">
        <f>SUM((Table411[[#This Row],[Baseline Annual Energy Use]]-Table411[[#This Row],[Replacement Annual Energy Use]]),(Table411[[#This Row],[Replacement VFD Energy Savings (kWh)]]-Table411[[#This Row],[Baseline VFD Energy Savings (kWh)]]))</f>
        <v>0</v>
      </c>
      <c r="BE70" s="930">
        <f>'Grid Electricity'!$B$19</f>
        <v>2.1064475489616943E-4</v>
      </c>
      <c r="BF70" s="803" t="s">
        <v>586</v>
      </c>
      <c r="BG70" s="806">
        <f>Table411[[#This Row],[Baseline Annual Energy Use]]*Table411[[#This Row],[Fuel Carbon Content]]</f>
        <v>0</v>
      </c>
      <c r="BH70" s="806">
        <f>Table411[[#This Row],[Replacement Annual Energy Use]]*Table411[[#This Row],[Fuel Carbon Content]]</f>
        <v>0</v>
      </c>
      <c r="BI70" s="806">
        <f t="shared" si="23"/>
        <v>0</v>
      </c>
      <c r="BJ70" s="804">
        <f t="shared" si="51"/>
        <v>0</v>
      </c>
      <c r="BK70" s="807">
        <v>0.76</v>
      </c>
      <c r="BL70" s="813">
        <f>IFERROR(BD70*'Grid Electricity'!$D$39,0)</f>
        <v>0</v>
      </c>
      <c r="BM70" s="813">
        <f>IFERROR(BD70*'Grid Electricity'!$C$39,0)</f>
        <v>0</v>
      </c>
      <c r="BN70" s="813">
        <f>IFERROR(BD70*'Grid Electricity'!$F$39,0)</f>
        <v>0</v>
      </c>
      <c r="BO70" s="813">
        <f t="shared" si="52"/>
        <v>0</v>
      </c>
      <c r="BP70" s="814">
        <f t="shared" si="53"/>
        <v>0</v>
      </c>
      <c r="BQ70" s="814">
        <f t="shared" si="54"/>
        <v>0</v>
      </c>
      <c r="BR70" s="814">
        <f t="shared" si="55"/>
        <v>0</v>
      </c>
      <c r="BS70" s="814">
        <f t="shared" si="56"/>
        <v>0</v>
      </c>
      <c r="BT70" s="818">
        <f>((BB70-AB70)*'Fuel Prices'!$C$27)*(IF(ISBLANK(D70),15,D70))</f>
        <v>0</v>
      </c>
      <c r="BU70" s="818">
        <f>((BC70-AZ70)*'Fuel Prices'!$C$27)*(IF(ISBLANK(D70),15,D70))</f>
        <v>0</v>
      </c>
      <c r="BV70" s="818">
        <f t="shared" si="57"/>
        <v>0</v>
      </c>
      <c r="BW70" s="818">
        <f t="shared" si="58"/>
        <v>0</v>
      </c>
      <c r="BX70" s="804" t="str">
        <f t="shared" si="59"/>
        <v/>
      </c>
      <c r="BY70" s="804">
        <f t="shared" si="60"/>
        <v>0</v>
      </c>
      <c r="BZ70" s="804">
        <v>0</v>
      </c>
      <c r="CA70" s="804">
        <f t="shared" si="34"/>
        <v>0</v>
      </c>
      <c r="CB70" s="804">
        <f t="shared" si="35"/>
        <v>0</v>
      </c>
      <c r="CC70" s="804">
        <f t="shared" si="36"/>
        <v>0</v>
      </c>
      <c r="CD70" s="804">
        <f t="shared" si="37"/>
        <v>0</v>
      </c>
      <c r="CE70" s="804">
        <f t="shared" si="38"/>
        <v>0</v>
      </c>
      <c r="CF70" s="804">
        <f t="shared" si="39"/>
        <v>0</v>
      </c>
      <c r="CG70" s="818">
        <f t="shared" si="40"/>
        <v>0</v>
      </c>
    </row>
    <row r="71" spans="1:85" ht="18" customHeight="1" x14ac:dyDescent="0.35">
      <c r="A71" s="696"/>
      <c r="B71" s="820"/>
      <c r="C71" s="825" t="str">
        <f t="shared" si="41"/>
        <v>(Required)</v>
      </c>
      <c r="D71" s="821"/>
      <c r="E71" s="825" t="str">
        <f t="shared" si="1"/>
        <v>(Required)</v>
      </c>
      <c r="F71" s="822"/>
      <c r="G71" s="825" t="str">
        <f t="shared" si="42"/>
        <v>(Required)</v>
      </c>
      <c r="H71" s="821"/>
      <c r="I71" s="825" t="str">
        <f t="shared" si="3"/>
        <v>(Required)</v>
      </c>
      <c r="J71" s="821"/>
      <c r="K71" s="825" t="str">
        <f t="shared" si="4"/>
        <v>(Required)</v>
      </c>
      <c r="L71" s="821"/>
      <c r="M71" s="825" t="str">
        <f t="shared" si="5"/>
        <v>(Required)</v>
      </c>
      <c r="N71" s="821"/>
      <c r="O71" s="825" t="str">
        <f t="shared" si="6"/>
        <v>(Required)</v>
      </c>
      <c r="P71" s="924"/>
      <c r="Q71" s="825" t="str">
        <f t="shared" si="7"/>
        <v>(Optional)</v>
      </c>
      <c r="R71" s="821"/>
      <c r="S71" s="827" t="str">
        <f t="shared" si="43"/>
        <v>(Required)</v>
      </c>
      <c r="T71" s="828"/>
      <c r="U71" s="799" t="str">
        <f t="shared" si="9"/>
        <v>(Optional)</v>
      </c>
      <c r="V71" s="824"/>
      <c r="W71" s="799" t="str">
        <f t="shared" si="9"/>
        <v>(Optional)</v>
      </c>
      <c r="X71" s="925"/>
      <c r="Y71" s="926" t="str">
        <f t="shared" si="44"/>
        <v>(Required)</v>
      </c>
      <c r="Z71" s="925"/>
      <c r="AA71" s="926" t="str">
        <f t="shared" si="45"/>
        <v>(Required)</v>
      </c>
      <c r="AB7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1" s="822"/>
      <c r="AE71" s="825" t="str">
        <f t="shared" si="12"/>
        <v>(Required)</v>
      </c>
      <c r="AF71" s="821"/>
      <c r="AG71" s="825" t="str">
        <f t="shared" si="13"/>
        <v>(Required)</v>
      </c>
      <c r="AH71" s="821"/>
      <c r="AI71" s="825" t="str">
        <f t="shared" si="14"/>
        <v>(Required)</v>
      </c>
      <c r="AJ71" s="821"/>
      <c r="AK71" s="825" t="str">
        <f t="shared" si="15"/>
        <v>(Required)</v>
      </c>
      <c r="AL71" s="821"/>
      <c r="AM71" s="825" t="str">
        <f t="shared" si="16"/>
        <v>(Required)</v>
      </c>
      <c r="AN71" s="924"/>
      <c r="AO71" s="825" t="str">
        <f t="shared" si="46"/>
        <v>(Required)</v>
      </c>
      <c r="AP71" s="821"/>
      <c r="AQ71" s="827" t="str">
        <f t="shared" si="47"/>
        <v>(Required)</v>
      </c>
      <c r="AR71" s="928"/>
      <c r="AS71" s="826" t="str">
        <f t="shared" si="48"/>
        <v>(Optional)</v>
      </c>
      <c r="AT71" s="928"/>
      <c r="AU71" s="826" t="str">
        <f t="shared" si="20"/>
        <v>(Optional)</v>
      </c>
      <c r="AV71" s="931"/>
      <c r="AW71" s="825" t="str">
        <f t="shared" si="49"/>
        <v>(Required)</v>
      </c>
      <c r="AX71" s="931"/>
      <c r="AY71" s="825" t="str">
        <f t="shared" si="50"/>
        <v>(Required)</v>
      </c>
      <c r="AZ7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1" s="804">
        <f>IFERROR(IF(Table411[[#This Row],[Is Baseline Pump Motor Energy Use Known? (Yes/No)]]="Yes",(Table411[[#This Row],[Annual Baseline Energy Use (kWh/yr)]]),(Table411[[#This Row],[Baseline Motor Energy Use (kWh)]])),0)</f>
        <v>0</v>
      </c>
      <c r="BC71" s="804">
        <f>IFERROR(IF(Table411[[#This Row],[Is Replacement Pump Motor Energy Use Known? (Yes/No)]]="Yes",(Table411[[#This Row],[Annual Replacement Energy Use (kWh/yr)]]),(Table411[[#This Row],[Replacement Motor Energy Use (kWh)]])),0)</f>
        <v>0</v>
      </c>
      <c r="BD71" s="804">
        <f>SUM((Table411[[#This Row],[Baseline Annual Energy Use]]-Table411[[#This Row],[Replacement Annual Energy Use]]),(Table411[[#This Row],[Replacement VFD Energy Savings (kWh)]]-Table411[[#This Row],[Baseline VFD Energy Savings (kWh)]]))</f>
        <v>0</v>
      </c>
      <c r="BE71" s="930">
        <f>'Grid Electricity'!$B$19</f>
        <v>2.1064475489616943E-4</v>
      </c>
      <c r="BF71" s="803" t="s">
        <v>586</v>
      </c>
      <c r="BG71" s="806">
        <f>Table411[[#This Row],[Baseline Annual Energy Use]]*Table411[[#This Row],[Fuel Carbon Content]]</f>
        <v>0</v>
      </c>
      <c r="BH71" s="806">
        <f>Table411[[#This Row],[Replacement Annual Energy Use]]*Table411[[#This Row],[Fuel Carbon Content]]</f>
        <v>0</v>
      </c>
      <c r="BI71" s="806">
        <f t="shared" si="23"/>
        <v>0</v>
      </c>
      <c r="BJ71" s="804">
        <f t="shared" si="51"/>
        <v>0</v>
      </c>
      <c r="BK71" s="807">
        <v>0.76</v>
      </c>
      <c r="BL71" s="813">
        <f>IFERROR(BD71*'Grid Electricity'!$D$39,0)</f>
        <v>0</v>
      </c>
      <c r="BM71" s="813">
        <f>IFERROR(BD71*'Grid Electricity'!$C$39,0)</f>
        <v>0</v>
      </c>
      <c r="BN71" s="813">
        <f>IFERROR(BD71*'Grid Electricity'!$F$39,0)</f>
        <v>0</v>
      </c>
      <c r="BO71" s="813">
        <f t="shared" si="52"/>
        <v>0</v>
      </c>
      <c r="BP71" s="814">
        <f t="shared" si="53"/>
        <v>0</v>
      </c>
      <c r="BQ71" s="814">
        <f t="shared" si="54"/>
        <v>0</v>
      </c>
      <c r="BR71" s="814">
        <f t="shared" si="55"/>
        <v>0</v>
      </c>
      <c r="BS71" s="814">
        <f t="shared" si="56"/>
        <v>0</v>
      </c>
      <c r="BT71" s="818">
        <f>((BB71-AB71)*'Fuel Prices'!$C$27)*(IF(ISBLANK(D71),15,D71))</f>
        <v>0</v>
      </c>
      <c r="BU71" s="818">
        <f>((BC71-AZ71)*'Fuel Prices'!$C$27)*(IF(ISBLANK(D71),15,D71))</f>
        <v>0</v>
      </c>
      <c r="BV71" s="818">
        <f t="shared" si="57"/>
        <v>0</v>
      </c>
      <c r="BW71" s="818">
        <f t="shared" si="58"/>
        <v>0</v>
      </c>
      <c r="BX71" s="804" t="str">
        <f t="shared" si="59"/>
        <v/>
      </c>
      <c r="BY71" s="804">
        <f t="shared" si="60"/>
        <v>0</v>
      </c>
      <c r="BZ71" s="804">
        <v>0</v>
      </c>
      <c r="CA71" s="804">
        <f t="shared" si="34"/>
        <v>0</v>
      </c>
      <c r="CB71" s="804">
        <f t="shared" si="35"/>
        <v>0</v>
      </c>
      <c r="CC71" s="804">
        <f t="shared" si="36"/>
        <v>0</v>
      </c>
      <c r="CD71" s="804">
        <f t="shared" si="37"/>
        <v>0</v>
      </c>
      <c r="CE71" s="804">
        <f t="shared" si="38"/>
        <v>0</v>
      </c>
      <c r="CF71" s="804">
        <f t="shared" si="39"/>
        <v>0</v>
      </c>
      <c r="CG71" s="818">
        <f t="shared" si="40"/>
        <v>0</v>
      </c>
    </row>
    <row r="72" spans="1:85" ht="18" customHeight="1" x14ac:dyDescent="0.35">
      <c r="A72" s="635"/>
      <c r="B72" s="820"/>
      <c r="C72" s="825" t="str">
        <f t="shared" si="41"/>
        <v>(Required)</v>
      </c>
      <c r="D72" s="821"/>
      <c r="E72" s="825" t="str">
        <f t="shared" si="1"/>
        <v>(Required)</v>
      </c>
      <c r="F72" s="822"/>
      <c r="G72" s="825" t="str">
        <f t="shared" si="42"/>
        <v>(Required)</v>
      </c>
      <c r="H72" s="821"/>
      <c r="I72" s="825" t="str">
        <f t="shared" si="3"/>
        <v>(Required)</v>
      </c>
      <c r="J72" s="821"/>
      <c r="K72" s="825" t="str">
        <f t="shared" si="4"/>
        <v>(Required)</v>
      </c>
      <c r="L72" s="821"/>
      <c r="M72" s="825" t="str">
        <f t="shared" si="5"/>
        <v>(Required)</v>
      </c>
      <c r="N72" s="821"/>
      <c r="O72" s="825" t="str">
        <f t="shared" si="6"/>
        <v>(Required)</v>
      </c>
      <c r="P72" s="924"/>
      <c r="Q72" s="825" t="str">
        <f t="shared" si="7"/>
        <v>(Optional)</v>
      </c>
      <c r="R72" s="821"/>
      <c r="S72" s="827" t="str">
        <f t="shared" si="43"/>
        <v>(Required)</v>
      </c>
      <c r="T72" s="828"/>
      <c r="U72" s="799" t="str">
        <f t="shared" si="9"/>
        <v>(Optional)</v>
      </c>
      <c r="V72" s="824"/>
      <c r="W72" s="799" t="str">
        <f t="shared" si="9"/>
        <v>(Optional)</v>
      </c>
      <c r="X72" s="925"/>
      <c r="Y72" s="926" t="str">
        <f t="shared" si="44"/>
        <v>(Required)</v>
      </c>
      <c r="Z72" s="925"/>
      <c r="AA72" s="926" t="str">
        <f t="shared" si="45"/>
        <v>(Required)</v>
      </c>
      <c r="AB7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2" s="822"/>
      <c r="AE72" s="825" t="str">
        <f t="shared" si="12"/>
        <v>(Required)</v>
      </c>
      <c r="AF72" s="821"/>
      <c r="AG72" s="825" t="str">
        <f t="shared" si="13"/>
        <v>(Required)</v>
      </c>
      <c r="AH72" s="821"/>
      <c r="AI72" s="825" t="str">
        <f t="shared" si="14"/>
        <v>(Required)</v>
      </c>
      <c r="AJ72" s="821"/>
      <c r="AK72" s="825" t="str">
        <f t="shared" si="15"/>
        <v>(Required)</v>
      </c>
      <c r="AL72" s="821"/>
      <c r="AM72" s="825" t="str">
        <f t="shared" si="16"/>
        <v>(Required)</v>
      </c>
      <c r="AN72" s="924"/>
      <c r="AO72" s="825" t="str">
        <f t="shared" si="46"/>
        <v>(Required)</v>
      </c>
      <c r="AP72" s="821"/>
      <c r="AQ72" s="827" t="str">
        <f t="shared" si="47"/>
        <v>(Required)</v>
      </c>
      <c r="AR72" s="928"/>
      <c r="AS72" s="826" t="str">
        <f t="shared" si="48"/>
        <v>(Optional)</v>
      </c>
      <c r="AT72" s="928"/>
      <c r="AU72" s="826" t="str">
        <f t="shared" si="20"/>
        <v>(Optional)</v>
      </c>
      <c r="AV72" s="931"/>
      <c r="AW72" s="825" t="str">
        <f t="shared" si="49"/>
        <v>(Required)</v>
      </c>
      <c r="AX72" s="931"/>
      <c r="AY72" s="825" t="str">
        <f t="shared" si="50"/>
        <v>(Required)</v>
      </c>
      <c r="AZ7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2" s="804">
        <f>IFERROR(IF(Table411[[#This Row],[Is Baseline Pump Motor Energy Use Known? (Yes/No)]]="Yes",(Table411[[#This Row],[Annual Baseline Energy Use (kWh/yr)]]),(Table411[[#This Row],[Baseline Motor Energy Use (kWh)]])),0)</f>
        <v>0</v>
      </c>
      <c r="BC72" s="804">
        <f>IFERROR(IF(Table411[[#This Row],[Is Replacement Pump Motor Energy Use Known? (Yes/No)]]="Yes",(Table411[[#This Row],[Annual Replacement Energy Use (kWh/yr)]]),(Table411[[#This Row],[Replacement Motor Energy Use (kWh)]])),0)</f>
        <v>0</v>
      </c>
      <c r="BD72" s="804">
        <f>SUM((Table411[[#This Row],[Baseline Annual Energy Use]]-Table411[[#This Row],[Replacement Annual Energy Use]]),(Table411[[#This Row],[Replacement VFD Energy Savings (kWh)]]-Table411[[#This Row],[Baseline VFD Energy Savings (kWh)]]))</f>
        <v>0</v>
      </c>
      <c r="BE72" s="930">
        <f>'Grid Electricity'!$B$19</f>
        <v>2.1064475489616943E-4</v>
      </c>
      <c r="BF72" s="803" t="s">
        <v>586</v>
      </c>
      <c r="BG72" s="806">
        <f>Table411[[#This Row],[Baseline Annual Energy Use]]*Table411[[#This Row],[Fuel Carbon Content]]</f>
        <v>0</v>
      </c>
      <c r="BH72" s="806">
        <f>Table411[[#This Row],[Replacement Annual Energy Use]]*Table411[[#This Row],[Fuel Carbon Content]]</f>
        <v>0</v>
      </c>
      <c r="BI72" s="806">
        <f t="shared" si="23"/>
        <v>0</v>
      </c>
      <c r="BJ72" s="804">
        <f t="shared" si="51"/>
        <v>0</v>
      </c>
      <c r="BK72" s="807">
        <v>0.76</v>
      </c>
      <c r="BL72" s="813">
        <f>IFERROR(BD72*'Grid Electricity'!$D$39,0)</f>
        <v>0</v>
      </c>
      <c r="BM72" s="813">
        <f>IFERROR(BD72*'Grid Electricity'!$C$39,0)</f>
        <v>0</v>
      </c>
      <c r="BN72" s="813">
        <f>IFERROR(BD72*'Grid Electricity'!$F$39,0)</f>
        <v>0</v>
      </c>
      <c r="BO72" s="813">
        <f t="shared" si="52"/>
        <v>0</v>
      </c>
      <c r="BP72" s="814">
        <f t="shared" si="53"/>
        <v>0</v>
      </c>
      <c r="BQ72" s="814">
        <f t="shared" si="54"/>
        <v>0</v>
      </c>
      <c r="BR72" s="814">
        <f t="shared" si="55"/>
        <v>0</v>
      </c>
      <c r="BS72" s="814">
        <f t="shared" si="56"/>
        <v>0</v>
      </c>
      <c r="BT72" s="818">
        <f>((BB72-AB72)*'Fuel Prices'!$C$27)*(IF(ISBLANK(D72),15,D72))</f>
        <v>0</v>
      </c>
      <c r="BU72" s="818">
        <f>((BC72-AZ72)*'Fuel Prices'!$C$27)*(IF(ISBLANK(D72),15,D72))</f>
        <v>0</v>
      </c>
      <c r="BV72" s="818">
        <f t="shared" si="57"/>
        <v>0</v>
      </c>
      <c r="BW72" s="818">
        <f t="shared" si="58"/>
        <v>0</v>
      </c>
      <c r="BX72" s="804" t="str">
        <f t="shared" si="59"/>
        <v/>
      </c>
      <c r="BY72" s="804">
        <f t="shared" si="60"/>
        <v>0</v>
      </c>
      <c r="BZ72" s="804">
        <v>0</v>
      </c>
      <c r="CA72" s="804">
        <f t="shared" si="34"/>
        <v>0</v>
      </c>
      <c r="CB72" s="804">
        <f t="shared" si="35"/>
        <v>0</v>
      </c>
      <c r="CC72" s="804">
        <f t="shared" si="36"/>
        <v>0</v>
      </c>
      <c r="CD72" s="804">
        <f t="shared" si="37"/>
        <v>0</v>
      </c>
      <c r="CE72" s="804">
        <f t="shared" si="38"/>
        <v>0</v>
      </c>
      <c r="CF72" s="804">
        <f t="shared" si="39"/>
        <v>0</v>
      </c>
      <c r="CG72" s="818">
        <f t="shared" si="40"/>
        <v>0</v>
      </c>
    </row>
    <row r="73" spans="1:85" ht="18" customHeight="1" x14ac:dyDescent="0.35">
      <c r="A73" s="696"/>
      <c r="B73" s="820"/>
      <c r="C73" s="825" t="str">
        <f t="shared" si="41"/>
        <v>(Required)</v>
      </c>
      <c r="D73" s="821"/>
      <c r="E73" s="825" t="str">
        <f t="shared" si="1"/>
        <v>(Required)</v>
      </c>
      <c r="F73" s="822"/>
      <c r="G73" s="825" t="str">
        <f t="shared" si="42"/>
        <v>(Required)</v>
      </c>
      <c r="H73" s="821"/>
      <c r="I73" s="825" t="str">
        <f t="shared" si="3"/>
        <v>(Required)</v>
      </c>
      <c r="J73" s="821"/>
      <c r="K73" s="825" t="str">
        <f t="shared" si="4"/>
        <v>(Required)</v>
      </c>
      <c r="L73" s="821"/>
      <c r="M73" s="825" t="str">
        <f t="shared" si="5"/>
        <v>(Required)</v>
      </c>
      <c r="N73" s="821"/>
      <c r="O73" s="825" t="str">
        <f t="shared" si="6"/>
        <v>(Required)</v>
      </c>
      <c r="P73" s="924"/>
      <c r="Q73" s="825" t="str">
        <f t="shared" si="7"/>
        <v>(Optional)</v>
      </c>
      <c r="R73" s="821"/>
      <c r="S73" s="827" t="str">
        <f t="shared" si="43"/>
        <v>(Required)</v>
      </c>
      <c r="T73" s="828"/>
      <c r="U73" s="799" t="str">
        <f t="shared" si="9"/>
        <v>(Optional)</v>
      </c>
      <c r="V73" s="824"/>
      <c r="W73" s="799" t="str">
        <f t="shared" si="9"/>
        <v>(Optional)</v>
      </c>
      <c r="X73" s="925"/>
      <c r="Y73" s="926" t="str">
        <f t="shared" si="44"/>
        <v>(Required)</v>
      </c>
      <c r="Z73" s="925"/>
      <c r="AA73" s="926" t="str">
        <f t="shared" si="45"/>
        <v>(Required)</v>
      </c>
      <c r="AB7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3" s="822"/>
      <c r="AE73" s="825" t="str">
        <f t="shared" si="12"/>
        <v>(Required)</v>
      </c>
      <c r="AF73" s="821"/>
      <c r="AG73" s="825" t="str">
        <f t="shared" si="13"/>
        <v>(Required)</v>
      </c>
      <c r="AH73" s="821"/>
      <c r="AI73" s="825" t="str">
        <f t="shared" si="14"/>
        <v>(Required)</v>
      </c>
      <c r="AJ73" s="821"/>
      <c r="AK73" s="825" t="str">
        <f t="shared" si="15"/>
        <v>(Required)</v>
      </c>
      <c r="AL73" s="821"/>
      <c r="AM73" s="825" t="str">
        <f t="shared" si="16"/>
        <v>(Required)</v>
      </c>
      <c r="AN73" s="924"/>
      <c r="AO73" s="825" t="str">
        <f t="shared" si="46"/>
        <v>(Required)</v>
      </c>
      <c r="AP73" s="821"/>
      <c r="AQ73" s="827" t="str">
        <f t="shared" si="47"/>
        <v>(Required)</v>
      </c>
      <c r="AR73" s="928"/>
      <c r="AS73" s="826" t="str">
        <f t="shared" si="48"/>
        <v>(Optional)</v>
      </c>
      <c r="AT73" s="928"/>
      <c r="AU73" s="826" t="str">
        <f t="shared" si="20"/>
        <v>(Optional)</v>
      </c>
      <c r="AV73" s="931"/>
      <c r="AW73" s="825" t="str">
        <f t="shared" si="49"/>
        <v>(Required)</v>
      </c>
      <c r="AX73" s="931"/>
      <c r="AY73" s="825" t="str">
        <f t="shared" si="50"/>
        <v>(Required)</v>
      </c>
      <c r="AZ7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3" s="804">
        <f>IFERROR(IF(Table411[[#This Row],[Is Baseline Pump Motor Energy Use Known? (Yes/No)]]="Yes",(Table411[[#This Row],[Annual Baseline Energy Use (kWh/yr)]]),(Table411[[#This Row],[Baseline Motor Energy Use (kWh)]])),0)</f>
        <v>0</v>
      </c>
      <c r="BC73" s="804">
        <f>IFERROR(IF(Table411[[#This Row],[Is Replacement Pump Motor Energy Use Known? (Yes/No)]]="Yes",(Table411[[#This Row],[Annual Replacement Energy Use (kWh/yr)]]),(Table411[[#This Row],[Replacement Motor Energy Use (kWh)]])),0)</f>
        <v>0</v>
      </c>
      <c r="BD73" s="804">
        <f>SUM((Table411[[#This Row],[Baseline Annual Energy Use]]-Table411[[#This Row],[Replacement Annual Energy Use]]),(Table411[[#This Row],[Replacement VFD Energy Savings (kWh)]]-Table411[[#This Row],[Baseline VFD Energy Savings (kWh)]]))</f>
        <v>0</v>
      </c>
      <c r="BE73" s="930">
        <f>'Grid Electricity'!$B$19</f>
        <v>2.1064475489616943E-4</v>
      </c>
      <c r="BF73" s="803" t="s">
        <v>586</v>
      </c>
      <c r="BG73" s="806">
        <f>Table411[[#This Row],[Baseline Annual Energy Use]]*Table411[[#This Row],[Fuel Carbon Content]]</f>
        <v>0</v>
      </c>
      <c r="BH73" s="806">
        <f>Table411[[#This Row],[Replacement Annual Energy Use]]*Table411[[#This Row],[Fuel Carbon Content]]</f>
        <v>0</v>
      </c>
      <c r="BI73" s="806">
        <f t="shared" si="23"/>
        <v>0</v>
      </c>
      <c r="BJ73" s="804">
        <f t="shared" si="51"/>
        <v>0</v>
      </c>
      <c r="BK73" s="807">
        <v>0.76</v>
      </c>
      <c r="BL73" s="813">
        <f>IFERROR(BD73*'Grid Electricity'!$D$39,0)</f>
        <v>0</v>
      </c>
      <c r="BM73" s="813">
        <f>IFERROR(BD73*'Grid Electricity'!$C$39,0)</f>
        <v>0</v>
      </c>
      <c r="BN73" s="813">
        <f>IFERROR(BD73*'Grid Electricity'!$F$39,0)</f>
        <v>0</v>
      </c>
      <c r="BO73" s="813">
        <f t="shared" si="52"/>
        <v>0</v>
      </c>
      <c r="BP73" s="814">
        <f t="shared" si="53"/>
        <v>0</v>
      </c>
      <c r="BQ73" s="814">
        <f t="shared" si="54"/>
        <v>0</v>
      </c>
      <c r="BR73" s="814">
        <f t="shared" si="55"/>
        <v>0</v>
      </c>
      <c r="BS73" s="814">
        <f t="shared" si="56"/>
        <v>0</v>
      </c>
      <c r="BT73" s="818">
        <f>((BB73-AB73)*'Fuel Prices'!$C$27)*(IF(ISBLANK(D73),15,D73))</f>
        <v>0</v>
      </c>
      <c r="BU73" s="818">
        <f>((BC73-AZ73)*'Fuel Prices'!$C$27)*(IF(ISBLANK(D73),15,D73))</f>
        <v>0</v>
      </c>
      <c r="BV73" s="818">
        <f t="shared" si="57"/>
        <v>0</v>
      </c>
      <c r="BW73" s="818">
        <f t="shared" si="58"/>
        <v>0</v>
      </c>
      <c r="BX73" s="804" t="str">
        <f t="shared" si="59"/>
        <v/>
      </c>
      <c r="BY73" s="804">
        <f t="shared" si="60"/>
        <v>0</v>
      </c>
      <c r="BZ73" s="804">
        <v>0</v>
      </c>
      <c r="CA73" s="804">
        <f t="shared" si="34"/>
        <v>0</v>
      </c>
      <c r="CB73" s="804">
        <f t="shared" si="35"/>
        <v>0</v>
      </c>
      <c r="CC73" s="804">
        <f t="shared" si="36"/>
        <v>0</v>
      </c>
      <c r="CD73" s="804">
        <f t="shared" si="37"/>
        <v>0</v>
      </c>
      <c r="CE73" s="804">
        <f t="shared" si="38"/>
        <v>0</v>
      </c>
      <c r="CF73" s="804">
        <f t="shared" si="39"/>
        <v>0</v>
      </c>
      <c r="CG73" s="818">
        <f t="shared" si="40"/>
        <v>0</v>
      </c>
    </row>
    <row r="74" spans="1:85" ht="18" customHeight="1" x14ac:dyDescent="0.35">
      <c r="A74" s="635"/>
      <c r="B74" s="820"/>
      <c r="C74" s="825" t="str">
        <f t="shared" si="41"/>
        <v>(Required)</v>
      </c>
      <c r="D74" s="821"/>
      <c r="E74" s="825" t="str">
        <f t="shared" si="1"/>
        <v>(Required)</v>
      </c>
      <c r="F74" s="822"/>
      <c r="G74" s="825" t="str">
        <f t="shared" si="42"/>
        <v>(Required)</v>
      </c>
      <c r="H74" s="821"/>
      <c r="I74" s="825" t="str">
        <f t="shared" si="3"/>
        <v>(Required)</v>
      </c>
      <c r="J74" s="821"/>
      <c r="K74" s="825" t="str">
        <f t="shared" si="4"/>
        <v>(Required)</v>
      </c>
      <c r="L74" s="821"/>
      <c r="M74" s="825" t="str">
        <f t="shared" si="5"/>
        <v>(Required)</v>
      </c>
      <c r="N74" s="821"/>
      <c r="O74" s="825" t="str">
        <f t="shared" si="6"/>
        <v>(Required)</v>
      </c>
      <c r="P74" s="924"/>
      <c r="Q74" s="825" t="str">
        <f t="shared" si="7"/>
        <v>(Optional)</v>
      </c>
      <c r="R74" s="821"/>
      <c r="S74" s="827" t="str">
        <f t="shared" si="43"/>
        <v>(Required)</v>
      </c>
      <c r="T74" s="828"/>
      <c r="U74" s="799" t="str">
        <f t="shared" si="9"/>
        <v>(Optional)</v>
      </c>
      <c r="V74" s="824"/>
      <c r="W74" s="799" t="str">
        <f t="shared" si="9"/>
        <v>(Optional)</v>
      </c>
      <c r="X74" s="925"/>
      <c r="Y74" s="926" t="str">
        <f t="shared" si="44"/>
        <v>(Required)</v>
      </c>
      <c r="Z74" s="925"/>
      <c r="AA74" s="926" t="str">
        <f t="shared" si="45"/>
        <v>(Required)</v>
      </c>
      <c r="AB7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4" s="822"/>
      <c r="AE74" s="825" t="str">
        <f t="shared" si="12"/>
        <v>(Required)</v>
      </c>
      <c r="AF74" s="821"/>
      <c r="AG74" s="825" t="str">
        <f t="shared" si="13"/>
        <v>(Required)</v>
      </c>
      <c r="AH74" s="821"/>
      <c r="AI74" s="825" t="str">
        <f t="shared" si="14"/>
        <v>(Required)</v>
      </c>
      <c r="AJ74" s="821"/>
      <c r="AK74" s="825" t="str">
        <f t="shared" si="15"/>
        <v>(Required)</v>
      </c>
      <c r="AL74" s="821"/>
      <c r="AM74" s="825" t="str">
        <f t="shared" si="16"/>
        <v>(Required)</v>
      </c>
      <c r="AN74" s="924"/>
      <c r="AO74" s="825" t="str">
        <f t="shared" si="46"/>
        <v>(Required)</v>
      </c>
      <c r="AP74" s="821"/>
      <c r="AQ74" s="827" t="str">
        <f t="shared" si="47"/>
        <v>(Required)</v>
      </c>
      <c r="AR74" s="928"/>
      <c r="AS74" s="826" t="str">
        <f t="shared" si="48"/>
        <v>(Optional)</v>
      </c>
      <c r="AT74" s="928"/>
      <c r="AU74" s="826" t="str">
        <f t="shared" si="20"/>
        <v>(Optional)</v>
      </c>
      <c r="AV74" s="931"/>
      <c r="AW74" s="825" t="str">
        <f t="shared" si="49"/>
        <v>(Required)</v>
      </c>
      <c r="AX74" s="931"/>
      <c r="AY74" s="825" t="str">
        <f t="shared" si="50"/>
        <v>(Required)</v>
      </c>
      <c r="AZ7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4" s="804">
        <f>IFERROR(IF(Table411[[#This Row],[Is Baseline Pump Motor Energy Use Known? (Yes/No)]]="Yes",(Table411[[#This Row],[Annual Baseline Energy Use (kWh/yr)]]),(Table411[[#This Row],[Baseline Motor Energy Use (kWh)]])),0)</f>
        <v>0</v>
      </c>
      <c r="BC74" s="804">
        <f>IFERROR(IF(Table411[[#This Row],[Is Replacement Pump Motor Energy Use Known? (Yes/No)]]="Yes",(Table411[[#This Row],[Annual Replacement Energy Use (kWh/yr)]]),(Table411[[#This Row],[Replacement Motor Energy Use (kWh)]])),0)</f>
        <v>0</v>
      </c>
      <c r="BD74" s="804">
        <f>SUM((Table411[[#This Row],[Baseline Annual Energy Use]]-Table411[[#This Row],[Replacement Annual Energy Use]]),(Table411[[#This Row],[Replacement VFD Energy Savings (kWh)]]-Table411[[#This Row],[Baseline VFD Energy Savings (kWh)]]))</f>
        <v>0</v>
      </c>
      <c r="BE74" s="930">
        <f>'Grid Electricity'!$B$19</f>
        <v>2.1064475489616943E-4</v>
      </c>
      <c r="BF74" s="803" t="s">
        <v>586</v>
      </c>
      <c r="BG74" s="806">
        <f>Table411[[#This Row],[Baseline Annual Energy Use]]*Table411[[#This Row],[Fuel Carbon Content]]</f>
        <v>0</v>
      </c>
      <c r="BH74" s="806">
        <f>Table411[[#This Row],[Replacement Annual Energy Use]]*Table411[[#This Row],[Fuel Carbon Content]]</f>
        <v>0</v>
      </c>
      <c r="BI74" s="806">
        <f t="shared" si="23"/>
        <v>0</v>
      </c>
      <c r="BJ74" s="804">
        <f t="shared" si="51"/>
        <v>0</v>
      </c>
      <c r="BK74" s="807">
        <v>0.76</v>
      </c>
      <c r="BL74" s="813">
        <f>IFERROR(BD74*'Grid Electricity'!$D$39,0)</f>
        <v>0</v>
      </c>
      <c r="BM74" s="813">
        <f>IFERROR(BD74*'Grid Electricity'!$C$39,0)</f>
        <v>0</v>
      </c>
      <c r="BN74" s="813">
        <f>IFERROR(BD74*'Grid Electricity'!$F$39,0)</f>
        <v>0</v>
      </c>
      <c r="BO74" s="813">
        <f t="shared" si="52"/>
        <v>0</v>
      </c>
      <c r="BP74" s="814">
        <f t="shared" si="53"/>
        <v>0</v>
      </c>
      <c r="BQ74" s="814">
        <f t="shared" si="54"/>
        <v>0</v>
      </c>
      <c r="BR74" s="814">
        <f t="shared" si="55"/>
        <v>0</v>
      </c>
      <c r="BS74" s="814">
        <f t="shared" si="56"/>
        <v>0</v>
      </c>
      <c r="BT74" s="818">
        <f>((BB74-AB74)*'Fuel Prices'!$C$27)*(IF(ISBLANK(D74),15,D74))</f>
        <v>0</v>
      </c>
      <c r="BU74" s="818">
        <f>((BC74-AZ74)*'Fuel Prices'!$C$27)*(IF(ISBLANK(D74),15,D74))</f>
        <v>0</v>
      </c>
      <c r="BV74" s="818">
        <f t="shared" si="57"/>
        <v>0</v>
      </c>
      <c r="BW74" s="818">
        <f t="shared" si="58"/>
        <v>0</v>
      </c>
      <c r="BX74" s="804" t="str">
        <f t="shared" si="59"/>
        <v/>
      </c>
      <c r="BY74" s="804">
        <f t="shared" si="60"/>
        <v>0</v>
      </c>
      <c r="BZ74" s="804">
        <v>0</v>
      </c>
      <c r="CA74" s="804">
        <f t="shared" si="34"/>
        <v>0</v>
      </c>
      <c r="CB74" s="804">
        <f t="shared" si="35"/>
        <v>0</v>
      </c>
      <c r="CC74" s="804">
        <f t="shared" si="36"/>
        <v>0</v>
      </c>
      <c r="CD74" s="804">
        <f t="shared" si="37"/>
        <v>0</v>
      </c>
      <c r="CE74" s="804">
        <f t="shared" si="38"/>
        <v>0</v>
      </c>
      <c r="CF74" s="804">
        <f t="shared" si="39"/>
        <v>0</v>
      </c>
      <c r="CG74" s="818">
        <f t="shared" si="40"/>
        <v>0</v>
      </c>
    </row>
    <row r="75" spans="1:85" ht="18" customHeight="1" x14ac:dyDescent="0.35">
      <c r="A75" s="696"/>
      <c r="B75" s="820"/>
      <c r="C75" s="825" t="str">
        <f t="shared" si="41"/>
        <v>(Required)</v>
      </c>
      <c r="D75" s="821"/>
      <c r="E75" s="825" t="str">
        <f t="shared" si="1"/>
        <v>(Required)</v>
      </c>
      <c r="F75" s="822"/>
      <c r="G75" s="825" t="str">
        <f t="shared" si="42"/>
        <v>(Required)</v>
      </c>
      <c r="H75" s="821"/>
      <c r="I75" s="825" t="str">
        <f t="shared" si="3"/>
        <v>(Required)</v>
      </c>
      <c r="J75" s="821"/>
      <c r="K75" s="825" t="str">
        <f t="shared" si="4"/>
        <v>(Required)</v>
      </c>
      <c r="L75" s="821"/>
      <c r="M75" s="825" t="str">
        <f t="shared" si="5"/>
        <v>(Required)</v>
      </c>
      <c r="N75" s="821"/>
      <c r="O75" s="825" t="str">
        <f t="shared" si="6"/>
        <v>(Required)</v>
      </c>
      <c r="P75" s="924"/>
      <c r="Q75" s="825" t="str">
        <f t="shared" si="7"/>
        <v>(Optional)</v>
      </c>
      <c r="R75" s="821"/>
      <c r="S75" s="827" t="str">
        <f t="shared" si="43"/>
        <v>(Required)</v>
      </c>
      <c r="T75" s="828"/>
      <c r="U75" s="799" t="str">
        <f t="shared" si="9"/>
        <v>(Optional)</v>
      </c>
      <c r="V75" s="824"/>
      <c r="W75" s="799" t="str">
        <f t="shared" si="9"/>
        <v>(Optional)</v>
      </c>
      <c r="X75" s="925"/>
      <c r="Y75" s="926" t="str">
        <f t="shared" si="44"/>
        <v>(Required)</v>
      </c>
      <c r="Z75" s="925"/>
      <c r="AA75" s="926" t="str">
        <f t="shared" si="45"/>
        <v>(Required)</v>
      </c>
      <c r="AB7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5" s="822"/>
      <c r="AE75" s="825" t="str">
        <f t="shared" si="12"/>
        <v>(Required)</v>
      </c>
      <c r="AF75" s="821"/>
      <c r="AG75" s="825" t="str">
        <f t="shared" si="13"/>
        <v>(Required)</v>
      </c>
      <c r="AH75" s="821"/>
      <c r="AI75" s="825" t="str">
        <f t="shared" si="14"/>
        <v>(Required)</v>
      </c>
      <c r="AJ75" s="821"/>
      <c r="AK75" s="825" t="str">
        <f t="shared" si="15"/>
        <v>(Required)</v>
      </c>
      <c r="AL75" s="821"/>
      <c r="AM75" s="825" t="str">
        <f t="shared" si="16"/>
        <v>(Required)</v>
      </c>
      <c r="AN75" s="924"/>
      <c r="AO75" s="825" t="str">
        <f t="shared" si="46"/>
        <v>(Required)</v>
      </c>
      <c r="AP75" s="821"/>
      <c r="AQ75" s="827" t="str">
        <f t="shared" si="47"/>
        <v>(Required)</v>
      </c>
      <c r="AR75" s="928"/>
      <c r="AS75" s="826" t="str">
        <f t="shared" si="48"/>
        <v>(Optional)</v>
      </c>
      <c r="AT75" s="928"/>
      <c r="AU75" s="826" t="str">
        <f t="shared" si="20"/>
        <v>(Optional)</v>
      </c>
      <c r="AV75" s="931"/>
      <c r="AW75" s="825" t="str">
        <f t="shared" si="49"/>
        <v>(Required)</v>
      </c>
      <c r="AX75" s="931"/>
      <c r="AY75" s="825" t="str">
        <f t="shared" si="50"/>
        <v>(Required)</v>
      </c>
      <c r="AZ7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5" s="804">
        <f>IFERROR(IF(Table411[[#This Row],[Is Baseline Pump Motor Energy Use Known? (Yes/No)]]="Yes",(Table411[[#This Row],[Annual Baseline Energy Use (kWh/yr)]]),(Table411[[#This Row],[Baseline Motor Energy Use (kWh)]])),0)</f>
        <v>0</v>
      </c>
      <c r="BC75" s="804">
        <f>IFERROR(IF(Table411[[#This Row],[Is Replacement Pump Motor Energy Use Known? (Yes/No)]]="Yes",(Table411[[#This Row],[Annual Replacement Energy Use (kWh/yr)]]),(Table411[[#This Row],[Replacement Motor Energy Use (kWh)]])),0)</f>
        <v>0</v>
      </c>
      <c r="BD75" s="804">
        <f>SUM((Table411[[#This Row],[Baseline Annual Energy Use]]-Table411[[#This Row],[Replacement Annual Energy Use]]),(Table411[[#This Row],[Replacement VFD Energy Savings (kWh)]]-Table411[[#This Row],[Baseline VFD Energy Savings (kWh)]]))</f>
        <v>0</v>
      </c>
      <c r="BE75" s="930">
        <f>'Grid Electricity'!$B$19</f>
        <v>2.1064475489616943E-4</v>
      </c>
      <c r="BF75" s="803" t="s">
        <v>586</v>
      </c>
      <c r="BG75" s="806">
        <f>Table411[[#This Row],[Baseline Annual Energy Use]]*Table411[[#This Row],[Fuel Carbon Content]]</f>
        <v>0</v>
      </c>
      <c r="BH75" s="806">
        <f>Table411[[#This Row],[Replacement Annual Energy Use]]*Table411[[#This Row],[Fuel Carbon Content]]</f>
        <v>0</v>
      </c>
      <c r="BI75" s="806">
        <f t="shared" si="23"/>
        <v>0</v>
      </c>
      <c r="BJ75" s="804">
        <f t="shared" si="51"/>
        <v>0</v>
      </c>
      <c r="BK75" s="807">
        <v>0.76</v>
      </c>
      <c r="BL75" s="813">
        <f>IFERROR(BD75*'Grid Electricity'!$D$39,0)</f>
        <v>0</v>
      </c>
      <c r="BM75" s="813">
        <f>IFERROR(BD75*'Grid Electricity'!$C$39,0)</f>
        <v>0</v>
      </c>
      <c r="BN75" s="813">
        <f>IFERROR(BD75*'Grid Electricity'!$F$39,0)</f>
        <v>0</v>
      </c>
      <c r="BO75" s="813">
        <f t="shared" si="52"/>
        <v>0</v>
      </c>
      <c r="BP75" s="814">
        <f t="shared" si="53"/>
        <v>0</v>
      </c>
      <c r="BQ75" s="814">
        <f t="shared" si="54"/>
        <v>0</v>
      </c>
      <c r="BR75" s="814">
        <f t="shared" si="55"/>
        <v>0</v>
      </c>
      <c r="BS75" s="814">
        <f t="shared" si="56"/>
        <v>0</v>
      </c>
      <c r="BT75" s="818">
        <f>((BB75-AB75)*'Fuel Prices'!$C$27)*(IF(ISBLANK(D75),15,D75))</f>
        <v>0</v>
      </c>
      <c r="BU75" s="818">
        <f>((BC75-AZ75)*'Fuel Prices'!$C$27)*(IF(ISBLANK(D75),15,D75))</f>
        <v>0</v>
      </c>
      <c r="BV75" s="818">
        <f t="shared" si="57"/>
        <v>0</v>
      </c>
      <c r="BW75" s="818">
        <f t="shared" si="58"/>
        <v>0</v>
      </c>
      <c r="BX75" s="804" t="str">
        <f t="shared" si="59"/>
        <v/>
      </c>
      <c r="BY75" s="804">
        <f t="shared" si="60"/>
        <v>0</v>
      </c>
      <c r="BZ75" s="804">
        <v>0</v>
      </c>
      <c r="CA75" s="804">
        <f t="shared" si="34"/>
        <v>0</v>
      </c>
      <c r="CB75" s="804">
        <f t="shared" si="35"/>
        <v>0</v>
      </c>
      <c r="CC75" s="804">
        <f t="shared" si="36"/>
        <v>0</v>
      </c>
      <c r="CD75" s="804">
        <f t="shared" si="37"/>
        <v>0</v>
      </c>
      <c r="CE75" s="804">
        <f t="shared" si="38"/>
        <v>0</v>
      </c>
      <c r="CF75" s="804">
        <f t="shared" si="39"/>
        <v>0</v>
      </c>
      <c r="CG75" s="818">
        <f t="shared" si="40"/>
        <v>0</v>
      </c>
    </row>
    <row r="76" spans="1:85" ht="18" customHeight="1" x14ac:dyDescent="0.35">
      <c r="A76" s="635"/>
      <c r="B76" s="820"/>
      <c r="C76" s="825" t="str">
        <f t="shared" si="41"/>
        <v>(Required)</v>
      </c>
      <c r="D76" s="821"/>
      <c r="E76" s="825" t="str">
        <f t="shared" si="1"/>
        <v>(Required)</v>
      </c>
      <c r="F76" s="822"/>
      <c r="G76" s="825" t="str">
        <f t="shared" si="42"/>
        <v>(Required)</v>
      </c>
      <c r="H76" s="821"/>
      <c r="I76" s="825" t="str">
        <f t="shared" si="3"/>
        <v>(Required)</v>
      </c>
      <c r="J76" s="821"/>
      <c r="K76" s="825" t="str">
        <f t="shared" si="4"/>
        <v>(Required)</v>
      </c>
      <c r="L76" s="821"/>
      <c r="M76" s="825" t="str">
        <f t="shared" si="5"/>
        <v>(Required)</v>
      </c>
      <c r="N76" s="821"/>
      <c r="O76" s="825" t="str">
        <f t="shared" si="6"/>
        <v>(Required)</v>
      </c>
      <c r="P76" s="924"/>
      <c r="Q76" s="825" t="str">
        <f t="shared" si="7"/>
        <v>(Optional)</v>
      </c>
      <c r="R76" s="821"/>
      <c r="S76" s="827" t="str">
        <f t="shared" si="43"/>
        <v>(Required)</v>
      </c>
      <c r="T76" s="828"/>
      <c r="U76" s="799" t="str">
        <f t="shared" si="9"/>
        <v>(Optional)</v>
      </c>
      <c r="V76" s="824"/>
      <c r="W76" s="799" t="str">
        <f t="shared" si="9"/>
        <v>(Optional)</v>
      </c>
      <c r="X76" s="925"/>
      <c r="Y76" s="926" t="str">
        <f t="shared" si="44"/>
        <v>(Required)</v>
      </c>
      <c r="Z76" s="925"/>
      <c r="AA76" s="926" t="str">
        <f t="shared" si="45"/>
        <v>(Required)</v>
      </c>
      <c r="AB7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6" s="822"/>
      <c r="AE76" s="825" t="str">
        <f t="shared" si="12"/>
        <v>(Required)</v>
      </c>
      <c r="AF76" s="821"/>
      <c r="AG76" s="825" t="str">
        <f t="shared" si="13"/>
        <v>(Required)</v>
      </c>
      <c r="AH76" s="821"/>
      <c r="AI76" s="825" t="str">
        <f t="shared" si="14"/>
        <v>(Required)</v>
      </c>
      <c r="AJ76" s="821"/>
      <c r="AK76" s="825" t="str">
        <f t="shared" si="15"/>
        <v>(Required)</v>
      </c>
      <c r="AL76" s="821"/>
      <c r="AM76" s="825" t="str">
        <f t="shared" si="16"/>
        <v>(Required)</v>
      </c>
      <c r="AN76" s="924"/>
      <c r="AO76" s="825" t="str">
        <f t="shared" si="46"/>
        <v>(Required)</v>
      </c>
      <c r="AP76" s="821"/>
      <c r="AQ76" s="827" t="str">
        <f t="shared" si="47"/>
        <v>(Required)</v>
      </c>
      <c r="AR76" s="928"/>
      <c r="AS76" s="826" t="str">
        <f t="shared" si="48"/>
        <v>(Optional)</v>
      </c>
      <c r="AT76" s="928"/>
      <c r="AU76" s="826" t="str">
        <f t="shared" si="20"/>
        <v>(Optional)</v>
      </c>
      <c r="AV76" s="931"/>
      <c r="AW76" s="825" t="str">
        <f t="shared" si="49"/>
        <v>(Required)</v>
      </c>
      <c r="AX76" s="931"/>
      <c r="AY76" s="825" t="str">
        <f t="shared" si="50"/>
        <v>(Required)</v>
      </c>
      <c r="AZ7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6" s="804">
        <f>IFERROR(IF(Table411[[#This Row],[Is Baseline Pump Motor Energy Use Known? (Yes/No)]]="Yes",(Table411[[#This Row],[Annual Baseline Energy Use (kWh/yr)]]),(Table411[[#This Row],[Baseline Motor Energy Use (kWh)]])),0)</f>
        <v>0</v>
      </c>
      <c r="BC76" s="804">
        <f>IFERROR(IF(Table411[[#This Row],[Is Replacement Pump Motor Energy Use Known? (Yes/No)]]="Yes",(Table411[[#This Row],[Annual Replacement Energy Use (kWh/yr)]]),(Table411[[#This Row],[Replacement Motor Energy Use (kWh)]])),0)</f>
        <v>0</v>
      </c>
      <c r="BD76" s="804">
        <f>SUM((Table411[[#This Row],[Baseline Annual Energy Use]]-Table411[[#This Row],[Replacement Annual Energy Use]]),(Table411[[#This Row],[Replacement VFD Energy Savings (kWh)]]-Table411[[#This Row],[Baseline VFD Energy Savings (kWh)]]))</f>
        <v>0</v>
      </c>
      <c r="BE76" s="930">
        <f>'Grid Electricity'!$B$19</f>
        <v>2.1064475489616943E-4</v>
      </c>
      <c r="BF76" s="803" t="s">
        <v>586</v>
      </c>
      <c r="BG76" s="806">
        <f>Table411[[#This Row],[Baseline Annual Energy Use]]*Table411[[#This Row],[Fuel Carbon Content]]</f>
        <v>0</v>
      </c>
      <c r="BH76" s="806">
        <f>Table411[[#This Row],[Replacement Annual Energy Use]]*Table411[[#This Row],[Fuel Carbon Content]]</f>
        <v>0</v>
      </c>
      <c r="BI76" s="806">
        <f t="shared" si="23"/>
        <v>0</v>
      </c>
      <c r="BJ76" s="804">
        <f t="shared" si="51"/>
        <v>0</v>
      </c>
      <c r="BK76" s="807">
        <v>0.76</v>
      </c>
      <c r="BL76" s="813">
        <f>IFERROR(BD76*'Grid Electricity'!$D$39,0)</f>
        <v>0</v>
      </c>
      <c r="BM76" s="813">
        <f>IFERROR(BD76*'Grid Electricity'!$C$39,0)</f>
        <v>0</v>
      </c>
      <c r="BN76" s="813">
        <f>IFERROR(BD76*'Grid Electricity'!$F$39,0)</f>
        <v>0</v>
      </c>
      <c r="BO76" s="813">
        <f t="shared" si="52"/>
        <v>0</v>
      </c>
      <c r="BP76" s="814">
        <f t="shared" si="53"/>
        <v>0</v>
      </c>
      <c r="BQ76" s="814">
        <f t="shared" si="54"/>
        <v>0</v>
      </c>
      <c r="BR76" s="814">
        <f t="shared" si="55"/>
        <v>0</v>
      </c>
      <c r="BS76" s="814">
        <f t="shared" si="56"/>
        <v>0</v>
      </c>
      <c r="BT76" s="818">
        <f>((BB76-AB76)*'Fuel Prices'!$C$27)*(IF(ISBLANK(D76),15,D76))</f>
        <v>0</v>
      </c>
      <c r="BU76" s="818">
        <f>((BC76-AZ76)*'Fuel Prices'!$C$27)*(IF(ISBLANK(D76),15,D76))</f>
        <v>0</v>
      </c>
      <c r="BV76" s="818">
        <f t="shared" si="57"/>
        <v>0</v>
      </c>
      <c r="BW76" s="818">
        <f t="shared" si="58"/>
        <v>0</v>
      </c>
      <c r="BX76" s="804" t="str">
        <f t="shared" si="59"/>
        <v/>
      </c>
      <c r="BY76" s="804">
        <f t="shared" si="60"/>
        <v>0</v>
      </c>
      <c r="BZ76" s="804">
        <v>0</v>
      </c>
      <c r="CA76" s="804">
        <f t="shared" si="34"/>
        <v>0</v>
      </c>
      <c r="CB76" s="804">
        <f t="shared" si="35"/>
        <v>0</v>
      </c>
      <c r="CC76" s="804">
        <f t="shared" si="36"/>
        <v>0</v>
      </c>
      <c r="CD76" s="804">
        <f t="shared" si="37"/>
        <v>0</v>
      </c>
      <c r="CE76" s="804">
        <f t="shared" si="38"/>
        <v>0</v>
      </c>
      <c r="CF76" s="804">
        <f t="shared" si="39"/>
        <v>0</v>
      </c>
      <c r="CG76" s="818">
        <f t="shared" si="40"/>
        <v>0</v>
      </c>
    </row>
    <row r="77" spans="1:85" ht="18" customHeight="1" x14ac:dyDescent="0.35">
      <c r="A77" s="696"/>
      <c r="B77" s="820"/>
      <c r="C77" s="825" t="str">
        <f t="shared" si="41"/>
        <v>(Required)</v>
      </c>
      <c r="D77" s="821"/>
      <c r="E77" s="825" t="str">
        <f t="shared" si="1"/>
        <v>(Required)</v>
      </c>
      <c r="F77" s="822"/>
      <c r="G77" s="825" t="str">
        <f t="shared" si="42"/>
        <v>(Required)</v>
      </c>
      <c r="H77" s="821"/>
      <c r="I77" s="825" t="str">
        <f t="shared" si="3"/>
        <v>(Required)</v>
      </c>
      <c r="J77" s="821"/>
      <c r="K77" s="825" t="str">
        <f t="shared" si="4"/>
        <v>(Required)</v>
      </c>
      <c r="L77" s="821"/>
      <c r="M77" s="825" t="str">
        <f t="shared" si="5"/>
        <v>(Required)</v>
      </c>
      <c r="N77" s="821"/>
      <c r="O77" s="825" t="str">
        <f t="shared" si="6"/>
        <v>(Required)</v>
      </c>
      <c r="P77" s="924"/>
      <c r="Q77" s="825" t="str">
        <f t="shared" si="7"/>
        <v>(Optional)</v>
      </c>
      <c r="R77" s="821"/>
      <c r="S77" s="827" t="str">
        <f t="shared" si="43"/>
        <v>(Required)</v>
      </c>
      <c r="T77" s="828"/>
      <c r="U77" s="799" t="str">
        <f t="shared" si="9"/>
        <v>(Optional)</v>
      </c>
      <c r="V77" s="824"/>
      <c r="W77" s="799" t="str">
        <f t="shared" si="9"/>
        <v>(Optional)</v>
      </c>
      <c r="X77" s="925"/>
      <c r="Y77" s="926" t="str">
        <f t="shared" si="44"/>
        <v>(Required)</v>
      </c>
      <c r="Z77" s="925"/>
      <c r="AA77" s="926" t="str">
        <f t="shared" si="45"/>
        <v>(Required)</v>
      </c>
      <c r="AB7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7" s="822"/>
      <c r="AE77" s="825" t="str">
        <f t="shared" si="12"/>
        <v>(Required)</v>
      </c>
      <c r="AF77" s="821"/>
      <c r="AG77" s="825" t="str">
        <f t="shared" si="13"/>
        <v>(Required)</v>
      </c>
      <c r="AH77" s="821"/>
      <c r="AI77" s="825" t="str">
        <f t="shared" si="14"/>
        <v>(Required)</v>
      </c>
      <c r="AJ77" s="821"/>
      <c r="AK77" s="825" t="str">
        <f t="shared" si="15"/>
        <v>(Required)</v>
      </c>
      <c r="AL77" s="821"/>
      <c r="AM77" s="825" t="str">
        <f t="shared" si="16"/>
        <v>(Required)</v>
      </c>
      <c r="AN77" s="924"/>
      <c r="AO77" s="825" t="str">
        <f t="shared" si="46"/>
        <v>(Required)</v>
      </c>
      <c r="AP77" s="821"/>
      <c r="AQ77" s="827" t="str">
        <f t="shared" si="47"/>
        <v>(Required)</v>
      </c>
      <c r="AR77" s="928"/>
      <c r="AS77" s="826" t="str">
        <f t="shared" si="48"/>
        <v>(Optional)</v>
      </c>
      <c r="AT77" s="928"/>
      <c r="AU77" s="826" t="str">
        <f t="shared" si="20"/>
        <v>(Optional)</v>
      </c>
      <c r="AV77" s="931"/>
      <c r="AW77" s="825" t="str">
        <f t="shared" si="49"/>
        <v>(Required)</v>
      </c>
      <c r="AX77" s="931"/>
      <c r="AY77" s="825" t="str">
        <f t="shared" si="50"/>
        <v>(Required)</v>
      </c>
      <c r="AZ7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7" s="804">
        <f>IFERROR(IF(Table411[[#This Row],[Is Baseline Pump Motor Energy Use Known? (Yes/No)]]="Yes",(Table411[[#This Row],[Annual Baseline Energy Use (kWh/yr)]]),(Table411[[#This Row],[Baseline Motor Energy Use (kWh)]])),0)</f>
        <v>0</v>
      </c>
      <c r="BC77" s="804">
        <f>IFERROR(IF(Table411[[#This Row],[Is Replacement Pump Motor Energy Use Known? (Yes/No)]]="Yes",(Table411[[#This Row],[Annual Replacement Energy Use (kWh/yr)]]),(Table411[[#This Row],[Replacement Motor Energy Use (kWh)]])),0)</f>
        <v>0</v>
      </c>
      <c r="BD77" s="804">
        <f>SUM((Table411[[#This Row],[Baseline Annual Energy Use]]-Table411[[#This Row],[Replacement Annual Energy Use]]),(Table411[[#This Row],[Replacement VFD Energy Savings (kWh)]]-Table411[[#This Row],[Baseline VFD Energy Savings (kWh)]]))</f>
        <v>0</v>
      </c>
      <c r="BE77" s="930">
        <f>'Grid Electricity'!$B$19</f>
        <v>2.1064475489616943E-4</v>
      </c>
      <c r="BF77" s="803" t="s">
        <v>586</v>
      </c>
      <c r="BG77" s="806">
        <f>Table411[[#This Row],[Baseline Annual Energy Use]]*Table411[[#This Row],[Fuel Carbon Content]]</f>
        <v>0</v>
      </c>
      <c r="BH77" s="806">
        <f>Table411[[#This Row],[Replacement Annual Energy Use]]*Table411[[#This Row],[Fuel Carbon Content]]</f>
        <v>0</v>
      </c>
      <c r="BI77" s="806">
        <f t="shared" si="23"/>
        <v>0</v>
      </c>
      <c r="BJ77" s="804">
        <f t="shared" si="51"/>
        <v>0</v>
      </c>
      <c r="BK77" s="807">
        <v>0.76</v>
      </c>
      <c r="BL77" s="813">
        <f>IFERROR(BD77*'Grid Electricity'!$D$39,0)</f>
        <v>0</v>
      </c>
      <c r="BM77" s="813">
        <f>IFERROR(BD77*'Grid Electricity'!$C$39,0)</f>
        <v>0</v>
      </c>
      <c r="BN77" s="813">
        <f>IFERROR(BD77*'Grid Electricity'!$F$39,0)</f>
        <v>0</v>
      </c>
      <c r="BO77" s="813">
        <f t="shared" si="52"/>
        <v>0</v>
      </c>
      <c r="BP77" s="814">
        <f t="shared" si="53"/>
        <v>0</v>
      </c>
      <c r="BQ77" s="814">
        <f t="shared" si="54"/>
        <v>0</v>
      </c>
      <c r="BR77" s="814">
        <f t="shared" si="55"/>
        <v>0</v>
      </c>
      <c r="BS77" s="814">
        <f t="shared" si="56"/>
        <v>0</v>
      </c>
      <c r="BT77" s="818">
        <f>((BB77-AB77)*'Fuel Prices'!$C$27)*(IF(ISBLANK(D77),15,D77))</f>
        <v>0</v>
      </c>
      <c r="BU77" s="818">
        <f>((BC77-AZ77)*'Fuel Prices'!$C$27)*(IF(ISBLANK(D77),15,D77))</f>
        <v>0</v>
      </c>
      <c r="BV77" s="818">
        <f t="shared" si="57"/>
        <v>0</v>
      </c>
      <c r="BW77" s="818">
        <f t="shared" si="58"/>
        <v>0</v>
      </c>
      <c r="BX77" s="804" t="str">
        <f t="shared" si="59"/>
        <v/>
      </c>
      <c r="BY77" s="804">
        <f t="shared" si="60"/>
        <v>0</v>
      </c>
      <c r="BZ77" s="804">
        <v>0</v>
      </c>
      <c r="CA77" s="804">
        <f t="shared" si="34"/>
        <v>0</v>
      </c>
      <c r="CB77" s="804">
        <f t="shared" si="35"/>
        <v>0</v>
      </c>
      <c r="CC77" s="804">
        <f t="shared" si="36"/>
        <v>0</v>
      </c>
      <c r="CD77" s="804">
        <f t="shared" si="37"/>
        <v>0</v>
      </c>
      <c r="CE77" s="804">
        <f t="shared" si="38"/>
        <v>0</v>
      </c>
      <c r="CF77" s="804">
        <f t="shared" si="39"/>
        <v>0</v>
      </c>
      <c r="CG77" s="818">
        <f t="shared" si="40"/>
        <v>0</v>
      </c>
    </row>
    <row r="78" spans="1:85" ht="18" customHeight="1" x14ac:dyDescent="0.35">
      <c r="A78" s="635"/>
      <c r="B78" s="820"/>
      <c r="C78" s="825" t="str">
        <f t="shared" si="41"/>
        <v>(Required)</v>
      </c>
      <c r="D78" s="821"/>
      <c r="E78" s="825" t="str">
        <f t="shared" si="1"/>
        <v>(Required)</v>
      </c>
      <c r="F78" s="822"/>
      <c r="G78" s="825" t="str">
        <f t="shared" si="42"/>
        <v>(Required)</v>
      </c>
      <c r="H78" s="821"/>
      <c r="I78" s="825" t="str">
        <f t="shared" si="3"/>
        <v>(Required)</v>
      </c>
      <c r="J78" s="821"/>
      <c r="K78" s="825" t="str">
        <f t="shared" si="4"/>
        <v>(Required)</v>
      </c>
      <c r="L78" s="821"/>
      <c r="M78" s="825" t="str">
        <f t="shared" si="5"/>
        <v>(Required)</v>
      </c>
      <c r="N78" s="821"/>
      <c r="O78" s="825" t="str">
        <f t="shared" si="6"/>
        <v>(Required)</v>
      </c>
      <c r="P78" s="924"/>
      <c r="Q78" s="825" t="str">
        <f t="shared" si="7"/>
        <v>(Optional)</v>
      </c>
      <c r="R78" s="821"/>
      <c r="S78" s="827" t="str">
        <f t="shared" si="43"/>
        <v>(Required)</v>
      </c>
      <c r="T78" s="828"/>
      <c r="U78" s="799" t="str">
        <f t="shared" si="9"/>
        <v>(Optional)</v>
      </c>
      <c r="V78" s="824"/>
      <c r="W78" s="799" t="str">
        <f t="shared" si="9"/>
        <v>(Optional)</v>
      </c>
      <c r="X78" s="925"/>
      <c r="Y78" s="926" t="str">
        <f t="shared" si="44"/>
        <v>(Required)</v>
      </c>
      <c r="Z78" s="925"/>
      <c r="AA78" s="926" t="str">
        <f t="shared" si="45"/>
        <v>(Required)</v>
      </c>
      <c r="AB7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8" s="822"/>
      <c r="AE78" s="825" t="str">
        <f t="shared" si="12"/>
        <v>(Required)</v>
      </c>
      <c r="AF78" s="821"/>
      <c r="AG78" s="825" t="str">
        <f t="shared" si="13"/>
        <v>(Required)</v>
      </c>
      <c r="AH78" s="821"/>
      <c r="AI78" s="825" t="str">
        <f t="shared" si="14"/>
        <v>(Required)</v>
      </c>
      <c r="AJ78" s="821"/>
      <c r="AK78" s="825" t="str">
        <f t="shared" si="15"/>
        <v>(Required)</v>
      </c>
      <c r="AL78" s="821"/>
      <c r="AM78" s="825" t="str">
        <f t="shared" si="16"/>
        <v>(Required)</v>
      </c>
      <c r="AN78" s="924"/>
      <c r="AO78" s="825" t="str">
        <f t="shared" si="46"/>
        <v>(Required)</v>
      </c>
      <c r="AP78" s="821"/>
      <c r="AQ78" s="827" t="str">
        <f t="shared" si="47"/>
        <v>(Required)</v>
      </c>
      <c r="AR78" s="928"/>
      <c r="AS78" s="826" t="str">
        <f t="shared" si="48"/>
        <v>(Optional)</v>
      </c>
      <c r="AT78" s="928"/>
      <c r="AU78" s="826" t="str">
        <f t="shared" si="20"/>
        <v>(Optional)</v>
      </c>
      <c r="AV78" s="931"/>
      <c r="AW78" s="825" t="str">
        <f t="shared" si="49"/>
        <v>(Required)</v>
      </c>
      <c r="AX78" s="931"/>
      <c r="AY78" s="825" t="str">
        <f t="shared" si="50"/>
        <v>(Required)</v>
      </c>
      <c r="AZ7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8" s="804">
        <f>IFERROR(IF(Table411[[#This Row],[Is Baseline Pump Motor Energy Use Known? (Yes/No)]]="Yes",(Table411[[#This Row],[Annual Baseline Energy Use (kWh/yr)]]),(Table411[[#This Row],[Baseline Motor Energy Use (kWh)]])),0)</f>
        <v>0</v>
      </c>
      <c r="BC78" s="804">
        <f>IFERROR(IF(Table411[[#This Row],[Is Replacement Pump Motor Energy Use Known? (Yes/No)]]="Yes",(Table411[[#This Row],[Annual Replacement Energy Use (kWh/yr)]]),(Table411[[#This Row],[Replacement Motor Energy Use (kWh)]])),0)</f>
        <v>0</v>
      </c>
      <c r="BD78" s="804">
        <f>SUM((Table411[[#This Row],[Baseline Annual Energy Use]]-Table411[[#This Row],[Replacement Annual Energy Use]]),(Table411[[#This Row],[Replacement VFD Energy Savings (kWh)]]-Table411[[#This Row],[Baseline VFD Energy Savings (kWh)]]))</f>
        <v>0</v>
      </c>
      <c r="BE78" s="930">
        <f>'Grid Electricity'!$B$19</f>
        <v>2.1064475489616943E-4</v>
      </c>
      <c r="BF78" s="803" t="s">
        <v>586</v>
      </c>
      <c r="BG78" s="806">
        <f>Table411[[#This Row],[Baseline Annual Energy Use]]*Table411[[#This Row],[Fuel Carbon Content]]</f>
        <v>0</v>
      </c>
      <c r="BH78" s="806">
        <f>Table411[[#This Row],[Replacement Annual Energy Use]]*Table411[[#This Row],[Fuel Carbon Content]]</f>
        <v>0</v>
      </c>
      <c r="BI78" s="806">
        <f t="shared" si="23"/>
        <v>0</v>
      </c>
      <c r="BJ78" s="804">
        <f t="shared" si="51"/>
        <v>0</v>
      </c>
      <c r="BK78" s="807">
        <v>0.76</v>
      </c>
      <c r="BL78" s="813">
        <f>IFERROR(BD78*'Grid Electricity'!$D$39,0)</f>
        <v>0</v>
      </c>
      <c r="BM78" s="813">
        <f>IFERROR(BD78*'Grid Electricity'!$C$39,0)</f>
        <v>0</v>
      </c>
      <c r="BN78" s="813">
        <f>IFERROR(BD78*'Grid Electricity'!$F$39,0)</f>
        <v>0</v>
      </c>
      <c r="BO78" s="813">
        <f t="shared" si="52"/>
        <v>0</v>
      </c>
      <c r="BP78" s="814">
        <f t="shared" si="53"/>
        <v>0</v>
      </c>
      <c r="BQ78" s="814">
        <f t="shared" si="54"/>
        <v>0</v>
      </c>
      <c r="BR78" s="814">
        <f t="shared" si="55"/>
        <v>0</v>
      </c>
      <c r="BS78" s="814">
        <f t="shared" si="56"/>
        <v>0</v>
      </c>
      <c r="BT78" s="818">
        <f>((BB78-AB78)*'Fuel Prices'!$C$27)*(IF(ISBLANK(D78),15,D78))</f>
        <v>0</v>
      </c>
      <c r="BU78" s="818">
        <f>((BC78-AZ78)*'Fuel Prices'!$C$27)*(IF(ISBLANK(D78),15,D78))</f>
        <v>0</v>
      </c>
      <c r="BV78" s="818">
        <f t="shared" si="57"/>
        <v>0</v>
      </c>
      <c r="BW78" s="818">
        <f t="shared" si="58"/>
        <v>0</v>
      </c>
      <c r="BX78" s="804" t="str">
        <f t="shared" si="59"/>
        <v/>
      </c>
      <c r="BY78" s="804">
        <f t="shared" si="60"/>
        <v>0</v>
      </c>
      <c r="BZ78" s="804">
        <v>0</v>
      </c>
      <c r="CA78" s="804">
        <f t="shared" si="34"/>
        <v>0</v>
      </c>
      <c r="CB78" s="804">
        <f t="shared" si="35"/>
        <v>0</v>
      </c>
      <c r="CC78" s="804">
        <f t="shared" si="36"/>
        <v>0</v>
      </c>
      <c r="CD78" s="804">
        <f t="shared" si="37"/>
        <v>0</v>
      </c>
      <c r="CE78" s="804">
        <f t="shared" si="38"/>
        <v>0</v>
      </c>
      <c r="CF78" s="804">
        <f t="shared" si="39"/>
        <v>0</v>
      </c>
      <c r="CG78" s="818">
        <f t="shared" si="40"/>
        <v>0</v>
      </c>
    </row>
    <row r="79" spans="1:85" ht="18" customHeight="1" x14ac:dyDescent="0.35">
      <c r="A79" s="696"/>
      <c r="B79" s="820"/>
      <c r="C79" s="825" t="str">
        <f t="shared" si="41"/>
        <v>(Required)</v>
      </c>
      <c r="D79" s="821"/>
      <c r="E79" s="825" t="str">
        <f t="shared" si="1"/>
        <v>(Required)</v>
      </c>
      <c r="F79" s="822"/>
      <c r="G79" s="825" t="str">
        <f t="shared" si="42"/>
        <v>(Required)</v>
      </c>
      <c r="H79" s="821"/>
      <c r="I79" s="825" t="str">
        <f t="shared" si="3"/>
        <v>(Required)</v>
      </c>
      <c r="J79" s="821"/>
      <c r="K79" s="825" t="str">
        <f t="shared" si="4"/>
        <v>(Required)</v>
      </c>
      <c r="L79" s="821"/>
      <c r="M79" s="825" t="str">
        <f t="shared" si="5"/>
        <v>(Required)</v>
      </c>
      <c r="N79" s="821"/>
      <c r="O79" s="825" t="str">
        <f t="shared" si="6"/>
        <v>(Required)</v>
      </c>
      <c r="P79" s="924"/>
      <c r="Q79" s="825" t="str">
        <f t="shared" si="7"/>
        <v>(Optional)</v>
      </c>
      <c r="R79" s="821"/>
      <c r="S79" s="827" t="str">
        <f t="shared" si="43"/>
        <v>(Required)</v>
      </c>
      <c r="T79" s="828"/>
      <c r="U79" s="799" t="str">
        <f t="shared" si="9"/>
        <v>(Optional)</v>
      </c>
      <c r="V79" s="824"/>
      <c r="W79" s="799" t="str">
        <f t="shared" si="9"/>
        <v>(Optional)</v>
      </c>
      <c r="X79" s="925"/>
      <c r="Y79" s="926" t="str">
        <f t="shared" si="44"/>
        <v>(Required)</v>
      </c>
      <c r="Z79" s="925"/>
      <c r="AA79" s="926" t="str">
        <f t="shared" si="45"/>
        <v>(Required)</v>
      </c>
      <c r="AB7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7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79" s="822"/>
      <c r="AE79" s="825" t="str">
        <f t="shared" si="12"/>
        <v>(Required)</v>
      </c>
      <c r="AF79" s="821"/>
      <c r="AG79" s="825" t="str">
        <f t="shared" si="13"/>
        <v>(Required)</v>
      </c>
      <c r="AH79" s="821"/>
      <c r="AI79" s="825" t="str">
        <f t="shared" si="14"/>
        <v>(Required)</v>
      </c>
      <c r="AJ79" s="821"/>
      <c r="AK79" s="825" t="str">
        <f t="shared" si="15"/>
        <v>(Required)</v>
      </c>
      <c r="AL79" s="821"/>
      <c r="AM79" s="825" t="str">
        <f t="shared" si="16"/>
        <v>(Required)</v>
      </c>
      <c r="AN79" s="924"/>
      <c r="AO79" s="825" t="str">
        <f t="shared" si="46"/>
        <v>(Required)</v>
      </c>
      <c r="AP79" s="821"/>
      <c r="AQ79" s="827" t="str">
        <f t="shared" si="47"/>
        <v>(Required)</v>
      </c>
      <c r="AR79" s="928"/>
      <c r="AS79" s="826" t="str">
        <f t="shared" si="48"/>
        <v>(Optional)</v>
      </c>
      <c r="AT79" s="928"/>
      <c r="AU79" s="826" t="str">
        <f t="shared" si="20"/>
        <v>(Optional)</v>
      </c>
      <c r="AV79" s="931"/>
      <c r="AW79" s="825" t="str">
        <f t="shared" si="49"/>
        <v>(Required)</v>
      </c>
      <c r="AX79" s="931"/>
      <c r="AY79" s="825" t="str">
        <f t="shared" si="50"/>
        <v>(Required)</v>
      </c>
      <c r="AZ7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7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79" s="804">
        <f>IFERROR(IF(Table411[[#This Row],[Is Baseline Pump Motor Energy Use Known? (Yes/No)]]="Yes",(Table411[[#This Row],[Annual Baseline Energy Use (kWh/yr)]]),(Table411[[#This Row],[Baseline Motor Energy Use (kWh)]])),0)</f>
        <v>0</v>
      </c>
      <c r="BC79" s="804">
        <f>IFERROR(IF(Table411[[#This Row],[Is Replacement Pump Motor Energy Use Known? (Yes/No)]]="Yes",(Table411[[#This Row],[Annual Replacement Energy Use (kWh/yr)]]),(Table411[[#This Row],[Replacement Motor Energy Use (kWh)]])),0)</f>
        <v>0</v>
      </c>
      <c r="BD79" s="804">
        <f>SUM((Table411[[#This Row],[Baseline Annual Energy Use]]-Table411[[#This Row],[Replacement Annual Energy Use]]),(Table411[[#This Row],[Replacement VFD Energy Savings (kWh)]]-Table411[[#This Row],[Baseline VFD Energy Savings (kWh)]]))</f>
        <v>0</v>
      </c>
      <c r="BE79" s="930">
        <f>'Grid Electricity'!$B$19</f>
        <v>2.1064475489616943E-4</v>
      </c>
      <c r="BF79" s="803" t="s">
        <v>586</v>
      </c>
      <c r="BG79" s="806">
        <f>Table411[[#This Row],[Baseline Annual Energy Use]]*Table411[[#This Row],[Fuel Carbon Content]]</f>
        <v>0</v>
      </c>
      <c r="BH79" s="806">
        <f>Table411[[#This Row],[Replacement Annual Energy Use]]*Table411[[#This Row],[Fuel Carbon Content]]</f>
        <v>0</v>
      </c>
      <c r="BI79" s="806">
        <f t="shared" si="23"/>
        <v>0</v>
      </c>
      <c r="BJ79" s="804">
        <f t="shared" si="51"/>
        <v>0</v>
      </c>
      <c r="BK79" s="807">
        <v>0.76</v>
      </c>
      <c r="BL79" s="813">
        <f>IFERROR(BD79*'Grid Electricity'!$D$39,0)</f>
        <v>0</v>
      </c>
      <c r="BM79" s="813">
        <f>IFERROR(BD79*'Grid Electricity'!$C$39,0)</f>
        <v>0</v>
      </c>
      <c r="BN79" s="813">
        <f>IFERROR(BD79*'Grid Electricity'!$F$39,0)</f>
        <v>0</v>
      </c>
      <c r="BO79" s="813">
        <f t="shared" si="52"/>
        <v>0</v>
      </c>
      <c r="BP79" s="814">
        <f t="shared" si="53"/>
        <v>0</v>
      </c>
      <c r="BQ79" s="814">
        <f t="shared" si="54"/>
        <v>0</v>
      </c>
      <c r="BR79" s="814">
        <f t="shared" si="55"/>
        <v>0</v>
      </c>
      <c r="BS79" s="814">
        <f t="shared" si="56"/>
        <v>0</v>
      </c>
      <c r="BT79" s="818">
        <f>((BB79-AB79)*'Fuel Prices'!$C$27)*(IF(ISBLANK(D79),15,D79))</f>
        <v>0</v>
      </c>
      <c r="BU79" s="818">
        <f>((BC79-AZ79)*'Fuel Prices'!$C$27)*(IF(ISBLANK(D79),15,D79))</f>
        <v>0</v>
      </c>
      <c r="BV79" s="818">
        <f t="shared" si="57"/>
        <v>0</v>
      </c>
      <c r="BW79" s="818">
        <f t="shared" si="58"/>
        <v>0</v>
      </c>
      <c r="BX79" s="804" t="str">
        <f t="shared" si="59"/>
        <v/>
      </c>
      <c r="BY79" s="804">
        <f t="shared" si="60"/>
        <v>0</v>
      </c>
      <c r="BZ79" s="804">
        <v>0</v>
      </c>
      <c r="CA79" s="804">
        <f t="shared" si="34"/>
        <v>0</v>
      </c>
      <c r="CB79" s="804">
        <f t="shared" si="35"/>
        <v>0</v>
      </c>
      <c r="CC79" s="804">
        <f t="shared" si="36"/>
        <v>0</v>
      </c>
      <c r="CD79" s="804">
        <f t="shared" si="37"/>
        <v>0</v>
      </c>
      <c r="CE79" s="804">
        <f t="shared" si="38"/>
        <v>0</v>
      </c>
      <c r="CF79" s="804">
        <f t="shared" si="39"/>
        <v>0</v>
      </c>
      <c r="CG79" s="818">
        <f t="shared" si="40"/>
        <v>0</v>
      </c>
    </row>
    <row r="80" spans="1:85" ht="18" customHeight="1" x14ac:dyDescent="0.35">
      <c r="A80" s="635"/>
      <c r="B80" s="820"/>
      <c r="C80" s="825" t="str">
        <f t="shared" si="41"/>
        <v>(Required)</v>
      </c>
      <c r="D80" s="821"/>
      <c r="E80" s="825" t="str">
        <f t="shared" si="1"/>
        <v>(Required)</v>
      </c>
      <c r="F80" s="822"/>
      <c r="G80" s="825" t="str">
        <f t="shared" si="42"/>
        <v>(Required)</v>
      </c>
      <c r="H80" s="821"/>
      <c r="I80" s="825" t="str">
        <f t="shared" si="3"/>
        <v>(Required)</v>
      </c>
      <c r="J80" s="821"/>
      <c r="K80" s="825" t="str">
        <f t="shared" si="4"/>
        <v>(Required)</v>
      </c>
      <c r="L80" s="821"/>
      <c r="M80" s="825" t="str">
        <f t="shared" si="5"/>
        <v>(Required)</v>
      </c>
      <c r="N80" s="821"/>
      <c r="O80" s="825" t="str">
        <f t="shared" si="6"/>
        <v>(Required)</v>
      </c>
      <c r="P80" s="924"/>
      <c r="Q80" s="825" t="str">
        <f t="shared" si="7"/>
        <v>(Optional)</v>
      </c>
      <c r="R80" s="821"/>
      <c r="S80" s="827" t="str">
        <f t="shared" si="43"/>
        <v>(Required)</v>
      </c>
      <c r="T80" s="828"/>
      <c r="U80" s="799" t="str">
        <f t="shared" si="9"/>
        <v>(Optional)</v>
      </c>
      <c r="V80" s="824"/>
      <c r="W80" s="799" t="str">
        <f t="shared" si="9"/>
        <v>(Optional)</v>
      </c>
      <c r="X80" s="925"/>
      <c r="Y80" s="926" t="str">
        <f t="shared" si="44"/>
        <v>(Required)</v>
      </c>
      <c r="Z80" s="925"/>
      <c r="AA80" s="926" t="str">
        <f t="shared" si="45"/>
        <v>(Required)</v>
      </c>
      <c r="AB8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0" s="822"/>
      <c r="AE80" s="825" t="str">
        <f t="shared" si="12"/>
        <v>(Required)</v>
      </c>
      <c r="AF80" s="821"/>
      <c r="AG80" s="825" t="str">
        <f t="shared" si="13"/>
        <v>(Required)</v>
      </c>
      <c r="AH80" s="821"/>
      <c r="AI80" s="825" t="str">
        <f t="shared" si="14"/>
        <v>(Required)</v>
      </c>
      <c r="AJ80" s="821"/>
      <c r="AK80" s="825" t="str">
        <f t="shared" si="15"/>
        <v>(Required)</v>
      </c>
      <c r="AL80" s="821"/>
      <c r="AM80" s="825" t="str">
        <f t="shared" si="16"/>
        <v>(Required)</v>
      </c>
      <c r="AN80" s="924"/>
      <c r="AO80" s="825" t="str">
        <f t="shared" si="46"/>
        <v>(Required)</v>
      </c>
      <c r="AP80" s="821"/>
      <c r="AQ80" s="827" t="str">
        <f t="shared" si="47"/>
        <v>(Required)</v>
      </c>
      <c r="AR80" s="928"/>
      <c r="AS80" s="826" t="str">
        <f t="shared" si="48"/>
        <v>(Optional)</v>
      </c>
      <c r="AT80" s="928"/>
      <c r="AU80" s="826" t="str">
        <f t="shared" si="20"/>
        <v>(Optional)</v>
      </c>
      <c r="AV80" s="931"/>
      <c r="AW80" s="825" t="str">
        <f t="shared" si="49"/>
        <v>(Required)</v>
      </c>
      <c r="AX80" s="931"/>
      <c r="AY80" s="825" t="str">
        <f t="shared" si="50"/>
        <v>(Required)</v>
      </c>
      <c r="AZ8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0" s="804">
        <f>IFERROR(IF(Table411[[#This Row],[Is Baseline Pump Motor Energy Use Known? (Yes/No)]]="Yes",(Table411[[#This Row],[Annual Baseline Energy Use (kWh/yr)]]),(Table411[[#This Row],[Baseline Motor Energy Use (kWh)]])),0)</f>
        <v>0</v>
      </c>
      <c r="BC80" s="804">
        <f>IFERROR(IF(Table411[[#This Row],[Is Replacement Pump Motor Energy Use Known? (Yes/No)]]="Yes",(Table411[[#This Row],[Annual Replacement Energy Use (kWh/yr)]]),(Table411[[#This Row],[Replacement Motor Energy Use (kWh)]])),0)</f>
        <v>0</v>
      </c>
      <c r="BD80" s="804">
        <f>SUM((Table411[[#This Row],[Baseline Annual Energy Use]]-Table411[[#This Row],[Replacement Annual Energy Use]]),(Table411[[#This Row],[Replacement VFD Energy Savings (kWh)]]-Table411[[#This Row],[Baseline VFD Energy Savings (kWh)]]))</f>
        <v>0</v>
      </c>
      <c r="BE80" s="930">
        <f>'Grid Electricity'!$B$19</f>
        <v>2.1064475489616943E-4</v>
      </c>
      <c r="BF80" s="803" t="s">
        <v>586</v>
      </c>
      <c r="BG80" s="806">
        <f>Table411[[#This Row],[Baseline Annual Energy Use]]*Table411[[#This Row],[Fuel Carbon Content]]</f>
        <v>0</v>
      </c>
      <c r="BH80" s="806">
        <f>Table411[[#This Row],[Replacement Annual Energy Use]]*Table411[[#This Row],[Fuel Carbon Content]]</f>
        <v>0</v>
      </c>
      <c r="BI80" s="806">
        <f t="shared" si="23"/>
        <v>0</v>
      </c>
      <c r="BJ80" s="804">
        <f t="shared" si="51"/>
        <v>0</v>
      </c>
      <c r="BK80" s="807">
        <v>0.76</v>
      </c>
      <c r="BL80" s="813">
        <f>IFERROR(BD80*'Grid Electricity'!$D$39,0)</f>
        <v>0</v>
      </c>
      <c r="BM80" s="813">
        <f>IFERROR(BD80*'Grid Electricity'!$C$39,0)</f>
        <v>0</v>
      </c>
      <c r="BN80" s="813">
        <f>IFERROR(BD80*'Grid Electricity'!$F$39,0)</f>
        <v>0</v>
      </c>
      <c r="BO80" s="813">
        <f t="shared" si="52"/>
        <v>0</v>
      </c>
      <c r="BP80" s="814">
        <f t="shared" si="53"/>
        <v>0</v>
      </c>
      <c r="BQ80" s="814">
        <f t="shared" si="54"/>
        <v>0</v>
      </c>
      <c r="BR80" s="814">
        <f t="shared" si="55"/>
        <v>0</v>
      </c>
      <c r="BS80" s="814">
        <f t="shared" si="56"/>
        <v>0</v>
      </c>
      <c r="BT80" s="818">
        <f>((BB80-AB80)*'Fuel Prices'!$C$27)*(IF(ISBLANK(D80),15,D80))</f>
        <v>0</v>
      </c>
      <c r="BU80" s="818">
        <f>((BC80-AZ80)*'Fuel Prices'!$C$27)*(IF(ISBLANK(D80),15,D80))</f>
        <v>0</v>
      </c>
      <c r="BV80" s="818">
        <f t="shared" si="57"/>
        <v>0</v>
      </c>
      <c r="BW80" s="818">
        <f t="shared" si="58"/>
        <v>0</v>
      </c>
      <c r="BX80" s="804" t="str">
        <f t="shared" si="59"/>
        <v/>
      </c>
      <c r="BY80" s="804">
        <f t="shared" si="60"/>
        <v>0</v>
      </c>
      <c r="BZ80" s="804">
        <v>0</v>
      </c>
      <c r="CA80" s="804">
        <f t="shared" si="34"/>
        <v>0</v>
      </c>
      <c r="CB80" s="804">
        <f t="shared" si="35"/>
        <v>0</v>
      </c>
      <c r="CC80" s="804">
        <f t="shared" si="36"/>
        <v>0</v>
      </c>
      <c r="CD80" s="804">
        <f t="shared" si="37"/>
        <v>0</v>
      </c>
      <c r="CE80" s="804">
        <f t="shared" si="38"/>
        <v>0</v>
      </c>
      <c r="CF80" s="804">
        <f t="shared" si="39"/>
        <v>0</v>
      </c>
      <c r="CG80" s="818">
        <f t="shared" si="40"/>
        <v>0</v>
      </c>
    </row>
    <row r="81" spans="1:85" ht="18" customHeight="1" x14ac:dyDescent="0.35">
      <c r="A81" s="696"/>
      <c r="B81" s="820"/>
      <c r="C81" s="825" t="str">
        <f t="shared" si="41"/>
        <v>(Required)</v>
      </c>
      <c r="D81" s="821"/>
      <c r="E81" s="825" t="str">
        <f t="shared" si="1"/>
        <v>(Required)</v>
      </c>
      <c r="F81" s="822"/>
      <c r="G81" s="825" t="str">
        <f t="shared" si="42"/>
        <v>(Required)</v>
      </c>
      <c r="H81" s="821"/>
      <c r="I81" s="825" t="str">
        <f t="shared" si="3"/>
        <v>(Required)</v>
      </c>
      <c r="J81" s="821"/>
      <c r="K81" s="825" t="str">
        <f t="shared" si="4"/>
        <v>(Required)</v>
      </c>
      <c r="L81" s="821"/>
      <c r="M81" s="825" t="str">
        <f t="shared" si="5"/>
        <v>(Required)</v>
      </c>
      <c r="N81" s="821"/>
      <c r="O81" s="825" t="str">
        <f t="shared" si="6"/>
        <v>(Required)</v>
      </c>
      <c r="P81" s="924"/>
      <c r="Q81" s="825" t="str">
        <f t="shared" si="7"/>
        <v>(Optional)</v>
      </c>
      <c r="R81" s="821"/>
      <c r="S81" s="827" t="str">
        <f t="shared" si="43"/>
        <v>(Required)</v>
      </c>
      <c r="T81" s="828"/>
      <c r="U81" s="799" t="str">
        <f t="shared" si="9"/>
        <v>(Optional)</v>
      </c>
      <c r="V81" s="824"/>
      <c r="W81" s="799" t="str">
        <f t="shared" si="9"/>
        <v>(Optional)</v>
      </c>
      <c r="X81" s="925"/>
      <c r="Y81" s="926" t="str">
        <f t="shared" si="44"/>
        <v>(Required)</v>
      </c>
      <c r="Z81" s="925"/>
      <c r="AA81" s="926" t="str">
        <f t="shared" si="45"/>
        <v>(Required)</v>
      </c>
      <c r="AB8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1" s="822"/>
      <c r="AE81" s="825" t="str">
        <f t="shared" si="12"/>
        <v>(Required)</v>
      </c>
      <c r="AF81" s="821"/>
      <c r="AG81" s="825" t="str">
        <f t="shared" si="13"/>
        <v>(Required)</v>
      </c>
      <c r="AH81" s="821"/>
      <c r="AI81" s="825" t="str">
        <f t="shared" si="14"/>
        <v>(Required)</v>
      </c>
      <c r="AJ81" s="821"/>
      <c r="AK81" s="825" t="str">
        <f t="shared" si="15"/>
        <v>(Required)</v>
      </c>
      <c r="AL81" s="821"/>
      <c r="AM81" s="825" t="str">
        <f t="shared" si="16"/>
        <v>(Required)</v>
      </c>
      <c r="AN81" s="924"/>
      <c r="AO81" s="825" t="str">
        <f t="shared" si="46"/>
        <v>(Required)</v>
      </c>
      <c r="AP81" s="821"/>
      <c r="AQ81" s="827" t="str">
        <f t="shared" si="47"/>
        <v>(Required)</v>
      </c>
      <c r="AR81" s="928"/>
      <c r="AS81" s="826" t="str">
        <f t="shared" si="48"/>
        <v>(Optional)</v>
      </c>
      <c r="AT81" s="928"/>
      <c r="AU81" s="826" t="str">
        <f t="shared" si="20"/>
        <v>(Optional)</v>
      </c>
      <c r="AV81" s="931"/>
      <c r="AW81" s="825" t="str">
        <f t="shared" si="49"/>
        <v>(Required)</v>
      </c>
      <c r="AX81" s="931"/>
      <c r="AY81" s="825" t="str">
        <f t="shared" si="50"/>
        <v>(Required)</v>
      </c>
      <c r="AZ8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1" s="804">
        <f>IFERROR(IF(Table411[[#This Row],[Is Baseline Pump Motor Energy Use Known? (Yes/No)]]="Yes",(Table411[[#This Row],[Annual Baseline Energy Use (kWh/yr)]]),(Table411[[#This Row],[Baseline Motor Energy Use (kWh)]])),0)</f>
        <v>0</v>
      </c>
      <c r="BC81" s="804">
        <f>IFERROR(IF(Table411[[#This Row],[Is Replacement Pump Motor Energy Use Known? (Yes/No)]]="Yes",(Table411[[#This Row],[Annual Replacement Energy Use (kWh/yr)]]),(Table411[[#This Row],[Replacement Motor Energy Use (kWh)]])),0)</f>
        <v>0</v>
      </c>
      <c r="BD81" s="804">
        <f>SUM((Table411[[#This Row],[Baseline Annual Energy Use]]-Table411[[#This Row],[Replacement Annual Energy Use]]),(Table411[[#This Row],[Replacement VFD Energy Savings (kWh)]]-Table411[[#This Row],[Baseline VFD Energy Savings (kWh)]]))</f>
        <v>0</v>
      </c>
      <c r="BE81" s="930">
        <f>'Grid Electricity'!$B$19</f>
        <v>2.1064475489616943E-4</v>
      </c>
      <c r="BF81" s="803" t="s">
        <v>586</v>
      </c>
      <c r="BG81" s="806">
        <f>Table411[[#This Row],[Baseline Annual Energy Use]]*Table411[[#This Row],[Fuel Carbon Content]]</f>
        <v>0</v>
      </c>
      <c r="BH81" s="806">
        <f>Table411[[#This Row],[Replacement Annual Energy Use]]*Table411[[#This Row],[Fuel Carbon Content]]</f>
        <v>0</v>
      </c>
      <c r="BI81" s="806">
        <f t="shared" si="23"/>
        <v>0</v>
      </c>
      <c r="BJ81" s="804">
        <f t="shared" si="51"/>
        <v>0</v>
      </c>
      <c r="BK81" s="807">
        <v>0.76</v>
      </c>
      <c r="BL81" s="813">
        <f>IFERROR(BD81*'Grid Electricity'!$D$39,0)</f>
        <v>0</v>
      </c>
      <c r="BM81" s="813">
        <f>IFERROR(BD81*'Grid Electricity'!$C$39,0)</f>
        <v>0</v>
      </c>
      <c r="BN81" s="813">
        <f>IFERROR(BD81*'Grid Electricity'!$F$39,0)</f>
        <v>0</v>
      </c>
      <c r="BO81" s="813">
        <f t="shared" si="52"/>
        <v>0</v>
      </c>
      <c r="BP81" s="814">
        <f t="shared" si="53"/>
        <v>0</v>
      </c>
      <c r="BQ81" s="814">
        <f t="shared" si="54"/>
        <v>0</v>
      </c>
      <c r="BR81" s="814">
        <f t="shared" si="55"/>
        <v>0</v>
      </c>
      <c r="BS81" s="814">
        <f t="shared" si="56"/>
        <v>0</v>
      </c>
      <c r="BT81" s="818">
        <f>((BB81-AB81)*'Fuel Prices'!$C$27)*(IF(ISBLANK(D81),15,D81))</f>
        <v>0</v>
      </c>
      <c r="BU81" s="818">
        <f>((BC81-AZ81)*'Fuel Prices'!$C$27)*(IF(ISBLANK(D81),15,D81))</f>
        <v>0</v>
      </c>
      <c r="BV81" s="818">
        <f t="shared" si="57"/>
        <v>0</v>
      </c>
      <c r="BW81" s="818">
        <f t="shared" si="58"/>
        <v>0</v>
      </c>
      <c r="BX81" s="804" t="str">
        <f t="shared" si="59"/>
        <v/>
      </c>
      <c r="BY81" s="804">
        <f t="shared" si="60"/>
        <v>0</v>
      </c>
      <c r="BZ81" s="804">
        <v>0</v>
      </c>
      <c r="CA81" s="804">
        <f t="shared" si="34"/>
        <v>0</v>
      </c>
      <c r="CB81" s="804">
        <f t="shared" si="35"/>
        <v>0</v>
      </c>
      <c r="CC81" s="804">
        <f t="shared" si="36"/>
        <v>0</v>
      </c>
      <c r="CD81" s="804">
        <f t="shared" si="37"/>
        <v>0</v>
      </c>
      <c r="CE81" s="804">
        <f t="shared" si="38"/>
        <v>0</v>
      </c>
      <c r="CF81" s="804">
        <f t="shared" si="39"/>
        <v>0</v>
      </c>
      <c r="CG81" s="818">
        <f t="shared" si="40"/>
        <v>0</v>
      </c>
    </row>
    <row r="82" spans="1:85" ht="18" customHeight="1" x14ac:dyDescent="0.35">
      <c r="A82" s="635"/>
      <c r="B82" s="820"/>
      <c r="C82" s="825" t="str">
        <f t="shared" si="41"/>
        <v>(Required)</v>
      </c>
      <c r="D82" s="821"/>
      <c r="E82" s="825" t="str">
        <f t="shared" si="1"/>
        <v>(Required)</v>
      </c>
      <c r="F82" s="822"/>
      <c r="G82" s="825" t="str">
        <f t="shared" si="42"/>
        <v>(Required)</v>
      </c>
      <c r="H82" s="821"/>
      <c r="I82" s="825" t="str">
        <f t="shared" si="3"/>
        <v>(Required)</v>
      </c>
      <c r="J82" s="821"/>
      <c r="K82" s="825" t="str">
        <f t="shared" si="4"/>
        <v>(Required)</v>
      </c>
      <c r="L82" s="821"/>
      <c r="M82" s="825" t="str">
        <f t="shared" si="5"/>
        <v>(Required)</v>
      </c>
      <c r="N82" s="821"/>
      <c r="O82" s="825" t="str">
        <f t="shared" si="6"/>
        <v>(Required)</v>
      </c>
      <c r="P82" s="924"/>
      <c r="Q82" s="825" t="str">
        <f t="shared" si="7"/>
        <v>(Optional)</v>
      </c>
      <c r="R82" s="821"/>
      <c r="S82" s="827" t="str">
        <f t="shared" si="43"/>
        <v>(Required)</v>
      </c>
      <c r="T82" s="828"/>
      <c r="U82" s="799" t="str">
        <f t="shared" si="9"/>
        <v>(Optional)</v>
      </c>
      <c r="V82" s="824"/>
      <c r="W82" s="799" t="str">
        <f t="shared" si="9"/>
        <v>(Optional)</v>
      </c>
      <c r="X82" s="925"/>
      <c r="Y82" s="926" t="str">
        <f t="shared" si="44"/>
        <v>(Required)</v>
      </c>
      <c r="Z82" s="925"/>
      <c r="AA82" s="926" t="str">
        <f t="shared" si="45"/>
        <v>(Required)</v>
      </c>
      <c r="AB8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2" s="822"/>
      <c r="AE82" s="825" t="str">
        <f t="shared" si="12"/>
        <v>(Required)</v>
      </c>
      <c r="AF82" s="821"/>
      <c r="AG82" s="825" t="str">
        <f t="shared" si="13"/>
        <v>(Required)</v>
      </c>
      <c r="AH82" s="821"/>
      <c r="AI82" s="825" t="str">
        <f t="shared" si="14"/>
        <v>(Required)</v>
      </c>
      <c r="AJ82" s="821"/>
      <c r="AK82" s="825" t="str">
        <f t="shared" si="15"/>
        <v>(Required)</v>
      </c>
      <c r="AL82" s="821"/>
      <c r="AM82" s="825" t="str">
        <f t="shared" si="16"/>
        <v>(Required)</v>
      </c>
      <c r="AN82" s="924"/>
      <c r="AO82" s="825" t="str">
        <f t="shared" si="46"/>
        <v>(Required)</v>
      </c>
      <c r="AP82" s="821"/>
      <c r="AQ82" s="827" t="str">
        <f t="shared" si="47"/>
        <v>(Required)</v>
      </c>
      <c r="AR82" s="928"/>
      <c r="AS82" s="826" t="str">
        <f t="shared" si="48"/>
        <v>(Optional)</v>
      </c>
      <c r="AT82" s="928"/>
      <c r="AU82" s="826" t="str">
        <f t="shared" si="20"/>
        <v>(Optional)</v>
      </c>
      <c r="AV82" s="931"/>
      <c r="AW82" s="825" t="str">
        <f t="shared" si="49"/>
        <v>(Required)</v>
      </c>
      <c r="AX82" s="931"/>
      <c r="AY82" s="825" t="str">
        <f t="shared" si="50"/>
        <v>(Required)</v>
      </c>
      <c r="AZ8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2" s="804">
        <f>IFERROR(IF(Table411[[#This Row],[Is Baseline Pump Motor Energy Use Known? (Yes/No)]]="Yes",(Table411[[#This Row],[Annual Baseline Energy Use (kWh/yr)]]),(Table411[[#This Row],[Baseline Motor Energy Use (kWh)]])),0)</f>
        <v>0</v>
      </c>
      <c r="BC82" s="804">
        <f>IFERROR(IF(Table411[[#This Row],[Is Replacement Pump Motor Energy Use Known? (Yes/No)]]="Yes",(Table411[[#This Row],[Annual Replacement Energy Use (kWh/yr)]]),(Table411[[#This Row],[Replacement Motor Energy Use (kWh)]])),0)</f>
        <v>0</v>
      </c>
      <c r="BD82" s="804">
        <f>SUM((Table411[[#This Row],[Baseline Annual Energy Use]]-Table411[[#This Row],[Replacement Annual Energy Use]]),(Table411[[#This Row],[Replacement VFD Energy Savings (kWh)]]-Table411[[#This Row],[Baseline VFD Energy Savings (kWh)]]))</f>
        <v>0</v>
      </c>
      <c r="BE82" s="930">
        <f>'Grid Electricity'!$B$19</f>
        <v>2.1064475489616943E-4</v>
      </c>
      <c r="BF82" s="803" t="s">
        <v>586</v>
      </c>
      <c r="BG82" s="806">
        <f>Table411[[#This Row],[Baseline Annual Energy Use]]*Table411[[#This Row],[Fuel Carbon Content]]</f>
        <v>0</v>
      </c>
      <c r="BH82" s="806">
        <f>Table411[[#This Row],[Replacement Annual Energy Use]]*Table411[[#This Row],[Fuel Carbon Content]]</f>
        <v>0</v>
      </c>
      <c r="BI82" s="806">
        <f t="shared" si="23"/>
        <v>0</v>
      </c>
      <c r="BJ82" s="804">
        <f t="shared" si="51"/>
        <v>0</v>
      </c>
      <c r="BK82" s="807">
        <v>0.76</v>
      </c>
      <c r="BL82" s="813">
        <f>IFERROR(BD82*'Grid Electricity'!$D$39,0)</f>
        <v>0</v>
      </c>
      <c r="BM82" s="813">
        <f>IFERROR(BD82*'Grid Electricity'!$C$39,0)</f>
        <v>0</v>
      </c>
      <c r="BN82" s="813">
        <f>IFERROR(BD82*'Grid Electricity'!$F$39,0)</f>
        <v>0</v>
      </c>
      <c r="BO82" s="813">
        <f t="shared" si="52"/>
        <v>0</v>
      </c>
      <c r="BP82" s="814">
        <f t="shared" si="53"/>
        <v>0</v>
      </c>
      <c r="BQ82" s="814">
        <f t="shared" si="54"/>
        <v>0</v>
      </c>
      <c r="BR82" s="814">
        <f t="shared" si="55"/>
        <v>0</v>
      </c>
      <c r="BS82" s="814">
        <f t="shared" si="56"/>
        <v>0</v>
      </c>
      <c r="BT82" s="818">
        <f>((BB82-AB82)*'Fuel Prices'!$C$27)*(IF(ISBLANK(D82),15,D82))</f>
        <v>0</v>
      </c>
      <c r="BU82" s="818">
        <f>((BC82-AZ82)*'Fuel Prices'!$C$27)*(IF(ISBLANK(D82),15,D82))</f>
        <v>0</v>
      </c>
      <c r="BV82" s="818">
        <f t="shared" si="57"/>
        <v>0</v>
      </c>
      <c r="BW82" s="818">
        <f t="shared" si="58"/>
        <v>0</v>
      </c>
      <c r="BX82" s="804" t="str">
        <f t="shared" si="59"/>
        <v/>
      </c>
      <c r="BY82" s="804">
        <f t="shared" si="60"/>
        <v>0</v>
      </c>
      <c r="BZ82" s="804">
        <v>0</v>
      </c>
      <c r="CA82" s="804">
        <f t="shared" si="34"/>
        <v>0</v>
      </c>
      <c r="CB82" s="804">
        <f t="shared" si="35"/>
        <v>0</v>
      </c>
      <c r="CC82" s="804">
        <f t="shared" si="36"/>
        <v>0</v>
      </c>
      <c r="CD82" s="804">
        <f t="shared" si="37"/>
        <v>0</v>
      </c>
      <c r="CE82" s="804">
        <f t="shared" si="38"/>
        <v>0</v>
      </c>
      <c r="CF82" s="804">
        <f t="shared" si="39"/>
        <v>0</v>
      </c>
      <c r="CG82" s="818">
        <f t="shared" si="40"/>
        <v>0</v>
      </c>
    </row>
    <row r="83" spans="1:85" ht="18" customHeight="1" x14ac:dyDescent="0.35">
      <c r="A83" s="696"/>
      <c r="B83" s="820"/>
      <c r="C83" s="825" t="str">
        <f t="shared" si="41"/>
        <v>(Required)</v>
      </c>
      <c r="D83" s="821"/>
      <c r="E83" s="825" t="str">
        <f t="shared" si="1"/>
        <v>(Required)</v>
      </c>
      <c r="F83" s="822"/>
      <c r="G83" s="825" t="str">
        <f t="shared" si="42"/>
        <v>(Required)</v>
      </c>
      <c r="H83" s="821"/>
      <c r="I83" s="825" t="str">
        <f t="shared" si="3"/>
        <v>(Required)</v>
      </c>
      <c r="J83" s="821"/>
      <c r="K83" s="825" t="str">
        <f t="shared" si="4"/>
        <v>(Required)</v>
      </c>
      <c r="L83" s="821"/>
      <c r="M83" s="825" t="str">
        <f t="shared" si="5"/>
        <v>(Required)</v>
      </c>
      <c r="N83" s="821"/>
      <c r="O83" s="825" t="str">
        <f t="shared" si="6"/>
        <v>(Required)</v>
      </c>
      <c r="P83" s="924"/>
      <c r="Q83" s="825" t="str">
        <f t="shared" si="7"/>
        <v>(Optional)</v>
      </c>
      <c r="R83" s="821"/>
      <c r="S83" s="827" t="str">
        <f t="shared" si="43"/>
        <v>(Required)</v>
      </c>
      <c r="T83" s="828"/>
      <c r="U83" s="799" t="str">
        <f t="shared" si="9"/>
        <v>(Optional)</v>
      </c>
      <c r="V83" s="824"/>
      <c r="W83" s="799" t="str">
        <f t="shared" si="9"/>
        <v>(Optional)</v>
      </c>
      <c r="X83" s="925"/>
      <c r="Y83" s="926" t="str">
        <f t="shared" si="44"/>
        <v>(Required)</v>
      </c>
      <c r="Z83" s="925"/>
      <c r="AA83" s="926" t="str">
        <f t="shared" si="45"/>
        <v>(Required)</v>
      </c>
      <c r="AB8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3" s="822"/>
      <c r="AE83" s="825" t="str">
        <f t="shared" si="12"/>
        <v>(Required)</v>
      </c>
      <c r="AF83" s="821"/>
      <c r="AG83" s="825" t="str">
        <f t="shared" si="13"/>
        <v>(Required)</v>
      </c>
      <c r="AH83" s="821"/>
      <c r="AI83" s="825" t="str">
        <f t="shared" si="14"/>
        <v>(Required)</v>
      </c>
      <c r="AJ83" s="821"/>
      <c r="AK83" s="825" t="str">
        <f t="shared" si="15"/>
        <v>(Required)</v>
      </c>
      <c r="AL83" s="821"/>
      <c r="AM83" s="825" t="str">
        <f t="shared" si="16"/>
        <v>(Required)</v>
      </c>
      <c r="AN83" s="924"/>
      <c r="AO83" s="825" t="str">
        <f t="shared" si="46"/>
        <v>(Required)</v>
      </c>
      <c r="AP83" s="821"/>
      <c r="AQ83" s="827" t="str">
        <f t="shared" si="47"/>
        <v>(Required)</v>
      </c>
      <c r="AR83" s="928"/>
      <c r="AS83" s="826" t="str">
        <f t="shared" si="48"/>
        <v>(Optional)</v>
      </c>
      <c r="AT83" s="928"/>
      <c r="AU83" s="826" t="str">
        <f t="shared" si="20"/>
        <v>(Optional)</v>
      </c>
      <c r="AV83" s="931"/>
      <c r="AW83" s="825" t="str">
        <f t="shared" si="49"/>
        <v>(Required)</v>
      </c>
      <c r="AX83" s="931"/>
      <c r="AY83" s="825" t="str">
        <f t="shared" si="50"/>
        <v>(Required)</v>
      </c>
      <c r="AZ8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3" s="804">
        <f>IFERROR(IF(Table411[[#This Row],[Is Baseline Pump Motor Energy Use Known? (Yes/No)]]="Yes",(Table411[[#This Row],[Annual Baseline Energy Use (kWh/yr)]]),(Table411[[#This Row],[Baseline Motor Energy Use (kWh)]])),0)</f>
        <v>0</v>
      </c>
      <c r="BC83" s="804">
        <f>IFERROR(IF(Table411[[#This Row],[Is Replacement Pump Motor Energy Use Known? (Yes/No)]]="Yes",(Table411[[#This Row],[Annual Replacement Energy Use (kWh/yr)]]),(Table411[[#This Row],[Replacement Motor Energy Use (kWh)]])),0)</f>
        <v>0</v>
      </c>
      <c r="BD83" s="804">
        <f>SUM((Table411[[#This Row],[Baseline Annual Energy Use]]-Table411[[#This Row],[Replacement Annual Energy Use]]),(Table411[[#This Row],[Replacement VFD Energy Savings (kWh)]]-Table411[[#This Row],[Baseline VFD Energy Savings (kWh)]]))</f>
        <v>0</v>
      </c>
      <c r="BE83" s="930">
        <f>'Grid Electricity'!$B$19</f>
        <v>2.1064475489616943E-4</v>
      </c>
      <c r="BF83" s="803" t="s">
        <v>586</v>
      </c>
      <c r="BG83" s="806">
        <f>Table411[[#This Row],[Baseline Annual Energy Use]]*Table411[[#This Row],[Fuel Carbon Content]]</f>
        <v>0</v>
      </c>
      <c r="BH83" s="806">
        <f>Table411[[#This Row],[Replacement Annual Energy Use]]*Table411[[#This Row],[Fuel Carbon Content]]</f>
        <v>0</v>
      </c>
      <c r="BI83" s="806">
        <f t="shared" si="23"/>
        <v>0</v>
      </c>
      <c r="BJ83" s="804">
        <f t="shared" si="51"/>
        <v>0</v>
      </c>
      <c r="BK83" s="807">
        <v>0.76</v>
      </c>
      <c r="BL83" s="813">
        <f>IFERROR(BD83*'Grid Electricity'!$D$39,0)</f>
        <v>0</v>
      </c>
      <c r="BM83" s="813">
        <f>IFERROR(BD83*'Grid Electricity'!$C$39,0)</f>
        <v>0</v>
      </c>
      <c r="BN83" s="813">
        <f>IFERROR(BD83*'Grid Electricity'!$F$39,0)</f>
        <v>0</v>
      </c>
      <c r="BO83" s="813">
        <f t="shared" si="52"/>
        <v>0</v>
      </c>
      <c r="BP83" s="814">
        <f t="shared" si="53"/>
        <v>0</v>
      </c>
      <c r="BQ83" s="814">
        <f t="shared" si="54"/>
        <v>0</v>
      </c>
      <c r="BR83" s="814">
        <f t="shared" si="55"/>
        <v>0</v>
      </c>
      <c r="BS83" s="814">
        <f t="shared" si="56"/>
        <v>0</v>
      </c>
      <c r="BT83" s="818">
        <f>((BB83-AB83)*'Fuel Prices'!$C$27)*(IF(ISBLANK(D83),15,D83))</f>
        <v>0</v>
      </c>
      <c r="BU83" s="818">
        <f>((BC83-AZ83)*'Fuel Prices'!$C$27)*(IF(ISBLANK(D83),15,D83))</f>
        <v>0</v>
      </c>
      <c r="BV83" s="818">
        <f t="shared" si="57"/>
        <v>0</v>
      </c>
      <c r="BW83" s="818">
        <f t="shared" si="58"/>
        <v>0</v>
      </c>
      <c r="BX83" s="804" t="str">
        <f t="shared" si="59"/>
        <v/>
      </c>
      <c r="BY83" s="804">
        <f t="shared" si="60"/>
        <v>0</v>
      </c>
      <c r="BZ83" s="804">
        <v>0</v>
      </c>
      <c r="CA83" s="804">
        <f t="shared" si="34"/>
        <v>0</v>
      </c>
      <c r="CB83" s="804">
        <f t="shared" si="35"/>
        <v>0</v>
      </c>
      <c r="CC83" s="804">
        <f t="shared" si="36"/>
        <v>0</v>
      </c>
      <c r="CD83" s="804">
        <f t="shared" si="37"/>
        <v>0</v>
      </c>
      <c r="CE83" s="804">
        <f t="shared" si="38"/>
        <v>0</v>
      </c>
      <c r="CF83" s="804">
        <f t="shared" si="39"/>
        <v>0</v>
      </c>
      <c r="CG83" s="818">
        <f t="shared" si="40"/>
        <v>0</v>
      </c>
    </row>
    <row r="84" spans="1:85" ht="18" customHeight="1" x14ac:dyDescent="0.35">
      <c r="A84" s="635"/>
      <c r="B84" s="820"/>
      <c r="C84" s="825" t="str">
        <f t="shared" ref="C84:C103" si="61">IF(ISBLANK(B84),"(Required)","")</f>
        <v>(Required)</v>
      </c>
      <c r="D84" s="821"/>
      <c r="E84" s="825" t="str">
        <f t="shared" ref="E84:E103" si="62">IF(ISBLANK(D84),"(Required)","")</f>
        <v>(Required)</v>
      </c>
      <c r="F84" s="822"/>
      <c r="G84" s="825" t="str">
        <f t="shared" ref="G84:G103" si="63">IF(ISBLANK(F84),"(Required)","")</f>
        <v>(Required)</v>
      </c>
      <c r="H84" s="821"/>
      <c r="I84" s="825" t="str">
        <f t="shared" ref="I84:I103" si="64">IF(ISBLANK(H84),"(Required)","")</f>
        <v>(Required)</v>
      </c>
      <c r="J84" s="821"/>
      <c r="K84" s="825" t="str">
        <f t="shared" ref="K84:K103" si="65">IF(ISBLANK(J84),"(Required)","")</f>
        <v>(Required)</v>
      </c>
      <c r="L84" s="821"/>
      <c r="M84" s="825" t="str">
        <f t="shared" ref="M84:M103" si="66">IF(ISBLANK(L84),"(Required)","")</f>
        <v>(Required)</v>
      </c>
      <c r="N84" s="821"/>
      <c r="O84" s="825" t="str">
        <f t="shared" ref="O84:O103" si="67">IF(ISBLANK(N84),"(Required)","")</f>
        <v>(Required)</v>
      </c>
      <c r="P84" s="924"/>
      <c r="Q84" s="825" t="str">
        <f t="shared" ref="Q84:Q103" si="68">IF(ISBLANK(P84),"(Optional)","")</f>
        <v>(Optional)</v>
      </c>
      <c r="R84" s="821"/>
      <c r="S84" s="827" t="str">
        <f t="shared" ref="S84:S103" si="69">IF(ISBLANK(R84),"(Required)","")</f>
        <v>(Required)</v>
      </c>
      <c r="T84" s="828"/>
      <c r="U84" s="799" t="str">
        <f t="shared" ref="U84:W103" si="70">IF(ISBLANK(T84),"(Optional)","")</f>
        <v>(Optional)</v>
      </c>
      <c r="V84" s="824"/>
      <c r="W84" s="799" t="str">
        <f t="shared" si="70"/>
        <v>(Optional)</v>
      </c>
      <c r="X84" s="925"/>
      <c r="Y84" s="926" t="str">
        <f t="shared" ref="Y84:Y103" si="71">IF(ISBLANK(X84),"(Required)","")</f>
        <v>(Required)</v>
      </c>
      <c r="Z84" s="925"/>
      <c r="AA84" s="926" t="str">
        <f t="shared" ref="AA84:AA103" si="72">IF(ISBLANK(Z84),"(Required)","")</f>
        <v>(Required)</v>
      </c>
      <c r="AB8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4" s="822"/>
      <c r="AE84" s="825" t="str">
        <f t="shared" ref="AE84:AE103" si="73">IF(ISBLANK(AD84),"(Required)","")</f>
        <v>(Required)</v>
      </c>
      <c r="AF84" s="821"/>
      <c r="AG84" s="825" t="str">
        <f t="shared" ref="AG84:AG103" si="74">IF(ISBLANK(AF84),"(Required)","")</f>
        <v>(Required)</v>
      </c>
      <c r="AH84" s="821"/>
      <c r="AI84" s="825" t="str">
        <f t="shared" ref="AI84:AI103" si="75">IF(ISBLANK(AH84),"(Required)","")</f>
        <v>(Required)</v>
      </c>
      <c r="AJ84" s="821"/>
      <c r="AK84" s="825" t="str">
        <f t="shared" ref="AK84:AK103" si="76">IF(ISBLANK(AJ84),"(Required)","")</f>
        <v>(Required)</v>
      </c>
      <c r="AL84" s="821"/>
      <c r="AM84" s="825" t="str">
        <f t="shared" ref="AM84:AM103" si="77">IF(ISBLANK(AL84),"(Required)","")</f>
        <v>(Required)</v>
      </c>
      <c r="AN84" s="924"/>
      <c r="AO84" s="825" t="str">
        <f t="shared" ref="AO84:AO103" si="78">IF(ISBLANK(AN84),"(Required)","")</f>
        <v>(Required)</v>
      </c>
      <c r="AP84" s="821"/>
      <c r="AQ84" s="827" t="str">
        <f t="shared" ref="AQ84:AQ103" si="79">IF(ISBLANK(AP84),"(Required)","")</f>
        <v>(Required)</v>
      </c>
      <c r="AR84" s="928"/>
      <c r="AS84" s="826" t="str">
        <f t="shared" ref="AS84:AS103" si="80">IF(ISBLANK(AR84),"(Optional)","")</f>
        <v>(Optional)</v>
      </c>
      <c r="AT84" s="928"/>
      <c r="AU84" s="826" t="str">
        <f t="shared" ref="AU84:AU103" si="81">IF(ISBLANK(AT84),"(Optional)","")</f>
        <v>(Optional)</v>
      </c>
      <c r="AV84" s="931"/>
      <c r="AW84" s="825" t="str">
        <f t="shared" ref="AW84:AW103" si="82">IF(ISBLANK(AV84),"(Required)","")</f>
        <v>(Required)</v>
      </c>
      <c r="AX84" s="931"/>
      <c r="AY84" s="825" t="str">
        <f t="shared" ref="AY84:AY103" si="83">IF(ISBLANK(AX84),"(Required)","")</f>
        <v>(Required)</v>
      </c>
      <c r="AZ8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4" s="804">
        <f>IFERROR(IF(Table411[[#This Row],[Is Baseline Pump Motor Energy Use Known? (Yes/No)]]="Yes",(Table411[[#This Row],[Annual Baseline Energy Use (kWh/yr)]]),(Table411[[#This Row],[Baseline Motor Energy Use (kWh)]])),0)</f>
        <v>0</v>
      </c>
      <c r="BC84" s="804">
        <f>IFERROR(IF(Table411[[#This Row],[Is Replacement Pump Motor Energy Use Known? (Yes/No)]]="Yes",(Table411[[#This Row],[Annual Replacement Energy Use (kWh/yr)]]),(Table411[[#This Row],[Replacement Motor Energy Use (kWh)]])),0)</f>
        <v>0</v>
      </c>
      <c r="BD84" s="804">
        <f>SUM((Table411[[#This Row],[Baseline Annual Energy Use]]-Table411[[#This Row],[Replacement Annual Energy Use]]),(Table411[[#This Row],[Replacement VFD Energy Savings (kWh)]]-Table411[[#This Row],[Baseline VFD Energy Savings (kWh)]]))</f>
        <v>0</v>
      </c>
      <c r="BE84" s="930">
        <f>'Grid Electricity'!$B$19</f>
        <v>2.1064475489616943E-4</v>
      </c>
      <c r="BF84" s="803" t="s">
        <v>586</v>
      </c>
      <c r="BG84" s="806">
        <f>Table411[[#This Row],[Baseline Annual Energy Use]]*Table411[[#This Row],[Fuel Carbon Content]]</f>
        <v>0</v>
      </c>
      <c r="BH84" s="806">
        <f>Table411[[#This Row],[Replacement Annual Energy Use]]*Table411[[#This Row],[Fuel Carbon Content]]</f>
        <v>0</v>
      </c>
      <c r="BI84" s="806">
        <f t="shared" ref="BI84:BI103" si="84">IF(AND(BG84="",BH84=""),"",(BG84-BH84))</f>
        <v>0</v>
      </c>
      <c r="BJ84" s="804">
        <f t="shared" ref="BJ84:BJ103" si="85">IFERROR((BI84*D84),"")</f>
        <v>0</v>
      </c>
      <c r="BK84" s="807">
        <v>0.76</v>
      </c>
      <c r="BL84" s="813">
        <f>IFERROR(BD84*'Grid Electricity'!$D$39,0)</f>
        <v>0</v>
      </c>
      <c r="BM84" s="813">
        <f>IFERROR(BD84*'Grid Electricity'!$C$39,0)</f>
        <v>0</v>
      </c>
      <c r="BN84" s="813">
        <f>IFERROR(BD84*'Grid Electricity'!$F$39,0)</f>
        <v>0</v>
      </c>
      <c r="BO84" s="813">
        <f t="shared" ref="BO84:BO103" si="86">IF(BN84=0,0,BN84*BK84)</f>
        <v>0</v>
      </c>
      <c r="BP84" s="814">
        <f t="shared" ref="BP84:BP103" si="87">BL84</f>
        <v>0</v>
      </c>
      <c r="BQ84" s="814">
        <f t="shared" ref="BQ84:BQ103" si="88">BM84</f>
        <v>0</v>
      </c>
      <c r="BR84" s="814">
        <f t="shared" ref="BR84:BR103" si="89">BN84</f>
        <v>0</v>
      </c>
      <c r="BS84" s="814">
        <f t="shared" ref="BS84:BS103" si="90">BO84</f>
        <v>0</v>
      </c>
      <c r="BT84" s="818">
        <f>((BB84-AB84)*'Fuel Prices'!$C$27)*(IF(ISBLANK(D84),15,D84))</f>
        <v>0</v>
      </c>
      <c r="BU84" s="818">
        <f>((BC84-AZ84)*'Fuel Prices'!$C$27)*(IF(ISBLANK(D84),15,D84))</f>
        <v>0</v>
      </c>
      <c r="BV84" s="818">
        <f t="shared" ref="BV84:BV103" si="91">BW84/(IF(ISBLANK(D84),15,D84))</f>
        <v>0</v>
      </c>
      <c r="BW84" s="818">
        <f t="shared" ref="BW84:BW103" si="92">IFERROR(BT84-BU84,"")</f>
        <v>0</v>
      </c>
      <c r="BX84" s="804" t="str">
        <f t="shared" ref="BX84:BX103" si="93">IF(AND(D84="",B84=""),"",IF(D84="",15,""))</f>
        <v/>
      </c>
      <c r="BY84" s="804">
        <f t="shared" ref="BY84:BY103" si="94">IFERROR(ROUND(BJ84,0),"")</f>
        <v>0</v>
      </c>
      <c r="BZ84" s="804">
        <v>0</v>
      </c>
      <c r="CA84" s="804">
        <f t="shared" si="34"/>
        <v>0</v>
      </c>
      <c r="CB84" s="804">
        <f t="shared" si="35"/>
        <v>0</v>
      </c>
      <c r="CC84" s="804">
        <f t="shared" si="36"/>
        <v>0</v>
      </c>
      <c r="CD84" s="804">
        <f t="shared" si="37"/>
        <v>0</v>
      </c>
      <c r="CE84" s="804">
        <f t="shared" si="38"/>
        <v>0</v>
      </c>
      <c r="CF84" s="804">
        <f t="shared" si="39"/>
        <v>0</v>
      </c>
      <c r="CG84" s="818">
        <f t="shared" si="40"/>
        <v>0</v>
      </c>
    </row>
    <row r="85" spans="1:85" ht="18" customHeight="1" x14ac:dyDescent="0.35">
      <c r="A85" s="696"/>
      <c r="B85" s="820"/>
      <c r="C85" s="825" t="str">
        <f t="shared" si="61"/>
        <v>(Required)</v>
      </c>
      <c r="D85" s="821"/>
      <c r="E85" s="825" t="str">
        <f t="shared" si="62"/>
        <v>(Required)</v>
      </c>
      <c r="F85" s="822"/>
      <c r="G85" s="825" t="str">
        <f t="shared" si="63"/>
        <v>(Required)</v>
      </c>
      <c r="H85" s="821"/>
      <c r="I85" s="825" t="str">
        <f t="shared" si="64"/>
        <v>(Required)</v>
      </c>
      <c r="J85" s="821"/>
      <c r="K85" s="825" t="str">
        <f t="shared" si="65"/>
        <v>(Required)</v>
      </c>
      <c r="L85" s="821"/>
      <c r="M85" s="825" t="str">
        <f t="shared" si="66"/>
        <v>(Required)</v>
      </c>
      <c r="N85" s="821"/>
      <c r="O85" s="825" t="str">
        <f t="shared" si="67"/>
        <v>(Required)</v>
      </c>
      <c r="P85" s="924"/>
      <c r="Q85" s="825" t="str">
        <f t="shared" si="68"/>
        <v>(Optional)</v>
      </c>
      <c r="R85" s="821"/>
      <c r="S85" s="827" t="str">
        <f t="shared" si="69"/>
        <v>(Required)</v>
      </c>
      <c r="T85" s="828"/>
      <c r="U85" s="799" t="str">
        <f t="shared" si="70"/>
        <v>(Optional)</v>
      </c>
      <c r="V85" s="824"/>
      <c r="W85" s="799" t="str">
        <f t="shared" si="70"/>
        <v>(Optional)</v>
      </c>
      <c r="X85" s="925"/>
      <c r="Y85" s="926" t="str">
        <f t="shared" si="71"/>
        <v>(Required)</v>
      </c>
      <c r="Z85" s="925"/>
      <c r="AA85" s="926" t="str">
        <f t="shared" si="72"/>
        <v>(Required)</v>
      </c>
      <c r="AB8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5" s="822"/>
      <c r="AE85" s="825" t="str">
        <f t="shared" si="73"/>
        <v>(Required)</v>
      </c>
      <c r="AF85" s="821"/>
      <c r="AG85" s="825" t="str">
        <f t="shared" si="74"/>
        <v>(Required)</v>
      </c>
      <c r="AH85" s="821"/>
      <c r="AI85" s="825" t="str">
        <f t="shared" si="75"/>
        <v>(Required)</v>
      </c>
      <c r="AJ85" s="821"/>
      <c r="AK85" s="825" t="str">
        <f t="shared" si="76"/>
        <v>(Required)</v>
      </c>
      <c r="AL85" s="821"/>
      <c r="AM85" s="825" t="str">
        <f t="shared" si="77"/>
        <v>(Required)</v>
      </c>
      <c r="AN85" s="924"/>
      <c r="AO85" s="825" t="str">
        <f t="shared" si="78"/>
        <v>(Required)</v>
      </c>
      <c r="AP85" s="821"/>
      <c r="AQ85" s="827" t="str">
        <f t="shared" si="79"/>
        <v>(Required)</v>
      </c>
      <c r="AR85" s="928"/>
      <c r="AS85" s="826" t="str">
        <f t="shared" si="80"/>
        <v>(Optional)</v>
      </c>
      <c r="AT85" s="928"/>
      <c r="AU85" s="826" t="str">
        <f t="shared" si="81"/>
        <v>(Optional)</v>
      </c>
      <c r="AV85" s="931"/>
      <c r="AW85" s="825" t="str">
        <f t="shared" si="82"/>
        <v>(Required)</v>
      </c>
      <c r="AX85" s="931"/>
      <c r="AY85" s="825" t="str">
        <f t="shared" si="83"/>
        <v>(Required)</v>
      </c>
      <c r="AZ8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5" s="804">
        <f>IFERROR(IF(Table411[[#This Row],[Is Baseline Pump Motor Energy Use Known? (Yes/No)]]="Yes",(Table411[[#This Row],[Annual Baseline Energy Use (kWh/yr)]]),(Table411[[#This Row],[Baseline Motor Energy Use (kWh)]])),0)</f>
        <v>0</v>
      </c>
      <c r="BC85" s="804">
        <f>IFERROR(IF(Table411[[#This Row],[Is Replacement Pump Motor Energy Use Known? (Yes/No)]]="Yes",(Table411[[#This Row],[Annual Replacement Energy Use (kWh/yr)]]),(Table411[[#This Row],[Replacement Motor Energy Use (kWh)]])),0)</f>
        <v>0</v>
      </c>
      <c r="BD85" s="804">
        <f>SUM((Table411[[#This Row],[Baseline Annual Energy Use]]-Table411[[#This Row],[Replacement Annual Energy Use]]),(Table411[[#This Row],[Replacement VFD Energy Savings (kWh)]]-Table411[[#This Row],[Baseline VFD Energy Savings (kWh)]]))</f>
        <v>0</v>
      </c>
      <c r="BE85" s="930">
        <f>'Grid Electricity'!$B$19</f>
        <v>2.1064475489616943E-4</v>
      </c>
      <c r="BF85" s="803" t="s">
        <v>586</v>
      </c>
      <c r="BG85" s="806">
        <f>Table411[[#This Row],[Baseline Annual Energy Use]]*Table411[[#This Row],[Fuel Carbon Content]]</f>
        <v>0</v>
      </c>
      <c r="BH85" s="806">
        <f>Table411[[#This Row],[Replacement Annual Energy Use]]*Table411[[#This Row],[Fuel Carbon Content]]</f>
        <v>0</v>
      </c>
      <c r="BI85" s="806">
        <f t="shared" si="84"/>
        <v>0</v>
      </c>
      <c r="BJ85" s="804">
        <f t="shared" si="85"/>
        <v>0</v>
      </c>
      <c r="BK85" s="807">
        <v>0.76</v>
      </c>
      <c r="BL85" s="813">
        <f>IFERROR(BD85*'Grid Electricity'!$D$39,0)</f>
        <v>0</v>
      </c>
      <c r="BM85" s="813">
        <f>IFERROR(BD85*'Grid Electricity'!$C$39,0)</f>
        <v>0</v>
      </c>
      <c r="BN85" s="813">
        <f>IFERROR(BD85*'Grid Electricity'!$F$39,0)</f>
        <v>0</v>
      </c>
      <c r="BO85" s="813">
        <f t="shared" si="86"/>
        <v>0</v>
      </c>
      <c r="BP85" s="814">
        <f t="shared" si="87"/>
        <v>0</v>
      </c>
      <c r="BQ85" s="814">
        <f t="shared" si="88"/>
        <v>0</v>
      </c>
      <c r="BR85" s="814">
        <f t="shared" si="89"/>
        <v>0</v>
      </c>
      <c r="BS85" s="814">
        <f t="shared" si="90"/>
        <v>0</v>
      </c>
      <c r="BT85" s="818">
        <f>((BB85-AB85)*'Fuel Prices'!$C$27)*(IF(ISBLANK(D85),15,D85))</f>
        <v>0</v>
      </c>
      <c r="BU85" s="818">
        <f>((BC85-AZ85)*'Fuel Prices'!$C$27)*(IF(ISBLANK(D85),15,D85))</f>
        <v>0</v>
      </c>
      <c r="BV85" s="818">
        <f t="shared" si="91"/>
        <v>0</v>
      </c>
      <c r="BW85" s="818">
        <f t="shared" si="92"/>
        <v>0</v>
      </c>
      <c r="BX85" s="804" t="str">
        <f t="shared" si="93"/>
        <v/>
      </c>
      <c r="BY85" s="804">
        <f t="shared" si="94"/>
        <v>0</v>
      </c>
      <c r="BZ85" s="804">
        <v>0</v>
      </c>
      <c r="CA85" s="804">
        <f t="shared" ref="CA85:CA103" si="95">IFERROR(ROUND(BL85,1),"")</f>
        <v>0</v>
      </c>
      <c r="CB85" s="804">
        <f t="shared" ref="CB85:CB103" si="96">IFERROR(ROUND(BO85,1),"")</f>
        <v>0</v>
      </c>
      <c r="CC85" s="804">
        <f t="shared" ref="CC85:CC103" si="97">IFERROR(ROUND(BM85,1),"")</f>
        <v>0</v>
      </c>
      <c r="CD85" s="804">
        <f t="shared" ref="CD85:CD103" si="98">IFERROR(ROUND(BP85,1),"")</f>
        <v>0</v>
      </c>
      <c r="CE85" s="804">
        <f t="shared" ref="CE85:CE103" si="99">IFERROR(ROUND(BS85,1),"")</f>
        <v>0</v>
      </c>
      <c r="CF85" s="804">
        <f t="shared" ref="CF85:CF103" si="100">IFERROR(ROUND(BQ85,1),"")</f>
        <v>0</v>
      </c>
      <c r="CG85" s="818">
        <f t="shared" ref="CG85:CG103" si="101">IFERROR(ROUND(BW85,0),"")</f>
        <v>0</v>
      </c>
    </row>
    <row r="86" spans="1:85" ht="18" customHeight="1" x14ac:dyDescent="0.35">
      <c r="A86" s="635"/>
      <c r="B86" s="820"/>
      <c r="C86" s="825" t="str">
        <f t="shared" si="61"/>
        <v>(Required)</v>
      </c>
      <c r="D86" s="821"/>
      <c r="E86" s="825" t="str">
        <f t="shared" si="62"/>
        <v>(Required)</v>
      </c>
      <c r="F86" s="822"/>
      <c r="G86" s="825" t="str">
        <f t="shared" si="63"/>
        <v>(Required)</v>
      </c>
      <c r="H86" s="821"/>
      <c r="I86" s="825" t="str">
        <f t="shared" si="64"/>
        <v>(Required)</v>
      </c>
      <c r="J86" s="821"/>
      <c r="K86" s="825" t="str">
        <f t="shared" si="65"/>
        <v>(Required)</v>
      </c>
      <c r="L86" s="821"/>
      <c r="M86" s="825" t="str">
        <f t="shared" si="66"/>
        <v>(Required)</v>
      </c>
      <c r="N86" s="821"/>
      <c r="O86" s="825" t="str">
        <f t="shared" si="67"/>
        <v>(Required)</v>
      </c>
      <c r="P86" s="924"/>
      <c r="Q86" s="825" t="str">
        <f t="shared" si="68"/>
        <v>(Optional)</v>
      </c>
      <c r="R86" s="821"/>
      <c r="S86" s="827" t="str">
        <f t="shared" si="69"/>
        <v>(Required)</v>
      </c>
      <c r="T86" s="828"/>
      <c r="U86" s="799" t="str">
        <f t="shared" si="70"/>
        <v>(Optional)</v>
      </c>
      <c r="V86" s="824"/>
      <c r="W86" s="799" t="str">
        <f t="shared" si="70"/>
        <v>(Optional)</v>
      </c>
      <c r="X86" s="925"/>
      <c r="Y86" s="926" t="str">
        <f t="shared" si="71"/>
        <v>(Required)</v>
      </c>
      <c r="Z86" s="925"/>
      <c r="AA86" s="926" t="str">
        <f t="shared" si="72"/>
        <v>(Required)</v>
      </c>
      <c r="AB8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6" s="822"/>
      <c r="AE86" s="825" t="str">
        <f t="shared" si="73"/>
        <v>(Required)</v>
      </c>
      <c r="AF86" s="821"/>
      <c r="AG86" s="825" t="str">
        <f t="shared" si="74"/>
        <v>(Required)</v>
      </c>
      <c r="AH86" s="821"/>
      <c r="AI86" s="825" t="str">
        <f t="shared" si="75"/>
        <v>(Required)</v>
      </c>
      <c r="AJ86" s="821"/>
      <c r="AK86" s="825" t="str">
        <f t="shared" si="76"/>
        <v>(Required)</v>
      </c>
      <c r="AL86" s="821"/>
      <c r="AM86" s="825" t="str">
        <f t="shared" si="77"/>
        <v>(Required)</v>
      </c>
      <c r="AN86" s="924"/>
      <c r="AO86" s="825" t="str">
        <f t="shared" si="78"/>
        <v>(Required)</v>
      </c>
      <c r="AP86" s="821"/>
      <c r="AQ86" s="827" t="str">
        <f t="shared" si="79"/>
        <v>(Required)</v>
      </c>
      <c r="AR86" s="928"/>
      <c r="AS86" s="826" t="str">
        <f t="shared" si="80"/>
        <v>(Optional)</v>
      </c>
      <c r="AT86" s="928"/>
      <c r="AU86" s="826" t="str">
        <f t="shared" si="81"/>
        <v>(Optional)</v>
      </c>
      <c r="AV86" s="931"/>
      <c r="AW86" s="825" t="str">
        <f t="shared" si="82"/>
        <v>(Required)</v>
      </c>
      <c r="AX86" s="931"/>
      <c r="AY86" s="825" t="str">
        <f t="shared" si="83"/>
        <v>(Required)</v>
      </c>
      <c r="AZ8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6" s="804">
        <f>IFERROR(IF(Table411[[#This Row],[Is Baseline Pump Motor Energy Use Known? (Yes/No)]]="Yes",(Table411[[#This Row],[Annual Baseline Energy Use (kWh/yr)]]),(Table411[[#This Row],[Baseline Motor Energy Use (kWh)]])),0)</f>
        <v>0</v>
      </c>
      <c r="BC86" s="804">
        <f>IFERROR(IF(Table411[[#This Row],[Is Replacement Pump Motor Energy Use Known? (Yes/No)]]="Yes",(Table411[[#This Row],[Annual Replacement Energy Use (kWh/yr)]]),(Table411[[#This Row],[Replacement Motor Energy Use (kWh)]])),0)</f>
        <v>0</v>
      </c>
      <c r="BD86" s="804">
        <f>SUM((Table411[[#This Row],[Baseline Annual Energy Use]]-Table411[[#This Row],[Replacement Annual Energy Use]]),(Table411[[#This Row],[Replacement VFD Energy Savings (kWh)]]-Table411[[#This Row],[Baseline VFD Energy Savings (kWh)]]))</f>
        <v>0</v>
      </c>
      <c r="BE86" s="930">
        <f>'Grid Electricity'!$B$19</f>
        <v>2.1064475489616943E-4</v>
      </c>
      <c r="BF86" s="803" t="s">
        <v>586</v>
      </c>
      <c r="BG86" s="806">
        <f>Table411[[#This Row],[Baseline Annual Energy Use]]*Table411[[#This Row],[Fuel Carbon Content]]</f>
        <v>0</v>
      </c>
      <c r="BH86" s="806">
        <f>Table411[[#This Row],[Replacement Annual Energy Use]]*Table411[[#This Row],[Fuel Carbon Content]]</f>
        <v>0</v>
      </c>
      <c r="BI86" s="806">
        <f t="shared" si="84"/>
        <v>0</v>
      </c>
      <c r="BJ86" s="804">
        <f t="shared" si="85"/>
        <v>0</v>
      </c>
      <c r="BK86" s="807">
        <v>0.76</v>
      </c>
      <c r="BL86" s="813">
        <f>IFERROR(BD86*'Grid Electricity'!$D$39,0)</f>
        <v>0</v>
      </c>
      <c r="BM86" s="813">
        <f>IFERROR(BD86*'Grid Electricity'!$C$39,0)</f>
        <v>0</v>
      </c>
      <c r="BN86" s="813">
        <f>IFERROR(BD86*'Grid Electricity'!$F$39,0)</f>
        <v>0</v>
      </c>
      <c r="BO86" s="813">
        <f t="shared" si="86"/>
        <v>0</v>
      </c>
      <c r="BP86" s="814">
        <f t="shared" si="87"/>
        <v>0</v>
      </c>
      <c r="BQ86" s="814">
        <f t="shared" si="88"/>
        <v>0</v>
      </c>
      <c r="BR86" s="814">
        <f t="shared" si="89"/>
        <v>0</v>
      </c>
      <c r="BS86" s="814">
        <f t="shared" si="90"/>
        <v>0</v>
      </c>
      <c r="BT86" s="818">
        <f>((BB86-AB86)*'Fuel Prices'!$C$27)*(IF(ISBLANK(D86),15,D86))</f>
        <v>0</v>
      </c>
      <c r="BU86" s="818">
        <f>((BC86-AZ86)*'Fuel Prices'!$C$27)*(IF(ISBLANK(D86),15,D86))</f>
        <v>0</v>
      </c>
      <c r="BV86" s="818">
        <f t="shared" si="91"/>
        <v>0</v>
      </c>
      <c r="BW86" s="818">
        <f t="shared" si="92"/>
        <v>0</v>
      </c>
      <c r="BX86" s="804" t="str">
        <f t="shared" si="93"/>
        <v/>
      </c>
      <c r="BY86" s="804">
        <f t="shared" si="94"/>
        <v>0</v>
      </c>
      <c r="BZ86" s="804">
        <v>0</v>
      </c>
      <c r="CA86" s="804">
        <f t="shared" si="95"/>
        <v>0</v>
      </c>
      <c r="CB86" s="804">
        <f t="shared" si="96"/>
        <v>0</v>
      </c>
      <c r="CC86" s="804">
        <f t="shared" si="97"/>
        <v>0</v>
      </c>
      <c r="CD86" s="804">
        <f t="shared" si="98"/>
        <v>0</v>
      </c>
      <c r="CE86" s="804">
        <f t="shared" si="99"/>
        <v>0</v>
      </c>
      <c r="CF86" s="804">
        <f t="shared" si="100"/>
        <v>0</v>
      </c>
      <c r="CG86" s="818">
        <f t="shared" si="101"/>
        <v>0</v>
      </c>
    </row>
    <row r="87" spans="1:85" ht="18" customHeight="1" x14ac:dyDescent="0.35">
      <c r="A87" s="696"/>
      <c r="B87" s="820"/>
      <c r="C87" s="825" t="str">
        <f t="shared" si="61"/>
        <v>(Required)</v>
      </c>
      <c r="D87" s="821"/>
      <c r="E87" s="825" t="str">
        <f t="shared" si="62"/>
        <v>(Required)</v>
      </c>
      <c r="F87" s="822"/>
      <c r="G87" s="825" t="str">
        <f t="shared" si="63"/>
        <v>(Required)</v>
      </c>
      <c r="H87" s="821"/>
      <c r="I87" s="825" t="str">
        <f t="shared" si="64"/>
        <v>(Required)</v>
      </c>
      <c r="J87" s="821"/>
      <c r="K87" s="825" t="str">
        <f t="shared" si="65"/>
        <v>(Required)</v>
      </c>
      <c r="L87" s="821"/>
      <c r="M87" s="825" t="str">
        <f t="shared" si="66"/>
        <v>(Required)</v>
      </c>
      <c r="N87" s="821"/>
      <c r="O87" s="825" t="str">
        <f t="shared" si="67"/>
        <v>(Required)</v>
      </c>
      <c r="P87" s="924"/>
      <c r="Q87" s="825" t="str">
        <f t="shared" si="68"/>
        <v>(Optional)</v>
      </c>
      <c r="R87" s="821"/>
      <c r="S87" s="827" t="str">
        <f t="shared" si="69"/>
        <v>(Required)</v>
      </c>
      <c r="T87" s="828"/>
      <c r="U87" s="799" t="str">
        <f t="shared" si="70"/>
        <v>(Optional)</v>
      </c>
      <c r="V87" s="824"/>
      <c r="W87" s="799" t="str">
        <f t="shared" si="70"/>
        <v>(Optional)</v>
      </c>
      <c r="X87" s="925"/>
      <c r="Y87" s="926" t="str">
        <f t="shared" si="71"/>
        <v>(Required)</v>
      </c>
      <c r="Z87" s="925"/>
      <c r="AA87" s="926" t="str">
        <f t="shared" si="72"/>
        <v>(Required)</v>
      </c>
      <c r="AB8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7" s="822"/>
      <c r="AE87" s="825" t="str">
        <f t="shared" si="73"/>
        <v>(Required)</v>
      </c>
      <c r="AF87" s="821"/>
      <c r="AG87" s="825" t="str">
        <f t="shared" si="74"/>
        <v>(Required)</v>
      </c>
      <c r="AH87" s="821"/>
      <c r="AI87" s="825" t="str">
        <f t="shared" si="75"/>
        <v>(Required)</v>
      </c>
      <c r="AJ87" s="821"/>
      <c r="AK87" s="825" t="str">
        <f t="shared" si="76"/>
        <v>(Required)</v>
      </c>
      <c r="AL87" s="821"/>
      <c r="AM87" s="825" t="str">
        <f t="shared" si="77"/>
        <v>(Required)</v>
      </c>
      <c r="AN87" s="924"/>
      <c r="AO87" s="825" t="str">
        <f t="shared" si="78"/>
        <v>(Required)</v>
      </c>
      <c r="AP87" s="821"/>
      <c r="AQ87" s="827" t="str">
        <f t="shared" si="79"/>
        <v>(Required)</v>
      </c>
      <c r="AR87" s="928"/>
      <c r="AS87" s="826" t="str">
        <f t="shared" si="80"/>
        <v>(Optional)</v>
      </c>
      <c r="AT87" s="928"/>
      <c r="AU87" s="826" t="str">
        <f t="shared" si="81"/>
        <v>(Optional)</v>
      </c>
      <c r="AV87" s="931"/>
      <c r="AW87" s="825" t="str">
        <f t="shared" si="82"/>
        <v>(Required)</v>
      </c>
      <c r="AX87" s="931"/>
      <c r="AY87" s="825" t="str">
        <f t="shared" si="83"/>
        <v>(Required)</v>
      </c>
      <c r="AZ8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7" s="804">
        <f>IFERROR(IF(Table411[[#This Row],[Is Baseline Pump Motor Energy Use Known? (Yes/No)]]="Yes",(Table411[[#This Row],[Annual Baseline Energy Use (kWh/yr)]]),(Table411[[#This Row],[Baseline Motor Energy Use (kWh)]])),0)</f>
        <v>0</v>
      </c>
      <c r="BC87" s="804">
        <f>IFERROR(IF(Table411[[#This Row],[Is Replacement Pump Motor Energy Use Known? (Yes/No)]]="Yes",(Table411[[#This Row],[Annual Replacement Energy Use (kWh/yr)]]),(Table411[[#This Row],[Replacement Motor Energy Use (kWh)]])),0)</f>
        <v>0</v>
      </c>
      <c r="BD87" s="804">
        <f>SUM((Table411[[#This Row],[Baseline Annual Energy Use]]-Table411[[#This Row],[Replacement Annual Energy Use]]),(Table411[[#This Row],[Replacement VFD Energy Savings (kWh)]]-Table411[[#This Row],[Baseline VFD Energy Savings (kWh)]]))</f>
        <v>0</v>
      </c>
      <c r="BE87" s="930">
        <f>'Grid Electricity'!$B$19</f>
        <v>2.1064475489616943E-4</v>
      </c>
      <c r="BF87" s="803" t="s">
        <v>586</v>
      </c>
      <c r="BG87" s="806">
        <f>Table411[[#This Row],[Baseline Annual Energy Use]]*Table411[[#This Row],[Fuel Carbon Content]]</f>
        <v>0</v>
      </c>
      <c r="BH87" s="806">
        <f>Table411[[#This Row],[Replacement Annual Energy Use]]*Table411[[#This Row],[Fuel Carbon Content]]</f>
        <v>0</v>
      </c>
      <c r="BI87" s="806">
        <f t="shared" si="84"/>
        <v>0</v>
      </c>
      <c r="BJ87" s="804">
        <f t="shared" si="85"/>
        <v>0</v>
      </c>
      <c r="BK87" s="807">
        <v>0.76</v>
      </c>
      <c r="BL87" s="813">
        <f>IFERROR(BD87*'Grid Electricity'!$D$39,0)</f>
        <v>0</v>
      </c>
      <c r="BM87" s="813">
        <f>IFERROR(BD87*'Grid Electricity'!$C$39,0)</f>
        <v>0</v>
      </c>
      <c r="BN87" s="813">
        <f>IFERROR(BD87*'Grid Electricity'!$F$39,0)</f>
        <v>0</v>
      </c>
      <c r="BO87" s="813">
        <f t="shared" si="86"/>
        <v>0</v>
      </c>
      <c r="BP87" s="814">
        <f t="shared" si="87"/>
        <v>0</v>
      </c>
      <c r="BQ87" s="814">
        <f t="shared" si="88"/>
        <v>0</v>
      </c>
      <c r="BR87" s="814">
        <f t="shared" si="89"/>
        <v>0</v>
      </c>
      <c r="BS87" s="814">
        <f t="shared" si="90"/>
        <v>0</v>
      </c>
      <c r="BT87" s="818">
        <f>((BB87-AB87)*'Fuel Prices'!$C$27)*(IF(ISBLANK(D87),15,D87))</f>
        <v>0</v>
      </c>
      <c r="BU87" s="818">
        <f>((BC87-AZ87)*'Fuel Prices'!$C$27)*(IF(ISBLANK(D87),15,D87))</f>
        <v>0</v>
      </c>
      <c r="BV87" s="818">
        <f t="shared" si="91"/>
        <v>0</v>
      </c>
      <c r="BW87" s="818">
        <f t="shared" si="92"/>
        <v>0</v>
      </c>
      <c r="BX87" s="804" t="str">
        <f t="shared" si="93"/>
        <v/>
      </c>
      <c r="BY87" s="804">
        <f t="shared" si="94"/>
        <v>0</v>
      </c>
      <c r="BZ87" s="804">
        <v>0</v>
      </c>
      <c r="CA87" s="804">
        <f t="shared" si="95"/>
        <v>0</v>
      </c>
      <c r="CB87" s="804">
        <f t="shared" si="96"/>
        <v>0</v>
      </c>
      <c r="CC87" s="804">
        <f t="shared" si="97"/>
        <v>0</v>
      </c>
      <c r="CD87" s="804">
        <f t="shared" si="98"/>
        <v>0</v>
      </c>
      <c r="CE87" s="804">
        <f t="shared" si="99"/>
        <v>0</v>
      </c>
      <c r="CF87" s="804">
        <f t="shared" si="100"/>
        <v>0</v>
      </c>
      <c r="CG87" s="818">
        <f t="shared" si="101"/>
        <v>0</v>
      </c>
    </row>
    <row r="88" spans="1:85" ht="18" customHeight="1" x14ac:dyDescent="0.35">
      <c r="A88" s="635"/>
      <c r="B88" s="820"/>
      <c r="C88" s="825" t="str">
        <f t="shared" si="61"/>
        <v>(Required)</v>
      </c>
      <c r="D88" s="821"/>
      <c r="E88" s="825" t="str">
        <f t="shared" si="62"/>
        <v>(Required)</v>
      </c>
      <c r="F88" s="822"/>
      <c r="G88" s="825" t="str">
        <f t="shared" si="63"/>
        <v>(Required)</v>
      </c>
      <c r="H88" s="821"/>
      <c r="I88" s="825" t="str">
        <f t="shared" si="64"/>
        <v>(Required)</v>
      </c>
      <c r="J88" s="821"/>
      <c r="K88" s="825" t="str">
        <f t="shared" si="65"/>
        <v>(Required)</v>
      </c>
      <c r="L88" s="821"/>
      <c r="M88" s="825" t="str">
        <f t="shared" si="66"/>
        <v>(Required)</v>
      </c>
      <c r="N88" s="821"/>
      <c r="O88" s="825" t="str">
        <f t="shared" si="67"/>
        <v>(Required)</v>
      </c>
      <c r="P88" s="924"/>
      <c r="Q88" s="825" t="str">
        <f t="shared" si="68"/>
        <v>(Optional)</v>
      </c>
      <c r="R88" s="821"/>
      <c r="S88" s="827" t="str">
        <f t="shared" si="69"/>
        <v>(Required)</v>
      </c>
      <c r="T88" s="828"/>
      <c r="U88" s="799" t="str">
        <f t="shared" si="70"/>
        <v>(Optional)</v>
      </c>
      <c r="V88" s="824"/>
      <c r="W88" s="799" t="str">
        <f t="shared" si="70"/>
        <v>(Optional)</v>
      </c>
      <c r="X88" s="925"/>
      <c r="Y88" s="926" t="str">
        <f t="shared" si="71"/>
        <v>(Required)</v>
      </c>
      <c r="Z88" s="925"/>
      <c r="AA88" s="926" t="str">
        <f t="shared" si="72"/>
        <v>(Required)</v>
      </c>
      <c r="AB8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8" s="822"/>
      <c r="AE88" s="825" t="str">
        <f t="shared" si="73"/>
        <v>(Required)</v>
      </c>
      <c r="AF88" s="821"/>
      <c r="AG88" s="825" t="str">
        <f t="shared" si="74"/>
        <v>(Required)</v>
      </c>
      <c r="AH88" s="821"/>
      <c r="AI88" s="825" t="str">
        <f t="shared" si="75"/>
        <v>(Required)</v>
      </c>
      <c r="AJ88" s="821"/>
      <c r="AK88" s="825" t="str">
        <f t="shared" si="76"/>
        <v>(Required)</v>
      </c>
      <c r="AL88" s="821"/>
      <c r="AM88" s="825" t="str">
        <f t="shared" si="77"/>
        <v>(Required)</v>
      </c>
      <c r="AN88" s="924"/>
      <c r="AO88" s="825" t="str">
        <f t="shared" si="78"/>
        <v>(Required)</v>
      </c>
      <c r="AP88" s="821"/>
      <c r="AQ88" s="827" t="str">
        <f t="shared" si="79"/>
        <v>(Required)</v>
      </c>
      <c r="AR88" s="928"/>
      <c r="AS88" s="826" t="str">
        <f t="shared" si="80"/>
        <v>(Optional)</v>
      </c>
      <c r="AT88" s="928"/>
      <c r="AU88" s="826" t="str">
        <f t="shared" si="81"/>
        <v>(Optional)</v>
      </c>
      <c r="AV88" s="931"/>
      <c r="AW88" s="825" t="str">
        <f t="shared" si="82"/>
        <v>(Required)</v>
      </c>
      <c r="AX88" s="931"/>
      <c r="AY88" s="825" t="str">
        <f t="shared" si="83"/>
        <v>(Required)</v>
      </c>
      <c r="AZ8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8" s="804">
        <f>IFERROR(IF(Table411[[#This Row],[Is Baseline Pump Motor Energy Use Known? (Yes/No)]]="Yes",(Table411[[#This Row],[Annual Baseline Energy Use (kWh/yr)]]),(Table411[[#This Row],[Baseline Motor Energy Use (kWh)]])),0)</f>
        <v>0</v>
      </c>
      <c r="BC88" s="804">
        <f>IFERROR(IF(Table411[[#This Row],[Is Replacement Pump Motor Energy Use Known? (Yes/No)]]="Yes",(Table411[[#This Row],[Annual Replacement Energy Use (kWh/yr)]]),(Table411[[#This Row],[Replacement Motor Energy Use (kWh)]])),0)</f>
        <v>0</v>
      </c>
      <c r="BD88" s="804">
        <f>SUM((Table411[[#This Row],[Baseline Annual Energy Use]]-Table411[[#This Row],[Replacement Annual Energy Use]]),(Table411[[#This Row],[Replacement VFD Energy Savings (kWh)]]-Table411[[#This Row],[Baseline VFD Energy Savings (kWh)]]))</f>
        <v>0</v>
      </c>
      <c r="BE88" s="930">
        <f>'Grid Electricity'!$B$19</f>
        <v>2.1064475489616943E-4</v>
      </c>
      <c r="BF88" s="803" t="s">
        <v>586</v>
      </c>
      <c r="BG88" s="806">
        <f>Table411[[#This Row],[Baseline Annual Energy Use]]*Table411[[#This Row],[Fuel Carbon Content]]</f>
        <v>0</v>
      </c>
      <c r="BH88" s="806">
        <f>Table411[[#This Row],[Replacement Annual Energy Use]]*Table411[[#This Row],[Fuel Carbon Content]]</f>
        <v>0</v>
      </c>
      <c r="BI88" s="806">
        <f t="shared" si="84"/>
        <v>0</v>
      </c>
      <c r="BJ88" s="804">
        <f t="shared" si="85"/>
        <v>0</v>
      </c>
      <c r="BK88" s="807">
        <v>0.76</v>
      </c>
      <c r="BL88" s="813">
        <f>IFERROR(BD88*'Grid Electricity'!$D$39,0)</f>
        <v>0</v>
      </c>
      <c r="BM88" s="813">
        <f>IFERROR(BD88*'Grid Electricity'!$C$39,0)</f>
        <v>0</v>
      </c>
      <c r="BN88" s="813">
        <f>IFERROR(BD88*'Grid Electricity'!$F$39,0)</f>
        <v>0</v>
      </c>
      <c r="BO88" s="813">
        <f t="shared" si="86"/>
        <v>0</v>
      </c>
      <c r="BP88" s="814">
        <f t="shared" si="87"/>
        <v>0</v>
      </c>
      <c r="BQ88" s="814">
        <f t="shared" si="88"/>
        <v>0</v>
      </c>
      <c r="BR88" s="814">
        <f t="shared" si="89"/>
        <v>0</v>
      </c>
      <c r="BS88" s="814">
        <f t="shared" si="90"/>
        <v>0</v>
      </c>
      <c r="BT88" s="818">
        <f>((BB88-AB88)*'Fuel Prices'!$C$27)*(IF(ISBLANK(D88),15,D88))</f>
        <v>0</v>
      </c>
      <c r="BU88" s="818">
        <f>((BC88-AZ88)*'Fuel Prices'!$C$27)*(IF(ISBLANK(D88),15,D88))</f>
        <v>0</v>
      </c>
      <c r="BV88" s="818">
        <f t="shared" si="91"/>
        <v>0</v>
      </c>
      <c r="BW88" s="818">
        <f t="shared" si="92"/>
        <v>0</v>
      </c>
      <c r="BX88" s="804" t="str">
        <f t="shared" si="93"/>
        <v/>
      </c>
      <c r="BY88" s="804">
        <f t="shared" si="94"/>
        <v>0</v>
      </c>
      <c r="BZ88" s="804">
        <v>0</v>
      </c>
      <c r="CA88" s="804">
        <f t="shared" si="95"/>
        <v>0</v>
      </c>
      <c r="CB88" s="804">
        <f t="shared" si="96"/>
        <v>0</v>
      </c>
      <c r="CC88" s="804">
        <f t="shared" si="97"/>
        <v>0</v>
      </c>
      <c r="CD88" s="804">
        <f t="shared" si="98"/>
        <v>0</v>
      </c>
      <c r="CE88" s="804">
        <f t="shared" si="99"/>
        <v>0</v>
      </c>
      <c r="CF88" s="804">
        <f t="shared" si="100"/>
        <v>0</v>
      </c>
      <c r="CG88" s="818">
        <f t="shared" si="101"/>
        <v>0</v>
      </c>
    </row>
    <row r="89" spans="1:85" ht="18" customHeight="1" x14ac:dyDescent="0.35">
      <c r="A89" s="696"/>
      <c r="B89" s="820"/>
      <c r="C89" s="825" t="str">
        <f t="shared" si="61"/>
        <v>(Required)</v>
      </c>
      <c r="D89" s="821"/>
      <c r="E89" s="825" t="str">
        <f t="shared" si="62"/>
        <v>(Required)</v>
      </c>
      <c r="F89" s="822"/>
      <c r="G89" s="825" t="str">
        <f t="shared" si="63"/>
        <v>(Required)</v>
      </c>
      <c r="H89" s="821"/>
      <c r="I89" s="825" t="str">
        <f t="shared" si="64"/>
        <v>(Required)</v>
      </c>
      <c r="J89" s="821"/>
      <c r="K89" s="825" t="str">
        <f t="shared" si="65"/>
        <v>(Required)</v>
      </c>
      <c r="L89" s="821"/>
      <c r="M89" s="825" t="str">
        <f t="shared" si="66"/>
        <v>(Required)</v>
      </c>
      <c r="N89" s="821"/>
      <c r="O89" s="825" t="str">
        <f t="shared" si="67"/>
        <v>(Required)</v>
      </c>
      <c r="P89" s="924"/>
      <c r="Q89" s="825" t="str">
        <f t="shared" si="68"/>
        <v>(Optional)</v>
      </c>
      <c r="R89" s="821"/>
      <c r="S89" s="827" t="str">
        <f t="shared" si="69"/>
        <v>(Required)</v>
      </c>
      <c r="T89" s="828"/>
      <c r="U89" s="799" t="str">
        <f t="shared" si="70"/>
        <v>(Optional)</v>
      </c>
      <c r="V89" s="824"/>
      <c r="W89" s="799" t="str">
        <f t="shared" si="70"/>
        <v>(Optional)</v>
      </c>
      <c r="X89" s="925"/>
      <c r="Y89" s="926" t="str">
        <f t="shared" si="71"/>
        <v>(Required)</v>
      </c>
      <c r="Z89" s="925"/>
      <c r="AA89" s="926" t="str">
        <f t="shared" si="72"/>
        <v>(Required)</v>
      </c>
      <c r="AB8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8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89" s="822"/>
      <c r="AE89" s="825" t="str">
        <f t="shared" si="73"/>
        <v>(Required)</v>
      </c>
      <c r="AF89" s="821"/>
      <c r="AG89" s="825" t="str">
        <f t="shared" si="74"/>
        <v>(Required)</v>
      </c>
      <c r="AH89" s="821"/>
      <c r="AI89" s="825" t="str">
        <f t="shared" si="75"/>
        <v>(Required)</v>
      </c>
      <c r="AJ89" s="821"/>
      <c r="AK89" s="825" t="str">
        <f t="shared" si="76"/>
        <v>(Required)</v>
      </c>
      <c r="AL89" s="821"/>
      <c r="AM89" s="825" t="str">
        <f t="shared" si="77"/>
        <v>(Required)</v>
      </c>
      <c r="AN89" s="924"/>
      <c r="AO89" s="825" t="str">
        <f t="shared" si="78"/>
        <v>(Required)</v>
      </c>
      <c r="AP89" s="821"/>
      <c r="AQ89" s="827" t="str">
        <f t="shared" si="79"/>
        <v>(Required)</v>
      </c>
      <c r="AR89" s="928"/>
      <c r="AS89" s="826" t="str">
        <f t="shared" si="80"/>
        <v>(Optional)</v>
      </c>
      <c r="AT89" s="928"/>
      <c r="AU89" s="826" t="str">
        <f t="shared" si="81"/>
        <v>(Optional)</v>
      </c>
      <c r="AV89" s="931"/>
      <c r="AW89" s="825" t="str">
        <f t="shared" si="82"/>
        <v>(Required)</v>
      </c>
      <c r="AX89" s="931"/>
      <c r="AY89" s="825" t="str">
        <f t="shared" si="83"/>
        <v>(Required)</v>
      </c>
      <c r="AZ8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8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89" s="804">
        <f>IFERROR(IF(Table411[[#This Row],[Is Baseline Pump Motor Energy Use Known? (Yes/No)]]="Yes",(Table411[[#This Row],[Annual Baseline Energy Use (kWh/yr)]]),(Table411[[#This Row],[Baseline Motor Energy Use (kWh)]])),0)</f>
        <v>0</v>
      </c>
      <c r="BC89" s="804">
        <f>IFERROR(IF(Table411[[#This Row],[Is Replacement Pump Motor Energy Use Known? (Yes/No)]]="Yes",(Table411[[#This Row],[Annual Replacement Energy Use (kWh/yr)]]),(Table411[[#This Row],[Replacement Motor Energy Use (kWh)]])),0)</f>
        <v>0</v>
      </c>
      <c r="BD89" s="804">
        <f>SUM((Table411[[#This Row],[Baseline Annual Energy Use]]-Table411[[#This Row],[Replacement Annual Energy Use]]),(Table411[[#This Row],[Replacement VFD Energy Savings (kWh)]]-Table411[[#This Row],[Baseline VFD Energy Savings (kWh)]]))</f>
        <v>0</v>
      </c>
      <c r="BE89" s="930">
        <f>'Grid Electricity'!$B$19</f>
        <v>2.1064475489616943E-4</v>
      </c>
      <c r="BF89" s="803" t="s">
        <v>586</v>
      </c>
      <c r="BG89" s="806">
        <f>Table411[[#This Row],[Baseline Annual Energy Use]]*Table411[[#This Row],[Fuel Carbon Content]]</f>
        <v>0</v>
      </c>
      <c r="BH89" s="806">
        <f>Table411[[#This Row],[Replacement Annual Energy Use]]*Table411[[#This Row],[Fuel Carbon Content]]</f>
        <v>0</v>
      </c>
      <c r="BI89" s="806">
        <f t="shared" si="84"/>
        <v>0</v>
      </c>
      <c r="BJ89" s="804">
        <f t="shared" si="85"/>
        <v>0</v>
      </c>
      <c r="BK89" s="807">
        <v>0.76</v>
      </c>
      <c r="BL89" s="813">
        <f>IFERROR(BD89*'Grid Electricity'!$D$39,0)</f>
        <v>0</v>
      </c>
      <c r="BM89" s="813">
        <f>IFERROR(BD89*'Grid Electricity'!$C$39,0)</f>
        <v>0</v>
      </c>
      <c r="BN89" s="813">
        <f>IFERROR(BD89*'Grid Electricity'!$F$39,0)</f>
        <v>0</v>
      </c>
      <c r="BO89" s="813">
        <f t="shared" si="86"/>
        <v>0</v>
      </c>
      <c r="BP89" s="814">
        <f t="shared" si="87"/>
        <v>0</v>
      </c>
      <c r="BQ89" s="814">
        <f t="shared" si="88"/>
        <v>0</v>
      </c>
      <c r="BR89" s="814">
        <f t="shared" si="89"/>
        <v>0</v>
      </c>
      <c r="BS89" s="814">
        <f t="shared" si="90"/>
        <v>0</v>
      </c>
      <c r="BT89" s="818">
        <f>((BB89-AB89)*'Fuel Prices'!$C$27)*(IF(ISBLANK(D89),15,D89))</f>
        <v>0</v>
      </c>
      <c r="BU89" s="818">
        <f>((BC89-AZ89)*'Fuel Prices'!$C$27)*(IF(ISBLANK(D89),15,D89))</f>
        <v>0</v>
      </c>
      <c r="BV89" s="818">
        <f t="shared" si="91"/>
        <v>0</v>
      </c>
      <c r="BW89" s="818">
        <f t="shared" si="92"/>
        <v>0</v>
      </c>
      <c r="BX89" s="804" t="str">
        <f t="shared" si="93"/>
        <v/>
      </c>
      <c r="BY89" s="804">
        <f t="shared" si="94"/>
        <v>0</v>
      </c>
      <c r="BZ89" s="804">
        <v>0</v>
      </c>
      <c r="CA89" s="804">
        <f t="shared" si="95"/>
        <v>0</v>
      </c>
      <c r="CB89" s="804">
        <f t="shared" si="96"/>
        <v>0</v>
      </c>
      <c r="CC89" s="804">
        <f t="shared" si="97"/>
        <v>0</v>
      </c>
      <c r="CD89" s="804">
        <f t="shared" si="98"/>
        <v>0</v>
      </c>
      <c r="CE89" s="804">
        <f t="shared" si="99"/>
        <v>0</v>
      </c>
      <c r="CF89" s="804">
        <f t="shared" si="100"/>
        <v>0</v>
      </c>
      <c r="CG89" s="818">
        <f t="shared" si="101"/>
        <v>0</v>
      </c>
    </row>
    <row r="90" spans="1:85" ht="18" customHeight="1" x14ac:dyDescent="0.35">
      <c r="A90" s="635"/>
      <c r="B90" s="820"/>
      <c r="C90" s="825" t="str">
        <f t="shared" si="61"/>
        <v>(Required)</v>
      </c>
      <c r="D90" s="821"/>
      <c r="E90" s="825" t="str">
        <f t="shared" si="62"/>
        <v>(Required)</v>
      </c>
      <c r="F90" s="822"/>
      <c r="G90" s="825" t="str">
        <f t="shared" si="63"/>
        <v>(Required)</v>
      </c>
      <c r="H90" s="821"/>
      <c r="I90" s="825" t="str">
        <f t="shared" si="64"/>
        <v>(Required)</v>
      </c>
      <c r="J90" s="821"/>
      <c r="K90" s="825" t="str">
        <f t="shared" si="65"/>
        <v>(Required)</v>
      </c>
      <c r="L90" s="821"/>
      <c r="M90" s="825" t="str">
        <f t="shared" si="66"/>
        <v>(Required)</v>
      </c>
      <c r="N90" s="821"/>
      <c r="O90" s="825" t="str">
        <f t="shared" si="67"/>
        <v>(Required)</v>
      </c>
      <c r="P90" s="924"/>
      <c r="Q90" s="825" t="str">
        <f t="shared" si="68"/>
        <v>(Optional)</v>
      </c>
      <c r="R90" s="821"/>
      <c r="S90" s="827" t="str">
        <f t="shared" si="69"/>
        <v>(Required)</v>
      </c>
      <c r="T90" s="828"/>
      <c r="U90" s="799" t="str">
        <f t="shared" si="70"/>
        <v>(Optional)</v>
      </c>
      <c r="V90" s="824"/>
      <c r="W90" s="799" t="str">
        <f t="shared" si="70"/>
        <v>(Optional)</v>
      </c>
      <c r="X90" s="925"/>
      <c r="Y90" s="926" t="str">
        <f t="shared" si="71"/>
        <v>(Required)</v>
      </c>
      <c r="Z90" s="925"/>
      <c r="AA90" s="926" t="str">
        <f t="shared" si="72"/>
        <v>(Required)</v>
      </c>
      <c r="AB9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0" s="822"/>
      <c r="AE90" s="825" t="str">
        <f t="shared" si="73"/>
        <v>(Required)</v>
      </c>
      <c r="AF90" s="821"/>
      <c r="AG90" s="825" t="str">
        <f t="shared" si="74"/>
        <v>(Required)</v>
      </c>
      <c r="AH90" s="821"/>
      <c r="AI90" s="825" t="str">
        <f t="shared" si="75"/>
        <v>(Required)</v>
      </c>
      <c r="AJ90" s="821"/>
      <c r="AK90" s="825" t="str">
        <f t="shared" si="76"/>
        <v>(Required)</v>
      </c>
      <c r="AL90" s="821"/>
      <c r="AM90" s="825" t="str">
        <f t="shared" si="77"/>
        <v>(Required)</v>
      </c>
      <c r="AN90" s="924"/>
      <c r="AO90" s="825" t="str">
        <f t="shared" si="78"/>
        <v>(Required)</v>
      </c>
      <c r="AP90" s="821"/>
      <c r="AQ90" s="827" t="str">
        <f t="shared" si="79"/>
        <v>(Required)</v>
      </c>
      <c r="AR90" s="928"/>
      <c r="AS90" s="826" t="str">
        <f t="shared" si="80"/>
        <v>(Optional)</v>
      </c>
      <c r="AT90" s="928"/>
      <c r="AU90" s="826" t="str">
        <f t="shared" si="81"/>
        <v>(Optional)</v>
      </c>
      <c r="AV90" s="931"/>
      <c r="AW90" s="825" t="str">
        <f t="shared" si="82"/>
        <v>(Required)</v>
      </c>
      <c r="AX90" s="931"/>
      <c r="AY90" s="825" t="str">
        <f t="shared" si="83"/>
        <v>(Required)</v>
      </c>
      <c r="AZ9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0" s="804">
        <f>IFERROR(IF(Table411[[#This Row],[Is Baseline Pump Motor Energy Use Known? (Yes/No)]]="Yes",(Table411[[#This Row],[Annual Baseline Energy Use (kWh/yr)]]),(Table411[[#This Row],[Baseline Motor Energy Use (kWh)]])),0)</f>
        <v>0</v>
      </c>
      <c r="BC90" s="804">
        <f>IFERROR(IF(Table411[[#This Row],[Is Replacement Pump Motor Energy Use Known? (Yes/No)]]="Yes",(Table411[[#This Row],[Annual Replacement Energy Use (kWh/yr)]]),(Table411[[#This Row],[Replacement Motor Energy Use (kWh)]])),0)</f>
        <v>0</v>
      </c>
      <c r="BD90" s="804">
        <f>SUM((Table411[[#This Row],[Baseline Annual Energy Use]]-Table411[[#This Row],[Replacement Annual Energy Use]]),(Table411[[#This Row],[Replacement VFD Energy Savings (kWh)]]-Table411[[#This Row],[Baseline VFD Energy Savings (kWh)]]))</f>
        <v>0</v>
      </c>
      <c r="BE90" s="930">
        <f>'Grid Electricity'!$B$19</f>
        <v>2.1064475489616943E-4</v>
      </c>
      <c r="BF90" s="803" t="s">
        <v>586</v>
      </c>
      <c r="BG90" s="806">
        <f>Table411[[#This Row],[Baseline Annual Energy Use]]*Table411[[#This Row],[Fuel Carbon Content]]</f>
        <v>0</v>
      </c>
      <c r="BH90" s="806">
        <f>Table411[[#This Row],[Replacement Annual Energy Use]]*Table411[[#This Row],[Fuel Carbon Content]]</f>
        <v>0</v>
      </c>
      <c r="BI90" s="806">
        <f t="shared" si="84"/>
        <v>0</v>
      </c>
      <c r="BJ90" s="804">
        <f t="shared" si="85"/>
        <v>0</v>
      </c>
      <c r="BK90" s="807">
        <v>0.76</v>
      </c>
      <c r="BL90" s="813">
        <f>IFERROR(BD90*'Grid Electricity'!$D$39,0)</f>
        <v>0</v>
      </c>
      <c r="BM90" s="813">
        <f>IFERROR(BD90*'Grid Electricity'!$C$39,0)</f>
        <v>0</v>
      </c>
      <c r="BN90" s="813">
        <f>IFERROR(BD90*'Grid Electricity'!$F$39,0)</f>
        <v>0</v>
      </c>
      <c r="BO90" s="813">
        <f t="shared" si="86"/>
        <v>0</v>
      </c>
      <c r="BP90" s="814">
        <f t="shared" si="87"/>
        <v>0</v>
      </c>
      <c r="BQ90" s="814">
        <f t="shared" si="88"/>
        <v>0</v>
      </c>
      <c r="BR90" s="814">
        <f t="shared" si="89"/>
        <v>0</v>
      </c>
      <c r="BS90" s="814">
        <f t="shared" si="90"/>
        <v>0</v>
      </c>
      <c r="BT90" s="818">
        <f>((BB90-AB90)*'Fuel Prices'!$C$27)*(IF(ISBLANK(D90),15,D90))</f>
        <v>0</v>
      </c>
      <c r="BU90" s="818">
        <f>((BC90-AZ90)*'Fuel Prices'!$C$27)*(IF(ISBLANK(D90),15,D90))</f>
        <v>0</v>
      </c>
      <c r="BV90" s="818">
        <f t="shared" si="91"/>
        <v>0</v>
      </c>
      <c r="BW90" s="818">
        <f t="shared" si="92"/>
        <v>0</v>
      </c>
      <c r="BX90" s="804" t="str">
        <f t="shared" si="93"/>
        <v/>
      </c>
      <c r="BY90" s="804">
        <f t="shared" si="94"/>
        <v>0</v>
      </c>
      <c r="BZ90" s="804">
        <v>0</v>
      </c>
      <c r="CA90" s="804">
        <f t="shared" si="95"/>
        <v>0</v>
      </c>
      <c r="CB90" s="804">
        <f t="shared" si="96"/>
        <v>0</v>
      </c>
      <c r="CC90" s="804">
        <f t="shared" si="97"/>
        <v>0</v>
      </c>
      <c r="CD90" s="804">
        <f t="shared" si="98"/>
        <v>0</v>
      </c>
      <c r="CE90" s="804">
        <f t="shared" si="99"/>
        <v>0</v>
      </c>
      <c r="CF90" s="804">
        <f t="shared" si="100"/>
        <v>0</v>
      </c>
      <c r="CG90" s="818">
        <f t="shared" si="101"/>
        <v>0</v>
      </c>
    </row>
    <row r="91" spans="1:85" ht="18" customHeight="1" x14ac:dyDescent="0.35">
      <c r="A91" s="696"/>
      <c r="B91" s="820"/>
      <c r="C91" s="825" t="str">
        <f t="shared" si="61"/>
        <v>(Required)</v>
      </c>
      <c r="D91" s="821"/>
      <c r="E91" s="825" t="str">
        <f t="shared" si="62"/>
        <v>(Required)</v>
      </c>
      <c r="F91" s="822"/>
      <c r="G91" s="825" t="str">
        <f t="shared" si="63"/>
        <v>(Required)</v>
      </c>
      <c r="H91" s="821"/>
      <c r="I91" s="825" t="str">
        <f t="shared" si="64"/>
        <v>(Required)</v>
      </c>
      <c r="J91" s="821"/>
      <c r="K91" s="825" t="str">
        <f t="shared" si="65"/>
        <v>(Required)</v>
      </c>
      <c r="L91" s="821"/>
      <c r="M91" s="825" t="str">
        <f t="shared" si="66"/>
        <v>(Required)</v>
      </c>
      <c r="N91" s="821"/>
      <c r="O91" s="825" t="str">
        <f t="shared" si="67"/>
        <v>(Required)</v>
      </c>
      <c r="P91" s="924"/>
      <c r="Q91" s="825" t="str">
        <f t="shared" si="68"/>
        <v>(Optional)</v>
      </c>
      <c r="R91" s="821"/>
      <c r="S91" s="827" t="str">
        <f t="shared" si="69"/>
        <v>(Required)</v>
      </c>
      <c r="T91" s="828"/>
      <c r="U91" s="799" t="str">
        <f t="shared" si="70"/>
        <v>(Optional)</v>
      </c>
      <c r="V91" s="824"/>
      <c r="W91" s="799" t="str">
        <f t="shared" si="70"/>
        <v>(Optional)</v>
      </c>
      <c r="X91" s="925"/>
      <c r="Y91" s="926" t="str">
        <f t="shared" si="71"/>
        <v>(Required)</v>
      </c>
      <c r="Z91" s="925"/>
      <c r="AA91" s="926" t="str">
        <f t="shared" si="72"/>
        <v>(Required)</v>
      </c>
      <c r="AB9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1" s="822"/>
      <c r="AE91" s="825" t="str">
        <f t="shared" si="73"/>
        <v>(Required)</v>
      </c>
      <c r="AF91" s="821"/>
      <c r="AG91" s="825" t="str">
        <f t="shared" si="74"/>
        <v>(Required)</v>
      </c>
      <c r="AH91" s="821"/>
      <c r="AI91" s="825" t="str">
        <f t="shared" si="75"/>
        <v>(Required)</v>
      </c>
      <c r="AJ91" s="821"/>
      <c r="AK91" s="825" t="str">
        <f t="shared" si="76"/>
        <v>(Required)</v>
      </c>
      <c r="AL91" s="821"/>
      <c r="AM91" s="825" t="str">
        <f t="shared" si="77"/>
        <v>(Required)</v>
      </c>
      <c r="AN91" s="924"/>
      <c r="AO91" s="825" t="str">
        <f t="shared" si="78"/>
        <v>(Required)</v>
      </c>
      <c r="AP91" s="821"/>
      <c r="AQ91" s="827" t="str">
        <f t="shared" si="79"/>
        <v>(Required)</v>
      </c>
      <c r="AR91" s="928"/>
      <c r="AS91" s="826" t="str">
        <f t="shared" si="80"/>
        <v>(Optional)</v>
      </c>
      <c r="AT91" s="928"/>
      <c r="AU91" s="826" t="str">
        <f t="shared" si="81"/>
        <v>(Optional)</v>
      </c>
      <c r="AV91" s="931"/>
      <c r="AW91" s="825" t="str">
        <f t="shared" si="82"/>
        <v>(Required)</v>
      </c>
      <c r="AX91" s="931"/>
      <c r="AY91" s="825" t="str">
        <f t="shared" si="83"/>
        <v>(Required)</v>
      </c>
      <c r="AZ9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1" s="804">
        <f>IFERROR(IF(Table411[[#This Row],[Is Baseline Pump Motor Energy Use Known? (Yes/No)]]="Yes",(Table411[[#This Row],[Annual Baseline Energy Use (kWh/yr)]]),(Table411[[#This Row],[Baseline Motor Energy Use (kWh)]])),0)</f>
        <v>0</v>
      </c>
      <c r="BC91" s="804">
        <f>IFERROR(IF(Table411[[#This Row],[Is Replacement Pump Motor Energy Use Known? (Yes/No)]]="Yes",(Table411[[#This Row],[Annual Replacement Energy Use (kWh/yr)]]),(Table411[[#This Row],[Replacement Motor Energy Use (kWh)]])),0)</f>
        <v>0</v>
      </c>
      <c r="BD91" s="804">
        <f>SUM((Table411[[#This Row],[Baseline Annual Energy Use]]-Table411[[#This Row],[Replacement Annual Energy Use]]),(Table411[[#This Row],[Replacement VFD Energy Savings (kWh)]]-Table411[[#This Row],[Baseline VFD Energy Savings (kWh)]]))</f>
        <v>0</v>
      </c>
      <c r="BE91" s="930">
        <f>'Grid Electricity'!$B$19</f>
        <v>2.1064475489616943E-4</v>
      </c>
      <c r="BF91" s="803" t="s">
        <v>586</v>
      </c>
      <c r="BG91" s="806">
        <f>Table411[[#This Row],[Baseline Annual Energy Use]]*Table411[[#This Row],[Fuel Carbon Content]]</f>
        <v>0</v>
      </c>
      <c r="BH91" s="806">
        <f>Table411[[#This Row],[Replacement Annual Energy Use]]*Table411[[#This Row],[Fuel Carbon Content]]</f>
        <v>0</v>
      </c>
      <c r="BI91" s="806">
        <f t="shared" si="84"/>
        <v>0</v>
      </c>
      <c r="BJ91" s="804">
        <f t="shared" si="85"/>
        <v>0</v>
      </c>
      <c r="BK91" s="807">
        <v>0.76</v>
      </c>
      <c r="BL91" s="813">
        <f>IFERROR(BD91*'Grid Electricity'!$D$39,0)</f>
        <v>0</v>
      </c>
      <c r="BM91" s="813">
        <f>IFERROR(BD91*'Grid Electricity'!$C$39,0)</f>
        <v>0</v>
      </c>
      <c r="BN91" s="813">
        <f>IFERROR(BD91*'Grid Electricity'!$F$39,0)</f>
        <v>0</v>
      </c>
      <c r="BO91" s="813">
        <f t="shared" si="86"/>
        <v>0</v>
      </c>
      <c r="BP91" s="814">
        <f t="shared" si="87"/>
        <v>0</v>
      </c>
      <c r="BQ91" s="814">
        <f t="shared" si="88"/>
        <v>0</v>
      </c>
      <c r="BR91" s="814">
        <f t="shared" si="89"/>
        <v>0</v>
      </c>
      <c r="BS91" s="814">
        <f t="shared" si="90"/>
        <v>0</v>
      </c>
      <c r="BT91" s="818">
        <f>((BB91-AB91)*'Fuel Prices'!$C$27)*(IF(ISBLANK(D91),15,D91))</f>
        <v>0</v>
      </c>
      <c r="BU91" s="818">
        <f>((BC91-AZ91)*'Fuel Prices'!$C$27)*(IF(ISBLANK(D91),15,D91))</f>
        <v>0</v>
      </c>
      <c r="BV91" s="818">
        <f t="shared" si="91"/>
        <v>0</v>
      </c>
      <c r="BW91" s="818">
        <f t="shared" si="92"/>
        <v>0</v>
      </c>
      <c r="BX91" s="804" t="str">
        <f t="shared" si="93"/>
        <v/>
      </c>
      <c r="BY91" s="804">
        <f t="shared" si="94"/>
        <v>0</v>
      </c>
      <c r="BZ91" s="804">
        <v>0</v>
      </c>
      <c r="CA91" s="804">
        <f t="shared" si="95"/>
        <v>0</v>
      </c>
      <c r="CB91" s="804">
        <f t="shared" si="96"/>
        <v>0</v>
      </c>
      <c r="CC91" s="804">
        <f t="shared" si="97"/>
        <v>0</v>
      </c>
      <c r="CD91" s="804">
        <f t="shared" si="98"/>
        <v>0</v>
      </c>
      <c r="CE91" s="804">
        <f t="shared" si="99"/>
        <v>0</v>
      </c>
      <c r="CF91" s="804">
        <f t="shared" si="100"/>
        <v>0</v>
      </c>
      <c r="CG91" s="818">
        <f t="shared" si="101"/>
        <v>0</v>
      </c>
    </row>
    <row r="92" spans="1:85" ht="18" customHeight="1" x14ac:dyDescent="0.35">
      <c r="A92" s="635"/>
      <c r="B92" s="820"/>
      <c r="C92" s="825" t="str">
        <f t="shared" si="61"/>
        <v>(Required)</v>
      </c>
      <c r="D92" s="821"/>
      <c r="E92" s="825" t="str">
        <f t="shared" si="62"/>
        <v>(Required)</v>
      </c>
      <c r="F92" s="822"/>
      <c r="G92" s="825" t="str">
        <f t="shared" si="63"/>
        <v>(Required)</v>
      </c>
      <c r="H92" s="821"/>
      <c r="I92" s="825" t="str">
        <f t="shared" si="64"/>
        <v>(Required)</v>
      </c>
      <c r="J92" s="821"/>
      <c r="K92" s="825" t="str">
        <f t="shared" si="65"/>
        <v>(Required)</v>
      </c>
      <c r="L92" s="821"/>
      <c r="M92" s="825" t="str">
        <f t="shared" si="66"/>
        <v>(Required)</v>
      </c>
      <c r="N92" s="821"/>
      <c r="O92" s="825" t="str">
        <f t="shared" si="67"/>
        <v>(Required)</v>
      </c>
      <c r="P92" s="924"/>
      <c r="Q92" s="825" t="str">
        <f t="shared" si="68"/>
        <v>(Optional)</v>
      </c>
      <c r="R92" s="821"/>
      <c r="S92" s="827" t="str">
        <f t="shared" si="69"/>
        <v>(Required)</v>
      </c>
      <c r="T92" s="828"/>
      <c r="U92" s="799" t="str">
        <f t="shared" si="70"/>
        <v>(Optional)</v>
      </c>
      <c r="V92" s="824"/>
      <c r="W92" s="799" t="str">
        <f t="shared" si="70"/>
        <v>(Optional)</v>
      </c>
      <c r="X92" s="925"/>
      <c r="Y92" s="926" t="str">
        <f t="shared" si="71"/>
        <v>(Required)</v>
      </c>
      <c r="Z92" s="925"/>
      <c r="AA92" s="926" t="str">
        <f t="shared" si="72"/>
        <v>(Required)</v>
      </c>
      <c r="AB9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2" s="822"/>
      <c r="AE92" s="825" t="str">
        <f t="shared" si="73"/>
        <v>(Required)</v>
      </c>
      <c r="AF92" s="821"/>
      <c r="AG92" s="825" t="str">
        <f t="shared" si="74"/>
        <v>(Required)</v>
      </c>
      <c r="AH92" s="821"/>
      <c r="AI92" s="825" t="str">
        <f t="shared" si="75"/>
        <v>(Required)</v>
      </c>
      <c r="AJ92" s="821"/>
      <c r="AK92" s="825" t="str">
        <f t="shared" si="76"/>
        <v>(Required)</v>
      </c>
      <c r="AL92" s="821"/>
      <c r="AM92" s="825" t="str">
        <f t="shared" si="77"/>
        <v>(Required)</v>
      </c>
      <c r="AN92" s="924"/>
      <c r="AO92" s="825" t="str">
        <f t="shared" si="78"/>
        <v>(Required)</v>
      </c>
      <c r="AP92" s="821"/>
      <c r="AQ92" s="827" t="str">
        <f t="shared" si="79"/>
        <v>(Required)</v>
      </c>
      <c r="AR92" s="928"/>
      <c r="AS92" s="826" t="str">
        <f t="shared" si="80"/>
        <v>(Optional)</v>
      </c>
      <c r="AT92" s="928"/>
      <c r="AU92" s="826" t="str">
        <f t="shared" si="81"/>
        <v>(Optional)</v>
      </c>
      <c r="AV92" s="931"/>
      <c r="AW92" s="825" t="str">
        <f t="shared" si="82"/>
        <v>(Required)</v>
      </c>
      <c r="AX92" s="931"/>
      <c r="AY92" s="825" t="str">
        <f t="shared" si="83"/>
        <v>(Required)</v>
      </c>
      <c r="AZ9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2" s="804">
        <f>IFERROR(IF(Table411[[#This Row],[Is Baseline Pump Motor Energy Use Known? (Yes/No)]]="Yes",(Table411[[#This Row],[Annual Baseline Energy Use (kWh/yr)]]),(Table411[[#This Row],[Baseline Motor Energy Use (kWh)]])),0)</f>
        <v>0</v>
      </c>
      <c r="BC92" s="804">
        <f>IFERROR(IF(Table411[[#This Row],[Is Replacement Pump Motor Energy Use Known? (Yes/No)]]="Yes",(Table411[[#This Row],[Annual Replacement Energy Use (kWh/yr)]]),(Table411[[#This Row],[Replacement Motor Energy Use (kWh)]])),0)</f>
        <v>0</v>
      </c>
      <c r="BD92" s="804">
        <f>SUM((Table411[[#This Row],[Baseline Annual Energy Use]]-Table411[[#This Row],[Replacement Annual Energy Use]]),(Table411[[#This Row],[Replacement VFD Energy Savings (kWh)]]-Table411[[#This Row],[Baseline VFD Energy Savings (kWh)]]))</f>
        <v>0</v>
      </c>
      <c r="BE92" s="930">
        <f>'Grid Electricity'!$B$19</f>
        <v>2.1064475489616943E-4</v>
      </c>
      <c r="BF92" s="803" t="s">
        <v>586</v>
      </c>
      <c r="BG92" s="806">
        <f>Table411[[#This Row],[Baseline Annual Energy Use]]*Table411[[#This Row],[Fuel Carbon Content]]</f>
        <v>0</v>
      </c>
      <c r="BH92" s="806">
        <f>Table411[[#This Row],[Replacement Annual Energy Use]]*Table411[[#This Row],[Fuel Carbon Content]]</f>
        <v>0</v>
      </c>
      <c r="BI92" s="806">
        <f t="shared" si="84"/>
        <v>0</v>
      </c>
      <c r="BJ92" s="804">
        <f t="shared" si="85"/>
        <v>0</v>
      </c>
      <c r="BK92" s="807">
        <v>0.76</v>
      </c>
      <c r="BL92" s="813">
        <f>IFERROR(BD92*'Grid Electricity'!$D$39,0)</f>
        <v>0</v>
      </c>
      <c r="BM92" s="813">
        <f>IFERROR(BD92*'Grid Electricity'!$C$39,0)</f>
        <v>0</v>
      </c>
      <c r="BN92" s="813">
        <f>IFERROR(BD92*'Grid Electricity'!$F$39,0)</f>
        <v>0</v>
      </c>
      <c r="BO92" s="813">
        <f t="shared" si="86"/>
        <v>0</v>
      </c>
      <c r="BP92" s="814">
        <f t="shared" si="87"/>
        <v>0</v>
      </c>
      <c r="BQ92" s="814">
        <f t="shared" si="88"/>
        <v>0</v>
      </c>
      <c r="BR92" s="814">
        <f t="shared" si="89"/>
        <v>0</v>
      </c>
      <c r="BS92" s="814">
        <f t="shared" si="90"/>
        <v>0</v>
      </c>
      <c r="BT92" s="818">
        <f>((BB92-AB92)*'Fuel Prices'!$C$27)*(IF(ISBLANK(D92),15,D92))</f>
        <v>0</v>
      </c>
      <c r="BU92" s="818">
        <f>((BC92-AZ92)*'Fuel Prices'!$C$27)*(IF(ISBLANK(D92),15,D92))</f>
        <v>0</v>
      </c>
      <c r="BV92" s="818">
        <f t="shared" si="91"/>
        <v>0</v>
      </c>
      <c r="BW92" s="818">
        <f t="shared" si="92"/>
        <v>0</v>
      </c>
      <c r="BX92" s="804" t="str">
        <f t="shared" si="93"/>
        <v/>
      </c>
      <c r="BY92" s="804">
        <f t="shared" si="94"/>
        <v>0</v>
      </c>
      <c r="BZ92" s="804">
        <v>0</v>
      </c>
      <c r="CA92" s="804">
        <f t="shared" si="95"/>
        <v>0</v>
      </c>
      <c r="CB92" s="804">
        <f t="shared" si="96"/>
        <v>0</v>
      </c>
      <c r="CC92" s="804">
        <f t="shared" si="97"/>
        <v>0</v>
      </c>
      <c r="CD92" s="804">
        <f t="shared" si="98"/>
        <v>0</v>
      </c>
      <c r="CE92" s="804">
        <f t="shared" si="99"/>
        <v>0</v>
      </c>
      <c r="CF92" s="804">
        <f t="shared" si="100"/>
        <v>0</v>
      </c>
      <c r="CG92" s="818">
        <f t="shared" si="101"/>
        <v>0</v>
      </c>
    </row>
    <row r="93" spans="1:85" ht="18" customHeight="1" x14ac:dyDescent="0.35">
      <c r="A93" s="696"/>
      <c r="B93" s="820"/>
      <c r="C93" s="825" t="str">
        <f t="shared" si="61"/>
        <v>(Required)</v>
      </c>
      <c r="D93" s="821"/>
      <c r="E93" s="825" t="str">
        <f t="shared" si="62"/>
        <v>(Required)</v>
      </c>
      <c r="F93" s="822"/>
      <c r="G93" s="825" t="str">
        <f t="shared" si="63"/>
        <v>(Required)</v>
      </c>
      <c r="H93" s="821"/>
      <c r="I93" s="825" t="str">
        <f t="shared" si="64"/>
        <v>(Required)</v>
      </c>
      <c r="J93" s="821"/>
      <c r="K93" s="825" t="str">
        <f t="shared" si="65"/>
        <v>(Required)</v>
      </c>
      <c r="L93" s="821"/>
      <c r="M93" s="825" t="str">
        <f t="shared" si="66"/>
        <v>(Required)</v>
      </c>
      <c r="N93" s="821"/>
      <c r="O93" s="825" t="str">
        <f t="shared" si="67"/>
        <v>(Required)</v>
      </c>
      <c r="P93" s="924"/>
      <c r="Q93" s="825" t="str">
        <f t="shared" si="68"/>
        <v>(Optional)</v>
      </c>
      <c r="R93" s="821"/>
      <c r="S93" s="827" t="str">
        <f t="shared" si="69"/>
        <v>(Required)</v>
      </c>
      <c r="T93" s="828"/>
      <c r="U93" s="799" t="str">
        <f t="shared" si="70"/>
        <v>(Optional)</v>
      </c>
      <c r="V93" s="824"/>
      <c r="W93" s="799" t="str">
        <f t="shared" si="70"/>
        <v>(Optional)</v>
      </c>
      <c r="X93" s="925"/>
      <c r="Y93" s="926" t="str">
        <f t="shared" si="71"/>
        <v>(Required)</v>
      </c>
      <c r="Z93" s="925"/>
      <c r="AA93" s="926" t="str">
        <f t="shared" si="72"/>
        <v>(Required)</v>
      </c>
      <c r="AB93"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3" s="822"/>
      <c r="AE93" s="825" t="str">
        <f t="shared" si="73"/>
        <v>(Required)</v>
      </c>
      <c r="AF93" s="821"/>
      <c r="AG93" s="825" t="str">
        <f t="shared" si="74"/>
        <v>(Required)</v>
      </c>
      <c r="AH93" s="821"/>
      <c r="AI93" s="825" t="str">
        <f t="shared" si="75"/>
        <v>(Required)</v>
      </c>
      <c r="AJ93" s="821"/>
      <c r="AK93" s="825" t="str">
        <f t="shared" si="76"/>
        <v>(Required)</v>
      </c>
      <c r="AL93" s="821"/>
      <c r="AM93" s="825" t="str">
        <f t="shared" si="77"/>
        <v>(Required)</v>
      </c>
      <c r="AN93" s="924"/>
      <c r="AO93" s="825" t="str">
        <f t="shared" si="78"/>
        <v>(Required)</v>
      </c>
      <c r="AP93" s="821"/>
      <c r="AQ93" s="827" t="str">
        <f t="shared" si="79"/>
        <v>(Required)</v>
      </c>
      <c r="AR93" s="928"/>
      <c r="AS93" s="826" t="str">
        <f t="shared" si="80"/>
        <v>(Optional)</v>
      </c>
      <c r="AT93" s="928"/>
      <c r="AU93" s="826" t="str">
        <f t="shared" si="81"/>
        <v>(Optional)</v>
      </c>
      <c r="AV93" s="931"/>
      <c r="AW93" s="825" t="str">
        <f t="shared" si="82"/>
        <v>(Required)</v>
      </c>
      <c r="AX93" s="931"/>
      <c r="AY93" s="825" t="str">
        <f t="shared" si="83"/>
        <v>(Required)</v>
      </c>
      <c r="AZ93"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3"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3" s="804">
        <f>IFERROR(IF(Table411[[#This Row],[Is Baseline Pump Motor Energy Use Known? (Yes/No)]]="Yes",(Table411[[#This Row],[Annual Baseline Energy Use (kWh/yr)]]),(Table411[[#This Row],[Baseline Motor Energy Use (kWh)]])),0)</f>
        <v>0</v>
      </c>
      <c r="BC93" s="804">
        <f>IFERROR(IF(Table411[[#This Row],[Is Replacement Pump Motor Energy Use Known? (Yes/No)]]="Yes",(Table411[[#This Row],[Annual Replacement Energy Use (kWh/yr)]]),(Table411[[#This Row],[Replacement Motor Energy Use (kWh)]])),0)</f>
        <v>0</v>
      </c>
      <c r="BD93" s="804">
        <f>SUM((Table411[[#This Row],[Baseline Annual Energy Use]]-Table411[[#This Row],[Replacement Annual Energy Use]]),(Table411[[#This Row],[Replacement VFD Energy Savings (kWh)]]-Table411[[#This Row],[Baseline VFD Energy Savings (kWh)]]))</f>
        <v>0</v>
      </c>
      <c r="BE93" s="930">
        <f>'Grid Electricity'!$B$19</f>
        <v>2.1064475489616943E-4</v>
      </c>
      <c r="BF93" s="803" t="s">
        <v>586</v>
      </c>
      <c r="BG93" s="806">
        <f>Table411[[#This Row],[Baseline Annual Energy Use]]*Table411[[#This Row],[Fuel Carbon Content]]</f>
        <v>0</v>
      </c>
      <c r="BH93" s="806">
        <f>Table411[[#This Row],[Replacement Annual Energy Use]]*Table411[[#This Row],[Fuel Carbon Content]]</f>
        <v>0</v>
      </c>
      <c r="BI93" s="806">
        <f t="shared" si="84"/>
        <v>0</v>
      </c>
      <c r="BJ93" s="804">
        <f t="shared" si="85"/>
        <v>0</v>
      </c>
      <c r="BK93" s="807">
        <v>0.76</v>
      </c>
      <c r="BL93" s="813">
        <f>IFERROR(BD93*'Grid Electricity'!$D$39,0)</f>
        <v>0</v>
      </c>
      <c r="BM93" s="813">
        <f>IFERROR(BD93*'Grid Electricity'!$C$39,0)</f>
        <v>0</v>
      </c>
      <c r="BN93" s="813">
        <f>IFERROR(BD93*'Grid Electricity'!$F$39,0)</f>
        <v>0</v>
      </c>
      <c r="BO93" s="813">
        <f t="shared" si="86"/>
        <v>0</v>
      </c>
      <c r="BP93" s="814">
        <f t="shared" si="87"/>
        <v>0</v>
      </c>
      <c r="BQ93" s="814">
        <f t="shared" si="88"/>
        <v>0</v>
      </c>
      <c r="BR93" s="814">
        <f t="shared" si="89"/>
        <v>0</v>
      </c>
      <c r="BS93" s="814">
        <f t="shared" si="90"/>
        <v>0</v>
      </c>
      <c r="BT93" s="818">
        <f>((BB93-AB93)*'Fuel Prices'!$C$27)*(IF(ISBLANK(D93),15,D93))</f>
        <v>0</v>
      </c>
      <c r="BU93" s="818">
        <f>((BC93-AZ93)*'Fuel Prices'!$C$27)*(IF(ISBLANK(D93),15,D93))</f>
        <v>0</v>
      </c>
      <c r="BV93" s="818">
        <f t="shared" si="91"/>
        <v>0</v>
      </c>
      <c r="BW93" s="818">
        <f t="shared" si="92"/>
        <v>0</v>
      </c>
      <c r="BX93" s="804" t="str">
        <f t="shared" si="93"/>
        <v/>
      </c>
      <c r="BY93" s="804">
        <f t="shared" si="94"/>
        <v>0</v>
      </c>
      <c r="BZ93" s="804">
        <v>0</v>
      </c>
      <c r="CA93" s="804">
        <f t="shared" si="95"/>
        <v>0</v>
      </c>
      <c r="CB93" s="804">
        <f t="shared" si="96"/>
        <v>0</v>
      </c>
      <c r="CC93" s="804">
        <f t="shared" si="97"/>
        <v>0</v>
      </c>
      <c r="CD93" s="804">
        <f t="shared" si="98"/>
        <v>0</v>
      </c>
      <c r="CE93" s="804">
        <f t="shared" si="99"/>
        <v>0</v>
      </c>
      <c r="CF93" s="804">
        <f t="shared" si="100"/>
        <v>0</v>
      </c>
      <c r="CG93" s="818">
        <f t="shared" si="101"/>
        <v>0</v>
      </c>
    </row>
    <row r="94" spans="1:85" ht="18" customHeight="1" x14ac:dyDescent="0.35">
      <c r="A94" s="635"/>
      <c r="B94" s="820"/>
      <c r="C94" s="825" t="str">
        <f t="shared" si="61"/>
        <v>(Required)</v>
      </c>
      <c r="D94" s="821"/>
      <c r="E94" s="825" t="str">
        <f t="shared" si="62"/>
        <v>(Required)</v>
      </c>
      <c r="F94" s="822"/>
      <c r="G94" s="825" t="str">
        <f t="shared" si="63"/>
        <v>(Required)</v>
      </c>
      <c r="H94" s="821"/>
      <c r="I94" s="825" t="str">
        <f t="shared" si="64"/>
        <v>(Required)</v>
      </c>
      <c r="J94" s="821"/>
      <c r="K94" s="825" t="str">
        <f t="shared" si="65"/>
        <v>(Required)</v>
      </c>
      <c r="L94" s="821"/>
      <c r="M94" s="825" t="str">
        <f t="shared" si="66"/>
        <v>(Required)</v>
      </c>
      <c r="N94" s="821"/>
      <c r="O94" s="825" t="str">
        <f t="shared" si="67"/>
        <v>(Required)</v>
      </c>
      <c r="P94" s="924"/>
      <c r="Q94" s="825" t="str">
        <f t="shared" si="68"/>
        <v>(Optional)</v>
      </c>
      <c r="R94" s="821"/>
      <c r="S94" s="827" t="str">
        <f t="shared" si="69"/>
        <v>(Required)</v>
      </c>
      <c r="T94" s="828"/>
      <c r="U94" s="799" t="str">
        <f t="shared" si="70"/>
        <v>(Optional)</v>
      </c>
      <c r="V94" s="824"/>
      <c r="W94" s="799" t="str">
        <f t="shared" si="70"/>
        <v>(Optional)</v>
      </c>
      <c r="X94" s="925"/>
      <c r="Y94" s="926" t="str">
        <f t="shared" si="71"/>
        <v>(Required)</v>
      </c>
      <c r="Z94" s="925"/>
      <c r="AA94" s="926" t="str">
        <f t="shared" si="72"/>
        <v>(Required)</v>
      </c>
      <c r="AB94"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4"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4" s="822"/>
      <c r="AE94" s="825" t="str">
        <f t="shared" si="73"/>
        <v>(Required)</v>
      </c>
      <c r="AF94" s="821"/>
      <c r="AG94" s="825" t="str">
        <f t="shared" si="74"/>
        <v>(Required)</v>
      </c>
      <c r="AH94" s="821"/>
      <c r="AI94" s="825" t="str">
        <f t="shared" si="75"/>
        <v>(Required)</v>
      </c>
      <c r="AJ94" s="821"/>
      <c r="AK94" s="825" t="str">
        <f t="shared" si="76"/>
        <v>(Required)</v>
      </c>
      <c r="AL94" s="821"/>
      <c r="AM94" s="825" t="str">
        <f t="shared" si="77"/>
        <v>(Required)</v>
      </c>
      <c r="AN94" s="924"/>
      <c r="AO94" s="825" t="str">
        <f t="shared" si="78"/>
        <v>(Required)</v>
      </c>
      <c r="AP94" s="821"/>
      <c r="AQ94" s="827" t="str">
        <f t="shared" si="79"/>
        <v>(Required)</v>
      </c>
      <c r="AR94" s="928"/>
      <c r="AS94" s="826" t="str">
        <f t="shared" si="80"/>
        <v>(Optional)</v>
      </c>
      <c r="AT94" s="928"/>
      <c r="AU94" s="826" t="str">
        <f t="shared" si="81"/>
        <v>(Optional)</v>
      </c>
      <c r="AV94" s="931"/>
      <c r="AW94" s="825" t="str">
        <f t="shared" si="82"/>
        <v>(Required)</v>
      </c>
      <c r="AX94" s="931"/>
      <c r="AY94" s="825" t="str">
        <f t="shared" si="83"/>
        <v>(Required)</v>
      </c>
      <c r="AZ94"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4"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4" s="804">
        <f>IFERROR(IF(Table411[[#This Row],[Is Baseline Pump Motor Energy Use Known? (Yes/No)]]="Yes",(Table411[[#This Row],[Annual Baseline Energy Use (kWh/yr)]]),(Table411[[#This Row],[Baseline Motor Energy Use (kWh)]])),0)</f>
        <v>0</v>
      </c>
      <c r="BC94" s="804">
        <f>IFERROR(IF(Table411[[#This Row],[Is Replacement Pump Motor Energy Use Known? (Yes/No)]]="Yes",(Table411[[#This Row],[Annual Replacement Energy Use (kWh/yr)]]),(Table411[[#This Row],[Replacement Motor Energy Use (kWh)]])),0)</f>
        <v>0</v>
      </c>
      <c r="BD94" s="804">
        <f>SUM((Table411[[#This Row],[Baseline Annual Energy Use]]-Table411[[#This Row],[Replacement Annual Energy Use]]),(Table411[[#This Row],[Replacement VFD Energy Savings (kWh)]]-Table411[[#This Row],[Baseline VFD Energy Savings (kWh)]]))</f>
        <v>0</v>
      </c>
      <c r="BE94" s="930">
        <f>'Grid Electricity'!$B$19</f>
        <v>2.1064475489616943E-4</v>
      </c>
      <c r="BF94" s="803" t="s">
        <v>586</v>
      </c>
      <c r="BG94" s="806">
        <f>Table411[[#This Row],[Baseline Annual Energy Use]]*Table411[[#This Row],[Fuel Carbon Content]]</f>
        <v>0</v>
      </c>
      <c r="BH94" s="806">
        <f>Table411[[#This Row],[Replacement Annual Energy Use]]*Table411[[#This Row],[Fuel Carbon Content]]</f>
        <v>0</v>
      </c>
      <c r="BI94" s="806">
        <f t="shared" si="84"/>
        <v>0</v>
      </c>
      <c r="BJ94" s="804">
        <f t="shared" si="85"/>
        <v>0</v>
      </c>
      <c r="BK94" s="807">
        <v>0.76</v>
      </c>
      <c r="BL94" s="813">
        <f>IFERROR(BD94*'Grid Electricity'!$D$39,0)</f>
        <v>0</v>
      </c>
      <c r="BM94" s="813">
        <f>IFERROR(BD94*'Grid Electricity'!$C$39,0)</f>
        <v>0</v>
      </c>
      <c r="BN94" s="813">
        <f>IFERROR(BD94*'Grid Electricity'!$F$39,0)</f>
        <v>0</v>
      </c>
      <c r="BO94" s="813">
        <f t="shared" si="86"/>
        <v>0</v>
      </c>
      <c r="BP94" s="814">
        <f t="shared" si="87"/>
        <v>0</v>
      </c>
      <c r="BQ94" s="814">
        <f t="shared" si="88"/>
        <v>0</v>
      </c>
      <c r="BR94" s="814">
        <f t="shared" si="89"/>
        <v>0</v>
      </c>
      <c r="BS94" s="814">
        <f t="shared" si="90"/>
        <v>0</v>
      </c>
      <c r="BT94" s="818">
        <f>((BB94-AB94)*'Fuel Prices'!$C$27)*(IF(ISBLANK(D94),15,D94))</f>
        <v>0</v>
      </c>
      <c r="BU94" s="818">
        <f>((BC94-AZ94)*'Fuel Prices'!$C$27)*(IF(ISBLANK(D94),15,D94))</f>
        <v>0</v>
      </c>
      <c r="BV94" s="818">
        <f t="shared" si="91"/>
        <v>0</v>
      </c>
      <c r="BW94" s="818">
        <f t="shared" si="92"/>
        <v>0</v>
      </c>
      <c r="BX94" s="804" t="str">
        <f t="shared" si="93"/>
        <v/>
      </c>
      <c r="BY94" s="804">
        <f t="shared" si="94"/>
        <v>0</v>
      </c>
      <c r="BZ94" s="804">
        <v>0</v>
      </c>
      <c r="CA94" s="804">
        <f t="shared" si="95"/>
        <v>0</v>
      </c>
      <c r="CB94" s="804">
        <f t="shared" si="96"/>
        <v>0</v>
      </c>
      <c r="CC94" s="804">
        <f t="shared" si="97"/>
        <v>0</v>
      </c>
      <c r="CD94" s="804">
        <f t="shared" si="98"/>
        <v>0</v>
      </c>
      <c r="CE94" s="804">
        <f t="shared" si="99"/>
        <v>0</v>
      </c>
      <c r="CF94" s="804">
        <f t="shared" si="100"/>
        <v>0</v>
      </c>
      <c r="CG94" s="818">
        <f t="shared" si="101"/>
        <v>0</v>
      </c>
    </row>
    <row r="95" spans="1:85" ht="18" customHeight="1" x14ac:dyDescent="0.35">
      <c r="A95" s="696"/>
      <c r="B95" s="820"/>
      <c r="C95" s="825" t="str">
        <f t="shared" si="61"/>
        <v>(Required)</v>
      </c>
      <c r="D95" s="821"/>
      <c r="E95" s="825" t="str">
        <f t="shared" si="62"/>
        <v>(Required)</v>
      </c>
      <c r="F95" s="822"/>
      <c r="G95" s="825" t="str">
        <f t="shared" si="63"/>
        <v>(Required)</v>
      </c>
      <c r="H95" s="821"/>
      <c r="I95" s="825" t="str">
        <f t="shared" si="64"/>
        <v>(Required)</v>
      </c>
      <c r="J95" s="821"/>
      <c r="K95" s="825" t="str">
        <f t="shared" si="65"/>
        <v>(Required)</v>
      </c>
      <c r="L95" s="821"/>
      <c r="M95" s="825" t="str">
        <f t="shared" si="66"/>
        <v>(Required)</v>
      </c>
      <c r="N95" s="821"/>
      <c r="O95" s="825" t="str">
        <f t="shared" si="67"/>
        <v>(Required)</v>
      </c>
      <c r="P95" s="924"/>
      <c r="Q95" s="825" t="str">
        <f t="shared" si="68"/>
        <v>(Optional)</v>
      </c>
      <c r="R95" s="821"/>
      <c r="S95" s="827" t="str">
        <f t="shared" si="69"/>
        <v>(Required)</v>
      </c>
      <c r="T95" s="828"/>
      <c r="U95" s="799" t="str">
        <f t="shared" si="70"/>
        <v>(Optional)</v>
      </c>
      <c r="V95" s="824"/>
      <c r="W95" s="799" t="str">
        <f t="shared" si="70"/>
        <v>(Optional)</v>
      </c>
      <c r="X95" s="925"/>
      <c r="Y95" s="926" t="str">
        <f t="shared" si="71"/>
        <v>(Required)</v>
      </c>
      <c r="Z95" s="925"/>
      <c r="AA95" s="926" t="str">
        <f t="shared" si="72"/>
        <v>(Required)</v>
      </c>
      <c r="AB95"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5"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5" s="822"/>
      <c r="AE95" s="825" t="str">
        <f t="shared" si="73"/>
        <v>(Required)</v>
      </c>
      <c r="AF95" s="821"/>
      <c r="AG95" s="825" t="str">
        <f t="shared" si="74"/>
        <v>(Required)</v>
      </c>
      <c r="AH95" s="821"/>
      <c r="AI95" s="825" t="str">
        <f t="shared" si="75"/>
        <v>(Required)</v>
      </c>
      <c r="AJ95" s="821"/>
      <c r="AK95" s="825" t="str">
        <f t="shared" si="76"/>
        <v>(Required)</v>
      </c>
      <c r="AL95" s="821"/>
      <c r="AM95" s="825" t="str">
        <f t="shared" si="77"/>
        <v>(Required)</v>
      </c>
      <c r="AN95" s="924"/>
      <c r="AO95" s="825" t="str">
        <f t="shared" si="78"/>
        <v>(Required)</v>
      </c>
      <c r="AP95" s="821"/>
      <c r="AQ95" s="827" t="str">
        <f t="shared" si="79"/>
        <v>(Required)</v>
      </c>
      <c r="AR95" s="928"/>
      <c r="AS95" s="826" t="str">
        <f t="shared" si="80"/>
        <v>(Optional)</v>
      </c>
      <c r="AT95" s="928"/>
      <c r="AU95" s="826" t="str">
        <f t="shared" si="81"/>
        <v>(Optional)</v>
      </c>
      <c r="AV95" s="931"/>
      <c r="AW95" s="825" t="str">
        <f t="shared" si="82"/>
        <v>(Required)</v>
      </c>
      <c r="AX95" s="931"/>
      <c r="AY95" s="825" t="str">
        <f t="shared" si="83"/>
        <v>(Required)</v>
      </c>
      <c r="AZ95"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5"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5" s="804">
        <f>IFERROR(IF(Table411[[#This Row],[Is Baseline Pump Motor Energy Use Known? (Yes/No)]]="Yes",(Table411[[#This Row],[Annual Baseline Energy Use (kWh/yr)]]),(Table411[[#This Row],[Baseline Motor Energy Use (kWh)]])),0)</f>
        <v>0</v>
      </c>
      <c r="BC95" s="804">
        <f>IFERROR(IF(Table411[[#This Row],[Is Replacement Pump Motor Energy Use Known? (Yes/No)]]="Yes",(Table411[[#This Row],[Annual Replacement Energy Use (kWh/yr)]]),(Table411[[#This Row],[Replacement Motor Energy Use (kWh)]])),0)</f>
        <v>0</v>
      </c>
      <c r="BD95" s="804">
        <f>SUM((Table411[[#This Row],[Baseline Annual Energy Use]]-Table411[[#This Row],[Replacement Annual Energy Use]]),(Table411[[#This Row],[Replacement VFD Energy Savings (kWh)]]-Table411[[#This Row],[Baseline VFD Energy Savings (kWh)]]))</f>
        <v>0</v>
      </c>
      <c r="BE95" s="930">
        <f>'Grid Electricity'!$B$19</f>
        <v>2.1064475489616943E-4</v>
      </c>
      <c r="BF95" s="803" t="s">
        <v>586</v>
      </c>
      <c r="BG95" s="806">
        <f>Table411[[#This Row],[Baseline Annual Energy Use]]*Table411[[#This Row],[Fuel Carbon Content]]</f>
        <v>0</v>
      </c>
      <c r="BH95" s="806">
        <f>Table411[[#This Row],[Replacement Annual Energy Use]]*Table411[[#This Row],[Fuel Carbon Content]]</f>
        <v>0</v>
      </c>
      <c r="BI95" s="806">
        <f t="shared" si="84"/>
        <v>0</v>
      </c>
      <c r="BJ95" s="804">
        <f t="shared" si="85"/>
        <v>0</v>
      </c>
      <c r="BK95" s="807">
        <v>0.76</v>
      </c>
      <c r="BL95" s="813">
        <f>IFERROR(BD95*'Grid Electricity'!$D$39,0)</f>
        <v>0</v>
      </c>
      <c r="BM95" s="813">
        <f>IFERROR(BD95*'Grid Electricity'!$C$39,0)</f>
        <v>0</v>
      </c>
      <c r="BN95" s="813">
        <f>IFERROR(BD95*'Grid Electricity'!$F$39,0)</f>
        <v>0</v>
      </c>
      <c r="BO95" s="813">
        <f t="shared" si="86"/>
        <v>0</v>
      </c>
      <c r="BP95" s="814">
        <f t="shared" si="87"/>
        <v>0</v>
      </c>
      <c r="BQ95" s="814">
        <f t="shared" si="88"/>
        <v>0</v>
      </c>
      <c r="BR95" s="814">
        <f t="shared" si="89"/>
        <v>0</v>
      </c>
      <c r="BS95" s="814">
        <f t="shared" si="90"/>
        <v>0</v>
      </c>
      <c r="BT95" s="818">
        <f>((BB95-AB95)*'Fuel Prices'!$C$27)*(IF(ISBLANK(D95),15,D95))</f>
        <v>0</v>
      </c>
      <c r="BU95" s="818">
        <f>((BC95-AZ95)*'Fuel Prices'!$C$27)*(IF(ISBLANK(D95),15,D95))</f>
        <v>0</v>
      </c>
      <c r="BV95" s="818">
        <f t="shared" si="91"/>
        <v>0</v>
      </c>
      <c r="BW95" s="818">
        <f t="shared" si="92"/>
        <v>0</v>
      </c>
      <c r="BX95" s="804" t="str">
        <f t="shared" si="93"/>
        <v/>
      </c>
      <c r="BY95" s="804">
        <f t="shared" si="94"/>
        <v>0</v>
      </c>
      <c r="BZ95" s="804">
        <v>0</v>
      </c>
      <c r="CA95" s="804">
        <f t="shared" si="95"/>
        <v>0</v>
      </c>
      <c r="CB95" s="804">
        <f t="shared" si="96"/>
        <v>0</v>
      </c>
      <c r="CC95" s="804">
        <f t="shared" si="97"/>
        <v>0</v>
      </c>
      <c r="CD95" s="804">
        <f t="shared" si="98"/>
        <v>0</v>
      </c>
      <c r="CE95" s="804">
        <f t="shared" si="99"/>
        <v>0</v>
      </c>
      <c r="CF95" s="804">
        <f t="shared" si="100"/>
        <v>0</v>
      </c>
      <c r="CG95" s="818">
        <f t="shared" si="101"/>
        <v>0</v>
      </c>
    </row>
    <row r="96" spans="1:85" ht="18" customHeight="1" x14ac:dyDescent="0.35">
      <c r="A96" s="635"/>
      <c r="B96" s="820"/>
      <c r="C96" s="825" t="str">
        <f t="shared" si="61"/>
        <v>(Required)</v>
      </c>
      <c r="D96" s="821"/>
      <c r="E96" s="825" t="str">
        <f t="shared" si="62"/>
        <v>(Required)</v>
      </c>
      <c r="F96" s="822"/>
      <c r="G96" s="825" t="str">
        <f t="shared" si="63"/>
        <v>(Required)</v>
      </c>
      <c r="H96" s="821"/>
      <c r="I96" s="825" t="str">
        <f t="shared" si="64"/>
        <v>(Required)</v>
      </c>
      <c r="J96" s="821"/>
      <c r="K96" s="825" t="str">
        <f t="shared" si="65"/>
        <v>(Required)</v>
      </c>
      <c r="L96" s="821"/>
      <c r="M96" s="825" t="str">
        <f t="shared" si="66"/>
        <v>(Required)</v>
      </c>
      <c r="N96" s="821"/>
      <c r="O96" s="825" t="str">
        <f t="shared" si="67"/>
        <v>(Required)</v>
      </c>
      <c r="P96" s="924"/>
      <c r="Q96" s="825" t="str">
        <f t="shared" si="68"/>
        <v>(Optional)</v>
      </c>
      <c r="R96" s="821"/>
      <c r="S96" s="827" t="str">
        <f t="shared" si="69"/>
        <v>(Required)</v>
      </c>
      <c r="T96" s="828"/>
      <c r="U96" s="799" t="str">
        <f t="shared" si="70"/>
        <v>(Optional)</v>
      </c>
      <c r="V96" s="824"/>
      <c r="W96" s="799" t="str">
        <f t="shared" si="70"/>
        <v>(Optional)</v>
      </c>
      <c r="X96" s="925"/>
      <c r="Y96" s="926" t="str">
        <f t="shared" si="71"/>
        <v>(Required)</v>
      </c>
      <c r="Z96" s="925"/>
      <c r="AA96" s="926" t="str">
        <f t="shared" si="72"/>
        <v>(Required)</v>
      </c>
      <c r="AB96"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6"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6" s="822"/>
      <c r="AE96" s="825" t="str">
        <f t="shared" si="73"/>
        <v>(Required)</v>
      </c>
      <c r="AF96" s="821"/>
      <c r="AG96" s="825" t="str">
        <f t="shared" si="74"/>
        <v>(Required)</v>
      </c>
      <c r="AH96" s="821"/>
      <c r="AI96" s="825" t="str">
        <f t="shared" si="75"/>
        <v>(Required)</v>
      </c>
      <c r="AJ96" s="821"/>
      <c r="AK96" s="825" t="str">
        <f t="shared" si="76"/>
        <v>(Required)</v>
      </c>
      <c r="AL96" s="821"/>
      <c r="AM96" s="825" t="str">
        <f t="shared" si="77"/>
        <v>(Required)</v>
      </c>
      <c r="AN96" s="924"/>
      <c r="AO96" s="825" t="str">
        <f t="shared" si="78"/>
        <v>(Required)</v>
      </c>
      <c r="AP96" s="821"/>
      <c r="AQ96" s="827" t="str">
        <f t="shared" si="79"/>
        <v>(Required)</v>
      </c>
      <c r="AR96" s="928"/>
      <c r="AS96" s="826" t="str">
        <f t="shared" si="80"/>
        <v>(Optional)</v>
      </c>
      <c r="AT96" s="928"/>
      <c r="AU96" s="826" t="str">
        <f t="shared" si="81"/>
        <v>(Optional)</v>
      </c>
      <c r="AV96" s="931"/>
      <c r="AW96" s="825" t="str">
        <f t="shared" si="82"/>
        <v>(Required)</v>
      </c>
      <c r="AX96" s="931"/>
      <c r="AY96" s="825" t="str">
        <f t="shared" si="83"/>
        <v>(Required)</v>
      </c>
      <c r="AZ96"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6"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6" s="804">
        <f>IFERROR(IF(Table411[[#This Row],[Is Baseline Pump Motor Energy Use Known? (Yes/No)]]="Yes",(Table411[[#This Row],[Annual Baseline Energy Use (kWh/yr)]]),(Table411[[#This Row],[Baseline Motor Energy Use (kWh)]])),0)</f>
        <v>0</v>
      </c>
      <c r="BC96" s="804">
        <f>IFERROR(IF(Table411[[#This Row],[Is Replacement Pump Motor Energy Use Known? (Yes/No)]]="Yes",(Table411[[#This Row],[Annual Replacement Energy Use (kWh/yr)]]),(Table411[[#This Row],[Replacement Motor Energy Use (kWh)]])),0)</f>
        <v>0</v>
      </c>
      <c r="BD96" s="804">
        <f>SUM((Table411[[#This Row],[Baseline Annual Energy Use]]-Table411[[#This Row],[Replacement Annual Energy Use]]),(Table411[[#This Row],[Replacement VFD Energy Savings (kWh)]]-Table411[[#This Row],[Baseline VFD Energy Savings (kWh)]]))</f>
        <v>0</v>
      </c>
      <c r="BE96" s="930">
        <f>'Grid Electricity'!$B$19</f>
        <v>2.1064475489616943E-4</v>
      </c>
      <c r="BF96" s="803" t="s">
        <v>586</v>
      </c>
      <c r="BG96" s="806">
        <f>Table411[[#This Row],[Baseline Annual Energy Use]]*Table411[[#This Row],[Fuel Carbon Content]]</f>
        <v>0</v>
      </c>
      <c r="BH96" s="806">
        <f>Table411[[#This Row],[Replacement Annual Energy Use]]*Table411[[#This Row],[Fuel Carbon Content]]</f>
        <v>0</v>
      </c>
      <c r="BI96" s="806">
        <f t="shared" si="84"/>
        <v>0</v>
      </c>
      <c r="BJ96" s="804">
        <f t="shared" si="85"/>
        <v>0</v>
      </c>
      <c r="BK96" s="807">
        <v>0.76</v>
      </c>
      <c r="BL96" s="813">
        <f>IFERROR(BD96*'Grid Electricity'!$D$39,0)</f>
        <v>0</v>
      </c>
      <c r="BM96" s="813">
        <f>IFERROR(BD96*'Grid Electricity'!$C$39,0)</f>
        <v>0</v>
      </c>
      <c r="BN96" s="813">
        <f>IFERROR(BD96*'Grid Electricity'!$F$39,0)</f>
        <v>0</v>
      </c>
      <c r="BO96" s="813">
        <f t="shared" si="86"/>
        <v>0</v>
      </c>
      <c r="BP96" s="814">
        <f t="shared" si="87"/>
        <v>0</v>
      </c>
      <c r="BQ96" s="814">
        <f t="shared" si="88"/>
        <v>0</v>
      </c>
      <c r="BR96" s="814">
        <f t="shared" si="89"/>
        <v>0</v>
      </c>
      <c r="BS96" s="814">
        <f t="shared" si="90"/>
        <v>0</v>
      </c>
      <c r="BT96" s="818">
        <f>((BB96-AB96)*'Fuel Prices'!$C$27)*(IF(ISBLANK(D96),15,D96))</f>
        <v>0</v>
      </c>
      <c r="BU96" s="818">
        <f>((BC96-AZ96)*'Fuel Prices'!$C$27)*(IF(ISBLANK(D96),15,D96))</f>
        <v>0</v>
      </c>
      <c r="BV96" s="818">
        <f t="shared" si="91"/>
        <v>0</v>
      </c>
      <c r="BW96" s="818">
        <f t="shared" si="92"/>
        <v>0</v>
      </c>
      <c r="BX96" s="804" t="str">
        <f t="shared" si="93"/>
        <v/>
      </c>
      <c r="BY96" s="804">
        <f t="shared" si="94"/>
        <v>0</v>
      </c>
      <c r="BZ96" s="804">
        <v>0</v>
      </c>
      <c r="CA96" s="804">
        <f t="shared" si="95"/>
        <v>0</v>
      </c>
      <c r="CB96" s="804">
        <f t="shared" si="96"/>
        <v>0</v>
      </c>
      <c r="CC96" s="804">
        <f t="shared" si="97"/>
        <v>0</v>
      </c>
      <c r="CD96" s="804">
        <f t="shared" si="98"/>
        <v>0</v>
      </c>
      <c r="CE96" s="804">
        <f t="shared" si="99"/>
        <v>0</v>
      </c>
      <c r="CF96" s="804">
        <f t="shared" si="100"/>
        <v>0</v>
      </c>
      <c r="CG96" s="818">
        <f t="shared" si="101"/>
        <v>0</v>
      </c>
    </row>
    <row r="97" spans="1:85" ht="18" customHeight="1" x14ac:dyDescent="0.35">
      <c r="A97" s="696"/>
      <c r="B97" s="820"/>
      <c r="C97" s="825" t="str">
        <f t="shared" si="61"/>
        <v>(Required)</v>
      </c>
      <c r="D97" s="821"/>
      <c r="E97" s="825" t="str">
        <f t="shared" si="62"/>
        <v>(Required)</v>
      </c>
      <c r="F97" s="822"/>
      <c r="G97" s="825" t="str">
        <f t="shared" si="63"/>
        <v>(Required)</v>
      </c>
      <c r="H97" s="821"/>
      <c r="I97" s="825" t="str">
        <f t="shared" si="64"/>
        <v>(Required)</v>
      </c>
      <c r="J97" s="821"/>
      <c r="K97" s="825" t="str">
        <f t="shared" si="65"/>
        <v>(Required)</v>
      </c>
      <c r="L97" s="821"/>
      <c r="M97" s="825" t="str">
        <f t="shared" si="66"/>
        <v>(Required)</v>
      </c>
      <c r="N97" s="821"/>
      <c r="O97" s="825" t="str">
        <f t="shared" si="67"/>
        <v>(Required)</v>
      </c>
      <c r="P97" s="924"/>
      <c r="Q97" s="825" t="str">
        <f t="shared" si="68"/>
        <v>(Optional)</v>
      </c>
      <c r="R97" s="821"/>
      <c r="S97" s="827" t="str">
        <f t="shared" si="69"/>
        <v>(Required)</v>
      </c>
      <c r="T97" s="828"/>
      <c r="U97" s="799" t="str">
        <f t="shared" si="70"/>
        <v>(Optional)</v>
      </c>
      <c r="V97" s="824"/>
      <c r="W97" s="799" t="str">
        <f t="shared" si="70"/>
        <v>(Optional)</v>
      </c>
      <c r="X97" s="925"/>
      <c r="Y97" s="926" t="str">
        <f t="shared" si="71"/>
        <v>(Required)</v>
      </c>
      <c r="Z97" s="925"/>
      <c r="AA97" s="926" t="str">
        <f t="shared" si="72"/>
        <v>(Required)</v>
      </c>
      <c r="AB97"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7"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7" s="822"/>
      <c r="AE97" s="825" t="str">
        <f t="shared" si="73"/>
        <v>(Required)</v>
      </c>
      <c r="AF97" s="821"/>
      <c r="AG97" s="825" t="str">
        <f t="shared" si="74"/>
        <v>(Required)</v>
      </c>
      <c r="AH97" s="821"/>
      <c r="AI97" s="825" t="str">
        <f t="shared" si="75"/>
        <v>(Required)</v>
      </c>
      <c r="AJ97" s="821"/>
      <c r="AK97" s="825" t="str">
        <f t="shared" si="76"/>
        <v>(Required)</v>
      </c>
      <c r="AL97" s="821"/>
      <c r="AM97" s="825" t="str">
        <f t="shared" si="77"/>
        <v>(Required)</v>
      </c>
      <c r="AN97" s="924"/>
      <c r="AO97" s="825" t="str">
        <f t="shared" si="78"/>
        <v>(Required)</v>
      </c>
      <c r="AP97" s="821"/>
      <c r="AQ97" s="827" t="str">
        <f t="shared" si="79"/>
        <v>(Required)</v>
      </c>
      <c r="AR97" s="928"/>
      <c r="AS97" s="826" t="str">
        <f t="shared" si="80"/>
        <v>(Optional)</v>
      </c>
      <c r="AT97" s="928"/>
      <c r="AU97" s="826" t="str">
        <f t="shared" si="81"/>
        <v>(Optional)</v>
      </c>
      <c r="AV97" s="931"/>
      <c r="AW97" s="825" t="str">
        <f t="shared" si="82"/>
        <v>(Required)</v>
      </c>
      <c r="AX97" s="931"/>
      <c r="AY97" s="825" t="str">
        <f t="shared" si="83"/>
        <v>(Required)</v>
      </c>
      <c r="AZ97"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7"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7" s="804">
        <f>IFERROR(IF(Table411[[#This Row],[Is Baseline Pump Motor Energy Use Known? (Yes/No)]]="Yes",(Table411[[#This Row],[Annual Baseline Energy Use (kWh/yr)]]),(Table411[[#This Row],[Baseline Motor Energy Use (kWh)]])),0)</f>
        <v>0</v>
      </c>
      <c r="BC97" s="804">
        <f>IFERROR(IF(Table411[[#This Row],[Is Replacement Pump Motor Energy Use Known? (Yes/No)]]="Yes",(Table411[[#This Row],[Annual Replacement Energy Use (kWh/yr)]]),(Table411[[#This Row],[Replacement Motor Energy Use (kWh)]])),0)</f>
        <v>0</v>
      </c>
      <c r="BD97" s="804">
        <f>SUM((Table411[[#This Row],[Baseline Annual Energy Use]]-Table411[[#This Row],[Replacement Annual Energy Use]]),(Table411[[#This Row],[Replacement VFD Energy Savings (kWh)]]-Table411[[#This Row],[Baseline VFD Energy Savings (kWh)]]))</f>
        <v>0</v>
      </c>
      <c r="BE97" s="930">
        <f>'Grid Electricity'!$B$19</f>
        <v>2.1064475489616943E-4</v>
      </c>
      <c r="BF97" s="803" t="s">
        <v>586</v>
      </c>
      <c r="BG97" s="806">
        <f>Table411[[#This Row],[Baseline Annual Energy Use]]*Table411[[#This Row],[Fuel Carbon Content]]</f>
        <v>0</v>
      </c>
      <c r="BH97" s="806">
        <f>Table411[[#This Row],[Replacement Annual Energy Use]]*Table411[[#This Row],[Fuel Carbon Content]]</f>
        <v>0</v>
      </c>
      <c r="BI97" s="806">
        <f t="shared" si="84"/>
        <v>0</v>
      </c>
      <c r="BJ97" s="804">
        <f t="shared" si="85"/>
        <v>0</v>
      </c>
      <c r="BK97" s="807">
        <v>0.76</v>
      </c>
      <c r="BL97" s="813">
        <f>IFERROR(BD97*'Grid Electricity'!$D$39,0)</f>
        <v>0</v>
      </c>
      <c r="BM97" s="813">
        <f>IFERROR(BD97*'Grid Electricity'!$C$39,0)</f>
        <v>0</v>
      </c>
      <c r="BN97" s="813">
        <f>IFERROR(BD97*'Grid Electricity'!$F$39,0)</f>
        <v>0</v>
      </c>
      <c r="BO97" s="813">
        <f t="shared" si="86"/>
        <v>0</v>
      </c>
      <c r="BP97" s="814">
        <f t="shared" si="87"/>
        <v>0</v>
      </c>
      <c r="BQ97" s="814">
        <f t="shared" si="88"/>
        <v>0</v>
      </c>
      <c r="BR97" s="814">
        <f t="shared" si="89"/>
        <v>0</v>
      </c>
      <c r="BS97" s="814">
        <f t="shared" si="90"/>
        <v>0</v>
      </c>
      <c r="BT97" s="818">
        <f>((BB97-AB97)*'Fuel Prices'!$C$27)*(IF(ISBLANK(D97),15,D97))</f>
        <v>0</v>
      </c>
      <c r="BU97" s="818">
        <f>((BC97-AZ97)*'Fuel Prices'!$C$27)*(IF(ISBLANK(D97),15,D97))</f>
        <v>0</v>
      </c>
      <c r="BV97" s="818">
        <f t="shared" si="91"/>
        <v>0</v>
      </c>
      <c r="BW97" s="818">
        <f t="shared" si="92"/>
        <v>0</v>
      </c>
      <c r="BX97" s="804" t="str">
        <f t="shared" si="93"/>
        <v/>
      </c>
      <c r="BY97" s="804">
        <f t="shared" si="94"/>
        <v>0</v>
      </c>
      <c r="BZ97" s="804">
        <v>0</v>
      </c>
      <c r="CA97" s="804">
        <f t="shared" si="95"/>
        <v>0</v>
      </c>
      <c r="CB97" s="804">
        <f t="shared" si="96"/>
        <v>0</v>
      </c>
      <c r="CC97" s="804">
        <f t="shared" si="97"/>
        <v>0</v>
      </c>
      <c r="CD97" s="804">
        <f t="shared" si="98"/>
        <v>0</v>
      </c>
      <c r="CE97" s="804">
        <f t="shared" si="99"/>
        <v>0</v>
      </c>
      <c r="CF97" s="804">
        <f t="shared" si="100"/>
        <v>0</v>
      </c>
      <c r="CG97" s="818">
        <f t="shared" si="101"/>
        <v>0</v>
      </c>
    </row>
    <row r="98" spans="1:85" ht="18" customHeight="1" x14ac:dyDescent="0.35">
      <c r="A98" s="635"/>
      <c r="B98" s="820"/>
      <c r="C98" s="825" t="str">
        <f t="shared" si="61"/>
        <v>(Required)</v>
      </c>
      <c r="D98" s="821"/>
      <c r="E98" s="825" t="str">
        <f t="shared" si="62"/>
        <v>(Required)</v>
      </c>
      <c r="F98" s="822"/>
      <c r="G98" s="825" t="str">
        <f t="shared" si="63"/>
        <v>(Required)</v>
      </c>
      <c r="H98" s="821"/>
      <c r="I98" s="825" t="str">
        <f t="shared" si="64"/>
        <v>(Required)</v>
      </c>
      <c r="J98" s="821"/>
      <c r="K98" s="825" t="str">
        <f t="shared" si="65"/>
        <v>(Required)</v>
      </c>
      <c r="L98" s="821"/>
      <c r="M98" s="825" t="str">
        <f t="shared" si="66"/>
        <v>(Required)</v>
      </c>
      <c r="N98" s="821"/>
      <c r="O98" s="825" t="str">
        <f t="shared" si="67"/>
        <v>(Required)</v>
      </c>
      <c r="P98" s="924"/>
      <c r="Q98" s="825" t="str">
        <f t="shared" si="68"/>
        <v>(Optional)</v>
      </c>
      <c r="R98" s="821"/>
      <c r="S98" s="827" t="str">
        <f t="shared" si="69"/>
        <v>(Required)</v>
      </c>
      <c r="T98" s="828"/>
      <c r="U98" s="799" t="str">
        <f t="shared" si="70"/>
        <v>(Optional)</v>
      </c>
      <c r="V98" s="824"/>
      <c r="W98" s="799" t="str">
        <f t="shared" si="70"/>
        <v>(Optional)</v>
      </c>
      <c r="X98" s="925"/>
      <c r="Y98" s="926" t="str">
        <f t="shared" si="71"/>
        <v>(Required)</v>
      </c>
      <c r="Z98" s="925"/>
      <c r="AA98" s="926" t="str">
        <f t="shared" si="72"/>
        <v>(Required)</v>
      </c>
      <c r="AB98"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8"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8" s="822"/>
      <c r="AE98" s="825" t="str">
        <f t="shared" si="73"/>
        <v>(Required)</v>
      </c>
      <c r="AF98" s="821"/>
      <c r="AG98" s="825" t="str">
        <f t="shared" si="74"/>
        <v>(Required)</v>
      </c>
      <c r="AH98" s="821"/>
      <c r="AI98" s="825" t="str">
        <f t="shared" si="75"/>
        <v>(Required)</v>
      </c>
      <c r="AJ98" s="821"/>
      <c r="AK98" s="825" t="str">
        <f t="shared" si="76"/>
        <v>(Required)</v>
      </c>
      <c r="AL98" s="821"/>
      <c r="AM98" s="825" t="str">
        <f t="shared" si="77"/>
        <v>(Required)</v>
      </c>
      <c r="AN98" s="924"/>
      <c r="AO98" s="825" t="str">
        <f t="shared" si="78"/>
        <v>(Required)</v>
      </c>
      <c r="AP98" s="821"/>
      <c r="AQ98" s="827" t="str">
        <f t="shared" si="79"/>
        <v>(Required)</v>
      </c>
      <c r="AR98" s="928"/>
      <c r="AS98" s="826" t="str">
        <f t="shared" si="80"/>
        <v>(Optional)</v>
      </c>
      <c r="AT98" s="928"/>
      <c r="AU98" s="826" t="str">
        <f t="shared" si="81"/>
        <v>(Optional)</v>
      </c>
      <c r="AV98" s="931"/>
      <c r="AW98" s="825" t="str">
        <f t="shared" si="82"/>
        <v>(Required)</v>
      </c>
      <c r="AX98" s="931"/>
      <c r="AY98" s="825" t="str">
        <f t="shared" si="83"/>
        <v>(Required)</v>
      </c>
      <c r="AZ98"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8"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8" s="804">
        <f>IFERROR(IF(Table411[[#This Row],[Is Baseline Pump Motor Energy Use Known? (Yes/No)]]="Yes",(Table411[[#This Row],[Annual Baseline Energy Use (kWh/yr)]]),(Table411[[#This Row],[Baseline Motor Energy Use (kWh)]])),0)</f>
        <v>0</v>
      </c>
      <c r="BC98" s="804">
        <f>IFERROR(IF(Table411[[#This Row],[Is Replacement Pump Motor Energy Use Known? (Yes/No)]]="Yes",(Table411[[#This Row],[Annual Replacement Energy Use (kWh/yr)]]),(Table411[[#This Row],[Replacement Motor Energy Use (kWh)]])),0)</f>
        <v>0</v>
      </c>
      <c r="BD98" s="804">
        <f>SUM((Table411[[#This Row],[Baseline Annual Energy Use]]-Table411[[#This Row],[Replacement Annual Energy Use]]),(Table411[[#This Row],[Replacement VFD Energy Savings (kWh)]]-Table411[[#This Row],[Baseline VFD Energy Savings (kWh)]]))</f>
        <v>0</v>
      </c>
      <c r="BE98" s="930">
        <f>'Grid Electricity'!$B$19</f>
        <v>2.1064475489616943E-4</v>
      </c>
      <c r="BF98" s="803" t="s">
        <v>586</v>
      </c>
      <c r="BG98" s="806">
        <f>Table411[[#This Row],[Baseline Annual Energy Use]]*Table411[[#This Row],[Fuel Carbon Content]]</f>
        <v>0</v>
      </c>
      <c r="BH98" s="806">
        <f>Table411[[#This Row],[Replacement Annual Energy Use]]*Table411[[#This Row],[Fuel Carbon Content]]</f>
        <v>0</v>
      </c>
      <c r="BI98" s="806">
        <f t="shared" si="84"/>
        <v>0</v>
      </c>
      <c r="BJ98" s="804">
        <f t="shared" si="85"/>
        <v>0</v>
      </c>
      <c r="BK98" s="807">
        <v>0.76</v>
      </c>
      <c r="BL98" s="813">
        <f>IFERROR(BD98*'Grid Electricity'!$D$39,0)</f>
        <v>0</v>
      </c>
      <c r="BM98" s="813">
        <f>IFERROR(BD98*'Grid Electricity'!$C$39,0)</f>
        <v>0</v>
      </c>
      <c r="BN98" s="813">
        <f>IFERROR(BD98*'Grid Electricity'!$F$39,0)</f>
        <v>0</v>
      </c>
      <c r="BO98" s="813">
        <f t="shared" si="86"/>
        <v>0</v>
      </c>
      <c r="BP98" s="814">
        <f t="shared" si="87"/>
        <v>0</v>
      </c>
      <c r="BQ98" s="814">
        <f t="shared" si="88"/>
        <v>0</v>
      </c>
      <c r="BR98" s="814">
        <f t="shared" si="89"/>
        <v>0</v>
      </c>
      <c r="BS98" s="814">
        <f t="shared" si="90"/>
        <v>0</v>
      </c>
      <c r="BT98" s="818">
        <f>((BB98-AB98)*'Fuel Prices'!$C$27)*(IF(ISBLANK(D98),15,D98))</f>
        <v>0</v>
      </c>
      <c r="BU98" s="818">
        <f>((BC98-AZ98)*'Fuel Prices'!$C$27)*(IF(ISBLANK(D98),15,D98))</f>
        <v>0</v>
      </c>
      <c r="BV98" s="818">
        <f t="shared" si="91"/>
        <v>0</v>
      </c>
      <c r="BW98" s="818">
        <f t="shared" si="92"/>
        <v>0</v>
      </c>
      <c r="BX98" s="804" t="str">
        <f t="shared" si="93"/>
        <v/>
      </c>
      <c r="BY98" s="804">
        <f t="shared" si="94"/>
        <v>0</v>
      </c>
      <c r="BZ98" s="804">
        <v>0</v>
      </c>
      <c r="CA98" s="804">
        <f t="shared" si="95"/>
        <v>0</v>
      </c>
      <c r="CB98" s="804">
        <f t="shared" si="96"/>
        <v>0</v>
      </c>
      <c r="CC98" s="804">
        <f t="shared" si="97"/>
        <v>0</v>
      </c>
      <c r="CD98" s="804">
        <f t="shared" si="98"/>
        <v>0</v>
      </c>
      <c r="CE98" s="804">
        <f t="shared" si="99"/>
        <v>0</v>
      </c>
      <c r="CF98" s="804">
        <f t="shared" si="100"/>
        <v>0</v>
      </c>
      <c r="CG98" s="818">
        <f t="shared" si="101"/>
        <v>0</v>
      </c>
    </row>
    <row r="99" spans="1:85" ht="18" customHeight="1" x14ac:dyDescent="0.35">
      <c r="A99" s="696"/>
      <c r="B99" s="820"/>
      <c r="C99" s="825" t="str">
        <f t="shared" si="61"/>
        <v>(Required)</v>
      </c>
      <c r="D99" s="821"/>
      <c r="E99" s="825" t="str">
        <f t="shared" si="62"/>
        <v>(Required)</v>
      </c>
      <c r="F99" s="822"/>
      <c r="G99" s="825" t="str">
        <f t="shared" si="63"/>
        <v>(Required)</v>
      </c>
      <c r="H99" s="821"/>
      <c r="I99" s="825" t="str">
        <f t="shared" si="64"/>
        <v>(Required)</v>
      </c>
      <c r="J99" s="821"/>
      <c r="K99" s="825" t="str">
        <f t="shared" si="65"/>
        <v>(Required)</v>
      </c>
      <c r="L99" s="821"/>
      <c r="M99" s="825" t="str">
        <f t="shared" si="66"/>
        <v>(Required)</v>
      </c>
      <c r="N99" s="821"/>
      <c r="O99" s="825" t="str">
        <f t="shared" si="67"/>
        <v>(Required)</v>
      </c>
      <c r="P99" s="924"/>
      <c r="Q99" s="825" t="str">
        <f t="shared" si="68"/>
        <v>(Optional)</v>
      </c>
      <c r="R99" s="821"/>
      <c r="S99" s="827" t="str">
        <f t="shared" si="69"/>
        <v>(Required)</v>
      </c>
      <c r="T99" s="828"/>
      <c r="U99" s="799" t="str">
        <f t="shared" si="70"/>
        <v>(Optional)</v>
      </c>
      <c r="V99" s="824"/>
      <c r="W99" s="799" t="str">
        <f t="shared" si="70"/>
        <v>(Optional)</v>
      </c>
      <c r="X99" s="925"/>
      <c r="Y99" s="926" t="str">
        <f t="shared" si="71"/>
        <v>(Required)</v>
      </c>
      <c r="Z99" s="925"/>
      <c r="AA99" s="926" t="str">
        <f t="shared" si="72"/>
        <v>(Required)</v>
      </c>
      <c r="AB99"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99"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99" s="822"/>
      <c r="AE99" s="825" t="str">
        <f t="shared" si="73"/>
        <v>(Required)</v>
      </c>
      <c r="AF99" s="821"/>
      <c r="AG99" s="825" t="str">
        <f t="shared" si="74"/>
        <v>(Required)</v>
      </c>
      <c r="AH99" s="821"/>
      <c r="AI99" s="825" t="str">
        <f t="shared" si="75"/>
        <v>(Required)</v>
      </c>
      <c r="AJ99" s="821"/>
      <c r="AK99" s="825" t="str">
        <f t="shared" si="76"/>
        <v>(Required)</v>
      </c>
      <c r="AL99" s="821"/>
      <c r="AM99" s="825" t="str">
        <f t="shared" si="77"/>
        <v>(Required)</v>
      </c>
      <c r="AN99" s="924"/>
      <c r="AO99" s="825" t="str">
        <f t="shared" si="78"/>
        <v>(Required)</v>
      </c>
      <c r="AP99" s="821"/>
      <c r="AQ99" s="827" t="str">
        <f t="shared" si="79"/>
        <v>(Required)</v>
      </c>
      <c r="AR99" s="928"/>
      <c r="AS99" s="826" t="str">
        <f t="shared" si="80"/>
        <v>(Optional)</v>
      </c>
      <c r="AT99" s="928"/>
      <c r="AU99" s="826" t="str">
        <f t="shared" si="81"/>
        <v>(Optional)</v>
      </c>
      <c r="AV99" s="931"/>
      <c r="AW99" s="825" t="str">
        <f t="shared" si="82"/>
        <v>(Required)</v>
      </c>
      <c r="AX99" s="931"/>
      <c r="AY99" s="825" t="str">
        <f t="shared" si="83"/>
        <v>(Required)</v>
      </c>
      <c r="AZ99"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99"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99" s="804">
        <f>IFERROR(IF(Table411[[#This Row],[Is Baseline Pump Motor Energy Use Known? (Yes/No)]]="Yes",(Table411[[#This Row],[Annual Baseline Energy Use (kWh/yr)]]),(Table411[[#This Row],[Baseline Motor Energy Use (kWh)]])),0)</f>
        <v>0</v>
      </c>
      <c r="BC99" s="804">
        <f>IFERROR(IF(Table411[[#This Row],[Is Replacement Pump Motor Energy Use Known? (Yes/No)]]="Yes",(Table411[[#This Row],[Annual Replacement Energy Use (kWh/yr)]]),(Table411[[#This Row],[Replacement Motor Energy Use (kWh)]])),0)</f>
        <v>0</v>
      </c>
      <c r="BD99" s="804">
        <f>SUM((Table411[[#This Row],[Baseline Annual Energy Use]]-Table411[[#This Row],[Replacement Annual Energy Use]]),(Table411[[#This Row],[Replacement VFD Energy Savings (kWh)]]-Table411[[#This Row],[Baseline VFD Energy Savings (kWh)]]))</f>
        <v>0</v>
      </c>
      <c r="BE99" s="930">
        <f>'Grid Electricity'!$B$19</f>
        <v>2.1064475489616943E-4</v>
      </c>
      <c r="BF99" s="803" t="s">
        <v>586</v>
      </c>
      <c r="BG99" s="806">
        <f>Table411[[#This Row],[Baseline Annual Energy Use]]*Table411[[#This Row],[Fuel Carbon Content]]</f>
        <v>0</v>
      </c>
      <c r="BH99" s="806">
        <f>Table411[[#This Row],[Replacement Annual Energy Use]]*Table411[[#This Row],[Fuel Carbon Content]]</f>
        <v>0</v>
      </c>
      <c r="BI99" s="806">
        <f t="shared" si="84"/>
        <v>0</v>
      </c>
      <c r="BJ99" s="804">
        <f t="shared" si="85"/>
        <v>0</v>
      </c>
      <c r="BK99" s="807">
        <v>0.76</v>
      </c>
      <c r="BL99" s="813">
        <f>IFERROR(BD99*'Grid Electricity'!$D$39,0)</f>
        <v>0</v>
      </c>
      <c r="BM99" s="813">
        <f>IFERROR(BD99*'Grid Electricity'!$C$39,0)</f>
        <v>0</v>
      </c>
      <c r="BN99" s="813">
        <f>IFERROR(BD99*'Grid Electricity'!$F$39,0)</f>
        <v>0</v>
      </c>
      <c r="BO99" s="813">
        <f t="shared" si="86"/>
        <v>0</v>
      </c>
      <c r="BP99" s="814">
        <f t="shared" si="87"/>
        <v>0</v>
      </c>
      <c r="BQ99" s="814">
        <f t="shared" si="88"/>
        <v>0</v>
      </c>
      <c r="BR99" s="814">
        <f t="shared" si="89"/>
        <v>0</v>
      </c>
      <c r="BS99" s="814">
        <f t="shared" si="90"/>
        <v>0</v>
      </c>
      <c r="BT99" s="818">
        <f>((BB99-AB99)*'Fuel Prices'!$C$27)*(IF(ISBLANK(D99),15,D99))</f>
        <v>0</v>
      </c>
      <c r="BU99" s="818">
        <f>((BC99-AZ99)*'Fuel Prices'!$C$27)*(IF(ISBLANK(D99),15,D99))</f>
        <v>0</v>
      </c>
      <c r="BV99" s="818">
        <f t="shared" si="91"/>
        <v>0</v>
      </c>
      <c r="BW99" s="818">
        <f t="shared" si="92"/>
        <v>0</v>
      </c>
      <c r="BX99" s="804" t="str">
        <f t="shared" si="93"/>
        <v/>
      </c>
      <c r="BY99" s="804">
        <f t="shared" si="94"/>
        <v>0</v>
      </c>
      <c r="BZ99" s="804">
        <v>0</v>
      </c>
      <c r="CA99" s="804">
        <f t="shared" si="95"/>
        <v>0</v>
      </c>
      <c r="CB99" s="804">
        <f t="shared" si="96"/>
        <v>0</v>
      </c>
      <c r="CC99" s="804">
        <f t="shared" si="97"/>
        <v>0</v>
      </c>
      <c r="CD99" s="804">
        <f t="shared" si="98"/>
        <v>0</v>
      </c>
      <c r="CE99" s="804">
        <f t="shared" si="99"/>
        <v>0</v>
      </c>
      <c r="CF99" s="804">
        <f t="shared" si="100"/>
        <v>0</v>
      </c>
      <c r="CG99" s="818">
        <f t="shared" si="101"/>
        <v>0</v>
      </c>
    </row>
    <row r="100" spans="1:85" ht="18" customHeight="1" x14ac:dyDescent="0.35">
      <c r="A100" s="635"/>
      <c r="B100" s="820"/>
      <c r="C100" s="825" t="str">
        <f t="shared" si="61"/>
        <v>(Required)</v>
      </c>
      <c r="D100" s="821"/>
      <c r="E100" s="825" t="str">
        <f t="shared" si="62"/>
        <v>(Required)</v>
      </c>
      <c r="F100" s="822"/>
      <c r="G100" s="825" t="str">
        <f t="shared" si="63"/>
        <v>(Required)</v>
      </c>
      <c r="H100" s="821"/>
      <c r="I100" s="825" t="str">
        <f t="shared" si="64"/>
        <v>(Required)</v>
      </c>
      <c r="J100" s="821"/>
      <c r="K100" s="825" t="str">
        <f t="shared" si="65"/>
        <v>(Required)</v>
      </c>
      <c r="L100" s="821"/>
      <c r="M100" s="825" t="str">
        <f t="shared" si="66"/>
        <v>(Required)</v>
      </c>
      <c r="N100" s="821"/>
      <c r="O100" s="825" t="str">
        <f t="shared" si="67"/>
        <v>(Required)</v>
      </c>
      <c r="P100" s="924"/>
      <c r="Q100" s="825" t="str">
        <f t="shared" si="68"/>
        <v>(Optional)</v>
      </c>
      <c r="R100" s="821"/>
      <c r="S100" s="827" t="str">
        <f t="shared" si="69"/>
        <v>(Required)</v>
      </c>
      <c r="T100" s="828"/>
      <c r="U100" s="799" t="str">
        <f t="shared" si="70"/>
        <v>(Optional)</v>
      </c>
      <c r="V100" s="824"/>
      <c r="W100" s="799" t="str">
        <f t="shared" si="70"/>
        <v>(Optional)</v>
      </c>
      <c r="X100" s="925"/>
      <c r="Y100" s="926" t="str">
        <f t="shared" si="71"/>
        <v>(Required)</v>
      </c>
      <c r="Z100" s="925"/>
      <c r="AA100" s="926" t="str">
        <f t="shared" si="72"/>
        <v>(Required)</v>
      </c>
      <c r="AB100"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100"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100" s="822"/>
      <c r="AE100" s="825" t="str">
        <f t="shared" si="73"/>
        <v>(Required)</v>
      </c>
      <c r="AF100" s="821"/>
      <c r="AG100" s="825" t="str">
        <f t="shared" si="74"/>
        <v>(Required)</v>
      </c>
      <c r="AH100" s="821"/>
      <c r="AI100" s="825" t="str">
        <f t="shared" si="75"/>
        <v>(Required)</v>
      </c>
      <c r="AJ100" s="821"/>
      <c r="AK100" s="825" t="str">
        <f t="shared" si="76"/>
        <v>(Required)</v>
      </c>
      <c r="AL100" s="821"/>
      <c r="AM100" s="825" t="str">
        <f t="shared" si="77"/>
        <v>(Required)</v>
      </c>
      <c r="AN100" s="924"/>
      <c r="AO100" s="825" t="str">
        <f t="shared" si="78"/>
        <v>(Required)</v>
      </c>
      <c r="AP100" s="821"/>
      <c r="AQ100" s="827" t="str">
        <f t="shared" si="79"/>
        <v>(Required)</v>
      </c>
      <c r="AR100" s="928"/>
      <c r="AS100" s="826" t="str">
        <f t="shared" si="80"/>
        <v>(Optional)</v>
      </c>
      <c r="AT100" s="928"/>
      <c r="AU100" s="826" t="str">
        <f t="shared" si="81"/>
        <v>(Optional)</v>
      </c>
      <c r="AV100" s="931"/>
      <c r="AW100" s="825" t="str">
        <f t="shared" si="82"/>
        <v>(Required)</v>
      </c>
      <c r="AX100" s="931"/>
      <c r="AY100" s="825" t="str">
        <f t="shared" si="83"/>
        <v>(Required)</v>
      </c>
      <c r="AZ100"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100"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100" s="804">
        <f>IFERROR(IF(Table411[[#This Row],[Is Baseline Pump Motor Energy Use Known? (Yes/No)]]="Yes",(Table411[[#This Row],[Annual Baseline Energy Use (kWh/yr)]]),(Table411[[#This Row],[Baseline Motor Energy Use (kWh)]])),0)</f>
        <v>0</v>
      </c>
      <c r="BC100" s="804">
        <f>IFERROR(IF(Table411[[#This Row],[Is Replacement Pump Motor Energy Use Known? (Yes/No)]]="Yes",(Table411[[#This Row],[Annual Replacement Energy Use (kWh/yr)]]),(Table411[[#This Row],[Replacement Motor Energy Use (kWh)]])),0)</f>
        <v>0</v>
      </c>
      <c r="BD100" s="804">
        <f>SUM((Table411[[#This Row],[Baseline Annual Energy Use]]-Table411[[#This Row],[Replacement Annual Energy Use]]),(Table411[[#This Row],[Replacement VFD Energy Savings (kWh)]]-Table411[[#This Row],[Baseline VFD Energy Savings (kWh)]]))</f>
        <v>0</v>
      </c>
      <c r="BE100" s="930">
        <f>'Grid Electricity'!$B$19</f>
        <v>2.1064475489616943E-4</v>
      </c>
      <c r="BF100" s="803" t="s">
        <v>586</v>
      </c>
      <c r="BG100" s="806">
        <f>Table411[[#This Row],[Baseline Annual Energy Use]]*Table411[[#This Row],[Fuel Carbon Content]]</f>
        <v>0</v>
      </c>
      <c r="BH100" s="806">
        <f>Table411[[#This Row],[Replacement Annual Energy Use]]*Table411[[#This Row],[Fuel Carbon Content]]</f>
        <v>0</v>
      </c>
      <c r="BI100" s="806">
        <f t="shared" si="84"/>
        <v>0</v>
      </c>
      <c r="BJ100" s="804">
        <f t="shared" si="85"/>
        <v>0</v>
      </c>
      <c r="BK100" s="807">
        <v>0.76</v>
      </c>
      <c r="BL100" s="813">
        <f>IFERROR(BD100*'Grid Electricity'!$D$39,0)</f>
        <v>0</v>
      </c>
      <c r="BM100" s="813">
        <f>IFERROR(BD100*'Grid Electricity'!$C$39,0)</f>
        <v>0</v>
      </c>
      <c r="BN100" s="813">
        <f>IFERROR(BD100*'Grid Electricity'!$F$39,0)</f>
        <v>0</v>
      </c>
      <c r="BO100" s="813">
        <f t="shared" si="86"/>
        <v>0</v>
      </c>
      <c r="BP100" s="814">
        <f t="shared" si="87"/>
        <v>0</v>
      </c>
      <c r="BQ100" s="814">
        <f t="shared" si="88"/>
        <v>0</v>
      </c>
      <c r="BR100" s="814">
        <f t="shared" si="89"/>
        <v>0</v>
      </c>
      <c r="BS100" s="814">
        <f t="shared" si="90"/>
        <v>0</v>
      </c>
      <c r="BT100" s="818">
        <f>((BB100-AB100)*'Fuel Prices'!$C$27)*(IF(ISBLANK(D100),15,D100))</f>
        <v>0</v>
      </c>
      <c r="BU100" s="818">
        <f>((BC100-AZ100)*'Fuel Prices'!$C$27)*(IF(ISBLANK(D100),15,D100))</f>
        <v>0</v>
      </c>
      <c r="BV100" s="818">
        <f t="shared" si="91"/>
        <v>0</v>
      </c>
      <c r="BW100" s="818">
        <f t="shared" si="92"/>
        <v>0</v>
      </c>
      <c r="BX100" s="804" t="str">
        <f t="shared" si="93"/>
        <v/>
      </c>
      <c r="BY100" s="804">
        <f t="shared" si="94"/>
        <v>0</v>
      </c>
      <c r="BZ100" s="804">
        <v>0</v>
      </c>
      <c r="CA100" s="804">
        <f t="shared" si="95"/>
        <v>0</v>
      </c>
      <c r="CB100" s="804">
        <f t="shared" si="96"/>
        <v>0</v>
      </c>
      <c r="CC100" s="804">
        <f t="shared" si="97"/>
        <v>0</v>
      </c>
      <c r="CD100" s="804">
        <f t="shared" si="98"/>
        <v>0</v>
      </c>
      <c r="CE100" s="804">
        <f t="shared" si="99"/>
        <v>0</v>
      </c>
      <c r="CF100" s="804">
        <f t="shared" si="100"/>
        <v>0</v>
      </c>
      <c r="CG100" s="818">
        <f t="shared" si="101"/>
        <v>0</v>
      </c>
    </row>
    <row r="101" spans="1:85" ht="18" customHeight="1" x14ac:dyDescent="0.35">
      <c r="A101" s="696"/>
      <c r="B101" s="820"/>
      <c r="C101" s="825" t="str">
        <f t="shared" si="61"/>
        <v>(Required)</v>
      </c>
      <c r="D101" s="821"/>
      <c r="E101" s="825" t="str">
        <f t="shared" si="62"/>
        <v>(Required)</v>
      </c>
      <c r="F101" s="822"/>
      <c r="G101" s="825" t="str">
        <f t="shared" si="63"/>
        <v>(Required)</v>
      </c>
      <c r="H101" s="821"/>
      <c r="I101" s="825" t="str">
        <f t="shared" si="64"/>
        <v>(Required)</v>
      </c>
      <c r="J101" s="821"/>
      <c r="K101" s="825" t="str">
        <f t="shared" si="65"/>
        <v>(Required)</v>
      </c>
      <c r="L101" s="821"/>
      <c r="M101" s="825" t="str">
        <f t="shared" si="66"/>
        <v>(Required)</v>
      </c>
      <c r="N101" s="821"/>
      <c r="O101" s="825" t="str">
        <f t="shared" si="67"/>
        <v>(Required)</v>
      </c>
      <c r="P101" s="924"/>
      <c r="Q101" s="825" t="str">
        <f t="shared" si="68"/>
        <v>(Optional)</v>
      </c>
      <c r="R101" s="821"/>
      <c r="S101" s="827" t="str">
        <f t="shared" si="69"/>
        <v>(Required)</v>
      </c>
      <c r="T101" s="828"/>
      <c r="U101" s="799" t="str">
        <f t="shared" si="70"/>
        <v>(Optional)</v>
      </c>
      <c r="V101" s="824"/>
      <c r="W101" s="799" t="str">
        <f t="shared" si="70"/>
        <v>(Optional)</v>
      </c>
      <c r="X101" s="925"/>
      <c r="Y101" s="926" t="str">
        <f t="shared" si="71"/>
        <v>(Required)</v>
      </c>
      <c r="Z101" s="925"/>
      <c r="AA101" s="926" t="str">
        <f t="shared" si="72"/>
        <v>(Required)</v>
      </c>
      <c r="AB101"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101"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101" s="822"/>
      <c r="AE101" s="825" t="str">
        <f t="shared" si="73"/>
        <v>(Required)</v>
      </c>
      <c r="AF101" s="821"/>
      <c r="AG101" s="825" t="str">
        <f t="shared" si="74"/>
        <v>(Required)</v>
      </c>
      <c r="AH101" s="821"/>
      <c r="AI101" s="825" t="str">
        <f t="shared" si="75"/>
        <v>(Required)</v>
      </c>
      <c r="AJ101" s="821"/>
      <c r="AK101" s="825" t="str">
        <f t="shared" si="76"/>
        <v>(Required)</v>
      </c>
      <c r="AL101" s="821"/>
      <c r="AM101" s="825" t="str">
        <f t="shared" si="77"/>
        <v>(Required)</v>
      </c>
      <c r="AN101" s="924"/>
      <c r="AO101" s="825" t="str">
        <f t="shared" si="78"/>
        <v>(Required)</v>
      </c>
      <c r="AP101" s="821"/>
      <c r="AQ101" s="827" t="str">
        <f t="shared" si="79"/>
        <v>(Required)</v>
      </c>
      <c r="AR101" s="928"/>
      <c r="AS101" s="826" t="str">
        <f t="shared" si="80"/>
        <v>(Optional)</v>
      </c>
      <c r="AT101" s="928"/>
      <c r="AU101" s="826" t="str">
        <f t="shared" si="81"/>
        <v>(Optional)</v>
      </c>
      <c r="AV101" s="931"/>
      <c r="AW101" s="825" t="str">
        <f t="shared" si="82"/>
        <v>(Required)</v>
      </c>
      <c r="AX101" s="931"/>
      <c r="AY101" s="825" t="str">
        <f t="shared" si="83"/>
        <v>(Required)</v>
      </c>
      <c r="AZ101"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101"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101" s="804">
        <f>IFERROR(IF(Table411[[#This Row],[Is Baseline Pump Motor Energy Use Known? (Yes/No)]]="Yes",(Table411[[#This Row],[Annual Baseline Energy Use (kWh/yr)]]),(Table411[[#This Row],[Baseline Motor Energy Use (kWh)]])),0)</f>
        <v>0</v>
      </c>
      <c r="BC101" s="804">
        <f>IFERROR(IF(Table411[[#This Row],[Is Replacement Pump Motor Energy Use Known? (Yes/No)]]="Yes",(Table411[[#This Row],[Annual Replacement Energy Use (kWh/yr)]]),(Table411[[#This Row],[Replacement Motor Energy Use (kWh)]])),0)</f>
        <v>0</v>
      </c>
      <c r="BD101" s="804">
        <f>SUM((Table411[[#This Row],[Baseline Annual Energy Use]]-Table411[[#This Row],[Replacement Annual Energy Use]]),(Table411[[#This Row],[Replacement VFD Energy Savings (kWh)]]-Table411[[#This Row],[Baseline VFD Energy Savings (kWh)]]))</f>
        <v>0</v>
      </c>
      <c r="BE101" s="930">
        <f>'Grid Electricity'!$B$19</f>
        <v>2.1064475489616943E-4</v>
      </c>
      <c r="BF101" s="803" t="s">
        <v>586</v>
      </c>
      <c r="BG101" s="806">
        <f>Table411[[#This Row],[Baseline Annual Energy Use]]*Table411[[#This Row],[Fuel Carbon Content]]</f>
        <v>0</v>
      </c>
      <c r="BH101" s="806">
        <f>Table411[[#This Row],[Replacement Annual Energy Use]]*Table411[[#This Row],[Fuel Carbon Content]]</f>
        <v>0</v>
      </c>
      <c r="BI101" s="806">
        <f t="shared" si="84"/>
        <v>0</v>
      </c>
      <c r="BJ101" s="804">
        <f t="shared" si="85"/>
        <v>0</v>
      </c>
      <c r="BK101" s="807">
        <v>0.76</v>
      </c>
      <c r="BL101" s="813">
        <f>IFERROR(BD101*'Grid Electricity'!$D$39,0)</f>
        <v>0</v>
      </c>
      <c r="BM101" s="813">
        <f>IFERROR(BD101*'Grid Electricity'!$C$39,0)</f>
        <v>0</v>
      </c>
      <c r="BN101" s="813">
        <f>IFERROR(BD101*'Grid Electricity'!$F$39,0)</f>
        <v>0</v>
      </c>
      <c r="BO101" s="813">
        <f t="shared" si="86"/>
        <v>0</v>
      </c>
      <c r="BP101" s="814">
        <f t="shared" si="87"/>
        <v>0</v>
      </c>
      <c r="BQ101" s="814">
        <f t="shared" si="88"/>
        <v>0</v>
      </c>
      <c r="BR101" s="814">
        <f t="shared" si="89"/>
        <v>0</v>
      </c>
      <c r="BS101" s="814">
        <f t="shared" si="90"/>
        <v>0</v>
      </c>
      <c r="BT101" s="818">
        <f>((BB101-AB101)*'Fuel Prices'!$C$27)*(IF(ISBLANK(D101),15,D101))</f>
        <v>0</v>
      </c>
      <c r="BU101" s="818">
        <f>((BC101-AZ101)*'Fuel Prices'!$C$27)*(IF(ISBLANK(D101),15,D101))</f>
        <v>0</v>
      </c>
      <c r="BV101" s="818">
        <f t="shared" si="91"/>
        <v>0</v>
      </c>
      <c r="BW101" s="818">
        <f t="shared" si="92"/>
        <v>0</v>
      </c>
      <c r="BX101" s="804" t="str">
        <f t="shared" si="93"/>
        <v/>
      </c>
      <c r="BY101" s="804">
        <f t="shared" si="94"/>
        <v>0</v>
      </c>
      <c r="BZ101" s="804">
        <v>0</v>
      </c>
      <c r="CA101" s="804">
        <f t="shared" si="95"/>
        <v>0</v>
      </c>
      <c r="CB101" s="804">
        <f t="shared" si="96"/>
        <v>0</v>
      </c>
      <c r="CC101" s="804">
        <f t="shared" si="97"/>
        <v>0</v>
      </c>
      <c r="CD101" s="804">
        <f t="shared" si="98"/>
        <v>0</v>
      </c>
      <c r="CE101" s="804">
        <f t="shared" si="99"/>
        <v>0</v>
      </c>
      <c r="CF101" s="804">
        <f t="shared" si="100"/>
        <v>0</v>
      </c>
      <c r="CG101" s="818">
        <f t="shared" si="101"/>
        <v>0</v>
      </c>
    </row>
    <row r="102" spans="1:85" ht="18" customHeight="1" x14ac:dyDescent="0.35">
      <c r="A102" s="635"/>
      <c r="B102" s="820"/>
      <c r="C102" s="825" t="str">
        <f t="shared" si="61"/>
        <v>(Required)</v>
      </c>
      <c r="D102" s="821"/>
      <c r="E102" s="825" t="str">
        <f t="shared" si="62"/>
        <v>(Required)</v>
      </c>
      <c r="F102" s="822"/>
      <c r="G102" s="825" t="str">
        <f t="shared" si="63"/>
        <v>(Required)</v>
      </c>
      <c r="H102" s="821"/>
      <c r="I102" s="825" t="str">
        <f t="shared" si="64"/>
        <v>(Required)</v>
      </c>
      <c r="J102" s="821"/>
      <c r="K102" s="825" t="str">
        <f t="shared" si="65"/>
        <v>(Required)</v>
      </c>
      <c r="L102" s="821"/>
      <c r="M102" s="825" t="str">
        <f t="shared" si="66"/>
        <v>(Required)</v>
      </c>
      <c r="N102" s="821"/>
      <c r="O102" s="825" t="str">
        <f t="shared" si="67"/>
        <v>(Required)</v>
      </c>
      <c r="P102" s="924"/>
      <c r="Q102" s="825" t="str">
        <f t="shared" si="68"/>
        <v>(Optional)</v>
      </c>
      <c r="R102" s="821"/>
      <c r="S102" s="827" t="str">
        <f t="shared" si="69"/>
        <v>(Required)</v>
      </c>
      <c r="T102" s="828"/>
      <c r="U102" s="799" t="str">
        <f t="shared" si="70"/>
        <v>(Optional)</v>
      </c>
      <c r="V102" s="824"/>
      <c r="W102" s="799" t="str">
        <f t="shared" si="70"/>
        <v>(Optional)</v>
      </c>
      <c r="X102" s="925"/>
      <c r="Y102" s="926" t="str">
        <f t="shared" si="71"/>
        <v>(Required)</v>
      </c>
      <c r="Z102" s="925"/>
      <c r="AA102" s="926" t="str">
        <f t="shared" si="72"/>
        <v>(Required)</v>
      </c>
      <c r="AB102" s="927"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102"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102" s="822"/>
      <c r="AE102" s="825" t="str">
        <f t="shared" si="73"/>
        <v>(Required)</v>
      </c>
      <c r="AF102" s="821"/>
      <c r="AG102" s="825" t="str">
        <f t="shared" si="74"/>
        <v>(Required)</v>
      </c>
      <c r="AH102" s="821"/>
      <c r="AI102" s="825" t="str">
        <f t="shared" si="75"/>
        <v>(Required)</v>
      </c>
      <c r="AJ102" s="821"/>
      <c r="AK102" s="825" t="str">
        <f t="shared" si="76"/>
        <v>(Required)</v>
      </c>
      <c r="AL102" s="821"/>
      <c r="AM102" s="825" t="str">
        <f t="shared" si="77"/>
        <v>(Required)</v>
      </c>
      <c r="AN102" s="924"/>
      <c r="AO102" s="825" t="str">
        <f t="shared" si="78"/>
        <v>(Required)</v>
      </c>
      <c r="AP102" s="821"/>
      <c r="AQ102" s="827" t="str">
        <f t="shared" si="79"/>
        <v>(Required)</v>
      </c>
      <c r="AR102" s="928"/>
      <c r="AS102" s="826" t="str">
        <f t="shared" si="80"/>
        <v>(Optional)</v>
      </c>
      <c r="AT102" s="928"/>
      <c r="AU102" s="826" t="str">
        <f t="shared" si="81"/>
        <v>(Optional)</v>
      </c>
      <c r="AV102" s="931"/>
      <c r="AW102" s="825" t="str">
        <f t="shared" si="82"/>
        <v>(Required)</v>
      </c>
      <c r="AX102" s="931"/>
      <c r="AY102" s="825" t="str">
        <f t="shared" si="83"/>
        <v>(Required)</v>
      </c>
      <c r="AZ102" s="927"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102" s="927">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102" s="804">
        <f>IFERROR(IF(Table411[[#This Row],[Is Baseline Pump Motor Energy Use Known? (Yes/No)]]="Yes",(Table411[[#This Row],[Annual Baseline Energy Use (kWh/yr)]]),(Table411[[#This Row],[Baseline Motor Energy Use (kWh)]])),0)</f>
        <v>0</v>
      </c>
      <c r="BC102" s="804">
        <f>IFERROR(IF(Table411[[#This Row],[Is Replacement Pump Motor Energy Use Known? (Yes/No)]]="Yes",(Table411[[#This Row],[Annual Replacement Energy Use (kWh/yr)]]),(Table411[[#This Row],[Replacement Motor Energy Use (kWh)]])),0)</f>
        <v>0</v>
      </c>
      <c r="BD102" s="804">
        <f>SUM((Table411[[#This Row],[Baseline Annual Energy Use]]-Table411[[#This Row],[Replacement Annual Energy Use]]),(Table411[[#This Row],[Replacement VFD Energy Savings (kWh)]]-Table411[[#This Row],[Baseline VFD Energy Savings (kWh)]]))</f>
        <v>0</v>
      </c>
      <c r="BE102" s="930">
        <f>'Grid Electricity'!$B$19</f>
        <v>2.1064475489616943E-4</v>
      </c>
      <c r="BF102" s="803" t="s">
        <v>586</v>
      </c>
      <c r="BG102" s="806">
        <f>Table411[[#This Row],[Baseline Annual Energy Use]]*Table411[[#This Row],[Fuel Carbon Content]]</f>
        <v>0</v>
      </c>
      <c r="BH102" s="806">
        <f>Table411[[#This Row],[Replacement Annual Energy Use]]*Table411[[#This Row],[Fuel Carbon Content]]</f>
        <v>0</v>
      </c>
      <c r="BI102" s="806">
        <f t="shared" si="84"/>
        <v>0</v>
      </c>
      <c r="BJ102" s="804">
        <f t="shared" si="85"/>
        <v>0</v>
      </c>
      <c r="BK102" s="807">
        <v>0.76</v>
      </c>
      <c r="BL102" s="813">
        <f>IFERROR(BD102*'Grid Electricity'!$D$39,0)</f>
        <v>0</v>
      </c>
      <c r="BM102" s="813">
        <f>IFERROR(BD102*'Grid Electricity'!$C$39,0)</f>
        <v>0</v>
      </c>
      <c r="BN102" s="813">
        <f>IFERROR(BD102*'Grid Electricity'!$F$39,0)</f>
        <v>0</v>
      </c>
      <c r="BO102" s="813">
        <f t="shared" si="86"/>
        <v>0</v>
      </c>
      <c r="BP102" s="814">
        <f t="shared" si="87"/>
        <v>0</v>
      </c>
      <c r="BQ102" s="814">
        <f t="shared" si="88"/>
        <v>0</v>
      </c>
      <c r="BR102" s="814">
        <f t="shared" si="89"/>
        <v>0</v>
      </c>
      <c r="BS102" s="814">
        <f t="shared" si="90"/>
        <v>0</v>
      </c>
      <c r="BT102" s="818">
        <f>((BB102-AB102)*'Fuel Prices'!$C$27)*(IF(ISBLANK(D102),15,D102))</f>
        <v>0</v>
      </c>
      <c r="BU102" s="818">
        <f>((BC102-AZ102)*'Fuel Prices'!$C$27)*(IF(ISBLANK(D102),15,D102))</f>
        <v>0</v>
      </c>
      <c r="BV102" s="818">
        <f t="shared" si="91"/>
        <v>0</v>
      </c>
      <c r="BW102" s="818">
        <f t="shared" si="92"/>
        <v>0</v>
      </c>
      <c r="BX102" s="804" t="str">
        <f t="shared" si="93"/>
        <v/>
      </c>
      <c r="BY102" s="804">
        <f t="shared" si="94"/>
        <v>0</v>
      </c>
      <c r="BZ102" s="804">
        <v>0</v>
      </c>
      <c r="CA102" s="804">
        <f t="shared" si="95"/>
        <v>0</v>
      </c>
      <c r="CB102" s="804">
        <f t="shared" si="96"/>
        <v>0</v>
      </c>
      <c r="CC102" s="804">
        <f t="shared" si="97"/>
        <v>0</v>
      </c>
      <c r="CD102" s="804">
        <f t="shared" si="98"/>
        <v>0</v>
      </c>
      <c r="CE102" s="804">
        <f t="shared" si="99"/>
        <v>0</v>
      </c>
      <c r="CF102" s="804">
        <f t="shared" si="100"/>
        <v>0</v>
      </c>
      <c r="CG102" s="818">
        <f t="shared" si="101"/>
        <v>0</v>
      </c>
    </row>
    <row r="103" spans="1:85" ht="18" customHeight="1" x14ac:dyDescent="0.35">
      <c r="A103" s="696"/>
      <c r="B103" s="829"/>
      <c r="C103" s="830" t="str">
        <f t="shared" si="61"/>
        <v>(Required)</v>
      </c>
      <c r="D103" s="831"/>
      <c r="E103" s="830" t="str">
        <f t="shared" si="62"/>
        <v>(Required)</v>
      </c>
      <c r="F103" s="832"/>
      <c r="G103" s="830" t="str">
        <f t="shared" si="63"/>
        <v>(Required)</v>
      </c>
      <c r="H103" s="831"/>
      <c r="I103" s="830" t="str">
        <f t="shared" si="64"/>
        <v>(Required)</v>
      </c>
      <c r="J103" s="831"/>
      <c r="K103" s="830" t="str">
        <f t="shared" si="65"/>
        <v>(Required)</v>
      </c>
      <c r="L103" s="831"/>
      <c r="M103" s="830" t="str">
        <f t="shared" si="66"/>
        <v>(Required)</v>
      </c>
      <c r="N103" s="831"/>
      <c r="O103" s="830" t="str">
        <f t="shared" si="67"/>
        <v>(Required)</v>
      </c>
      <c r="P103" s="932"/>
      <c r="Q103" s="830" t="str">
        <f t="shared" si="68"/>
        <v>(Optional)</v>
      </c>
      <c r="R103" s="831"/>
      <c r="S103" s="835" t="str">
        <f t="shared" si="69"/>
        <v>(Required)</v>
      </c>
      <c r="T103" s="836"/>
      <c r="U103" s="799" t="str">
        <f t="shared" si="70"/>
        <v>(Optional)</v>
      </c>
      <c r="V103" s="933"/>
      <c r="W103" s="799" t="str">
        <f t="shared" si="70"/>
        <v>(Optional)</v>
      </c>
      <c r="X103" s="934"/>
      <c r="Y103" s="935" t="str">
        <f t="shared" si="71"/>
        <v>(Required)</v>
      </c>
      <c r="Z103" s="934"/>
      <c r="AA103" s="935" t="str">
        <f t="shared" si="72"/>
        <v>(Required)</v>
      </c>
      <c r="AB103" s="936" t="b">
        <f>IF(Table411[[#This Row],[Baseline VFD Energy Use Reductions (kWh/yr)]]&gt;0,Table411[[#This Row],[Baseline VFD Energy Use Reductions (kWh/yr)]],IF(AND(Table411[[#This Row],[Baseline VFD?]]="Yes, Booster Pump VFD",Table411[[#This Row],[Baseline Horsepower (Hp)]]&lt;=75),('Pump Emission Factors'!$E$95*(IF(Table411[[#This Row],[Project Life 
(years)]]="",10,Table411[[#This Row],[Project Life 
(years)]]))),IF(AND(Table411[[#This Row],[Baseline VFD?]]="Yes, Booster Pump VFD",Table411[[#This Row],[Baseline Horsepower (Hp)]]&gt;75),('Pump Emission Factors'!$E$96*(IF(Table411[[#This Row],[Project Life 
(years)]]="",10,Table411[[#This Row],[Project Life 
(years)]]))),IF(AND(Table411[[#This Row],[Baseline VFD?]]="Yes, Well Pump VFD",Table411[[#This Row],[Baseline Horsepower (Hp)]]&lt;=75),('Pump Emission Factors'!$E$97*(IF(Table411[[#This Row],[Project Life 
(years)]]="",10,Table411[[#This Row],[Project Life 
(years)]]))),IF(AND(Table411[[#This Row],[Baseline VFD?]]="Yes, Well Pump VFD",Table411[[#This Row],[Baseline Horsepower (Hp)]]&gt;75),'Pump Emission Factors'!$E$98*(IF(Table411[[#This Row],[Project Life 
(years)]]="",10,Table411[[#This Row],[Project Life 
(years)]])))))))</f>
        <v>0</v>
      </c>
      <c r="AC103" s="913">
        <f>IFERROR(((Table411[[#This Row],[Baseline Flow (gal/minute)]]*Table411[[#This Row],[Baseline Head (feet water column)]])/(3956*(Table411[[#This Row],[Baseline Pump Efficiency (%)]]*0.01)*(Table411[[#This Row],[Baseline Motor Efficiency (%)]]*0.01)*(IF(ISBLANK(Table411[[#This Row],[Baseline VFD Efficiency (%)]]),0.97,(Table411[[#This Row],[Baseline VFD Efficiency (%)]]*0.01)))))*0.746*Table411[[#This Row],[Baseline Usage
(hours/year)]],0)</f>
        <v>0</v>
      </c>
      <c r="AD103" s="832"/>
      <c r="AE103" s="830" t="str">
        <f t="shared" si="73"/>
        <v>(Required)</v>
      </c>
      <c r="AF103" s="831"/>
      <c r="AG103" s="830" t="str">
        <f t="shared" si="74"/>
        <v>(Required)</v>
      </c>
      <c r="AH103" s="831"/>
      <c r="AI103" s="830" t="str">
        <f t="shared" si="75"/>
        <v>(Required)</v>
      </c>
      <c r="AJ103" s="831"/>
      <c r="AK103" s="830" t="str">
        <f t="shared" si="76"/>
        <v>(Required)</v>
      </c>
      <c r="AL103" s="831"/>
      <c r="AM103" s="830" t="str">
        <f t="shared" si="77"/>
        <v>(Required)</v>
      </c>
      <c r="AN103" s="932"/>
      <c r="AO103" s="830" t="str">
        <f t="shared" si="78"/>
        <v>(Required)</v>
      </c>
      <c r="AP103" s="821"/>
      <c r="AQ103" s="827" t="str">
        <f t="shared" si="79"/>
        <v>(Required)</v>
      </c>
      <c r="AR103" s="937"/>
      <c r="AS103" s="834" t="str">
        <f t="shared" si="80"/>
        <v>(Optional)</v>
      </c>
      <c r="AT103" s="937"/>
      <c r="AU103" s="834" t="str">
        <f t="shared" si="81"/>
        <v>(Optional)</v>
      </c>
      <c r="AV103" s="938"/>
      <c r="AW103" s="830" t="str">
        <f t="shared" si="82"/>
        <v>(Required)</v>
      </c>
      <c r="AX103" s="938"/>
      <c r="AY103" s="830" t="str">
        <f t="shared" si="83"/>
        <v>(Required)</v>
      </c>
      <c r="AZ103" s="936" t="b">
        <f>IF(Table411[[#This Row],[Replacement Variable Frequency Energy Savings (kWh/yr)]]&gt;0,Table411[[#This Row],[Replacement Variable Frequency Energy Savings (kWh/yr)]],IF(AND(Table411[[#This Row],[Replacement VFD?]]="Yes, Booster Pump VFD",Table411[[#This Row],[Replacement Horsepower (Hp)]]&lt;=75),('Pump Emission Factors'!$E$95*(IF(Table411[[#This Row],[Project Life 
(years)]]="",10,Table411[[#This Row],[Project Life 
(years)]]))),IF(AND(Table411[[#This Row],[Replacement VFD?]]="Yes, Booster Pump VFD",Table411[[#This Row],[Replacement Horsepower (Hp)]]&gt;75),('Pump Emission Factors'!$E$96*(IF(Table411[[#This Row],[Project Life 
(years)]]="",10,Table411[[#This Row],[Project Life 
(years)]]))),IF(AND(Table411[[#This Row],[Replacement VFD?]]="Yes, Well Pump VFD",Table411[[#This Row],[Replacement Horsepower (Hp)]]&lt;=75),('Pump Emission Factors'!$E$97*(IF(Table411[[#This Row],[Project Life 
(years)]]="",10,Table411[[#This Row],[Project Life 
(years)]]))),IF(AND(Table411[[#This Row],[Replacement VFD?]]="Yes, Well Pump VFD",Table411[[#This Row],[Replacement Horsepower (Hp)]]&gt;75),'Pump Emission Factors'!$E$98*(IF(Table411[[#This Row],[Project Life 
(years)]]="",10,Table411[[#This Row],[Project Life 
(years)]])))))))</f>
        <v>0</v>
      </c>
      <c r="BA103" s="936">
        <f>IFERROR(((Table411[[#This Row],[Replacement Flow (gal/minute)]]*Table411[[#This Row],[Replacement Head (feet water column)]])/(3956*(Table411[[#This Row],[Replacement Pump Efficiency (%)]]*0.01)*(Table411[[#This Row],[Replacement Motor Efficiency (%)]]*0.01)*(IF(ISBLANK(Table411[[#This Row],[Replacement VFD Efficiency (%)]]),0.97,(Table411[[#This Row],[Replacement VFD Efficiency (%)]]*0.01)))))*0.746*Table411[[#This Row],[Replacement Usage (hr/yr)]],0)</f>
        <v>0</v>
      </c>
      <c r="BB103" s="804">
        <f>IFERROR(IF(Table411[[#This Row],[Is Baseline Pump Motor Energy Use Known? (Yes/No)]]="Yes",(Table411[[#This Row],[Annual Baseline Energy Use (kWh/yr)]]),(Table411[[#This Row],[Baseline Motor Energy Use (kWh)]])),0)</f>
        <v>0</v>
      </c>
      <c r="BC103" s="804">
        <f>IFERROR(IF(Table411[[#This Row],[Is Replacement Pump Motor Energy Use Known? (Yes/No)]]="Yes",(Table411[[#This Row],[Annual Replacement Energy Use (kWh/yr)]]),(Table411[[#This Row],[Replacement Motor Energy Use (kWh)]])),0)</f>
        <v>0</v>
      </c>
      <c r="BD103" s="804">
        <f>SUM((Table411[[#This Row],[Baseline Annual Energy Use]]-Table411[[#This Row],[Replacement Annual Energy Use]]),(Table411[[#This Row],[Replacement VFD Energy Savings (kWh)]]-Table411[[#This Row],[Baseline VFD Energy Savings (kWh)]]))</f>
        <v>0</v>
      </c>
      <c r="BE103" s="930">
        <f>'Grid Electricity'!$B$19</f>
        <v>2.1064475489616943E-4</v>
      </c>
      <c r="BF103" s="803" t="s">
        <v>586</v>
      </c>
      <c r="BG103" s="806">
        <f>Table411[[#This Row],[Baseline Annual Energy Use]]*Table411[[#This Row],[Fuel Carbon Content]]</f>
        <v>0</v>
      </c>
      <c r="BH103" s="840">
        <f>Table411[[#This Row],[Replacement Annual Energy Use]]*Table411[[#This Row],[Fuel Carbon Content]]</f>
        <v>0</v>
      </c>
      <c r="BI103" s="806">
        <f t="shared" si="84"/>
        <v>0</v>
      </c>
      <c r="BJ103" s="804">
        <f t="shared" si="85"/>
        <v>0</v>
      </c>
      <c r="BK103" s="807">
        <v>0.76</v>
      </c>
      <c r="BL103" s="813">
        <f>IFERROR(BD103*'Grid Electricity'!$D$39,0)</f>
        <v>0</v>
      </c>
      <c r="BM103" s="813">
        <f>IFERROR(BD103*'Grid Electricity'!$C$39,0)</f>
        <v>0</v>
      </c>
      <c r="BN103" s="813">
        <f>IFERROR(BD103*'Grid Electricity'!$F$39,0)</f>
        <v>0</v>
      </c>
      <c r="BO103" s="813">
        <f t="shared" si="86"/>
        <v>0</v>
      </c>
      <c r="BP103" s="847">
        <f t="shared" si="87"/>
        <v>0</v>
      </c>
      <c r="BQ103" s="814">
        <f t="shared" si="88"/>
        <v>0</v>
      </c>
      <c r="BR103" s="814">
        <f t="shared" si="89"/>
        <v>0</v>
      </c>
      <c r="BS103" s="847">
        <f t="shared" si="90"/>
        <v>0</v>
      </c>
      <c r="BT103" s="818">
        <f>((BB103-AB103)*'Fuel Prices'!$C$27)*(IF(ISBLANK(D103),15,D103))</f>
        <v>0</v>
      </c>
      <c r="BU103" s="818">
        <f>((BC103-AZ103)*'Fuel Prices'!$C$27)*(IF(ISBLANK(D103),15,D103))</f>
        <v>0</v>
      </c>
      <c r="BV103" s="850">
        <f t="shared" si="91"/>
        <v>0</v>
      </c>
      <c r="BW103" s="850">
        <f t="shared" si="92"/>
        <v>0</v>
      </c>
      <c r="BX103" s="837" t="str">
        <f t="shared" si="93"/>
        <v/>
      </c>
      <c r="BY103" s="837">
        <f t="shared" si="94"/>
        <v>0</v>
      </c>
      <c r="BZ103" s="804">
        <v>0</v>
      </c>
      <c r="CA103" s="804">
        <f t="shared" si="95"/>
        <v>0</v>
      </c>
      <c r="CB103" s="804">
        <f t="shared" si="96"/>
        <v>0</v>
      </c>
      <c r="CC103" s="804">
        <f t="shared" si="97"/>
        <v>0</v>
      </c>
      <c r="CD103" s="804">
        <f t="shared" si="98"/>
        <v>0</v>
      </c>
      <c r="CE103" s="804">
        <f t="shared" si="99"/>
        <v>0</v>
      </c>
      <c r="CF103" s="804">
        <f t="shared" si="100"/>
        <v>0</v>
      </c>
      <c r="CG103" s="850">
        <f t="shared" si="101"/>
        <v>0</v>
      </c>
    </row>
    <row r="104" spans="1:85" ht="18" customHeight="1" x14ac:dyDescent="0.35">
      <c r="BD104" s="939">
        <f>SUM(Table411[Total Energy Use Reductions (kWh)])</f>
        <v>0</v>
      </c>
      <c r="BJ104" s="852">
        <f>SUM(BJ20:BJ103)</f>
        <v>0</v>
      </c>
      <c r="BL104" s="852">
        <f t="shared" ref="BL104:BT104" si="102">SUM(BL20:BL103)</f>
        <v>0</v>
      </c>
      <c r="BM104" s="852">
        <f t="shared" si="102"/>
        <v>0</v>
      </c>
      <c r="BN104" s="852">
        <f t="shared" si="102"/>
        <v>0</v>
      </c>
      <c r="BO104" s="852">
        <f t="shared" si="102"/>
        <v>0</v>
      </c>
      <c r="BP104" s="852">
        <f t="shared" si="102"/>
        <v>0</v>
      </c>
      <c r="BQ104" s="852">
        <f t="shared" si="102"/>
        <v>0</v>
      </c>
      <c r="BR104" s="852">
        <f t="shared" si="102"/>
        <v>0</v>
      </c>
      <c r="BS104" s="852">
        <f t="shared" si="102"/>
        <v>0</v>
      </c>
      <c r="BT104" s="852">
        <f t="shared" si="102"/>
        <v>0</v>
      </c>
      <c r="BU104" s="852"/>
      <c r="BW104" s="852">
        <f>SUM(BW20:BW103)</f>
        <v>0</v>
      </c>
      <c r="BY104" s="852">
        <f>SUM(Table411[GHG Emission Reductions (MTCO2e)])</f>
        <v>0</v>
      </c>
      <c r="BZ104" s="852">
        <f>SUM(Table411[Total
Diesel PM Reductions (lbs)])</f>
        <v>0</v>
      </c>
      <c r="CA104" s="852">
        <f>SUM(Table411[Total
NOx Reductions 
(lbs)])</f>
        <v>0</v>
      </c>
      <c r="CB104" s="852">
        <f>SUM(Table411[Total
PM 2.5 Reductions (lbs)])</f>
        <v>0</v>
      </c>
      <c r="CC104" s="852">
        <f>SUM(Table411[Total
Reactive Organic Gases Reductions (lbs)])</f>
        <v>0</v>
      </c>
      <c r="CD104" s="852">
        <f>SUM(Table411[Remote
NOx Reductions 
(lbs)])</f>
        <v>0</v>
      </c>
      <c r="CE104" s="852">
        <f>SUM(Table411[Remote
PM 2.5 Reductions (lbs)])</f>
        <v>0</v>
      </c>
      <c r="CF104" s="852">
        <f>SUM(Table411[Remote
Reactive Organic Gases Reductions (lbs)])</f>
        <v>0</v>
      </c>
      <c r="CG104" s="858">
        <f>SUM(Table411[Energy and Fuel Cost Savings ($)])</f>
        <v>0</v>
      </c>
    </row>
  </sheetData>
  <sheetProtection algorithmName="SHA-512" hashValue="PA1ag4V1tSfm48hrd3427AQvpxNt0IfL8Yiw5b/n2Vuo6Qmn89a4sR5wFUdugskGil0ypSL2NNng+Ws6NhK1mQ==" saltValue="1Vb5H3q/5NkLCBQUGYXO6g==" spinCount="100000" sheet="1" formatColumns="0"/>
  <phoneticPr fontId="32" type="noConversion"/>
  <conditionalFormatting sqref="H20:I103">
    <cfRule type="expression" dxfId="31" priority="25">
      <formula>F20="No"</formula>
    </cfRule>
  </conditionalFormatting>
  <conditionalFormatting sqref="I20:I103">
    <cfRule type="expression" dxfId="30" priority="24">
      <formula>F20="No"</formula>
    </cfRule>
  </conditionalFormatting>
  <conditionalFormatting sqref="J20:Q103">
    <cfRule type="expression" dxfId="29" priority="10">
      <formula>$F20&lt;&gt;"No"</formula>
    </cfRule>
  </conditionalFormatting>
  <conditionalFormatting sqref="J20:W103">
    <cfRule type="expression" dxfId="28" priority="40">
      <formula>F20="Yes"</formula>
    </cfRule>
  </conditionalFormatting>
  <conditionalFormatting sqref="K20:K21">
    <cfRule type="expression" dxfId="27" priority="19">
      <formula>F20="Yes"</formula>
    </cfRule>
  </conditionalFormatting>
  <conditionalFormatting sqref="L20:L103 Z20:Z103">
    <cfRule type="expression" dxfId="26" priority="20">
      <formula>F20="Yes"</formula>
    </cfRule>
  </conditionalFormatting>
  <conditionalFormatting sqref="M20:M103 AA21:AA103">
    <cfRule type="expression" dxfId="25" priority="41">
      <formula>F20="Yes"</formula>
    </cfRule>
  </conditionalFormatting>
  <conditionalFormatting sqref="N20">
    <cfRule type="expression" dxfId="24" priority="18">
      <formula>N20="Yes"</formula>
    </cfRule>
  </conditionalFormatting>
  <conditionalFormatting sqref="N20:N103">
    <cfRule type="expression" dxfId="23" priority="17">
      <formula>F20="Yes"</formula>
    </cfRule>
  </conditionalFormatting>
  <conditionalFormatting sqref="O20:O103">
    <cfRule type="expression" dxfId="22" priority="16">
      <formula>F20="Yes"</formula>
    </cfRule>
  </conditionalFormatting>
  <conditionalFormatting sqref="P20:P103">
    <cfRule type="expression" dxfId="21" priority="15">
      <formula>F20="Yes"</formula>
    </cfRule>
  </conditionalFormatting>
  <conditionalFormatting sqref="Q20:Q103">
    <cfRule type="expression" dxfId="20" priority="14">
      <formula>F20="Yes"</formula>
    </cfRule>
  </conditionalFormatting>
  <conditionalFormatting sqref="X20 X21:Y103">
    <cfRule type="expression" dxfId="19" priority="4">
      <formula>$R20="No, VFD not installed"</formula>
    </cfRule>
  </conditionalFormatting>
  <conditionalFormatting sqref="X20:X103">
    <cfRule type="expression" dxfId="18" priority="5">
      <formula>R20="Yes"</formula>
    </cfRule>
  </conditionalFormatting>
  <conditionalFormatting sqref="Y20">
    <cfRule type="expression" dxfId="17" priority="2">
      <formula>S20="Yes"</formula>
    </cfRule>
  </conditionalFormatting>
  <conditionalFormatting sqref="Y21:Y103">
    <cfRule type="expression" dxfId="16" priority="6">
      <formula>R21="Yes"</formula>
    </cfRule>
  </conditionalFormatting>
  <conditionalFormatting sqref="Z20 T20:W103 Z21:AA103">
    <cfRule type="expression" dxfId="15" priority="12">
      <formula>$R20="No, VFD not installed"</formula>
    </cfRule>
  </conditionalFormatting>
  <conditionalFormatting sqref="AA20">
    <cfRule type="expression" dxfId="14" priority="8">
      <formula>U20="Yes"</formula>
    </cfRule>
  </conditionalFormatting>
  <conditionalFormatting sqref="AF20:AF103">
    <cfRule type="expression" dxfId="13" priority="21">
      <formula>AD20="No"</formula>
    </cfRule>
  </conditionalFormatting>
  <conditionalFormatting sqref="AG20:AG103">
    <cfRule type="expression" dxfId="12" priority="22">
      <formula>AD20="No"</formula>
    </cfRule>
  </conditionalFormatting>
  <conditionalFormatting sqref="AH20:AO103">
    <cfRule type="expression" dxfId="11" priority="9">
      <formula>$AD20&lt;&gt;"No"</formula>
    </cfRule>
  </conditionalFormatting>
  <conditionalFormatting sqref="AP20:AP23">
    <cfRule type="expression" dxfId="10" priority="7">
      <formula>AL20="Yes"</formula>
    </cfRule>
  </conditionalFormatting>
  <conditionalFormatting sqref="AV20 AV21:AW103">
    <cfRule type="expression" dxfId="9" priority="1">
      <formula>$AP20="No, VFD not installed"</formula>
    </cfRule>
  </conditionalFormatting>
  <conditionalFormatting sqref="AX20 AR20:AU103 AX21:AY103">
    <cfRule type="expression" dxfId="8" priority="11">
      <formula>$AP20="No, VFD not installed"</formula>
    </cfRule>
  </conditionalFormatting>
  <conditionalFormatting sqref="BO20:BS103 AL24:AL103">
    <cfRule type="expression" dxfId="7" priority="39">
      <formula>OR($AD20="Electric")</formula>
    </cfRule>
  </conditionalFormatting>
  <dataValidations count="32">
    <dataValidation allowBlank="1" showInputMessage="1" showErrorMessage="1" prompt="Project ID assigned by the State Water Resources Control Board." sqref="B18:B103" xr:uid="{AF966A0A-80FD-42A5-9AF0-222D850E22BF}"/>
    <dataValidation type="whole" allowBlank="1" showInputMessage="1" showErrorMessage="1" prompt="Expected useful life of the replacement equipment (Maximum is 10 years)." sqref="D19:D103" xr:uid="{210B0892-BF51-4649-8B35-5AE8ADCC320D}">
      <formula1>1</formula1>
      <formula2>10</formula2>
    </dataValidation>
    <dataValidation allowBlank="1" showInputMessage="1" showErrorMessage="1" prompt="Expected useful life of the replacement equipment (Maximum is 10 years)." sqref="D18" xr:uid="{16FAAB66-0DAD-46B2-950A-33AD7FC17E88}"/>
    <dataValidation allowBlank="1" showInputMessage="1" showErrorMessage="1" prompt="Enter Yes if energy use of the baseline pump engine is known from energy meter reading logs.  If energy meter readings are unavailable, select No." sqref="F18" xr:uid="{E69E3C7C-CABA-443E-B5F9-63FD78EB754E}"/>
    <dataValidation allowBlank="1" showInputMessage="1" showErrorMessage="1" prompt="Enter the baseline pump engine annual energy use (kWh/yr) if available from energy meter reading logs." sqref="H18:H103" xr:uid="{0FF49A83-6742-4F85-8840-99CE08D42E94}"/>
    <dataValidation allowBlank="1" showInputMessage="1" showErrorMessage="1" prompt="Enter the average pump flow rate in gallons per minute for the baseline equipment." sqref="J18 J20:J103" xr:uid="{151B911D-207A-459C-B469-F4E0D906436B}"/>
    <dataValidation allowBlank="1" showInputMessage="1" showErrorMessage="1" prompt="Enter the pump head for the baseline equipment in feet of water column." sqref="L18:L103" xr:uid="{1854ADD8-D086-47D2-A012-9A30D45BDBBF}"/>
    <dataValidation allowBlank="1" showInputMessage="1" showErrorMessage="1" prompt="Enter the percent efficiency for the baseline pump (listed on the nameplate of the pump)." sqref="N18:N19" xr:uid="{B0C4A06E-96F4-4C50-8069-0BE640F92855}"/>
    <dataValidation allowBlank="1" showInputMessage="1" showErrorMessage="1" prompt="Enter the percent efficiency for the baseline pump engine (listed on the nameplate of the engine motor)." sqref="P18:P19" xr:uid="{12F1753A-48E6-4C0D-B605-43A33BB3F6A0}"/>
    <dataValidation allowBlank="1" showInputMessage="1" showErrorMessage="1" errorTitle="Invalid Input:" error="Value must be a positive number, up to a maximum of 8,760 hours per year." prompt="Select the applicable option for variable frequency drive installation (Yes, well pump VFD; Yes, booster pump VFD; No, VFD not installed)." sqref="R18:R19" xr:uid="{47F11EE5-0E0B-427C-8A37-3DD31E24CF87}"/>
    <dataValidation allowBlank="1" showInputMessage="1" showErrorMessage="1" prompt="If known, enter the annual energy savings in kWh/yr from the variable frequency drive on the baseline pump motor engine.  If left blank, the applicable default value from the California Electronic Technical Reference Manual will be used.  " sqref="V18:V103" xr:uid="{5913CC70-BE1D-4BD9-97E5-384C822F5FB1}"/>
    <dataValidation allowBlank="1" showInputMessage="1" showErrorMessage="1" prompt="Enter the percent efficiency for the baseline pump engine (listed on the nameplate of the variable frequency drive).  If unknown, the default value of 97% will be used." sqref="T18:T19" xr:uid="{3974A91A-D23A-4998-8073-A370796D7C81}"/>
    <dataValidation type="whole" allowBlank="1" showInputMessage="1" showErrorMessage="1" prompt="Enter the percent efficiency for the baseline pump engine (listed on the nameplate of the variable frequency drive).  If unknown, the default value of 97% will be used." sqref="T20:T103" xr:uid="{52CCFF76-FDD8-4141-854C-47284F797C94}">
      <formula1>1</formula1>
      <formula2>100</formula2>
    </dataValidation>
    <dataValidation allowBlank="1" showInputMessage="1" showErrorMessage="1" prompt="Enter the annual activity of the baseline pump engine in hours." sqref="X18:X19" xr:uid="{6B431BAD-393D-47F9-BAEF-E747094076FE}"/>
    <dataValidation type="decimal" allowBlank="1" showInputMessage="1" showErrorMessage="1" prompt="Enter the percent efficiency for the baseline pump (listed on the nameplate of the pump)." sqref="N20:N103" xr:uid="{CB926687-9288-4A81-95A0-12B996C4AB6F}">
      <formula1>0</formula1>
      <formula2>100</formula2>
    </dataValidation>
    <dataValidation type="decimal" allowBlank="1" showInputMessage="1" showErrorMessage="1" prompt="Enter the percent efficiency for the baseline pump engine (listed on the nameplate of the engine motor)." sqref="P20:P103" xr:uid="{FB3DDA8E-A803-4755-BB0A-2FD3A8318663}">
      <formula1>0</formula1>
      <formula2>100</formula2>
    </dataValidation>
    <dataValidation type="decimal" allowBlank="1" showInputMessage="1" showErrorMessage="1" prompt="Enter the annual activity of the baseline pump engine in hours." sqref="X20:X103" xr:uid="{5E30A691-EAA6-4E77-9E7F-CFC2D8DC9C1C}">
      <formula1>0</formula1>
      <formula2>8760</formula2>
    </dataValidation>
    <dataValidation allowBlank="1" showInputMessage="1" showErrorMessage="1" prompt="Enter the Maximum Rated Horsepower for the baseline pump engine (listed on the nameplate of the engine)." sqref="Z18:Z103" xr:uid="{D30F3F2B-CDF3-4B0D-B0F6-2056872AD103}"/>
    <dataValidation allowBlank="1" showInputMessage="1" showErrorMessage="1" prompt="Enter Yes if energy use of the replacement pump engine is known from energy meter reading logs.  If energy meter readings are unavailable, select No." sqref="AD18" xr:uid="{F020BDE7-741F-4D40-8B08-6150801EFE74}"/>
    <dataValidation allowBlank="1" showInputMessage="1" showErrorMessage="1" prompt="Enter the replacement pump engine annual energy use (kWh/yr) if available from energy meter reading logs." sqref="AF18 AF20:AF103" xr:uid="{72095FB4-D17F-46ED-AC96-842F46A5B171}"/>
    <dataValidation allowBlank="1" showInputMessage="1" showErrorMessage="1" prompt="Enter the percent efficiency for the replacement pump (listed on the nameplate of the pump)." sqref="AL18:AL19" xr:uid="{566F2003-6E09-4010-8B23-870F3571344D}"/>
    <dataValidation type="decimal" allowBlank="1" showInputMessage="1" showErrorMessage="1" prompt="Enter the percent efficiency for the replacement pump (listed on the nameplate of the pump)." sqref="AL20:AL103" xr:uid="{2102F76B-CAEF-443F-8615-9DC87AFAD9A2}">
      <formula1>0</formula1>
      <formula2>100</formula2>
    </dataValidation>
    <dataValidation type="decimal" allowBlank="1" showInputMessage="1" showErrorMessage="1" errorTitle="Invalid Input:" error="Value must be between 0 and 1." prompt="Enter the percent efficiency for the replacement pump engine (listed on the nameplate of the engine motor)." sqref="AN19" xr:uid="{75804677-E5DF-4394-9BF6-4ED4611F8802}">
      <formula1>0</formula1>
      <formula2>1</formula2>
    </dataValidation>
    <dataValidation type="decimal" allowBlank="1" showInputMessage="1" showErrorMessage="1" errorTitle="Invalid Input:" error="Value must be between 0 and 1." prompt="Enter the percent efficiency for the replacement pump engine (listed on the nameplate of the engine motor)." sqref="AN20:AN103" xr:uid="{4240ACB9-CAEA-4B1B-A98D-84EFAE7B9C13}">
      <formula1>0</formula1>
      <formula2>100</formula2>
    </dataValidation>
    <dataValidation allowBlank="1" showInputMessage="1" showErrorMessage="1" errorTitle="Invalid Input:" error="Value must be between 0 and 1." prompt="Enter the percent efficiency for the replacement pump engine (listed on the nameplate of the engine motor)." sqref="AN18" xr:uid="{C33B239D-02C0-4884-9CB3-0A422DEEE994}"/>
    <dataValidation allowBlank="1" showInputMessage="1" showErrorMessage="1" prompt="Select the applicable option for variable frequency drive installation (Yes, well pump VFD; Yes, booster pump VFD; No, VFD not installed)." sqref="AP18:AP19" xr:uid="{A1C0E8E2-D4E5-424F-8416-C486FD3AE63F}"/>
    <dataValidation type="decimal" allowBlank="1" showInputMessage="1" showErrorMessage="1" errorTitle="Invalid Input:" error="Value must be a positive number, up to a maximum of 8,760 hours per year." prompt="Enter the percent efficiency for the replacement pump engine (listed on the nameplate of the variable frequency drive)." sqref="AR19:AR103" xr:uid="{78590DA9-93A7-43C6-BCA6-D799E968DAC8}">
      <formula1>0</formula1>
      <formula2>100</formula2>
    </dataValidation>
    <dataValidation allowBlank="1" showInputMessage="1" showErrorMessage="1" errorTitle="Invalid Input:" error="Value must be a positive number, up to a maximum of 8,760 hours per year." prompt="Enter the percent efficiency for the replacement pump engine (listed on the nameplate of the variable frequency drive)." sqref="AR18" xr:uid="{05D541A7-1017-4855-9CEA-1298B38E160D}"/>
    <dataValidation allowBlank="1" showInputMessage="1" showErrorMessage="1" errorTitle="Invalid Input:" error="Value must be a positive number, up to a maximum of 8,760 hours per year." prompt="If known, enter the annual energy savings in kWh/yr from the variable frequency drive on the replacement pump motor engine.  If left blank, the applicable default value from the California Electronic Technical Reference Manual will be used.  " sqref="AT18:AT103" xr:uid="{8F06E129-2643-4768-AE5E-A7CF530B6E15}"/>
    <dataValidation type="decimal" allowBlank="1" showInputMessage="1" showErrorMessage="1" prompt="Enter the annual activity of the replacement pump engine in hours." sqref="AV19:AV103" xr:uid="{55265ECB-27D5-47D2-AD16-AA2EC2026F78}">
      <formula1>0</formula1>
      <formula2>8760</formula2>
    </dataValidation>
    <dataValidation allowBlank="1" showInputMessage="1" showErrorMessage="1" prompt="Enter the annual activity of the replacement pump engine in hours." sqref="AV18" xr:uid="{D3F94898-442B-4103-82A3-0D8896D108F5}"/>
    <dataValidation allowBlank="1" showInputMessage="1" showErrorMessage="1" prompt="Enter the Maximum Rated Horsepower for the replacement pump engine (listed on the nameplate of the engine)." sqref="AX18:AX103" xr:uid="{9D6B08FB-6D79-4D51-B9F3-E852E3B5BA96}"/>
  </dataValidations>
  <hyperlinks>
    <hyperlink ref="B13" r:id="rId1" xr:uid="{0C53ABB6-DB61-4072-B888-A178BBF5983F}"/>
  </hyperlinks>
  <pageMargins left="0.7" right="0.7" top="0.75" bottom="0.75" header="0.3" footer="0.3"/>
  <pageSetup scale="23" orientation="portrait" r:id="rId2"/>
  <headerFooter>
    <oddFooter>&amp;L&amp;"Avenir LT Std 55 Roman,Regular"&amp;12FINAL June 1, 2022&amp;C&amp;"Avenir LT Std 55 Roman,Regular"&amp;12Page &amp;P of &amp;N&amp;R&amp;"Avenir LT Std 55 Roman,Regular"&amp;12&amp;A</oddFooter>
  </headerFooter>
  <colBreaks count="1" manualBreakCount="1">
    <brk id="31" max="1048575" man="1"/>
  </colBreaks>
  <drawing r:id="rId3"/>
  <tableParts count="1">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prompt="Enter Yes if energy use of the baseline pump engine is known from energy meter reading logs.  If energy meter readings are unavailable, select No." xr:uid="{AE7289FA-D098-4DD2-8E49-93DB36F5DA31}">
          <x14:formula1>
            <xm:f>Defaults!$B$11:$B$12</xm:f>
          </x14:formula1>
          <xm:sqref>F19:F103</xm:sqref>
        </x14:dataValidation>
        <x14:dataValidation type="list" allowBlank="1" showInputMessage="1" showErrorMessage="1" prompt="Enter the average pump flow rate in gallons per minute for the baseline equipment." xr:uid="{33FFB257-FE4D-4514-A42E-8F4C23FD7359}">
          <x14:formula1>
            <xm:f>Defaults!$H$11:$H$12</xm:f>
          </x14:formula1>
          <xm:sqref>J19</xm:sqref>
        </x14:dataValidation>
        <x14:dataValidation type="list" allowBlank="1" showInputMessage="1" showErrorMessage="1" errorTitle="Invalid Input:" error="Value must be a positive number, up to a maximum of 8,760 hours per year." prompt="Select the applicable option for variable frequency drive installation (Yes, well pump VFD; Yes, booster pump VFD; No, VFD not installed)." xr:uid="{905CEDED-6A8C-4292-8094-8D10EA14E797}">
          <x14:formula1>
            <xm:f>Defaults!$B$52:$B$54</xm:f>
          </x14:formula1>
          <xm:sqref>R20:R103</xm:sqref>
        </x14:dataValidation>
        <x14:dataValidation type="list" allowBlank="1" showInputMessage="1" showErrorMessage="1" prompt="Enter Yes if energy use of the replacement pump engine is known from energy meter reading logs.  If energy meter readings are unavailable, select No." xr:uid="{22633B9E-D303-4BD6-8D43-F35FB90E1206}">
          <x14:formula1>
            <xm:f>Defaults!$B$11:$B$12</xm:f>
          </x14:formula1>
          <xm:sqref>AD19:AD103</xm:sqref>
        </x14:dataValidation>
        <x14:dataValidation type="list" allowBlank="1" showInputMessage="1" showErrorMessage="1" prompt="Enter the replacement pump engine annual energy use (kWh/yr) if available from energy meter reading logs." xr:uid="{E2347EB2-3387-4BF1-9305-D9AD44A5FDEB}">
          <x14:formula1>
            <xm:f>Defaults!$J$26:$J$56</xm:f>
          </x14:formula1>
          <xm:sqref>AF19</xm:sqref>
        </x14:dataValidation>
        <x14:dataValidation type="list" allowBlank="1" showInputMessage="1" showErrorMessage="1" prompt="Select the applicable option for variable frequency drive installation (Yes, well pump VFD; Yes, booster pump VFD; No, VFD not installed)." xr:uid="{A571A4B8-B79A-4CA5-935D-C3D799C634AA}">
          <x14:formula1>
            <xm:f>Defaults!$B$52:$B$54</xm:f>
          </x14:formula1>
          <xm:sqref>AP20:AP103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59999389629810485"/>
    <pageSetUpPr fitToPage="1"/>
  </sheetPr>
  <dimension ref="A1:V68"/>
  <sheetViews>
    <sheetView showGridLines="0" showWhiteSpace="0" topLeftCell="A4" zoomScale="120" zoomScaleNormal="120" zoomScalePageLayoutView="110" workbookViewId="0">
      <selection activeCell="M27" sqref="M27"/>
    </sheetView>
  </sheetViews>
  <sheetFormatPr defaultColWidth="9.1796875" defaultRowHeight="15.5" x14ac:dyDescent="0.35"/>
  <cols>
    <col min="1" max="1" width="2.81640625" style="635" customWidth="1"/>
    <col min="2" max="2" width="63.1796875" style="635" customWidth="1"/>
    <col min="3" max="4" width="19.7265625" style="635" customWidth="1"/>
    <col min="5" max="5" width="8" style="635" customWidth="1"/>
    <col min="6" max="6" width="9.1796875" style="635" bestFit="1" customWidth="1"/>
    <col min="7" max="7" width="31.7265625" style="965" bestFit="1" customWidth="1"/>
    <col min="8" max="8" width="11.7265625" style="635" customWidth="1"/>
    <col min="9" max="9" width="23.7265625" style="635" customWidth="1"/>
    <col min="10" max="10" width="3.7265625" style="635" customWidth="1"/>
    <col min="11" max="16384" width="9.1796875" style="635"/>
  </cols>
  <sheetData>
    <row r="1" spans="2:17" ht="18" x14ac:dyDescent="0.4">
      <c r="B1" s="633" t="str">
        <f>'Read Me'!B1</f>
        <v>California Air Resources Board</v>
      </c>
      <c r="C1" s="632"/>
      <c r="D1" s="632"/>
      <c r="E1" s="632"/>
      <c r="F1" s="941"/>
      <c r="G1" s="942"/>
      <c r="H1" s="941"/>
      <c r="I1" s="941"/>
      <c r="J1" s="941"/>
      <c r="K1" s="941"/>
      <c r="L1" s="941"/>
      <c r="M1" s="632"/>
      <c r="N1" s="632"/>
      <c r="O1" s="632"/>
      <c r="P1" s="943"/>
    </row>
    <row r="2" spans="2:17" ht="18" x14ac:dyDescent="0.4">
      <c r="B2" s="638"/>
      <c r="C2" s="632"/>
      <c r="D2" s="632"/>
      <c r="E2" s="632"/>
      <c r="F2" s="941"/>
      <c r="G2" s="942"/>
      <c r="H2" s="941"/>
      <c r="I2" s="941"/>
      <c r="J2" s="941"/>
      <c r="K2" s="941"/>
      <c r="L2" s="941"/>
      <c r="M2" s="632"/>
      <c r="N2" s="632"/>
      <c r="O2" s="632"/>
      <c r="P2" s="943"/>
    </row>
    <row r="3" spans="2:17" ht="18" x14ac:dyDescent="0.4">
      <c r="B3" s="633" t="str">
        <f>'Read Me'!B3</f>
        <v>Benefits Calculator Tool</v>
      </c>
      <c r="C3" s="632"/>
      <c r="D3" s="632"/>
      <c r="E3" s="632"/>
      <c r="F3" s="941"/>
      <c r="G3" s="942"/>
      <c r="H3" s="941"/>
      <c r="I3" s="941"/>
      <c r="J3" s="941"/>
      <c r="K3" s="941"/>
      <c r="L3" s="941"/>
      <c r="M3" s="632"/>
      <c r="N3" s="632"/>
      <c r="O3" s="632"/>
      <c r="P3" s="943"/>
    </row>
    <row r="4" spans="2:17" ht="18" x14ac:dyDescent="0.4">
      <c r="B4" s="637" t="str">
        <f>'Read Me'!B4</f>
        <v>Safe and Affordable Drinking Water</v>
      </c>
      <c r="C4" s="632"/>
      <c r="D4" s="632"/>
      <c r="E4" s="632"/>
      <c r="F4" s="941"/>
      <c r="G4" s="942"/>
      <c r="H4" s="941"/>
      <c r="I4" s="941"/>
      <c r="J4" s="941"/>
      <c r="K4" s="941"/>
      <c r="L4" s="941"/>
      <c r="M4" s="632"/>
      <c r="N4" s="632"/>
      <c r="O4" s="632"/>
      <c r="P4" s="943"/>
    </row>
    <row r="5" spans="2:17" ht="18" x14ac:dyDescent="0.4">
      <c r="B5" s="637" t="str">
        <f>'Read Me'!B5</f>
        <v>(SADW) Fund</v>
      </c>
      <c r="C5" s="632"/>
      <c r="D5" s="632"/>
      <c r="E5" s="632"/>
      <c r="F5" s="941"/>
      <c r="G5" s="942"/>
      <c r="H5" s="941"/>
      <c r="I5" s="941"/>
      <c r="J5" s="941"/>
      <c r="K5" s="941"/>
      <c r="L5" s="941"/>
      <c r="M5" s="632"/>
      <c r="N5" s="632"/>
      <c r="O5" s="632"/>
      <c r="P5" s="943"/>
    </row>
    <row r="6" spans="2:17" ht="18" x14ac:dyDescent="0.4">
      <c r="B6" s="638"/>
      <c r="C6" s="632"/>
      <c r="D6" s="632"/>
      <c r="E6" s="632"/>
      <c r="F6" s="941"/>
      <c r="G6" s="942"/>
      <c r="H6" s="941"/>
      <c r="I6" s="941"/>
      <c r="J6" s="941"/>
      <c r="K6" s="941"/>
      <c r="L6" s="941"/>
      <c r="M6" s="632"/>
      <c r="N6" s="632"/>
      <c r="O6" s="632"/>
      <c r="P6" s="943"/>
    </row>
    <row r="7" spans="2:17" ht="18" x14ac:dyDescent="0.4">
      <c r="B7" s="637"/>
      <c r="C7" s="632"/>
      <c r="D7" s="632"/>
      <c r="E7" s="632"/>
      <c r="F7" s="941"/>
      <c r="G7" s="942"/>
      <c r="H7" s="941"/>
      <c r="I7" s="941"/>
      <c r="J7" s="941"/>
      <c r="K7" s="941"/>
      <c r="L7" s="941"/>
      <c r="M7" s="632"/>
      <c r="N7" s="632"/>
      <c r="O7" s="632"/>
      <c r="P7" s="943"/>
    </row>
    <row r="8" spans="2:17" ht="18" x14ac:dyDescent="0.4">
      <c r="B8" s="633" t="str">
        <f>'Read Me'!B8</f>
        <v xml:space="preserve">California Climate Investments </v>
      </c>
      <c r="C8" s="632"/>
      <c r="D8" s="632"/>
      <c r="E8" s="632"/>
      <c r="F8" s="941"/>
      <c r="G8" s="942"/>
      <c r="H8" s="941"/>
      <c r="I8" s="941"/>
      <c r="J8" s="941"/>
      <c r="K8" s="941"/>
      <c r="L8" s="941"/>
      <c r="M8" s="632"/>
      <c r="N8" s="632"/>
      <c r="O8" s="632"/>
      <c r="P8" s="943"/>
    </row>
    <row r="9" spans="2:17" x14ac:dyDescent="0.35">
      <c r="B9" s="941"/>
      <c r="C9" s="632"/>
      <c r="D9" s="632"/>
      <c r="E9" s="632"/>
      <c r="F9" s="941"/>
      <c r="G9" s="942"/>
      <c r="H9" s="943"/>
      <c r="I9" s="943"/>
      <c r="J9" s="943"/>
      <c r="K9" s="943"/>
      <c r="L9" s="943"/>
      <c r="P9" s="943"/>
    </row>
    <row r="10" spans="2:17" x14ac:dyDescent="0.35">
      <c r="C10" s="943"/>
      <c r="D10" s="943"/>
      <c r="F10" s="943"/>
      <c r="G10" s="942"/>
      <c r="H10" s="943"/>
      <c r="I10" s="943"/>
      <c r="J10" s="944"/>
      <c r="K10" s="944"/>
      <c r="L10" s="944"/>
      <c r="M10" s="945"/>
      <c r="N10" s="945"/>
      <c r="O10" s="945"/>
      <c r="P10" s="944"/>
      <c r="Q10" s="945"/>
    </row>
    <row r="11" spans="2:17" ht="16" thickBot="1" x14ac:dyDescent="0.4">
      <c r="B11" s="621" t="s">
        <v>8</v>
      </c>
      <c r="C11" s="946"/>
      <c r="D11" s="946"/>
      <c r="F11" s="943"/>
      <c r="G11" s="942"/>
      <c r="H11" s="943"/>
      <c r="I11" s="943"/>
      <c r="J11" s="944"/>
      <c r="K11" s="944"/>
      <c r="L11" s="944"/>
      <c r="M11" s="945"/>
      <c r="N11" s="945"/>
      <c r="O11" s="945"/>
      <c r="P11" s="944"/>
      <c r="Q11" s="945"/>
    </row>
    <row r="12" spans="2:17" ht="15" customHeight="1" x14ac:dyDescent="0.35">
      <c r="B12" s="947" t="s">
        <v>3616</v>
      </c>
      <c r="C12" s="948"/>
      <c r="D12" s="948"/>
      <c r="E12" s="949"/>
      <c r="F12" s="949"/>
      <c r="G12" s="949"/>
      <c r="H12" s="950"/>
      <c r="I12" s="951"/>
      <c r="J12" s="952"/>
      <c r="K12" s="953"/>
      <c r="L12" s="953"/>
      <c r="M12" s="953"/>
      <c r="N12" s="953"/>
      <c r="O12" s="953"/>
      <c r="P12" s="953"/>
      <c r="Q12" s="953"/>
    </row>
    <row r="13" spans="2:17" ht="15" customHeight="1" thickBot="1" x14ac:dyDescent="0.4">
      <c r="B13" s="940" t="s">
        <v>3650</v>
      </c>
      <c r="C13" s="954"/>
      <c r="D13" s="954"/>
      <c r="E13" s="955"/>
      <c r="F13" s="955"/>
      <c r="G13" s="955"/>
      <c r="H13" s="956"/>
      <c r="I13" s="957"/>
      <c r="J13" s="958"/>
      <c r="K13" s="953"/>
      <c r="L13" s="953"/>
      <c r="M13" s="953"/>
      <c r="N13" s="953"/>
      <c r="O13" s="953"/>
      <c r="P13" s="953"/>
      <c r="Q13" s="953"/>
    </row>
    <row r="14" spans="2:17" ht="15" customHeight="1" x14ac:dyDescent="0.35">
      <c r="B14" s="959"/>
      <c r="C14" s="960"/>
      <c r="D14" s="960"/>
      <c r="E14" s="961"/>
      <c r="F14" s="962"/>
      <c r="G14" s="963"/>
      <c r="H14" s="962"/>
      <c r="I14" s="962"/>
      <c r="J14" s="964"/>
      <c r="K14" s="964"/>
      <c r="L14" s="964"/>
      <c r="M14" s="953"/>
      <c r="N14" s="953"/>
      <c r="O14" s="953"/>
      <c r="P14" s="964"/>
      <c r="Q14" s="953"/>
    </row>
    <row r="15" spans="2:17" ht="15" customHeight="1" x14ac:dyDescent="0.35">
      <c r="B15" s="647" t="s">
        <v>35</v>
      </c>
      <c r="C15" s="960"/>
      <c r="D15" s="960"/>
      <c r="E15" s="961"/>
      <c r="F15" s="962"/>
      <c r="G15" s="963"/>
      <c r="H15" s="962"/>
      <c r="I15" s="962"/>
      <c r="J15" s="964"/>
      <c r="K15" s="964"/>
      <c r="L15" s="964"/>
      <c r="M15" s="953"/>
      <c r="N15" s="953"/>
      <c r="O15" s="953"/>
      <c r="P15" s="964"/>
      <c r="Q15" s="953"/>
    </row>
    <row r="16" spans="2:17" ht="15" customHeight="1" x14ac:dyDescent="0.35"/>
    <row r="17" spans="1:22" ht="15" customHeight="1" thickBot="1" x14ac:dyDescent="0.4">
      <c r="B17" s="966" t="s">
        <v>164</v>
      </c>
    </row>
    <row r="18" spans="1:22" s="620" customFormat="1" ht="15" hidden="1" customHeight="1" thickBot="1" x14ac:dyDescent="0.4">
      <c r="B18" s="967" t="s">
        <v>207</v>
      </c>
      <c r="C18" s="967" t="s">
        <v>43</v>
      </c>
      <c r="D18" s="967" t="s">
        <v>30</v>
      </c>
    </row>
    <row r="19" spans="1:22" ht="18.75" customHeight="1" x14ac:dyDescent="0.35">
      <c r="B19" s="968" t="s">
        <v>166</v>
      </c>
      <c r="C19" s="969"/>
      <c r="D19" s="970" t="str">
        <f>IF(ISBLANK(C19),"(Required)","")</f>
        <v>(Required)</v>
      </c>
      <c r="I19" s="971"/>
    </row>
    <row r="20" spans="1:22" ht="18.75" customHeight="1" x14ac:dyDescent="0.35">
      <c r="A20" s="972"/>
      <c r="B20" s="973" t="s">
        <v>167</v>
      </c>
      <c r="C20" s="974"/>
      <c r="D20" s="975" t="str">
        <f>IF(ISBLANK(C20),"(Required)","")</f>
        <v>(Required)</v>
      </c>
      <c r="E20" s="972"/>
      <c r="I20" s="971"/>
    </row>
    <row r="21" spans="1:22" ht="18.75" customHeight="1" x14ac:dyDescent="0.35">
      <c r="B21" s="976" t="s">
        <v>169</v>
      </c>
      <c r="C21" s="977">
        <f ca="1">IF(OR(AnnualkWh="",ElectricityUse=""),0,AnnualkWh*(SUMPRODUCT((1-0.5%)^ROW(INDIRECT("1:"&amp;30-1)))+1))</f>
        <v>0</v>
      </c>
      <c r="D21" s="978"/>
      <c r="E21" s="972"/>
      <c r="I21" s="971"/>
    </row>
    <row r="22" spans="1:22" ht="18.75" customHeight="1" x14ac:dyDescent="0.35">
      <c r="I22" s="971"/>
    </row>
    <row r="23" spans="1:22" ht="16" thickBot="1" x14ac:dyDescent="0.4">
      <c r="B23" s="621" t="s">
        <v>165</v>
      </c>
      <c r="C23" s="965"/>
    </row>
    <row r="24" spans="1:22" ht="20.25" hidden="1" customHeight="1" thickBot="1" x14ac:dyDescent="0.4">
      <c r="B24" s="967" t="s">
        <v>207</v>
      </c>
      <c r="C24" s="967" t="s">
        <v>43</v>
      </c>
      <c r="D24" s="967" t="s">
        <v>30</v>
      </c>
      <c r="G24" s="945"/>
      <c r="H24" s="945"/>
      <c r="I24" s="945"/>
      <c r="J24" s="945"/>
      <c r="K24" s="945"/>
      <c r="L24" s="945"/>
      <c r="M24" s="945"/>
      <c r="N24" s="945"/>
      <c r="O24" s="945"/>
      <c r="P24" s="945"/>
      <c r="Q24" s="945"/>
      <c r="R24" s="945"/>
      <c r="S24" s="945"/>
      <c r="T24" s="979"/>
      <c r="U24" s="979"/>
      <c r="V24" s="945"/>
    </row>
    <row r="25" spans="1:22" ht="20.25" customHeight="1" x14ac:dyDescent="0.35">
      <c r="B25" s="968" t="s">
        <v>3639</v>
      </c>
      <c r="C25" s="980">
        <f ca="1">IFERROR(TotalkWh*'Grid Electricity'!$B$19,0)</f>
        <v>0</v>
      </c>
      <c r="D25" s="981"/>
      <c r="F25" s="982" t="s">
        <v>21</v>
      </c>
      <c r="G25" s="666"/>
    </row>
    <row r="26" spans="1:22" ht="15" customHeight="1" x14ac:dyDescent="0.35">
      <c r="B26" s="973" t="s">
        <v>168</v>
      </c>
      <c r="C26" s="983">
        <f ca="1">IFERROR(TotalkWh*'Grid Electricity'!$C$39,0)</f>
        <v>0</v>
      </c>
      <c r="D26" s="984"/>
      <c r="F26" s="670" t="s">
        <v>16</v>
      </c>
      <c r="G26" s="671" t="s">
        <v>19</v>
      </c>
    </row>
    <row r="27" spans="1:22" ht="15" customHeight="1" x14ac:dyDescent="0.35">
      <c r="B27" s="973" t="s">
        <v>3640</v>
      </c>
      <c r="C27" s="983">
        <f ca="1">IFERROR(TotalkWh*'Grid Electricity'!$D$39,0)</f>
        <v>0</v>
      </c>
      <c r="D27" s="984"/>
      <c r="F27" s="674" t="s">
        <v>17</v>
      </c>
      <c r="G27" s="671" t="s">
        <v>20</v>
      </c>
    </row>
    <row r="28" spans="1:22" ht="15" customHeight="1" thickBot="1" x14ac:dyDescent="0.4">
      <c r="A28" s="621"/>
      <c r="B28" s="976" t="s">
        <v>3641</v>
      </c>
      <c r="C28" s="977">
        <f ca="1">IFERROR(TotalkWh*'Grid Electricity'!$G$39,0)</f>
        <v>0</v>
      </c>
      <c r="D28" s="978"/>
      <c r="E28" s="621"/>
      <c r="F28" s="675" t="s">
        <v>18</v>
      </c>
      <c r="G28" s="677" t="s">
        <v>206</v>
      </c>
    </row>
    <row r="29" spans="1:22" ht="15" customHeight="1" x14ac:dyDescent="0.35">
      <c r="A29" s="985"/>
      <c r="B29" s="985"/>
      <c r="C29" s="985"/>
      <c r="D29" s="985"/>
      <c r="E29" s="985"/>
      <c r="F29" s="985"/>
    </row>
    <row r="30" spans="1:22" ht="15" customHeight="1" x14ac:dyDescent="0.35">
      <c r="A30" s="985"/>
      <c r="B30" s="985"/>
      <c r="C30" s="985"/>
      <c r="D30" s="985"/>
      <c r="E30" s="985"/>
      <c r="F30" s="985"/>
    </row>
    <row r="31" spans="1:22" ht="15" customHeight="1" x14ac:dyDescent="0.35">
      <c r="A31" s="985"/>
      <c r="B31" s="985"/>
      <c r="C31" s="621"/>
      <c r="D31" s="621"/>
      <c r="E31" s="985"/>
      <c r="F31" s="985"/>
    </row>
    <row r="32" spans="1:22" ht="15" customHeight="1" x14ac:dyDescent="0.35">
      <c r="A32" s="985"/>
      <c r="B32" s="985"/>
      <c r="C32" s="985"/>
      <c r="D32" s="985"/>
      <c r="E32" s="985"/>
      <c r="F32" s="985"/>
    </row>
    <row r="33" spans="1:6" ht="15" customHeight="1" x14ac:dyDescent="0.35">
      <c r="A33" s="985"/>
      <c r="B33" s="985"/>
      <c r="C33" s="985"/>
      <c r="D33" s="985"/>
      <c r="E33" s="985"/>
      <c r="F33" s="985"/>
    </row>
    <row r="34" spans="1:6" ht="15" customHeight="1" x14ac:dyDescent="0.35">
      <c r="A34" s="985"/>
      <c r="B34" s="985"/>
      <c r="C34" s="985"/>
      <c r="D34" s="985"/>
      <c r="E34" s="985"/>
      <c r="F34" s="985"/>
    </row>
    <row r="35" spans="1:6" ht="15" customHeight="1" x14ac:dyDescent="0.35">
      <c r="A35" s="985"/>
      <c r="B35" s="985"/>
      <c r="C35" s="985"/>
      <c r="D35" s="985"/>
      <c r="E35" s="985"/>
      <c r="F35" s="985"/>
    </row>
    <row r="36" spans="1:6" ht="15" customHeight="1" x14ac:dyDescent="0.35">
      <c r="A36" s="986"/>
      <c r="B36" s="986"/>
      <c r="C36" s="986"/>
      <c r="D36" s="986"/>
      <c r="E36" s="986"/>
      <c r="F36" s="986"/>
    </row>
    <row r="37" spans="1:6" ht="15" customHeight="1" x14ac:dyDescent="0.35">
      <c r="A37" s="987"/>
      <c r="B37" s="987"/>
      <c r="C37" s="987"/>
      <c r="D37" s="987"/>
      <c r="E37" s="987"/>
      <c r="F37" s="987"/>
    </row>
    <row r="38" spans="1:6" ht="15" customHeight="1" x14ac:dyDescent="0.35">
      <c r="A38" s="985"/>
      <c r="B38" s="985"/>
      <c r="C38" s="985"/>
      <c r="D38" s="985"/>
      <c r="E38" s="985"/>
      <c r="F38" s="985"/>
    </row>
    <row r="39" spans="1:6" ht="15" customHeight="1" x14ac:dyDescent="0.35">
      <c r="A39" s="985"/>
      <c r="B39" s="985"/>
      <c r="C39" s="985"/>
      <c r="D39" s="985"/>
      <c r="E39" s="985"/>
      <c r="F39" s="985"/>
    </row>
    <row r="40" spans="1:6" ht="15" customHeight="1" x14ac:dyDescent="0.35">
      <c r="A40" s="985"/>
      <c r="B40" s="985"/>
      <c r="C40" s="985"/>
      <c r="D40" s="985"/>
      <c r="E40" s="985"/>
      <c r="F40" s="985"/>
    </row>
    <row r="41" spans="1:6" ht="15" customHeight="1" x14ac:dyDescent="0.35">
      <c r="A41" s="985"/>
      <c r="B41" s="985"/>
      <c r="C41" s="985"/>
      <c r="D41" s="985"/>
      <c r="E41" s="985"/>
      <c r="F41" s="985"/>
    </row>
    <row r="42" spans="1:6" ht="15" customHeight="1" x14ac:dyDescent="0.35">
      <c r="A42" s="985"/>
      <c r="B42" s="985"/>
      <c r="C42" s="985"/>
      <c r="D42" s="985"/>
      <c r="E42" s="985"/>
      <c r="F42" s="985"/>
    </row>
    <row r="43" spans="1:6" ht="15" customHeight="1" x14ac:dyDescent="0.35">
      <c r="A43" s="985"/>
      <c r="B43" s="985"/>
      <c r="C43" s="985"/>
      <c r="D43" s="985"/>
      <c r="E43" s="985"/>
      <c r="F43" s="985"/>
    </row>
    <row r="44" spans="1:6" ht="15" customHeight="1" x14ac:dyDescent="0.35">
      <c r="A44" s="985"/>
      <c r="B44" s="985"/>
      <c r="C44" s="985"/>
      <c r="D44" s="985"/>
      <c r="E44" s="985"/>
      <c r="F44" s="985"/>
    </row>
    <row r="45" spans="1:6" ht="15" customHeight="1" x14ac:dyDescent="0.35">
      <c r="A45" s="985"/>
      <c r="B45" s="985"/>
      <c r="C45" s="985"/>
      <c r="D45" s="985"/>
      <c r="E45" s="985"/>
      <c r="F45" s="985"/>
    </row>
    <row r="46" spans="1:6" ht="15" customHeight="1" x14ac:dyDescent="0.35">
      <c r="A46" s="945"/>
      <c r="B46" s="945"/>
      <c r="C46" s="945"/>
      <c r="D46" s="945"/>
      <c r="E46" s="945"/>
      <c r="F46" s="945"/>
    </row>
    <row r="47" spans="1:6" ht="15" customHeight="1" x14ac:dyDescent="0.35">
      <c r="A47" s="945"/>
      <c r="B47" s="945"/>
      <c r="C47" s="945"/>
      <c r="D47" s="945"/>
      <c r="E47" s="945"/>
      <c r="F47" s="945"/>
    </row>
    <row r="48" spans="1:6" ht="15" customHeight="1" x14ac:dyDescent="0.35">
      <c r="A48" s="988"/>
      <c r="B48" s="988"/>
      <c r="C48" s="988"/>
      <c r="D48" s="988"/>
      <c r="E48" s="988"/>
      <c r="F48" s="945"/>
    </row>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sheetData>
  <sheetProtection algorithmName="SHA-512" hashValue="79bfgz6Lz4tFPhGMhYrxjL6G5V2+EZ2PwvDv5zIQgzi6wp1vXlCEf2wy3Eq7jaa1HfIIFv+BnUx75UaM/XdXgA==" saltValue="k4/qaiiG4eM0vEp2IIeZHA==" spinCount="100000" sheet="1" objects="1" scenarios="1"/>
  <conditionalFormatting sqref="C20">
    <cfRule type="expression" dxfId="6" priority="1">
      <formula>OR($C$19="",$C$19=0)</formula>
    </cfRule>
  </conditionalFormatting>
  <conditionalFormatting sqref="D20">
    <cfRule type="expression" dxfId="5" priority="2">
      <formula>OR($C$19="",$C$19=0)</formula>
    </cfRule>
  </conditionalFormatting>
  <dataValidations count="8">
    <dataValidation type="whole" allowBlank="1" showInputMessage="1" showErrorMessage="1" prompt="Enter the annual renewable energy generation calculated from PV Watts." sqref="C19" xr:uid="{EC27FFEF-E6CA-4D55-B08B-3279325702E7}">
      <formula1>1</formula1>
      <formula2>10000000</formula2>
    </dataValidation>
    <dataValidation allowBlank="1" showInputMessage="1" showErrorMessage="1" prompt="Enter the annual renewable energy generation calculated from PV Watts." sqref="B19" xr:uid="{B68CE56A-8375-45F6-A928-80A0BD3EC033}"/>
    <dataValidation allowBlank="1" showInputMessage="1" showErrorMessage="1" prompt="Select the type of electricity use avoided from the renewable energy generation (residential or commercial).  This is the sector which will consume the majority of the electricity generated." sqref="B20" xr:uid="{241FCA81-FF0E-4261-BE67-E9FF22AB481A}"/>
    <dataValidation allowBlank="1" showInputMessage="1" showErrorMessage="1" prompt="Total renewable energy production over the project life (kWh)." sqref="B21:D21" xr:uid="{D57C5B38-68FB-40F7-9417-EDFEF35FFB3B}"/>
    <dataValidation allowBlank="1" showInputMessage="1" showErrorMessage="1" prompt="GHG emission reductions from renewable energy production (avoided emissions from grid-electricity energy production)" sqref="B25:D25" xr:uid="{A7CF1846-EEAB-4911-8E2E-76962F355BF0}"/>
    <dataValidation allowBlank="1" showInputMessage="1" showErrorMessage="1" prompt="Reactive Organic Gases (ROG) emission reductions from renewable energy production (avoided emissions from grid-electricity energy production)" sqref="B26:D26" xr:uid="{0FC60923-DA79-471D-BAE0-327593D8A0CC}"/>
    <dataValidation allowBlank="1" showInputMessage="1" showErrorMessage="1" prompt="Nitrous oxides (NOx) emission reductions from renewable energy production (avoided emissions from grid-electricity energy production)" sqref="B27:D27" xr:uid="{494E7400-57CD-4704-A90E-5C171BA0E8FE}"/>
    <dataValidation allowBlank="1" showInputMessage="1" showErrorMessage="1" prompt="Particulate Matter under 2.5 microns (PM2.5) emission reductions from renewable energy production (avoided emissions from grid-electricity energy production)" sqref="B28:D28" xr:uid="{A7BDD731-A206-427B-B7E0-574E6922F7C5}"/>
  </dataValidations>
  <hyperlinks>
    <hyperlink ref="B13" r:id="rId1" xr:uid="{A49C3EBD-3F98-48B1-9E82-BFF20A937D05}"/>
  </hyperlinks>
  <pageMargins left="0.7" right="0.7" top="0.75" bottom="0.75" header="0.3" footer="0.3"/>
  <pageSetup scale="54" orientation="portrait" r:id="rId2"/>
  <headerFooter>
    <oddFooter>&amp;L&amp;"Avenir LT Std 55 Roman,Regular"&amp;12FINAL June 1, 2022&amp;C&amp;"Avenir LT Std 55 Roman,Regular"&amp;12Page &amp;P of &amp;N&amp;R&amp;"Avenir LT Std 55 Roman,Regular"&amp;12&amp;A</oddFooter>
  </headerFooter>
  <ignoredErrors>
    <ignoredError sqref="D19:D20" unlockedFormula="1"/>
  </ignoredErrors>
  <drawing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prompt="Select the type of electricity use avoided from the renewable energy generation (residential or commercial).  This is the sector which will consume the majority of the electricity generated." xr:uid="{5CC689BF-2F2D-4F88-B01C-0F481B762316}">
          <x14:formula1>
            <xm:f>Defaults!$B$26:$B$27</xm:f>
          </x14:formula1>
          <xm:sqref>C20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59999389629810485"/>
    <pageSetUpPr fitToPage="1"/>
  </sheetPr>
  <dimension ref="B1:Q55"/>
  <sheetViews>
    <sheetView showGridLines="0" showWhiteSpace="0" zoomScaleNormal="100" workbookViewId="0">
      <selection activeCell="G6" sqref="G6"/>
    </sheetView>
  </sheetViews>
  <sheetFormatPr defaultColWidth="9.1796875" defaultRowHeight="15.5" x14ac:dyDescent="0.35"/>
  <cols>
    <col min="1" max="1" width="2.81640625" style="635" customWidth="1"/>
    <col min="2" max="2" width="59.1796875" style="635" customWidth="1"/>
    <col min="3" max="3" width="19.7265625" style="635" customWidth="1"/>
    <col min="4" max="4" width="19.7265625" style="1003" customWidth="1"/>
    <col min="5" max="5" width="12" style="635" customWidth="1"/>
    <col min="6" max="6" width="15.54296875" style="635" customWidth="1"/>
    <col min="7" max="7" width="14.26953125" style="965" customWidth="1"/>
    <col min="8" max="8" width="13.453125" style="635" customWidth="1"/>
    <col min="9" max="9" width="15.453125" style="635" customWidth="1"/>
    <col min="10" max="10" width="18.453125" style="635" customWidth="1"/>
    <col min="11" max="13" width="12.81640625" style="635" customWidth="1"/>
    <col min="14" max="14" width="15.1796875" style="635" customWidth="1"/>
    <col min="15" max="15" width="12" style="635" customWidth="1"/>
    <col min="16" max="16" width="9.1796875" style="635"/>
    <col min="17" max="17" width="13" style="635" customWidth="1"/>
    <col min="18" max="18" width="11.81640625" style="635" customWidth="1"/>
    <col min="19" max="19" width="11.7265625" style="635" customWidth="1"/>
    <col min="20" max="16384" width="9.1796875" style="635"/>
  </cols>
  <sheetData>
    <row r="1" spans="2:17" ht="18" x14ac:dyDescent="0.4">
      <c r="B1" s="633" t="str">
        <f>'Read Me'!B1</f>
        <v>California Air Resources Board</v>
      </c>
      <c r="C1" s="632"/>
      <c r="D1" s="989"/>
      <c r="E1" s="632"/>
      <c r="F1" s="941"/>
      <c r="G1" s="942"/>
      <c r="H1" s="941"/>
      <c r="I1" s="941"/>
      <c r="J1" s="941"/>
      <c r="K1" s="632"/>
      <c r="L1" s="632"/>
      <c r="M1" s="632"/>
      <c r="N1" s="632"/>
      <c r="O1" s="632"/>
      <c r="P1" s="943"/>
    </row>
    <row r="2" spans="2:17" ht="18" x14ac:dyDescent="0.4">
      <c r="B2" s="638"/>
      <c r="C2" s="632"/>
      <c r="D2" s="989"/>
      <c r="E2" s="632"/>
      <c r="F2" s="941"/>
      <c r="G2" s="942"/>
      <c r="H2" s="941"/>
      <c r="I2" s="941"/>
      <c r="J2" s="941"/>
      <c r="K2" s="632"/>
      <c r="L2" s="632"/>
      <c r="M2" s="632"/>
      <c r="N2" s="632"/>
      <c r="O2" s="632"/>
      <c r="P2" s="943"/>
    </row>
    <row r="3" spans="2:17" ht="18" x14ac:dyDescent="0.4">
      <c r="B3" s="633" t="str">
        <f>'Read Me'!B3</f>
        <v>Benefits Calculator Tool</v>
      </c>
      <c r="C3" s="632"/>
      <c r="D3" s="989"/>
      <c r="E3" s="632"/>
      <c r="F3" s="941"/>
      <c r="G3" s="942"/>
      <c r="H3" s="941"/>
      <c r="I3" s="941"/>
      <c r="J3" s="941"/>
      <c r="K3" s="632"/>
      <c r="L3" s="632"/>
      <c r="M3" s="632"/>
      <c r="N3" s="632"/>
      <c r="O3" s="632"/>
      <c r="P3" s="943"/>
    </row>
    <row r="4" spans="2:17" ht="18" x14ac:dyDescent="0.4">
      <c r="B4" s="637" t="str">
        <f>'Read Me'!B4</f>
        <v>Safe and Affordable Drinking Water</v>
      </c>
      <c r="C4" s="632"/>
      <c r="D4" s="989"/>
      <c r="E4" s="632"/>
      <c r="F4" s="941"/>
      <c r="G4" s="942"/>
      <c r="H4" s="941"/>
      <c r="I4" s="941"/>
      <c r="J4" s="941"/>
      <c r="K4" s="632"/>
      <c r="L4" s="632"/>
      <c r="M4" s="632"/>
      <c r="N4" s="632"/>
      <c r="O4" s="632"/>
      <c r="P4" s="943"/>
    </row>
    <row r="5" spans="2:17" ht="18" x14ac:dyDescent="0.4">
      <c r="B5" s="637" t="str">
        <f>'Read Me'!B5</f>
        <v>(SADW) Fund</v>
      </c>
      <c r="C5" s="632"/>
      <c r="D5" s="989"/>
      <c r="E5" s="632"/>
      <c r="F5" s="941"/>
      <c r="G5" s="942"/>
      <c r="H5" s="941"/>
      <c r="I5" s="941"/>
      <c r="J5" s="941"/>
      <c r="K5" s="632"/>
      <c r="L5" s="632"/>
      <c r="M5" s="632"/>
      <c r="N5" s="632"/>
      <c r="O5" s="632"/>
      <c r="P5" s="943"/>
    </row>
    <row r="6" spans="2:17" ht="18" x14ac:dyDescent="0.4">
      <c r="B6" s="638"/>
      <c r="C6" s="632"/>
      <c r="D6" s="989"/>
      <c r="E6" s="632"/>
      <c r="F6" s="941"/>
      <c r="G6" s="942"/>
      <c r="H6" s="941"/>
      <c r="I6" s="941"/>
      <c r="J6" s="941"/>
      <c r="K6" s="632"/>
      <c r="L6" s="632"/>
      <c r="M6" s="632"/>
      <c r="N6" s="632"/>
      <c r="O6" s="632"/>
      <c r="P6" s="943"/>
    </row>
    <row r="7" spans="2:17" ht="18" x14ac:dyDescent="0.4">
      <c r="B7" s="637"/>
      <c r="C7" s="632"/>
      <c r="D7" s="989"/>
      <c r="E7" s="632"/>
      <c r="F7" s="941"/>
      <c r="G7" s="942"/>
      <c r="H7" s="941"/>
      <c r="I7" s="941"/>
      <c r="J7" s="941"/>
      <c r="K7" s="632"/>
      <c r="L7" s="632"/>
      <c r="M7" s="632"/>
      <c r="N7" s="632"/>
      <c r="O7" s="632"/>
      <c r="P7" s="943"/>
    </row>
    <row r="8" spans="2:17" ht="18" x14ac:dyDescent="0.4">
      <c r="B8" s="633" t="str">
        <f>'Read Me'!B8</f>
        <v xml:space="preserve">California Climate Investments </v>
      </c>
      <c r="C8" s="632"/>
      <c r="D8" s="989"/>
      <c r="E8" s="632"/>
      <c r="F8" s="941"/>
      <c r="G8" s="942"/>
      <c r="H8" s="941"/>
      <c r="I8" s="941"/>
      <c r="J8" s="941"/>
      <c r="K8" s="632"/>
      <c r="L8" s="632"/>
      <c r="M8" s="632"/>
      <c r="N8" s="632"/>
      <c r="O8" s="632"/>
      <c r="P8" s="943"/>
    </row>
    <row r="9" spans="2:17" x14ac:dyDescent="0.35">
      <c r="B9" s="941"/>
      <c r="C9" s="632"/>
      <c r="D9" s="989"/>
      <c r="E9" s="632"/>
      <c r="F9" s="941"/>
      <c r="G9" s="942"/>
      <c r="H9" s="943"/>
      <c r="I9" s="943"/>
      <c r="J9" s="943"/>
      <c r="P9" s="943"/>
    </row>
    <row r="10" spans="2:17" x14ac:dyDescent="0.35">
      <c r="C10" s="943"/>
      <c r="D10" s="990"/>
      <c r="F10" s="943"/>
      <c r="G10" s="942"/>
      <c r="H10" s="943"/>
      <c r="I10" s="943"/>
      <c r="J10" s="944"/>
      <c r="K10" s="945"/>
      <c r="L10" s="945"/>
      <c r="M10" s="945"/>
      <c r="N10" s="945"/>
      <c r="O10" s="945"/>
      <c r="P10" s="944"/>
      <c r="Q10" s="945"/>
    </row>
    <row r="11" spans="2:17" x14ac:dyDescent="0.35">
      <c r="B11" s="621" t="s">
        <v>8</v>
      </c>
      <c r="C11" s="946"/>
      <c r="D11" s="991"/>
      <c r="F11" s="943"/>
      <c r="G11" s="942"/>
      <c r="H11" s="943"/>
      <c r="I11" s="943"/>
      <c r="J11" s="944"/>
      <c r="K11" s="945"/>
      <c r="L11" s="945"/>
      <c r="M11" s="945"/>
      <c r="N11" s="945"/>
      <c r="O11" s="945"/>
      <c r="P11" s="944"/>
      <c r="Q11" s="945"/>
    </row>
    <row r="12" spans="2:17" ht="15" customHeight="1" x14ac:dyDescent="0.35">
      <c r="B12" s="693" t="s">
        <v>3616</v>
      </c>
      <c r="C12" s="992"/>
      <c r="D12" s="993"/>
      <c r="E12" s="994"/>
      <c r="F12" s="994"/>
      <c r="G12" s="994"/>
      <c r="H12" s="994"/>
      <c r="I12" s="994"/>
      <c r="J12" s="995"/>
      <c r="K12" s="995"/>
      <c r="L12" s="995"/>
      <c r="M12" s="995"/>
      <c r="N12" s="995"/>
      <c r="O12" s="996"/>
    </row>
    <row r="13" spans="2:17" ht="15" customHeight="1" x14ac:dyDescent="0.35">
      <c r="B13" s="631" t="s">
        <v>3650</v>
      </c>
      <c r="C13" s="997"/>
      <c r="D13" s="998"/>
      <c r="E13" s="999"/>
      <c r="F13" s="999"/>
      <c r="G13" s="999"/>
      <c r="H13" s="999"/>
      <c r="I13" s="999"/>
      <c r="J13" s="1000"/>
      <c r="K13" s="1000"/>
      <c r="L13" s="1000"/>
      <c r="M13" s="1000"/>
      <c r="N13" s="1000"/>
      <c r="O13" s="1001"/>
    </row>
    <row r="14" spans="2:17" ht="15" customHeight="1" x14ac:dyDescent="0.35">
      <c r="B14" s="959"/>
      <c r="C14" s="960"/>
      <c r="D14" s="1002"/>
      <c r="E14" s="961"/>
      <c r="F14" s="962"/>
      <c r="G14" s="963"/>
      <c r="H14" s="962"/>
      <c r="I14" s="962"/>
      <c r="J14" s="964"/>
      <c r="K14" s="953"/>
      <c r="L14" s="953"/>
      <c r="M14" s="953"/>
      <c r="N14" s="953"/>
      <c r="O14" s="953"/>
    </row>
    <row r="15" spans="2:17" ht="15" customHeight="1" x14ac:dyDescent="0.35">
      <c r="B15" s="647" t="s">
        <v>35</v>
      </c>
      <c r="C15" s="960"/>
      <c r="D15" s="1002"/>
      <c r="E15" s="961"/>
      <c r="F15" s="962"/>
      <c r="G15" s="963"/>
      <c r="H15" s="962"/>
      <c r="I15" s="962"/>
      <c r="J15" s="964"/>
      <c r="K15" s="953"/>
      <c r="L15" s="953"/>
      <c r="M15" s="953"/>
      <c r="N15" s="953"/>
      <c r="O15" s="953"/>
      <c r="P15" s="964"/>
      <c r="Q15" s="953"/>
    </row>
    <row r="16" spans="2:17" ht="15" customHeight="1" thickBot="1" x14ac:dyDescent="0.4"/>
    <row r="17" spans="2:15" s="619" customFormat="1" ht="50.25" customHeight="1" thickBot="1" x14ac:dyDescent="0.4">
      <c r="B17" s="1004" t="s">
        <v>210</v>
      </c>
      <c r="C17" s="1005"/>
      <c r="D17" s="1004" t="s">
        <v>213</v>
      </c>
      <c r="E17" s="1005"/>
      <c r="F17" s="1004" t="s">
        <v>223</v>
      </c>
      <c r="G17" s="1005"/>
      <c r="H17" s="1004" t="s">
        <v>215</v>
      </c>
      <c r="I17" s="1005"/>
      <c r="J17" s="1004" t="s">
        <v>224</v>
      </c>
      <c r="K17" s="1005"/>
      <c r="L17" s="1004" t="s">
        <v>273</v>
      </c>
      <c r="M17" s="1005"/>
      <c r="N17" s="1004" t="s">
        <v>211</v>
      </c>
      <c r="O17" s="1006"/>
    </row>
    <row r="18" spans="2:15" s="1010" customFormat="1" ht="59.5" hidden="1" customHeight="1" thickTop="1" thickBot="1" x14ac:dyDescent="0.4">
      <c r="B18" s="1004" t="s">
        <v>210</v>
      </c>
      <c r="C18" s="1007" t="s">
        <v>30</v>
      </c>
      <c r="D18" s="1004" t="s">
        <v>213</v>
      </c>
      <c r="E18" s="1007" t="s">
        <v>31</v>
      </c>
      <c r="F18" s="1004" t="s">
        <v>216</v>
      </c>
      <c r="G18" s="1005" t="s">
        <v>32</v>
      </c>
      <c r="H18" s="1008" t="s">
        <v>215</v>
      </c>
      <c r="I18" s="1007" t="s">
        <v>69</v>
      </c>
      <c r="J18" s="1004" t="s">
        <v>224</v>
      </c>
      <c r="K18" s="1007" t="s">
        <v>144</v>
      </c>
      <c r="L18" s="1004" t="s">
        <v>271</v>
      </c>
      <c r="M18" s="1007" t="s">
        <v>145</v>
      </c>
      <c r="N18" s="1008" t="s">
        <v>211</v>
      </c>
      <c r="O18" s="1009" t="s">
        <v>272</v>
      </c>
    </row>
    <row r="19" spans="2:15" ht="16" thickTop="1" x14ac:dyDescent="0.35">
      <c r="B19" s="1011"/>
      <c r="C19" s="795" t="str">
        <f t="shared" ref="C19:C30" si="0">IF(ISBLANK(B19),"(Required)","")</f>
        <v>(Required)</v>
      </c>
      <c r="D19" s="1012"/>
      <c r="E19" s="795" t="str">
        <f t="shared" ref="E19:E30" si="1">IF(ISBLANK(D19),"(Required)","")</f>
        <v>(Required)</v>
      </c>
      <c r="F19" s="1013"/>
      <c r="G19" s="795" t="str">
        <f t="shared" ref="G19:G30" si="2">IF(ISBLANK(F19),"(Required)","")</f>
        <v>(Required)</v>
      </c>
      <c r="H19" s="1013"/>
      <c r="I19" s="795" t="str">
        <f t="shared" ref="I19:I30" si="3">IF(ISBLANK(H19),"(Required)","")</f>
        <v>(Required)</v>
      </c>
      <c r="J19" s="1013"/>
      <c r="K19" s="795" t="str">
        <f t="shared" ref="K19:K30" si="4">IF(ISBLANK(J19),"(Required)","")</f>
        <v>(Required)</v>
      </c>
      <c r="L19" s="1014"/>
      <c r="M19" s="795" t="str">
        <f t="shared" ref="M19:M30" si="5">IF(ISBLANK(J19),"(Required)","")</f>
        <v>(Required)</v>
      </c>
      <c r="N19" s="1012"/>
      <c r="O19" s="673" t="str">
        <f t="shared" ref="O19:O27" si="6">IF(ISBLANK(N19),"(Required)","")</f>
        <v>(Required)</v>
      </c>
    </row>
    <row r="20" spans="2:15" x14ac:dyDescent="0.35">
      <c r="B20" s="1015"/>
      <c r="C20" s="795" t="str">
        <f t="shared" si="0"/>
        <v>(Required)</v>
      </c>
      <c r="D20" s="1016"/>
      <c r="E20" s="795" t="str">
        <f t="shared" si="1"/>
        <v>(Required)</v>
      </c>
      <c r="F20" s="1017"/>
      <c r="G20" s="795" t="str">
        <f t="shared" si="2"/>
        <v>(Required)</v>
      </c>
      <c r="H20" s="1017"/>
      <c r="I20" s="795" t="str">
        <f t="shared" si="3"/>
        <v>(Required)</v>
      </c>
      <c r="J20" s="1017"/>
      <c r="K20" s="795" t="str">
        <f t="shared" si="4"/>
        <v>(Required)</v>
      </c>
      <c r="L20" s="929"/>
      <c r="M20" s="795" t="str">
        <f t="shared" si="5"/>
        <v>(Required)</v>
      </c>
      <c r="N20" s="1016"/>
      <c r="O20" s="673" t="str">
        <f t="shared" si="6"/>
        <v>(Required)</v>
      </c>
    </row>
    <row r="21" spans="2:15" x14ac:dyDescent="0.35">
      <c r="B21" s="1015"/>
      <c r="C21" s="795" t="str">
        <f t="shared" si="0"/>
        <v>(Required)</v>
      </c>
      <c r="D21" s="1016"/>
      <c r="E21" s="795" t="str">
        <f t="shared" si="1"/>
        <v>(Required)</v>
      </c>
      <c r="F21" s="1017"/>
      <c r="G21" s="795" t="str">
        <f t="shared" si="2"/>
        <v>(Required)</v>
      </c>
      <c r="H21" s="1017"/>
      <c r="I21" s="795" t="str">
        <f t="shared" si="3"/>
        <v>(Required)</v>
      </c>
      <c r="J21" s="1017"/>
      <c r="K21" s="795" t="str">
        <f t="shared" si="4"/>
        <v>(Required)</v>
      </c>
      <c r="L21" s="929"/>
      <c r="M21" s="795" t="str">
        <f t="shared" si="5"/>
        <v>(Required)</v>
      </c>
      <c r="N21" s="1016"/>
      <c r="O21" s="673" t="str">
        <f t="shared" si="6"/>
        <v>(Required)</v>
      </c>
    </row>
    <row r="22" spans="2:15" x14ac:dyDescent="0.35">
      <c r="B22" s="1015"/>
      <c r="C22" s="795" t="str">
        <f t="shared" si="0"/>
        <v>(Required)</v>
      </c>
      <c r="D22" s="1016"/>
      <c r="E22" s="795" t="str">
        <f t="shared" si="1"/>
        <v>(Required)</v>
      </c>
      <c r="F22" s="1017"/>
      <c r="G22" s="795" t="str">
        <f t="shared" si="2"/>
        <v>(Required)</v>
      </c>
      <c r="H22" s="1017"/>
      <c r="I22" s="795" t="str">
        <f t="shared" si="3"/>
        <v>(Required)</v>
      </c>
      <c r="J22" s="1017"/>
      <c r="K22" s="795" t="str">
        <f t="shared" si="4"/>
        <v>(Required)</v>
      </c>
      <c r="L22" s="929"/>
      <c r="M22" s="795" t="str">
        <f t="shared" si="5"/>
        <v>(Required)</v>
      </c>
      <c r="N22" s="1016"/>
      <c r="O22" s="673" t="str">
        <f t="shared" si="6"/>
        <v>(Required)</v>
      </c>
    </row>
    <row r="23" spans="2:15" x14ac:dyDescent="0.35">
      <c r="B23" s="1015"/>
      <c r="C23" s="795" t="str">
        <f t="shared" si="0"/>
        <v>(Required)</v>
      </c>
      <c r="D23" s="1016"/>
      <c r="E23" s="795" t="str">
        <f t="shared" si="1"/>
        <v>(Required)</v>
      </c>
      <c r="F23" s="1017"/>
      <c r="G23" s="795" t="str">
        <f t="shared" si="2"/>
        <v>(Required)</v>
      </c>
      <c r="H23" s="1017"/>
      <c r="I23" s="795" t="str">
        <f t="shared" si="3"/>
        <v>(Required)</v>
      </c>
      <c r="J23" s="1017"/>
      <c r="K23" s="795" t="str">
        <f t="shared" si="4"/>
        <v>(Required)</v>
      </c>
      <c r="L23" s="929"/>
      <c r="M23" s="795" t="str">
        <f t="shared" si="5"/>
        <v>(Required)</v>
      </c>
      <c r="N23" s="1016"/>
      <c r="O23" s="673" t="str">
        <f t="shared" si="6"/>
        <v>(Required)</v>
      </c>
    </row>
    <row r="24" spans="2:15" x14ac:dyDescent="0.35">
      <c r="B24" s="1015"/>
      <c r="C24" s="795" t="str">
        <f t="shared" si="0"/>
        <v>(Required)</v>
      </c>
      <c r="D24" s="1016"/>
      <c r="E24" s="795" t="str">
        <f t="shared" si="1"/>
        <v>(Required)</v>
      </c>
      <c r="F24" s="1017"/>
      <c r="G24" s="795" t="str">
        <f t="shared" si="2"/>
        <v>(Required)</v>
      </c>
      <c r="H24" s="1017"/>
      <c r="I24" s="795" t="str">
        <f t="shared" si="3"/>
        <v>(Required)</v>
      </c>
      <c r="J24" s="1017"/>
      <c r="K24" s="795" t="str">
        <f t="shared" si="4"/>
        <v>(Required)</v>
      </c>
      <c r="L24" s="929"/>
      <c r="M24" s="795" t="str">
        <f t="shared" si="5"/>
        <v>(Required)</v>
      </c>
      <c r="N24" s="1016"/>
      <c r="O24" s="673" t="str">
        <f t="shared" si="6"/>
        <v>(Required)</v>
      </c>
    </row>
    <row r="25" spans="2:15" x14ac:dyDescent="0.35">
      <c r="B25" s="1015"/>
      <c r="C25" s="795" t="str">
        <f t="shared" si="0"/>
        <v>(Required)</v>
      </c>
      <c r="D25" s="1016"/>
      <c r="E25" s="795" t="str">
        <f t="shared" si="1"/>
        <v>(Required)</v>
      </c>
      <c r="F25" s="1017"/>
      <c r="G25" s="795" t="str">
        <f t="shared" si="2"/>
        <v>(Required)</v>
      </c>
      <c r="H25" s="1017"/>
      <c r="I25" s="795" t="str">
        <f t="shared" si="3"/>
        <v>(Required)</v>
      </c>
      <c r="J25" s="1017"/>
      <c r="K25" s="795" t="str">
        <f t="shared" si="4"/>
        <v>(Required)</v>
      </c>
      <c r="L25" s="929"/>
      <c r="M25" s="795" t="str">
        <f t="shared" si="5"/>
        <v>(Required)</v>
      </c>
      <c r="N25" s="1016"/>
      <c r="O25" s="673" t="str">
        <f t="shared" si="6"/>
        <v>(Required)</v>
      </c>
    </row>
    <row r="26" spans="2:15" x14ac:dyDescent="0.35">
      <c r="B26" s="1015"/>
      <c r="C26" s="795" t="str">
        <f t="shared" si="0"/>
        <v>(Required)</v>
      </c>
      <c r="D26" s="1016"/>
      <c r="E26" s="795" t="str">
        <f t="shared" si="1"/>
        <v>(Required)</v>
      </c>
      <c r="F26" s="1017"/>
      <c r="G26" s="795" t="str">
        <f t="shared" si="2"/>
        <v>(Required)</v>
      </c>
      <c r="H26" s="1017"/>
      <c r="I26" s="795" t="str">
        <f t="shared" si="3"/>
        <v>(Required)</v>
      </c>
      <c r="J26" s="1017"/>
      <c r="K26" s="795" t="str">
        <f t="shared" si="4"/>
        <v>(Required)</v>
      </c>
      <c r="L26" s="929"/>
      <c r="M26" s="795" t="str">
        <f t="shared" si="5"/>
        <v>(Required)</v>
      </c>
      <c r="N26" s="1016"/>
      <c r="O26" s="673" t="str">
        <f t="shared" si="6"/>
        <v>(Required)</v>
      </c>
    </row>
    <row r="27" spans="2:15" x14ac:dyDescent="0.35">
      <c r="B27" s="1015"/>
      <c r="C27" s="795" t="str">
        <f t="shared" si="0"/>
        <v>(Required)</v>
      </c>
      <c r="D27" s="1016"/>
      <c r="E27" s="795" t="str">
        <f t="shared" si="1"/>
        <v>(Required)</v>
      </c>
      <c r="F27" s="1017"/>
      <c r="G27" s="795" t="str">
        <f t="shared" si="2"/>
        <v>(Required)</v>
      </c>
      <c r="H27" s="1017"/>
      <c r="I27" s="795" t="str">
        <f t="shared" si="3"/>
        <v>(Required)</v>
      </c>
      <c r="J27" s="1017"/>
      <c r="K27" s="795" t="str">
        <f t="shared" si="4"/>
        <v>(Required)</v>
      </c>
      <c r="L27" s="929"/>
      <c r="M27" s="795" t="str">
        <f t="shared" si="5"/>
        <v>(Required)</v>
      </c>
      <c r="N27" s="1016"/>
      <c r="O27" s="673" t="str">
        <f t="shared" si="6"/>
        <v>(Required)</v>
      </c>
    </row>
    <row r="28" spans="2:15" x14ac:dyDescent="0.35">
      <c r="B28" s="1015"/>
      <c r="C28" s="795" t="str">
        <f>IF(ISBLANK(B28),"(Required)","")</f>
        <v>(Required)</v>
      </c>
      <c r="D28" s="1016"/>
      <c r="E28" s="795" t="str">
        <f>IF(ISBLANK(D28),"(Required)","")</f>
        <v>(Required)</v>
      </c>
      <c r="F28" s="1017"/>
      <c r="G28" s="795" t="str">
        <f>IF(ISBLANK(F28),"(Required)","")</f>
        <v>(Required)</v>
      </c>
      <c r="H28" s="1017"/>
      <c r="I28" s="795" t="str">
        <f>IF(ISBLANK(H28),"(Required)","")</f>
        <v>(Required)</v>
      </c>
      <c r="J28" s="1017"/>
      <c r="K28" s="795" t="str">
        <f>IF(ISBLANK(J28),"(Required)","")</f>
        <v>(Required)</v>
      </c>
      <c r="L28" s="929"/>
      <c r="M28" s="795" t="str">
        <f t="shared" si="5"/>
        <v>(Required)</v>
      </c>
      <c r="N28" s="1016"/>
      <c r="O28" s="673" t="str">
        <f>IF(ISBLANK(N28),"(Required)","")</f>
        <v>(Required)</v>
      </c>
    </row>
    <row r="29" spans="2:15" x14ac:dyDescent="0.35">
      <c r="B29" s="1015"/>
      <c r="C29" s="795" t="str">
        <f>IF(ISBLANK(B29),"(Required)","")</f>
        <v>(Required)</v>
      </c>
      <c r="D29" s="1016"/>
      <c r="E29" s="795" t="str">
        <f>IF(ISBLANK(D29),"(Required)","")</f>
        <v>(Required)</v>
      </c>
      <c r="F29" s="1017"/>
      <c r="G29" s="795" t="str">
        <f>IF(ISBLANK(F29),"(Required)","")</f>
        <v>(Required)</v>
      </c>
      <c r="H29" s="1017"/>
      <c r="I29" s="795" t="str">
        <f>IF(ISBLANK(H29),"(Required)","")</f>
        <v>(Required)</v>
      </c>
      <c r="J29" s="1017"/>
      <c r="K29" s="795" t="str">
        <f>IF(ISBLANK(J29),"(Required)","")</f>
        <v>(Required)</v>
      </c>
      <c r="L29" s="929"/>
      <c r="M29" s="795" t="str">
        <f t="shared" si="5"/>
        <v>(Required)</v>
      </c>
      <c r="N29" s="1016"/>
      <c r="O29" s="673" t="str">
        <f>IF(ISBLANK(N29),"(Required)","")</f>
        <v>(Required)</v>
      </c>
    </row>
    <row r="30" spans="2:15" ht="16" thickBot="1" x14ac:dyDescent="0.4">
      <c r="B30" s="1018"/>
      <c r="C30" s="1019" t="str">
        <f t="shared" si="0"/>
        <v>(Required)</v>
      </c>
      <c r="D30" s="1020"/>
      <c r="E30" s="1019" t="str">
        <f t="shared" si="1"/>
        <v>(Required)</v>
      </c>
      <c r="F30" s="1021"/>
      <c r="G30" s="1019" t="str">
        <f t="shared" si="2"/>
        <v>(Required)</v>
      </c>
      <c r="H30" s="1021"/>
      <c r="I30" s="1019" t="str">
        <f t="shared" si="3"/>
        <v>(Required)</v>
      </c>
      <c r="J30" s="1021"/>
      <c r="K30" s="1019" t="str">
        <f t="shared" si="4"/>
        <v>(Required)</v>
      </c>
      <c r="L30" s="1022"/>
      <c r="M30" s="1019" t="str">
        <f t="shared" si="5"/>
        <v>(Required)</v>
      </c>
      <c r="N30" s="1020"/>
      <c r="O30" s="1023" t="str">
        <f>IF(ISBLANK(N30),"(Required)","")</f>
        <v>(Required)</v>
      </c>
    </row>
    <row r="31" spans="2:15" ht="16" thickBot="1" x14ac:dyDescent="0.4">
      <c r="C31" s="634"/>
      <c r="E31" s="634"/>
      <c r="G31" s="634"/>
      <c r="I31" s="634"/>
      <c r="K31" s="634"/>
      <c r="L31" s="634"/>
      <c r="M31" s="634"/>
    </row>
    <row r="32" spans="2:15" x14ac:dyDescent="0.35">
      <c r="B32" s="982" t="s">
        <v>21</v>
      </c>
      <c r="C32" s="665"/>
      <c r="D32" s="1024"/>
      <c r="G32" s="635"/>
    </row>
    <row r="33" spans="2:7" x14ac:dyDescent="0.35">
      <c r="B33" s="670" t="s">
        <v>16</v>
      </c>
      <c r="C33" s="635" t="s">
        <v>19</v>
      </c>
      <c r="D33" s="1025"/>
      <c r="F33" s="943"/>
      <c r="G33" s="635"/>
    </row>
    <row r="34" spans="2:7" x14ac:dyDescent="0.35">
      <c r="B34" s="674" t="s">
        <v>17</v>
      </c>
      <c r="C34" s="635" t="s">
        <v>20</v>
      </c>
      <c r="D34" s="1025"/>
      <c r="F34" s="943"/>
      <c r="G34" s="635"/>
    </row>
    <row r="35" spans="2:7" ht="16" thickBot="1" x14ac:dyDescent="0.4">
      <c r="B35" s="675" t="s">
        <v>18</v>
      </c>
      <c r="C35" s="676" t="s">
        <v>206</v>
      </c>
      <c r="D35" s="1026"/>
      <c r="F35" s="943"/>
      <c r="G35" s="635"/>
    </row>
    <row r="36" spans="2:7" ht="15" customHeight="1" x14ac:dyDescent="0.35"/>
    <row r="37" spans="2:7" ht="15" customHeight="1" x14ac:dyDescent="0.35">
      <c r="B37" s="1027" t="s">
        <v>274</v>
      </c>
    </row>
    <row r="38" spans="2:7" ht="15" customHeight="1" x14ac:dyDescent="0.35"/>
    <row r="39" spans="2:7" ht="15" customHeight="1" x14ac:dyDescent="0.35"/>
    <row r="40" spans="2:7" ht="15" customHeight="1" x14ac:dyDescent="0.35"/>
    <row r="41" spans="2:7" ht="15" customHeight="1" x14ac:dyDescent="0.35"/>
    <row r="42" spans="2:7" ht="15" customHeight="1" x14ac:dyDescent="0.35"/>
    <row r="43" spans="2:7" ht="15" customHeight="1" x14ac:dyDescent="0.35"/>
    <row r="44" spans="2:7" ht="15" customHeight="1" x14ac:dyDescent="0.35"/>
    <row r="45" spans="2:7" ht="15" customHeight="1" x14ac:dyDescent="0.35"/>
    <row r="46" spans="2:7" ht="15" customHeight="1" x14ac:dyDescent="0.35"/>
    <row r="47" spans="2:7" ht="15" customHeight="1" x14ac:dyDescent="0.35"/>
    <row r="48" spans="2:7"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sheetData>
  <sheetProtection algorithmName="SHA-512" hashValue="6qzNQYxaMkLugnwDGLlcbL78mFIL125ZAeeogTBUodIrUA7RW5gUV/94PBhq4/E0qNPkj2O5y/iZx33mLToFrQ==" saltValue="xThOvHd2QEi4yzbgLlGRmQ==" spinCount="100000" sheet="1" objects="1" scenarios="1"/>
  <conditionalFormatting sqref="N19">
    <cfRule type="expression" dxfId="4" priority="2">
      <formula>#REF!="Bottled Water Delivery"</formula>
    </cfRule>
  </conditionalFormatting>
  <conditionalFormatting sqref="N20:N30">
    <cfRule type="expression" dxfId="3" priority="1">
      <formula>#REF!="Bottled Water Delivery"</formula>
    </cfRule>
  </conditionalFormatting>
  <dataValidations count="13">
    <dataValidation allowBlank="1" showInputMessage="1" showErrorMessage="1" prompt="Describe energy efficiency measures installed." sqref="B17:B30" xr:uid="{47ABBAAB-42D5-46B3-90A4-A4EB789B83E4}"/>
    <dataValidation type="whole" allowBlank="1" showInputMessage="1" showErrorMessage="1" prompt="Energy demand of the baseline equipment (Watts)." sqref="D18:D30" xr:uid="{B92BCD92-53B1-424C-8F19-C360FFAAEEBB}">
      <formula1>0</formula1>
      <formula2>1000000</formula2>
    </dataValidation>
    <dataValidation allowBlank="1" showInputMessage="1" showErrorMessage="1" prompt="Energy demand of the baseline equipment (Watts)." sqref="D17" xr:uid="{32C8396C-8595-479D-A1A3-08E4487FFA8B}"/>
    <dataValidation type="whole" allowBlank="1" showInputMessage="1" showErrorMessage="1" prompt="Annual operation hours of the baseline equipment (hours/year)." sqref="F18:F30" xr:uid="{8200F113-0F31-4403-B46A-C769740417E1}">
      <formula1>0</formula1>
      <formula2>1000000</formula2>
    </dataValidation>
    <dataValidation allowBlank="1" showInputMessage="1" showErrorMessage="1" prompt="Annual operation hours of the baseline equipment (hours/year)." sqref="F17" xr:uid="{8AAE6844-6B4C-402E-835E-146C54298054}"/>
    <dataValidation type="whole" allowBlank="1" showInputMessage="1" showErrorMessage="1" prompt="Energy demand of the retrofit replacement equipment (Watts)." sqref="H18:H30" xr:uid="{DE999734-C867-44C6-B43C-6919E2E69A95}">
      <formula1>0</formula1>
      <formula2>1000000</formula2>
    </dataValidation>
    <dataValidation allowBlank="1" showInputMessage="1" showErrorMessage="1" prompt="Energy demand of the retrofit replacement equipment (Watts)." sqref="H17" xr:uid="{66B688E7-52FF-4639-8DD5-A44C53A3ED2C}"/>
    <dataValidation type="whole" allowBlank="1" showInputMessage="1" showErrorMessage="1" prompt="Annual operation hours of the retrofit replacement equipment (hours/year)." sqref="J18:J30" xr:uid="{3F5B4AA6-CBAA-46AB-85D4-8F667A998943}">
      <formula1>0</formula1>
      <formula2>1000000</formula2>
    </dataValidation>
    <dataValidation allowBlank="1" showInputMessage="1" showErrorMessage="1" prompt="Annual operation hours of the retrofit replacement equipment (hours/year)." sqref="J17" xr:uid="{BB846949-D1B8-40AE-ABD2-8940BA29AEA7}"/>
    <dataValidation type="whole" allowBlank="1" showInputMessage="1" showErrorMessage="1" prompt="Useful life of the replacement equipment (must not exceed the project life of the retrofit quantification methodology approved by CARB, such as the Low-Income Weatherization Program Quantification Methodology)." sqref="L18:L30" xr:uid="{4859D345-2B0B-43F2-BEAE-135A971BEAD6}">
      <formula1>1</formula1>
      <formula2>20</formula2>
    </dataValidation>
    <dataValidation allowBlank="1" showInputMessage="1" showErrorMessage="1" prompt="Useful life of the replacement equipment (must not exceed the project life of the retrofit quantification methodology approved by CARB, such as the Low-Income Weatherization Program Quantification Methodology)." sqref="L17" xr:uid="{78270B73-2FFC-4898-8AAB-A00E56ECA98E}"/>
    <dataValidation type="whole" allowBlank="1" showInputMessage="1" showErrorMessage="1" prompt="Quantity of efficiency measures installed." sqref="N18:N30" xr:uid="{BD664780-E5D6-4DA2-A696-7CB0735EAA0A}">
      <formula1>0</formula1>
      <formula2>1000000</formula2>
    </dataValidation>
    <dataValidation allowBlank="1" showInputMessage="1" showErrorMessage="1" prompt="Quantity of efficiency measures installed." sqref="N17" xr:uid="{F0D3A66D-DB03-4D5C-8B32-6C76EB97B931}"/>
  </dataValidations>
  <hyperlinks>
    <hyperlink ref="B13" r:id="rId1" xr:uid="{C85DBE0B-D433-4685-B37B-74656775762D}"/>
  </hyperlinks>
  <pageMargins left="0.7" right="0.7" top="0.75" bottom="0.75" header="0.3" footer="0.3"/>
  <pageSetup scale="34" orientation="portrait" r:id="rId2"/>
  <headerFooter>
    <oddFooter>&amp;L&amp;"Avenir LT Std 55 Roman,Regular"&amp;12FINAL June 1, 2022&amp;C&amp;"Avenir LT Std 55 Roman,Regular"&amp;12Page &amp;P of &amp;N&amp;R&amp;"Avenir LT Std 55 Roman,Regular"&amp;12&amp;A</oddFooter>
  </headerFooter>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59999389629810485"/>
    <pageSetUpPr fitToPage="1"/>
  </sheetPr>
  <dimension ref="A1:O57"/>
  <sheetViews>
    <sheetView showGridLines="0" showWhiteSpace="0" zoomScale="110" zoomScaleNormal="110" zoomScaleSheetLayoutView="100" workbookViewId="0">
      <selection activeCell="R19" sqref="R19"/>
    </sheetView>
  </sheetViews>
  <sheetFormatPr defaultColWidth="9.1796875" defaultRowHeight="15.5" x14ac:dyDescent="0.35"/>
  <cols>
    <col min="1" max="1" width="2.81640625" style="635" customWidth="1"/>
    <col min="2" max="2" width="25" style="635" customWidth="1"/>
    <col min="3" max="3" width="11.26953125" style="1061" customWidth="1"/>
    <col min="4" max="4" width="27.81640625" style="635" customWidth="1"/>
    <col min="5" max="5" width="11.26953125" style="1061" customWidth="1"/>
    <col min="6" max="6" width="18.26953125" style="943" customWidth="1"/>
    <col min="7" max="7" width="11.26953125" style="1061" customWidth="1"/>
    <col min="8" max="8" width="14.81640625" style="943" customWidth="1"/>
    <col min="9" max="9" width="11.26953125" style="1061" customWidth="1"/>
    <col min="10" max="10" width="13.81640625" style="1003" customWidth="1"/>
    <col min="11" max="11" width="15.26953125" style="634" customWidth="1"/>
    <col min="12" max="12" width="10.1796875" style="635" customWidth="1"/>
    <col min="13" max="13" width="12.54296875" style="1061" customWidth="1"/>
    <col min="14" max="14" width="16.453125" style="635" customWidth="1"/>
    <col min="15" max="15" width="13.26953125" style="635" customWidth="1"/>
    <col min="16" max="16384" width="9.1796875" style="635"/>
  </cols>
  <sheetData>
    <row r="1" spans="1:14" ht="18" x14ac:dyDescent="0.4">
      <c r="C1" s="633" t="str">
        <f>'Read Me'!B1</f>
        <v>California Air Resources Board</v>
      </c>
      <c r="D1" s="632"/>
      <c r="E1" s="941"/>
      <c r="F1" s="941"/>
      <c r="G1" s="941"/>
      <c r="H1" s="941"/>
      <c r="I1" s="941"/>
      <c r="J1" s="989"/>
      <c r="K1" s="632"/>
      <c r="L1" s="632"/>
      <c r="M1" s="943"/>
    </row>
    <row r="2" spans="1:14" ht="18" x14ac:dyDescent="0.4">
      <c r="C2" s="633"/>
      <c r="D2" s="632"/>
      <c r="E2" s="941"/>
      <c r="F2" s="941"/>
      <c r="G2" s="1028"/>
      <c r="H2" s="941"/>
      <c r="I2" s="941"/>
      <c r="J2" s="989"/>
      <c r="K2" s="632"/>
      <c r="L2" s="632"/>
      <c r="M2" s="943"/>
    </row>
    <row r="3" spans="1:14" ht="18" x14ac:dyDescent="0.4">
      <c r="C3" s="633" t="str">
        <f>'Read Me'!B3</f>
        <v>Benefits Calculator Tool</v>
      </c>
      <c r="D3" s="632"/>
      <c r="E3" s="941"/>
      <c r="F3" s="941"/>
      <c r="G3" s="941"/>
      <c r="H3" s="941"/>
      <c r="I3" s="941"/>
      <c r="J3" s="989"/>
      <c r="K3" s="632"/>
      <c r="L3" s="632"/>
      <c r="M3" s="943"/>
    </row>
    <row r="4" spans="1:14" ht="18" x14ac:dyDescent="0.4">
      <c r="C4" s="637" t="str">
        <f>'Read Me'!B4</f>
        <v>Safe and Affordable Drinking Water</v>
      </c>
      <c r="D4" s="632"/>
      <c r="E4" s="941"/>
      <c r="F4" s="941"/>
      <c r="G4" s="941"/>
      <c r="H4" s="941"/>
      <c r="I4" s="941"/>
      <c r="J4" s="989"/>
      <c r="K4" s="632"/>
      <c r="L4" s="632"/>
      <c r="M4" s="943"/>
    </row>
    <row r="5" spans="1:14" ht="18" x14ac:dyDescent="0.4">
      <c r="C5" s="637" t="str">
        <f>'Read Me'!B5</f>
        <v>(SADW) Fund</v>
      </c>
      <c r="D5" s="632"/>
      <c r="E5" s="941"/>
      <c r="F5" s="941"/>
      <c r="G5" s="941"/>
      <c r="H5" s="941"/>
      <c r="I5" s="941"/>
      <c r="J5" s="989"/>
      <c r="K5" s="632"/>
      <c r="L5" s="632"/>
      <c r="M5" s="943"/>
    </row>
    <row r="6" spans="1:14" ht="18" x14ac:dyDescent="0.4">
      <c r="C6" s="638"/>
      <c r="D6" s="632"/>
      <c r="E6" s="941"/>
      <c r="F6" s="941"/>
      <c r="G6" s="941"/>
      <c r="H6" s="941"/>
      <c r="I6" s="941"/>
      <c r="J6" s="989"/>
      <c r="K6" s="632"/>
      <c r="L6" s="632"/>
      <c r="M6" s="943"/>
    </row>
    <row r="7" spans="1:14" ht="18" x14ac:dyDescent="0.4">
      <c r="C7" s="637"/>
      <c r="D7" s="632"/>
      <c r="E7" s="941"/>
      <c r="F7" s="941"/>
      <c r="G7" s="941"/>
      <c r="H7" s="941"/>
      <c r="I7" s="941"/>
      <c r="J7" s="989"/>
      <c r="K7" s="632"/>
      <c r="L7" s="632"/>
      <c r="M7" s="943"/>
    </row>
    <row r="8" spans="1:14" ht="18" x14ac:dyDescent="0.4">
      <c r="C8" s="633" t="str">
        <f>'Read Me'!B8</f>
        <v xml:space="preserve">California Climate Investments </v>
      </c>
      <c r="D8" s="632"/>
      <c r="E8" s="941"/>
      <c r="F8" s="941"/>
      <c r="G8" s="941"/>
      <c r="H8" s="941"/>
      <c r="I8" s="941"/>
      <c r="J8" s="989"/>
      <c r="K8" s="632"/>
      <c r="L8" s="632"/>
      <c r="M8" s="943"/>
    </row>
    <row r="9" spans="1:14" x14ac:dyDescent="0.35">
      <c r="C9" s="943"/>
      <c r="E9" s="943"/>
      <c r="G9" s="943"/>
      <c r="I9" s="943"/>
      <c r="K9" s="635"/>
      <c r="M9" s="943"/>
    </row>
    <row r="10" spans="1:14" x14ac:dyDescent="0.35">
      <c r="C10" s="943"/>
      <c r="E10" s="943"/>
      <c r="G10" s="943"/>
      <c r="I10" s="943"/>
      <c r="K10" s="635"/>
      <c r="M10" s="943"/>
    </row>
    <row r="11" spans="1:14" x14ac:dyDescent="0.35">
      <c r="B11" s="621" t="s">
        <v>8</v>
      </c>
      <c r="C11" s="946"/>
      <c r="E11" s="943"/>
      <c r="G11" s="943"/>
      <c r="I11" s="943"/>
      <c r="K11" s="635"/>
      <c r="M11" s="943"/>
    </row>
    <row r="12" spans="1:14" ht="15" customHeight="1" x14ac:dyDescent="0.35">
      <c r="B12" s="1029" t="s">
        <v>3616</v>
      </c>
      <c r="C12" s="992"/>
      <c r="D12" s="994"/>
      <c r="E12" s="994"/>
      <c r="F12" s="994"/>
      <c r="G12" s="994"/>
      <c r="H12" s="994"/>
      <c r="I12" s="994"/>
      <c r="J12" s="1030"/>
      <c r="K12" s="994"/>
      <c r="L12" s="994"/>
      <c r="M12" s="1031"/>
    </row>
    <row r="13" spans="1:14" ht="15" customHeight="1" x14ac:dyDescent="0.35">
      <c r="A13" s="1032"/>
      <c r="B13" s="631" t="s">
        <v>3650</v>
      </c>
      <c r="C13" s="1033"/>
      <c r="D13" s="1034"/>
      <c r="E13" s="1034"/>
      <c r="F13" s="1034"/>
      <c r="G13" s="1034"/>
      <c r="H13" s="1034"/>
      <c r="I13" s="1034"/>
      <c r="J13" s="1035"/>
      <c r="K13" s="1034"/>
      <c r="L13" s="1034"/>
      <c r="M13" s="1036"/>
    </row>
    <row r="14" spans="1:14" ht="15" customHeight="1" x14ac:dyDescent="0.35">
      <c r="B14" s="959"/>
      <c r="C14" s="960"/>
      <c r="D14" s="961"/>
      <c r="E14" s="962"/>
      <c r="F14" s="962"/>
      <c r="G14" s="962"/>
      <c r="H14" s="962"/>
      <c r="I14" s="962"/>
      <c r="J14" s="1037"/>
      <c r="K14" s="961"/>
      <c r="L14" s="961"/>
      <c r="M14" s="635"/>
    </row>
    <row r="15" spans="1:14" ht="15" customHeight="1" x14ac:dyDescent="0.35">
      <c r="B15" s="647" t="s">
        <v>35</v>
      </c>
      <c r="C15" s="960"/>
      <c r="D15" s="961"/>
      <c r="E15" s="962"/>
      <c r="F15" s="962"/>
      <c r="G15" s="962"/>
      <c r="H15" s="962"/>
      <c r="I15" s="962"/>
      <c r="J15" s="1037"/>
      <c r="K15" s="961"/>
      <c r="L15" s="961"/>
      <c r="M15" s="635"/>
    </row>
    <row r="16" spans="1:14" ht="15" customHeight="1" thickBot="1" x14ac:dyDescent="0.4">
      <c r="B16" s="647"/>
      <c r="C16" s="1038"/>
      <c r="D16" s="961"/>
      <c r="E16" s="1039"/>
      <c r="F16" s="962"/>
      <c r="G16" s="1039"/>
      <c r="H16" s="962"/>
      <c r="I16" s="1039"/>
      <c r="J16" s="1037"/>
      <c r="K16" s="1040"/>
      <c r="L16" s="961"/>
      <c r="M16" s="1039"/>
      <c r="N16" s="961"/>
    </row>
    <row r="17" spans="2:15" s="619" customFormat="1" ht="66.650000000000006" customHeight="1" thickBot="1" x14ac:dyDescent="0.4">
      <c r="B17" s="1004" t="s">
        <v>56</v>
      </c>
      <c r="C17" s="1005"/>
      <c r="D17" s="1004" t="s">
        <v>3583</v>
      </c>
      <c r="E17" s="1005"/>
      <c r="F17" s="1004" t="s">
        <v>3584</v>
      </c>
      <c r="G17" s="1005"/>
      <c r="H17" s="1004" t="s">
        <v>3585</v>
      </c>
      <c r="I17" s="1005"/>
      <c r="J17" s="1041" t="s">
        <v>3582</v>
      </c>
      <c r="K17" s="1005"/>
      <c r="L17" s="1004" t="s">
        <v>146</v>
      </c>
      <c r="M17" s="1005"/>
      <c r="N17" s="1004" t="s">
        <v>772</v>
      </c>
      <c r="O17" s="1006"/>
    </row>
    <row r="18" spans="2:15" s="1010" customFormat="1" ht="102" hidden="1" customHeight="1" thickTop="1" thickBot="1" x14ac:dyDescent="0.4">
      <c r="B18" s="1042" t="s">
        <v>56</v>
      </c>
      <c r="C18" s="1043" t="s">
        <v>30</v>
      </c>
      <c r="D18" s="1044" t="s">
        <v>55</v>
      </c>
      <c r="E18" s="1043" t="s">
        <v>31</v>
      </c>
      <c r="F18" s="1044" t="s">
        <v>68</v>
      </c>
      <c r="G18" s="1043" t="s">
        <v>32</v>
      </c>
      <c r="H18" s="1044" t="s">
        <v>106</v>
      </c>
      <c r="I18" s="1043" t="s">
        <v>69</v>
      </c>
      <c r="J18" s="1041" t="s">
        <v>619</v>
      </c>
      <c r="K18" s="1043" t="s">
        <v>144</v>
      </c>
      <c r="L18" s="1045" t="s">
        <v>146</v>
      </c>
      <c r="M18" s="1007" t="s">
        <v>145</v>
      </c>
      <c r="N18" s="1046" t="s">
        <v>146</v>
      </c>
      <c r="O18" s="1009" t="s">
        <v>145</v>
      </c>
    </row>
    <row r="19" spans="2:15" ht="16" thickTop="1" x14ac:dyDescent="0.35">
      <c r="B19" s="1015"/>
      <c r="C19" s="908" t="str">
        <f t="shared" ref="C19:C26" si="0">IF(ISBLANK(B19),"(Required)","")</f>
        <v>(Required)</v>
      </c>
      <c r="D19" s="1047"/>
      <c r="E19" s="908" t="str">
        <f t="shared" ref="E19:E26" si="1">IF(ISBLANK(D19),"(Required)","")</f>
        <v>(Required)</v>
      </c>
      <c r="F19" s="1047"/>
      <c r="G19" s="1048" t="str">
        <f t="shared" ref="G19:G26" si="2">IF(ISBLANK(F19),"(Required)","")</f>
        <v>(Required)</v>
      </c>
      <c r="H19" s="1047"/>
      <c r="I19" s="1048" t="str">
        <f t="shared" ref="I19:I26" si="3">IF(ISBLANK(H19),"(Required)","")</f>
        <v>(Required)</v>
      </c>
      <c r="J19" s="1049"/>
      <c r="K19" s="1050" t="str">
        <f t="shared" ref="K19:K51" si="4">IF(ISBLANK(J19),"(Optional)","")</f>
        <v>(Optional)</v>
      </c>
      <c r="L19" s="1051"/>
      <c r="M19" s="1052" t="str">
        <f t="shared" ref="M19:M26" si="5">IF(ISBLANK(L19),"(Required)","")</f>
        <v>(Required)</v>
      </c>
      <c r="N19" s="1053"/>
      <c r="O19" s="1054" t="str">
        <f>IF(ISBLANK(N19),"(Required)","")</f>
        <v>(Required)</v>
      </c>
    </row>
    <row r="20" spans="2:15" x14ac:dyDescent="0.35">
      <c r="B20" s="1015"/>
      <c r="C20" s="908" t="str">
        <f t="shared" si="0"/>
        <v>(Required)</v>
      </c>
      <c r="D20" s="1047"/>
      <c r="E20" s="908" t="str">
        <f t="shared" si="1"/>
        <v>(Required)</v>
      </c>
      <c r="F20" s="1047"/>
      <c r="G20" s="908" t="str">
        <f t="shared" si="2"/>
        <v>(Required)</v>
      </c>
      <c r="H20" s="1047"/>
      <c r="I20" s="908" t="str">
        <f t="shared" si="3"/>
        <v>(Required)</v>
      </c>
      <c r="J20" s="1049"/>
      <c r="K20" s="911" t="str">
        <f t="shared" si="4"/>
        <v>(Optional)</v>
      </c>
      <c r="L20" s="1051"/>
      <c r="M20" s="1052" t="str">
        <f t="shared" si="5"/>
        <v>(Required)</v>
      </c>
      <c r="N20" s="1053"/>
      <c r="O20" s="1054" t="str">
        <f t="shared" ref="O20:O51" si="6">IF(ISBLANK(N20),"(Required)","")</f>
        <v>(Required)</v>
      </c>
    </row>
    <row r="21" spans="2:15" x14ac:dyDescent="0.35">
      <c r="B21" s="1015"/>
      <c r="C21" s="908" t="str">
        <f t="shared" si="0"/>
        <v>(Required)</v>
      </c>
      <c r="D21" s="1047"/>
      <c r="E21" s="908" t="str">
        <f t="shared" si="1"/>
        <v>(Required)</v>
      </c>
      <c r="F21" s="1047"/>
      <c r="G21" s="908" t="str">
        <f t="shared" si="2"/>
        <v>(Required)</v>
      </c>
      <c r="H21" s="1047"/>
      <c r="I21" s="908" t="str">
        <f t="shared" si="3"/>
        <v>(Required)</v>
      </c>
      <c r="J21" s="1049"/>
      <c r="K21" s="911" t="str">
        <f t="shared" si="4"/>
        <v>(Optional)</v>
      </c>
      <c r="L21" s="1051"/>
      <c r="M21" s="1052" t="str">
        <f t="shared" si="5"/>
        <v>(Required)</v>
      </c>
      <c r="N21" s="1053"/>
      <c r="O21" s="1054" t="str">
        <f t="shared" si="6"/>
        <v>(Required)</v>
      </c>
    </row>
    <row r="22" spans="2:15" x14ac:dyDescent="0.35">
      <c r="B22" s="1015"/>
      <c r="C22" s="908" t="str">
        <f t="shared" si="0"/>
        <v>(Required)</v>
      </c>
      <c r="D22" s="1047"/>
      <c r="E22" s="908" t="str">
        <f t="shared" si="1"/>
        <v>(Required)</v>
      </c>
      <c r="F22" s="1047"/>
      <c r="G22" s="908" t="str">
        <f t="shared" si="2"/>
        <v>(Required)</v>
      </c>
      <c r="H22" s="1047"/>
      <c r="I22" s="908" t="str">
        <f t="shared" si="3"/>
        <v>(Required)</v>
      </c>
      <c r="J22" s="1049"/>
      <c r="K22" s="911" t="str">
        <f t="shared" si="4"/>
        <v>(Optional)</v>
      </c>
      <c r="L22" s="1051"/>
      <c r="M22" s="1052" t="str">
        <f t="shared" si="5"/>
        <v>(Required)</v>
      </c>
      <c r="N22" s="1053"/>
      <c r="O22" s="1054" t="str">
        <f t="shared" si="6"/>
        <v>(Required)</v>
      </c>
    </row>
    <row r="23" spans="2:15" x14ac:dyDescent="0.35">
      <c r="B23" s="1015"/>
      <c r="C23" s="908" t="str">
        <f t="shared" si="0"/>
        <v>(Required)</v>
      </c>
      <c r="D23" s="1047"/>
      <c r="E23" s="908" t="str">
        <f t="shared" si="1"/>
        <v>(Required)</v>
      </c>
      <c r="F23" s="1047"/>
      <c r="G23" s="908" t="str">
        <f t="shared" si="2"/>
        <v>(Required)</v>
      </c>
      <c r="H23" s="1047"/>
      <c r="I23" s="908" t="str">
        <f t="shared" si="3"/>
        <v>(Required)</v>
      </c>
      <c r="J23" s="1049"/>
      <c r="K23" s="911" t="str">
        <f t="shared" si="4"/>
        <v>(Optional)</v>
      </c>
      <c r="L23" s="1051"/>
      <c r="M23" s="1052" t="str">
        <f t="shared" si="5"/>
        <v>(Required)</v>
      </c>
      <c r="N23" s="1053"/>
      <c r="O23" s="1054" t="str">
        <f t="shared" si="6"/>
        <v>(Required)</v>
      </c>
    </row>
    <row r="24" spans="2:15" x14ac:dyDescent="0.35">
      <c r="B24" s="1015"/>
      <c r="C24" s="908" t="str">
        <f t="shared" si="0"/>
        <v>(Required)</v>
      </c>
      <c r="D24" s="1047"/>
      <c r="E24" s="908" t="str">
        <f t="shared" si="1"/>
        <v>(Required)</v>
      </c>
      <c r="F24" s="1047"/>
      <c r="G24" s="908" t="str">
        <f t="shared" si="2"/>
        <v>(Required)</v>
      </c>
      <c r="H24" s="1047"/>
      <c r="I24" s="908" t="str">
        <f t="shared" si="3"/>
        <v>(Required)</v>
      </c>
      <c r="J24" s="1049"/>
      <c r="K24" s="911" t="str">
        <f t="shared" si="4"/>
        <v>(Optional)</v>
      </c>
      <c r="L24" s="1051"/>
      <c r="M24" s="1052" t="str">
        <f t="shared" si="5"/>
        <v>(Required)</v>
      </c>
      <c r="N24" s="1053"/>
      <c r="O24" s="1054" t="str">
        <f t="shared" si="6"/>
        <v>(Required)</v>
      </c>
    </row>
    <row r="25" spans="2:15" x14ac:dyDescent="0.35">
      <c r="B25" s="1015"/>
      <c r="C25" s="908" t="str">
        <f t="shared" si="0"/>
        <v>(Required)</v>
      </c>
      <c r="D25" s="1047"/>
      <c r="E25" s="908" t="str">
        <f t="shared" si="1"/>
        <v>(Required)</v>
      </c>
      <c r="F25" s="1047"/>
      <c r="G25" s="908" t="str">
        <f t="shared" si="2"/>
        <v>(Required)</v>
      </c>
      <c r="H25" s="1047"/>
      <c r="I25" s="908" t="str">
        <f t="shared" si="3"/>
        <v>(Required)</v>
      </c>
      <c r="J25" s="1049"/>
      <c r="K25" s="911" t="str">
        <f t="shared" si="4"/>
        <v>(Optional)</v>
      </c>
      <c r="L25" s="1051"/>
      <c r="M25" s="1052" t="str">
        <f t="shared" si="5"/>
        <v>(Required)</v>
      </c>
      <c r="N25" s="1053"/>
      <c r="O25" s="1054" t="str">
        <f t="shared" si="6"/>
        <v>(Required)</v>
      </c>
    </row>
    <row r="26" spans="2:15" x14ac:dyDescent="0.35">
      <c r="B26" s="1015"/>
      <c r="C26" s="908" t="str">
        <f t="shared" si="0"/>
        <v>(Required)</v>
      </c>
      <c r="D26" s="1047"/>
      <c r="E26" s="908" t="str">
        <f t="shared" si="1"/>
        <v>(Required)</v>
      </c>
      <c r="F26" s="1047"/>
      <c r="G26" s="908" t="str">
        <f t="shared" si="2"/>
        <v>(Required)</v>
      </c>
      <c r="H26" s="1047"/>
      <c r="I26" s="908" t="str">
        <f t="shared" si="3"/>
        <v>(Required)</v>
      </c>
      <c r="J26" s="1049"/>
      <c r="K26" s="911" t="str">
        <f t="shared" si="4"/>
        <v>(Optional)</v>
      </c>
      <c r="L26" s="1051"/>
      <c r="M26" s="1052" t="str">
        <f t="shared" si="5"/>
        <v>(Required)</v>
      </c>
      <c r="N26" s="1053"/>
      <c r="O26" s="1054" t="str">
        <f t="shared" si="6"/>
        <v>(Required)</v>
      </c>
    </row>
    <row r="27" spans="2:15" x14ac:dyDescent="0.35">
      <c r="B27" s="1015"/>
      <c r="C27" s="908" t="str">
        <f t="shared" ref="C27:C34" si="7">IF(ISBLANK(B27),"(Required)","")</f>
        <v>(Required)</v>
      </c>
      <c r="D27" s="1047"/>
      <c r="E27" s="908" t="str">
        <f t="shared" ref="E27:E34" si="8">IF(ISBLANK(D27),"(Required)","")</f>
        <v>(Required)</v>
      </c>
      <c r="F27" s="1047"/>
      <c r="G27" s="908" t="str">
        <f t="shared" ref="G27:G35" si="9">IF(ISBLANK(F27),"(Required)","")</f>
        <v>(Required)</v>
      </c>
      <c r="H27" s="1047"/>
      <c r="I27" s="908" t="str">
        <f t="shared" ref="I27:I35" si="10">IF(ISBLANK(H27),"(Required)","")</f>
        <v>(Required)</v>
      </c>
      <c r="J27" s="1049"/>
      <c r="K27" s="911" t="str">
        <f t="shared" si="4"/>
        <v>(Optional)</v>
      </c>
      <c r="L27" s="1051"/>
      <c r="M27" s="1052" t="str">
        <f t="shared" ref="M27:M35" si="11">IF(ISBLANK(L27),"(Required)","")</f>
        <v>(Required)</v>
      </c>
      <c r="N27" s="1053"/>
      <c r="O27" s="1054" t="str">
        <f t="shared" si="6"/>
        <v>(Required)</v>
      </c>
    </row>
    <row r="28" spans="2:15" x14ac:dyDescent="0.35">
      <c r="B28" s="1015"/>
      <c r="C28" s="908" t="str">
        <f t="shared" si="7"/>
        <v>(Required)</v>
      </c>
      <c r="D28" s="1047"/>
      <c r="E28" s="908" t="str">
        <f t="shared" si="8"/>
        <v>(Required)</v>
      </c>
      <c r="F28" s="1047"/>
      <c r="G28" s="908" t="str">
        <f t="shared" si="9"/>
        <v>(Required)</v>
      </c>
      <c r="H28" s="1047"/>
      <c r="I28" s="908" t="str">
        <f t="shared" si="10"/>
        <v>(Required)</v>
      </c>
      <c r="J28" s="1049"/>
      <c r="K28" s="911" t="str">
        <f t="shared" si="4"/>
        <v>(Optional)</v>
      </c>
      <c r="L28" s="1051"/>
      <c r="M28" s="1052" t="str">
        <f t="shared" si="11"/>
        <v>(Required)</v>
      </c>
      <c r="N28" s="1053"/>
      <c r="O28" s="1054" t="str">
        <f t="shared" si="6"/>
        <v>(Required)</v>
      </c>
    </row>
    <row r="29" spans="2:15" x14ac:dyDescent="0.35">
      <c r="B29" s="1015"/>
      <c r="C29" s="908" t="str">
        <f t="shared" si="7"/>
        <v>(Required)</v>
      </c>
      <c r="D29" s="1047"/>
      <c r="E29" s="908" t="str">
        <f t="shared" si="8"/>
        <v>(Required)</v>
      </c>
      <c r="F29" s="1047"/>
      <c r="G29" s="908" t="str">
        <f t="shared" si="9"/>
        <v>(Required)</v>
      </c>
      <c r="H29" s="1047"/>
      <c r="I29" s="908" t="str">
        <f t="shared" si="10"/>
        <v>(Required)</v>
      </c>
      <c r="J29" s="1049"/>
      <c r="K29" s="911" t="str">
        <f t="shared" si="4"/>
        <v>(Optional)</v>
      </c>
      <c r="L29" s="1051"/>
      <c r="M29" s="1052" t="str">
        <f t="shared" si="11"/>
        <v>(Required)</v>
      </c>
      <c r="N29" s="1053"/>
      <c r="O29" s="1054" t="str">
        <f t="shared" si="6"/>
        <v>(Required)</v>
      </c>
    </row>
    <row r="30" spans="2:15" x14ac:dyDescent="0.35">
      <c r="B30" s="1015"/>
      <c r="C30" s="908" t="str">
        <f t="shared" si="7"/>
        <v>(Required)</v>
      </c>
      <c r="D30" s="1047"/>
      <c r="E30" s="908" t="str">
        <f t="shared" si="8"/>
        <v>(Required)</v>
      </c>
      <c r="F30" s="1047"/>
      <c r="G30" s="908" t="str">
        <f t="shared" si="9"/>
        <v>(Required)</v>
      </c>
      <c r="H30" s="1047"/>
      <c r="I30" s="908" t="str">
        <f t="shared" si="10"/>
        <v>(Required)</v>
      </c>
      <c r="J30" s="1049"/>
      <c r="K30" s="911" t="str">
        <f t="shared" si="4"/>
        <v>(Optional)</v>
      </c>
      <c r="L30" s="1051"/>
      <c r="M30" s="1052" t="str">
        <f t="shared" si="11"/>
        <v>(Required)</v>
      </c>
      <c r="N30" s="1053"/>
      <c r="O30" s="1054" t="str">
        <f t="shared" si="6"/>
        <v>(Required)</v>
      </c>
    </row>
    <row r="31" spans="2:15" x14ac:dyDescent="0.35">
      <c r="B31" s="1015"/>
      <c r="C31" s="908" t="str">
        <f t="shared" si="7"/>
        <v>(Required)</v>
      </c>
      <c r="D31" s="1047"/>
      <c r="E31" s="908" t="str">
        <f t="shared" si="8"/>
        <v>(Required)</v>
      </c>
      <c r="F31" s="1047"/>
      <c r="G31" s="908" t="str">
        <f t="shared" si="9"/>
        <v>(Required)</v>
      </c>
      <c r="H31" s="1047"/>
      <c r="I31" s="908" t="str">
        <f t="shared" si="10"/>
        <v>(Required)</v>
      </c>
      <c r="J31" s="1049"/>
      <c r="K31" s="911" t="str">
        <f t="shared" si="4"/>
        <v>(Optional)</v>
      </c>
      <c r="L31" s="1051"/>
      <c r="M31" s="1052" t="str">
        <f t="shared" si="11"/>
        <v>(Required)</v>
      </c>
      <c r="N31" s="1053"/>
      <c r="O31" s="1054" t="str">
        <f t="shared" si="6"/>
        <v>(Required)</v>
      </c>
    </row>
    <row r="32" spans="2:15" x14ac:dyDescent="0.35">
      <c r="B32" s="1015"/>
      <c r="C32" s="908" t="str">
        <f t="shared" si="7"/>
        <v>(Required)</v>
      </c>
      <c r="D32" s="1047"/>
      <c r="E32" s="908" t="str">
        <f t="shared" si="8"/>
        <v>(Required)</v>
      </c>
      <c r="F32" s="1047"/>
      <c r="G32" s="908" t="str">
        <f t="shared" si="9"/>
        <v>(Required)</v>
      </c>
      <c r="H32" s="1047"/>
      <c r="I32" s="908" t="str">
        <f t="shared" si="10"/>
        <v>(Required)</v>
      </c>
      <c r="J32" s="1049"/>
      <c r="K32" s="911" t="str">
        <f t="shared" si="4"/>
        <v>(Optional)</v>
      </c>
      <c r="L32" s="1051"/>
      <c r="M32" s="1052" t="str">
        <f t="shared" si="11"/>
        <v>(Required)</v>
      </c>
      <c r="N32" s="1053"/>
      <c r="O32" s="1054" t="str">
        <f t="shared" si="6"/>
        <v>(Required)</v>
      </c>
    </row>
    <row r="33" spans="2:15" x14ac:dyDescent="0.35">
      <c r="B33" s="1015"/>
      <c r="C33" s="908" t="str">
        <f t="shared" si="7"/>
        <v>(Required)</v>
      </c>
      <c r="D33" s="1047"/>
      <c r="E33" s="908" t="str">
        <f t="shared" si="8"/>
        <v>(Required)</v>
      </c>
      <c r="F33" s="1047"/>
      <c r="G33" s="908" t="str">
        <f t="shared" si="9"/>
        <v>(Required)</v>
      </c>
      <c r="H33" s="1047"/>
      <c r="I33" s="908" t="str">
        <f t="shared" si="10"/>
        <v>(Required)</v>
      </c>
      <c r="J33" s="1049"/>
      <c r="K33" s="911" t="str">
        <f t="shared" si="4"/>
        <v>(Optional)</v>
      </c>
      <c r="L33" s="1051"/>
      <c r="M33" s="1052" t="str">
        <f t="shared" si="11"/>
        <v>(Required)</v>
      </c>
      <c r="N33" s="1053"/>
      <c r="O33" s="1054" t="str">
        <f t="shared" si="6"/>
        <v>(Required)</v>
      </c>
    </row>
    <row r="34" spans="2:15" x14ac:dyDescent="0.35">
      <c r="B34" s="1015"/>
      <c r="C34" s="908" t="str">
        <f t="shared" si="7"/>
        <v>(Required)</v>
      </c>
      <c r="D34" s="1047"/>
      <c r="E34" s="908" t="str">
        <f t="shared" si="8"/>
        <v>(Required)</v>
      </c>
      <c r="F34" s="1047"/>
      <c r="G34" s="908" t="str">
        <f t="shared" si="9"/>
        <v>(Required)</v>
      </c>
      <c r="H34" s="1047"/>
      <c r="I34" s="908" t="str">
        <f t="shared" si="10"/>
        <v>(Required)</v>
      </c>
      <c r="J34" s="1049"/>
      <c r="K34" s="911" t="str">
        <f t="shared" si="4"/>
        <v>(Optional)</v>
      </c>
      <c r="L34" s="1051"/>
      <c r="M34" s="1052" t="str">
        <f t="shared" si="11"/>
        <v>(Required)</v>
      </c>
      <c r="N34" s="1053"/>
      <c r="O34" s="1054" t="str">
        <f t="shared" si="6"/>
        <v>(Required)</v>
      </c>
    </row>
    <row r="35" spans="2:15" x14ac:dyDescent="0.35">
      <c r="B35" s="1015"/>
      <c r="C35" s="908" t="str">
        <f>IF(ISBLANK(B35),"(Required)","")</f>
        <v>(Required)</v>
      </c>
      <c r="D35" s="1047"/>
      <c r="E35" s="908" t="str">
        <f>IF(ISBLANK(D35),"(Required)","")</f>
        <v>(Required)</v>
      </c>
      <c r="F35" s="1047"/>
      <c r="G35" s="908" t="str">
        <f t="shared" si="9"/>
        <v>(Required)</v>
      </c>
      <c r="H35" s="1047"/>
      <c r="I35" s="908" t="str">
        <f t="shared" si="10"/>
        <v>(Required)</v>
      </c>
      <c r="J35" s="1049"/>
      <c r="K35" s="911" t="str">
        <f t="shared" si="4"/>
        <v>(Optional)</v>
      </c>
      <c r="L35" s="1051"/>
      <c r="M35" s="1052" t="str">
        <f t="shared" si="11"/>
        <v>(Required)</v>
      </c>
      <c r="N35" s="1053"/>
      <c r="O35" s="1054" t="str">
        <f t="shared" si="6"/>
        <v>(Required)</v>
      </c>
    </row>
    <row r="36" spans="2:15" x14ac:dyDescent="0.35">
      <c r="B36" s="1015"/>
      <c r="C36" s="908" t="str">
        <f t="shared" ref="C36:C50" si="12">IF(ISBLANK(B36),"(Required)","")</f>
        <v>(Required)</v>
      </c>
      <c r="D36" s="1047"/>
      <c r="E36" s="908" t="str">
        <f t="shared" ref="E36:E50" si="13">IF(ISBLANK(D36),"(Required)","")</f>
        <v>(Required)</v>
      </c>
      <c r="F36" s="1047"/>
      <c r="G36" s="908" t="str">
        <f>IF(ISBLANK(F36),"(Required)","")</f>
        <v>(Required)</v>
      </c>
      <c r="H36" s="1047"/>
      <c r="I36" s="908" t="str">
        <f>IF(ISBLANK(H36),"(Required)","")</f>
        <v>(Required)</v>
      </c>
      <c r="J36" s="1049"/>
      <c r="K36" s="911" t="str">
        <f t="shared" si="4"/>
        <v>(Optional)</v>
      </c>
      <c r="L36" s="1051"/>
      <c r="M36" s="1052" t="str">
        <f>IF(ISBLANK(L36),"(Required)","")</f>
        <v>(Required)</v>
      </c>
      <c r="N36" s="1053"/>
      <c r="O36" s="1054" t="str">
        <f t="shared" si="6"/>
        <v>(Required)</v>
      </c>
    </row>
    <row r="37" spans="2:15" x14ac:dyDescent="0.35">
      <c r="B37" s="1015"/>
      <c r="C37" s="908" t="str">
        <f t="shared" si="12"/>
        <v>(Required)</v>
      </c>
      <c r="D37" s="1047"/>
      <c r="E37" s="908" t="str">
        <f t="shared" si="13"/>
        <v>(Required)</v>
      </c>
      <c r="F37" s="1047"/>
      <c r="G37" s="908" t="str">
        <f t="shared" ref="G37:G50" si="14">IF(ISBLANK(F37),"(Required)","")</f>
        <v>(Required)</v>
      </c>
      <c r="H37" s="1047"/>
      <c r="I37" s="908" t="str">
        <f t="shared" ref="I37:I50" si="15">IF(ISBLANK(H37),"(Required)","")</f>
        <v>(Required)</v>
      </c>
      <c r="J37" s="1049"/>
      <c r="K37" s="911" t="str">
        <f t="shared" si="4"/>
        <v>(Optional)</v>
      </c>
      <c r="L37" s="1051"/>
      <c r="M37" s="1052" t="str">
        <f t="shared" ref="M37:M50" si="16">IF(ISBLANK(L37),"(Required)","")</f>
        <v>(Required)</v>
      </c>
      <c r="N37" s="1053"/>
      <c r="O37" s="1054" t="str">
        <f t="shared" si="6"/>
        <v>(Required)</v>
      </c>
    </row>
    <row r="38" spans="2:15" x14ac:dyDescent="0.35">
      <c r="B38" s="1015"/>
      <c r="C38" s="908" t="str">
        <f t="shared" si="12"/>
        <v>(Required)</v>
      </c>
      <c r="D38" s="1047"/>
      <c r="E38" s="908" t="str">
        <f t="shared" si="13"/>
        <v>(Required)</v>
      </c>
      <c r="F38" s="1047"/>
      <c r="G38" s="908" t="str">
        <f t="shared" si="14"/>
        <v>(Required)</v>
      </c>
      <c r="H38" s="1047"/>
      <c r="I38" s="908" t="str">
        <f t="shared" si="15"/>
        <v>(Required)</v>
      </c>
      <c r="J38" s="1049"/>
      <c r="K38" s="911" t="str">
        <f t="shared" si="4"/>
        <v>(Optional)</v>
      </c>
      <c r="L38" s="1051"/>
      <c r="M38" s="1052" t="str">
        <f t="shared" si="16"/>
        <v>(Required)</v>
      </c>
      <c r="N38" s="1053"/>
      <c r="O38" s="1054" t="str">
        <f t="shared" si="6"/>
        <v>(Required)</v>
      </c>
    </row>
    <row r="39" spans="2:15" x14ac:dyDescent="0.35">
      <c r="B39" s="1015"/>
      <c r="C39" s="908" t="str">
        <f t="shared" si="12"/>
        <v>(Required)</v>
      </c>
      <c r="D39" s="1047"/>
      <c r="E39" s="908" t="str">
        <f t="shared" si="13"/>
        <v>(Required)</v>
      </c>
      <c r="F39" s="1047"/>
      <c r="G39" s="908" t="str">
        <f t="shared" si="14"/>
        <v>(Required)</v>
      </c>
      <c r="H39" s="1047"/>
      <c r="I39" s="908" t="str">
        <f t="shared" si="15"/>
        <v>(Required)</v>
      </c>
      <c r="J39" s="1049"/>
      <c r="K39" s="911" t="str">
        <f t="shared" si="4"/>
        <v>(Optional)</v>
      </c>
      <c r="L39" s="1051"/>
      <c r="M39" s="1052" t="str">
        <f t="shared" si="16"/>
        <v>(Required)</v>
      </c>
      <c r="N39" s="1053"/>
      <c r="O39" s="1054" t="str">
        <f t="shared" si="6"/>
        <v>(Required)</v>
      </c>
    </row>
    <row r="40" spans="2:15" x14ac:dyDescent="0.35">
      <c r="B40" s="1015"/>
      <c r="C40" s="908" t="str">
        <f t="shared" si="12"/>
        <v>(Required)</v>
      </c>
      <c r="D40" s="1047"/>
      <c r="E40" s="908" t="str">
        <f t="shared" si="13"/>
        <v>(Required)</v>
      </c>
      <c r="F40" s="1047"/>
      <c r="G40" s="908" t="str">
        <f t="shared" si="14"/>
        <v>(Required)</v>
      </c>
      <c r="H40" s="1047"/>
      <c r="I40" s="908" t="str">
        <f t="shared" si="15"/>
        <v>(Required)</v>
      </c>
      <c r="J40" s="1049"/>
      <c r="K40" s="911" t="str">
        <f t="shared" si="4"/>
        <v>(Optional)</v>
      </c>
      <c r="L40" s="1051"/>
      <c r="M40" s="1052" t="str">
        <f t="shared" si="16"/>
        <v>(Required)</v>
      </c>
      <c r="N40" s="1053"/>
      <c r="O40" s="1054" t="str">
        <f t="shared" si="6"/>
        <v>(Required)</v>
      </c>
    </row>
    <row r="41" spans="2:15" x14ac:dyDescent="0.35">
      <c r="B41" s="1015"/>
      <c r="C41" s="908" t="str">
        <f t="shared" si="12"/>
        <v>(Required)</v>
      </c>
      <c r="D41" s="1047"/>
      <c r="E41" s="908" t="str">
        <f t="shared" si="13"/>
        <v>(Required)</v>
      </c>
      <c r="F41" s="1047"/>
      <c r="G41" s="908" t="str">
        <f t="shared" si="14"/>
        <v>(Required)</v>
      </c>
      <c r="H41" s="1047"/>
      <c r="I41" s="908" t="str">
        <f t="shared" si="15"/>
        <v>(Required)</v>
      </c>
      <c r="J41" s="1049"/>
      <c r="K41" s="911" t="str">
        <f t="shared" si="4"/>
        <v>(Optional)</v>
      </c>
      <c r="L41" s="1051"/>
      <c r="M41" s="1052" t="str">
        <f t="shared" si="16"/>
        <v>(Required)</v>
      </c>
      <c r="N41" s="1053"/>
      <c r="O41" s="1054" t="str">
        <f t="shared" si="6"/>
        <v>(Required)</v>
      </c>
    </row>
    <row r="42" spans="2:15" x14ac:dyDescent="0.35">
      <c r="B42" s="1015"/>
      <c r="C42" s="908" t="str">
        <f t="shared" si="12"/>
        <v>(Required)</v>
      </c>
      <c r="D42" s="1047"/>
      <c r="E42" s="908" t="str">
        <f t="shared" si="13"/>
        <v>(Required)</v>
      </c>
      <c r="F42" s="1047"/>
      <c r="G42" s="908" t="str">
        <f t="shared" si="14"/>
        <v>(Required)</v>
      </c>
      <c r="H42" s="1047"/>
      <c r="I42" s="908" t="str">
        <f t="shared" si="15"/>
        <v>(Required)</v>
      </c>
      <c r="J42" s="1049"/>
      <c r="K42" s="911" t="str">
        <f t="shared" si="4"/>
        <v>(Optional)</v>
      </c>
      <c r="L42" s="1051"/>
      <c r="M42" s="1052" t="str">
        <f t="shared" si="16"/>
        <v>(Required)</v>
      </c>
      <c r="N42" s="1053"/>
      <c r="O42" s="1054" t="str">
        <f t="shared" si="6"/>
        <v>(Required)</v>
      </c>
    </row>
    <row r="43" spans="2:15" x14ac:dyDescent="0.35">
      <c r="B43" s="1015"/>
      <c r="C43" s="908" t="str">
        <f t="shared" si="12"/>
        <v>(Required)</v>
      </c>
      <c r="D43" s="1047"/>
      <c r="E43" s="908" t="str">
        <f t="shared" si="13"/>
        <v>(Required)</v>
      </c>
      <c r="F43" s="1047"/>
      <c r="G43" s="908" t="str">
        <f t="shared" si="14"/>
        <v>(Required)</v>
      </c>
      <c r="H43" s="1047"/>
      <c r="I43" s="908" t="str">
        <f t="shared" si="15"/>
        <v>(Required)</v>
      </c>
      <c r="J43" s="1049"/>
      <c r="K43" s="911" t="str">
        <f t="shared" si="4"/>
        <v>(Optional)</v>
      </c>
      <c r="L43" s="1051"/>
      <c r="M43" s="1052" t="str">
        <f t="shared" si="16"/>
        <v>(Required)</v>
      </c>
      <c r="N43" s="1053"/>
      <c r="O43" s="1054" t="str">
        <f t="shared" si="6"/>
        <v>(Required)</v>
      </c>
    </row>
    <row r="44" spans="2:15" x14ac:dyDescent="0.35">
      <c r="B44" s="1015"/>
      <c r="C44" s="908" t="str">
        <f t="shared" si="12"/>
        <v>(Required)</v>
      </c>
      <c r="D44" s="1047"/>
      <c r="E44" s="908" t="str">
        <f t="shared" si="13"/>
        <v>(Required)</v>
      </c>
      <c r="F44" s="1047"/>
      <c r="G44" s="908" t="str">
        <f t="shared" si="14"/>
        <v>(Required)</v>
      </c>
      <c r="H44" s="1047"/>
      <c r="I44" s="908" t="str">
        <f t="shared" si="15"/>
        <v>(Required)</v>
      </c>
      <c r="J44" s="1049"/>
      <c r="K44" s="911" t="str">
        <f t="shared" si="4"/>
        <v>(Optional)</v>
      </c>
      <c r="L44" s="1051"/>
      <c r="M44" s="1052" t="str">
        <f t="shared" si="16"/>
        <v>(Required)</v>
      </c>
      <c r="N44" s="1053"/>
      <c r="O44" s="1054" t="str">
        <f t="shared" si="6"/>
        <v>(Required)</v>
      </c>
    </row>
    <row r="45" spans="2:15" x14ac:dyDescent="0.35">
      <c r="B45" s="1015"/>
      <c r="C45" s="908" t="str">
        <f t="shared" si="12"/>
        <v>(Required)</v>
      </c>
      <c r="D45" s="1047"/>
      <c r="E45" s="908" t="str">
        <f t="shared" si="13"/>
        <v>(Required)</v>
      </c>
      <c r="F45" s="1047"/>
      <c r="G45" s="908" t="str">
        <f t="shared" si="14"/>
        <v>(Required)</v>
      </c>
      <c r="H45" s="1047"/>
      <c r="I45" s="908" t="str">
        <f t="shared" si="15"/>
        <v>(Required)</v>
      </c>
      <c r="J45" s="1049"/>
      <c r="K45" s="911" t="str">
        <f t="shared" si="4"/>
        <v>(Optional)</v>
      </c>
      <c r="L45" s="1051"/>
      <c r="M45" s="1052" t="str">
        <f t="shared" si="16"/>
        <v>(Required)</v>
      </c>
      <c r="N45" s="1053"/>
      <c r="O45" s="1054" t="str">
        <f t="shared" si="6"/>
        <v>(Required)</v>
      </c>
    </row>
    <row r="46" spans="2:15" x14ac:dyDescent="0.35">
      <c r="B46" s="1015"/>
      <c r="C46" s="908" t="str">
        <f t="shared" si="12"/>
        <v>(Required)</v>
      </c>
      <c r="D46" s="1047"/>
      <c r="E46" s="908" t="str">
        <f t="shared" si="13"/>
        <v>(Required)</v>
      </c>
      <c r="F46" s="1047"/>
      <c r="G46" s="908" t="str">
        <f t="shared" si="14"/>
        <v>(Required)</v>
      </c>
      <c r="H46" s="1047"/>
      <c r="I46" s="908" t="str">
        <f t="shared" si="15"/>
        <v>(Required)</v>
      </c>
      <c r="J46" s="1049"/>
      <c r="K46" s="911" t="str">
        <f t="shared" si="4"/>
        <v>(Optional)</v>
      </c>
      <c r="L46" s="1051"/>
      <c r="M46" s="1052" t="str">
        <f t="shared" si="16"/>
        <v>(Required)</v>
      </c>
      <c r="N46" s="1053"/>
      <c r="O46" s="1054" t="str">
        <f t="shared" si="6"/>
        <v>(Required)</v>
      </c>
    </row>
    <row r="47" spans="2:15" x14ac:dyDescent="0.35">
      <c r="B47" s="1015"/>
      <c r="C47" s="908" t="str">
        <f t="shared" si="12"/>
        <v>(Required)</v>
      </c>
      <c r="D47" s="1047"/>
      <c r="E47" s="908" t="str">
        <f t="shared" si="13"/>
        <v>(Required)</v>
      </c>
      <c r="F47" s="1047"/>
      <c r="G47" s="908" t="str">
        <f t="shared" si="14"/>
        <v>(Required)</v>
      </c>
      <c r="H47" s="1047"/>
      <c r="I47" s="908" t="str">
        <f t="shared" si="15"/>
        <v>(Required)</v>
      </c>
      <c r="J47" s="1049"/>
      <c r="K47" s="911" t="str">
        <f t="shared" si="4"/>
        <v>(Optional)</v>
      </c>
      <c r="L47" s="1051"/>
      <c r="M47" s="1052" t="str">
        <f t="shared" si="16"/>
        <v>(Required)</v>
      </c>
      <c r="N47" s="1053"/>
      <c r="O47" s="1054" t="str">
        <f t="shared" si="6"/>
        <v>(Required)</v>
      </c>
    </row>
    <row r="48" spans="2:15" x14ac:dyDescent="0.35">
      <c r="B48" s="1015"/>
      <c r="C48" s="908" t="str">
        <f t="shared" si="12"/>
        <v>(Required)</v>
      </c>
      <c r="D48" s="1047"/>
      <c r="E48" s="908" t="str">
        <f t="shared" si="13"/>
        <v>(Required)</v>
      </c>
      <c r="F48" s="1047"/>
      <c r="G48" s="908" t="str">
        <f t="shared" si="14"/>
        <v>(Required)</v>
      </c>
      <c r="H48" s="1047"/>
      <c r="I48" s="908" t="str">
        <f t="shared" si="15"/>
        <v>(Required)</v>
      </c>
      <c r="J48" s="1049"/>
      <c r="K48" s="911" t="str">
        <f t="shared" si="4"/>
        <v>(Optional)</v>
      </c>
      <c r="L48" s="1051"/>
      <c r="M48" s="1052" t="str">
        <f t="shared" si="16"/>
        <v>(Required)</v>
      </c>
      <c r="N48" s="1053"/>
      <c r="O48" s="1054" t="str">
        <f t="shared" si="6"/>
        <v>(Required)</v>
      </c>
    </row>
    <row r="49" spans="2:15" x14ac:dyDescent="0.35">
      <c r="B49" s="1015"/>
      <c r="C49" s="908" t="str">
        <f t="shared" si="12"/>
        <v>(Required)</v>
      </c>
      <c r="D49" s="1047"/>
      <c r="E49" s="908" t="str">
        <f t="shared" si="13"/>
        <v>(Required)</v>
      </c>
      <c r="F49" s="1047"/>
      <c r="G49" s="908" t="str">
        <f t="shared" si="14"/>
        <v>(Required)</v>
      </c>
      <c r="H49" s="1047"/>
      <c r="I49" s="908" t="str">
        <f t="shared" si="15"/>
        <v>(Required)</v>
      </c>
      <c r="J49" s="1049"/>
      <c r="K49" s="911" t="str">
        <f t="shared" si="4"/>
        <v>(Optional)</v>
      </c>
      <c r="L49" s="1051"/>
      <c r="M49" s="1052" t="str">
        <f t="shared" si="16"/>
        <v>(Required)</v>
      </c>
      <c r="N49" s="1053"/>
      <c r="O49" s="1054" t="str">
        <f t="shared" si="6"/>
        <v>(Required)</v>
      </c>
    </row>
    <row r="50" spans="2:15" x14ac:dyDescent="0.35">
      <c r="B50" s="1015"/>
      <c r="C50" s="908" t="str">
        <f t="shared" si="12"/>
        <v>(Required)</v>
      </c>
      <c r="D50" s="1047"/>
      <c r="E50" s="908" t="str">
        <f t="shared" si="13"/>
        <v>(Required)</v>
      </c>
      <c r="F50" s="1047"/>
      <c r="G50" s="908" t="str">
        <f t="shared" si="14"/>
        <v>(Required)</v>
      </c>
      <c r="H50" s="1047"/>
      <c r="I50" s="908" t="str">
        <f t="shared" si="15"/>
        <v>(Required)</v>
      </c>
      <c r="J50" s="1049"/>
      <c r="K50" s="911" t="str">
        <f t="shared" si="4"/>
        <v>(Optional)</v>
      </c>
      <c r="L50" s="1051"/>
      <c r="M50" s="1052" t="str">
        <f t="shared" si="16"/>
        <v>(Required)</v>
      </c>
      <c r="N50" s="1053"/>
      <c r="O50" s="1054" t="str">
        <f t="shared" si="6"/>
        <v>(Required)</v>
      </c>
    </row>
    <row r="51" spans="2:15" x14ac:dyDescent="0.35">
      <c r="B51" s="1015"/>
      <c r="C51" s="908" t="str">
        <f>IF(ISBLANK(B51),"(Required)","")</f>
        <v>(Required)</v>
      </c>
      <c r="D51" s="1047"/>
      <c r="E51" s="908" t="str">
        <f>IF(ISBLANK(D51),"(Required)","")</f>
        <v>(Required)</v>
      </c>
      <c r="F51" s="1047"/>
      <c r="G51" s="908" t="str">
        <f>IF(ISBLANK(F51),"(Required)","")</f>
        <v>(Required)</v>
      </c>
      <c r="H51" s="1047"/>
      <c r="I51" s="908" t="str">
        <f>IF(ISBLANK(H51),"(Required)","")</f>
        <v>(Required)</v>
      </c>
      <c r="J51" s="1049"/>
      <c r="K51" s="911" t="str">
        <f t="shared" si="4"/>
        <v>(Optional)</v>
      </c>
      <c r="L51" s="1051"/>
      <c r="M51" s="1052" t="str">
        <f>IF(ISBLANK(L51),"(Required)","")</f>
        <v>(Required)</v>
      </c>
      <c r="N51" s="1053"/>
      <c r="O51" s="1054" t="str">
        <f t="shared" si="6"/>
        <v>(Required)</v>
      </c>
    </row>
    <row r="52" spans="2:15" ht="16" thickBot="1" x14ac:dyDescent="0.4">
      <c r="C52" s="634"/>
      <c r="E52" s="634"/>
      <c r="F52" s="635"/>
      <c r="G52" s="634"/>
      <c r="H52" s="635"/>
      <c r="I52" s="634"/>
      <c r="M52" s="634"/>
    </row>
    <row r="53" spans="2:15" x14ac:dyDescent="0.35">
      <c r="B53" s="982" t="s">
        <v>21</v>
      </c>
      <c r="C53" s="665"/>
      <c r="D53" s="1055"/>
      <c r="E53" s="635"/>
      <c r="G53" s="635"/>
      <c r="H53" s="635"/>
      <c r="I53" s="635"/>
      <c r="K53" s="635"/>
      <c r="M53" s="635"/>
    </row>
    <row r="54" spans="2:15" x14ac:dyDescent="0.35">
      <c r="B54" s="670" t="s">
        <v>16</v>
      </c>
      <c r="C54" s="635" t="s">
        <v>19</v>
      </c>
      <c r="D54" s="1056"/>
      <c r="E54" s="635"/>
      <c r="G54" s="635"/>
      <c r="H54" s="635"/>
      <c r="I54" s="635"/>
      <c r="K54" s="635"/>
      <c r="M54" s="635"/>
    </row>
    <row r="55" spans="2:15" x14ac:dyDescent="0.35">
      <c r="B55" s="674" t="s">
        <v>17</v>
      </c>
      <c r="C55" s="635" t="s">
        <v>20</v>
      </c>
      <c r="D55" s="1056"/>
      <c r="E55" s="635"/>
      <c r="G55" s="635"/>
      <c r="H55" s="635"/>
      <c r="I55" s="635"/>
      <c r="K55" s="635"/>
      <c r="M55" s="635"/>
    </row>
    <row r="56" spans="2:15" ht="16" thickBot="1" x14ac:dyDescent="0.4">
      <c r="B56" s="675" t="s">
        <v>18</v>
      </c>
      <c r="C56" s="676" t="s">
        <v>206</v>
      </c>
      <c r="D56" s="1057"/>
      <c r="E56" s="635"/>
      <c r="G56" s="635"/>
      <c r="H56" s="635"/>
      <c r="I56" s="635"/>
      <c r="K56" s="635"/>
      <c r="M56" s="635"/>
    </row>
    <row r="57" spans="2:15" x14ac:dyDescent="0.35">
      <c r="B57" s="1058"/>
      <c r="C57" s="616"/>
      <c r="D57" s="1059"/>
      <c r="E57" s="616"/>
      <c r="G57" s="1059"/>
      <c r="H57" s="616"/>
      <c r="I57" s="1059"/>
      <c r="J57" s="1060"/>
      <c r="K57" s="1059"/>
      <c r="L57" s="616"/>
      <c r="M57" s="1059"/>
    </row>
  </sheetData>
  <sheetProtection algorithmName="SHA-512" hashValue="zMBNoLt/dntWgMCzVBRm75Xe/co9ZYKlOE8LXD+U/7vxjoxGMVog1s3cm59PHt+VJKZkgL2GWH4cw6KNnEdM4A==" saltValue="a/9+1e54IWxgyJ8lmDfEPA==" spinCount="100000" sheet="1"/>
  <dataValidations count="13">
    <dataValidation type="whole" allowBlank="1" showInputMessage="1" showErrorMessage="1" prompt="Enter the number of miles traveled by all vehicles in the vehicle type category selected.  This is the total number of miles traveled by all vehicles of the same vehicle type.  If unknown, the default value is 13,123 miles." sqref="J18:J51" xr:uid="{00000000-0002-0000-0500-000001000000}">
      <formula1>10</formula1>
      <formula2>100000</formula2>
    </dataValidation>
    <dataValidation allowBlank="1" showInputMessage="1" showErrorMessage="1" prompt="Select the project type: Bottled Water Delivery or Hauled Water Delivery." sqref="B17" xr:uid="{D0F8AF04-1A6F-4579-972B-FB681F40A4D6}"/>
    <dataValidation allowBlank="1" showInputMessage="1" showErrorMessage="1" prompt="Select the vehicle type category.  See the Appendix of the User Guide for definitions of the vehicle type categories." sqref="D17" xr:uid="{4255DE10-D5BD-4BD0-997C-BB9DB07003C6}"/>
    <dataValidation allowBlank="1" showInputMessage="1" showErrorMessage="1" prompt="Type of fuel for the vehicle(s): Battery Electric, Fuel Cell Electric, Plug-in Hybrid, Gasoline, or Diesel. Note: select delivery vehicle type before selecting fuel type." sqref="F17" xr:uid="{383B3C98-202B-4234-A91D-4469D84E13E9}"/>
    <dataValidation type="whole" allowBlank="1" showInputMessage="1" showErrorMessage="1" prompt="Enter the total number of vehicles in the vehicle type category selected." sqref="H18:H51" xr:uid="{FBF678C8-656E-4D1D-8F11-ECA8BDF35B26}">
      <formula1>1</formula1>
      <formula2>50</formula2>
    </dataValidation>
    <dataValidation allowBlank="1" showInputMessage="1" showErrorMessage="1" prompt="Enter the total number of vehicles in the vehicle type category selected." sqref="H17" xr:uid="{4D3A34D7-50D6-4F89-AF57-733ED048B9AE}"/>
    <dataValidation allowBlank="1" showInputMessage="1" showErrorMessage="1" prompt="Enter the number of miles traveled by all vehicles in the vehicle type category selected.  This is the total number of miles traveled by all vehicles of the same vehicle type.  If unknown, the default value is 13,123 miles." sqref="J17" xr:uid="{7D13668D-B9F8-45D7-AB24-857178D15191}"/>
    <dataValidation type="whole" allowBlank="1" showInputMessage="1" showErrorMessage="1" prompt="Number of years for delivery service (Maximum is two years)." sqref="L18 N18" xr:uid="{8A9ADC79-9E60-42A5-98D0-E75D65A80410}">
      <formula1>1</formula1>
      <formula2>2</formula2>
    </dataValidation>
    <dataValidation allowBlank="1" showInputMessage="1" showErrorMessage="1" prompt="Number of years for delivery service (Maximum is two years)." sqref="L17" xr:uid="{652ECE20-361C-4935-B496-F8F2C3F67B16}"/>
    <dataValidation type="decimal" allowBlank="1" showInputMessage="1" showErrorMessage="1" prompt="Number of years for delivery service (Maximum is two years)." sqref="L19:L51" xr:uid="{CC87672D-B618-47EB-871E-ADC52B286C38}">
      <formula1>1</formula1>
      <formula2>2</formula2>
    </dataValidation>
    <dataValidation type="whole" operator="greaterThanOrEqual" allowBlank="1" showInputMessage="1" showErrorMessage="1" prompt="Number of households serviced annually by the vehicles in this row." sqref="N19:N51" xr:uid="{479B3069-C521-4E65-A504-6DA56ACC25C8}">
      <formula1>0</formula1>
    </dataValidation>
    <dataValidation type="list" allowBlank="1" showInputMessage="1" showErrorMessage="1" prompt="Type of fuel for the vehicle(s): Battery Electric, Fuel Cell Electric, Plug-in Hybrid, Gasoline, or Diesel. Note: select delivery vehicle type before selecting fuel type." sqref="F19:F51" xr:uid="{2C099468-A8F1-44A6-A0BC-CA589081A567}">
      <formula1>INDIRECT(SUBSTITUTE(D19," ", "_"))</formula1>
    </dataValidation>
    <dataValidation allowBlank="1" showInputMessage="1" showErrorMessage="1" prompt="Number of households served annually." sqref="N17" xr:uid="{F0816779-0DF2-4218-BB1F-FB1ED8417B0C}"/>
  </dataValidations>
  <hyperlinks>
    <hyperlink ref="B13" r:id="rId1" xr:uid="{A64ABD37-256A-448C-9B82-ADB43488FBF1}"/>
  </hyperlinks>
  <pageMargins left="0.7" right="0.7" top="0.75" bottom="0.75" header="0.3" footer="0.3"/>
  <pageSetup scale="53" orientation="landscape" r:id="rId2"/>
  <headerFooter>
    <oddFooter>&amp;L&amp;"Avenir LT Std 55 Roman,Regular"&amp;12FINAL June 1, 2022&amp;C&amp;"Avenir LT Std 55 Roman,Regular"&amp;12Page &amp;P of &amp;N&amp;R&amp;"Avenir LT Std 55 Roman,Regular"&amp;12&amp;A</oddFooter>
  </headerFooter>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 id="{83B5C349-38FD-4D69-B6DC-BA5432E3B3E0}">
            <xm:f>B19=Defaults!$B$15</xm:f>
            <x14:dxf>
              <fill>
                <patternFill>
                  <bgColor theme="9" tint="0.79998168889431442"/>
                </patternFill>
              </fill>
            </x14:dxf>
          </x14:cfRule>
          <xm:sqref>N19:N51</xm:sqref>
        </x14:conditionalFormatting>
        <x14:conditionalFormatting xmlns:xm="http://schemas.microsoft.com/office/excel/2006/main">
          <x14:cfRule type="expression" priority="1" id="{AA54D222-7143-460F-A6EB-8AAE9516C176}">
            <xm:f>B19=Defaults!$B$15</xm:f>
            <x14:dxf>
              <fill>
                <patternFill>
                  <bgColor theme="9" tint="0.79998168889431442"/>
                </patternFill>
              </fill>
            </x14:dxf>
          </x14:cfRule>
          <xm:sqref>O19:O51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prompt="Select the project type: Bottled Water Delivery or Hauled Water Delivery." xr:uid="{E7410F90-547F-42E7-89B4-06B2EACE0C0C}">
          <x14:formula1>
            <xm:f>Defaults!$B$15:$B$16</xm:f>
          </x14:formula1>
          <xm:sqref>B18:B51</xm:sqref>
        </x14:dataValidation>
        <x14:dataValidation type="list" allowBlank="1" showInputMessage="1" showErrorMessage="1" prompt="Select the vehicle type category.  See the Appendix of the User Guide for definitions of the vehicle type categories." xr:uid="{160604A9-1770-48D7-819B-1AAACF90D70F}">
          <x14:formula1>
            <xm:f>Defaults!$D$15:$D$18</xm:f>
          </x14:formula1>
          <xm:sqref>D18:D51</xm:sqref>
        </x14:dataValidation>
        <x14:dataValidation type="list" allowBlank="1" showInputMessage="1" showErrorMessage="1" prompt="Type of fuel for the vehicle(s): Battery Electric, Fuel Cell Electric, Plug-in Hybrid, Gasoline, or Diesel." xr:uid="{B89AA42C-B2D5-4E89-83EB-33B8F9F966E6}">
          <x14:formula1>
            <xm:f>Defaults!$F$14:$F$19</xm:f>
          </x14:formula1>
          <xm:sqref>F18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2" tint="-9.9978637043366805E-2"/>
    <pageSetUpPr fitToPage="1"/>
  </sheetPr>
  <dimension ref="B1:R64"/>
  <sheetViews>
    <sheetView showGridLines="0" showWhiteSpace="0" zoomScaleNormal="100" zoomScaleSheetLayoutView="90" workbookViewId="0">
      <selection activeCell="B31" sqref="B31"/>
    </sheetView>
  </sheetViews>
  <sheetFormatPr defaultColWidth="9.1796875" defaultRowHeight="15.5" x14ac:dyDescent="0.35"/>
  <cols>
    <col min="1" max="1" width="2.81640625" style="635" customWidth="1"/>
    <col min="2" max="2" width="67.26953125" style="621" customWidth="1"/>
    <col min="3" max="3" width="62.1796875" style="635" customWidth="1"/>
    <col min="4" max="4" width="3" style="635" customWidth="1"/>
    <col min="5" max="16384" width="9.1796875" style="635"/>
  </cols>
  <sheetData>
    <row r="1" spans="2:3" ht="18" x14ac:dyDescent="0.4">
      <c r="B1" s="633" t="str">
        <f>'Read Me'!B1</f>
        <v>California Air Resources Board</v>
      </c>
      <c r="C1" s="633"/>
    </row>
    <row r="2" spans="2:3" ht="18" x14ac:dyDescent="0.4">
      <c r="B2" s="638"/>
      <c r="C2" s="633"/>
    </row>
    <row r="3" spans="2:3" ht="18" x14ac:dyDescent="0.4">
      <c r="B3" s="633" t="str">
        <f>'Read Me'!B3</f>
        <v>Benefits Calculator Tool</v>
      </c>
      <c r="C3" s="633"/>
    </row>
    <row r="4" spans="2:3" ht="18" x14ac:dyDescent="0.4">
      <c r="B4" s="637" t="str">
        <f>'Read Me'!B4</f>
        <v>Safe and Affordable Drinking Water</v>
      </c>
      <c r="C4" s="1062"/>
    </row>
    <row r="5" spans="2:3" ht="18" x14ac:dyDescent="0.4">
      <c r="B5" s="637" t="str">
        <f>'Read Me'!B5</f>
        <v>(SADW) Fund</v>
      </c>
      <c r="C5" s="1062"/>
    </row>
    <row r="6" spans="2:3" ht="18" x14ac:dyDescent="0.4">
      <c r="B6" s="638"/>
      <c r="C6" s="633"/>
    </row>
    <row r="7" spans="2:3" ht="18" x14ac:dyDescent="0.4">
      <c r="B7" s="637"/>
      <c r="C7" s="633"/>
    </row>
    <row r="8" spans="2:3" ht="18" x14ac:dyDescent="0.4">
      <c r="B8" s="633" t="str">
        <f>'Read Me'!B8</f>
        <v xml:space="preserve">California Climate Investments </v>
      </c>
      <c r="C8" s="633"/>
    </row>
    <row r="10" spans="2:3" ht="16" thickBot="1" x14ac:dyDescent="0.4"/>
    <row r="11" spans="2:3" ht="16" thickBot="1" x14ac:dyDescent="0.4">
      <c r="B11" s="1063" t="s">
        <v>22</v>
      </c>
      <c r="C11" s="1064" t="str">
        <f>IF(ISBLANK('Project Info'!$C$28),"",'Project Info'!$C$28)</f>
        <v/>
      </c>
    </row>
    <row r="12" spans="2:3" ht="16" thickBot="1" x14ac:dyDescent="0.4"/>
    <row r="13" spans="2:3" ht="16" thickBot="1" x14ac:dyDescent="0.4">
      <c r="B13" s="1065" t="s">
        <v>23</v>
      </c>
      <c r="C13" s="1066"/>
    </row>
    <row r="14" spans="2:3" ht="18.75" hidden="1" customHeight="1" thickTop="1" thickBot="1" x14ac:dyDescent="0.4">
      <c r="B14" s="1067" t="s">
        <v>23</v>
      </c>
      <c r="C14" s="1066" t="s">
        <v>33</v>
      </c>
    </row>
    <row r="15" spans="2:3" ht="15.75" customHeight="1" thickTop="1" x14ac:dyDescent="0.35">
      <c r="B15" s="1068" t="s">
        <v>437</v>
      </c>
      <c r="C15" s="1069" t="str">
        <f>IF(ISBLANK('Project Info'!C34),"",'Project Info'!C34)</f>
        <v/>
      </c>
    </row>
    <row r="16" spans="2:3" ht="15.75" customHeight="1" x14ac:dyDescent="0.35">
      <c r="B16" s="1070" t="s">
        <v>438</v>
      </c>
      <c r="C16" s="1071">
        <f>IF(ISBLANK('Project Info'!C35),"",'Project Info'!C35)</f>
        <v>0</v>
      </c>
    </row>
    <row r="17" spans="2:18" ht="15.75" customHeight="1" x14ac:dyDescent="0.35">
      <c r="B17" s="1070" t="s">
        <v>439</v>
      </c>
      <c r="C17" s="1071" t="str">
        <f>IF(ISBLANK('Project Info'!C36),"",'Project Info'!C36)</f>
        <v/>
      </c>
    </row>
    <row r="18" spans="2:18" ht="15.75" customHeight="1" thickBot="1" x14ac:dyDescent="0.4">
      <c r="B18" s="1072" t="s">
        <v>44</v>
      </c>
      <c r="C18" s="1073">
        <f>IF(ISBLANK('Project Info'!C37),"",'Project Info'!C37)</f>
        <v>0</v>
      </c>
    </row>
    <row r="19" spans="2:18" ht="15" customHeight="1" thickBot="1" x14ac:dyDescent="0.4">
      <c r="B19" s="1074"/>
      <c r="C19" s="1074"/>
      <c r="D19" s="945"/>
      <c r="E19" s="945"/>
      <c r="F19" s="945"/>
      <c r="G19" s="945"/>
      <c r="H19" s="945"/>
      <c r="I19" s="945"/>
      <c r="J19" s="945"/>
      <c r="K19" s="945"/>
      <c r="L19" s="945"/>
      <c r="M19" s="945"/>
      <c r="N19" s="945"/>
      <c r="O19" s="945"/>
      <c r="P19" s="979"/>
      <c r="Q19" s="979"/>
      <c r="R19" s="945"/>
    </row>
    <row r="20" spans="2:18" ht="15" customHeight="1" thickBot="1" x14ac:dyDescent="0.4">
      <c r="B20" s="1065" t="s">
        <v>45</v>
      </c>
      <c r="C20" s="1066"/>
      <c r="D20" s="945"/>
      <c r="E20" s="945"/>
      <c r="F20" s="945"/>
      <c r="G20" s="945"/>
      <c r="H20" s="945"/>
      <c r="I20" s="945"/>
      <c r="J20" s="945"/>
      <c r="K20" s="945"/>
      <c r="L20" s="945"/>
      <c r="M20" s="945"/>
      <c r="N20" s="945"/>
      <c r="O20" s="945"/>
      <c r="P20" s="979"/>
      <c r="Q20" s="979"/>
      <c r="R20" s="945"/>
    </row>
    <row r="21" spans="2:18" ht="18.75" hidden="1" customHeight="1" thickTop="1" x14ac:dyDescent="0.35">
      <c r="B21" s="1075" t="s">
        <v>45</v>
      </c>
      <c r="C21" s="1076" t="s">
        <v>33</v>
      </c>
    </row>
    <row r="22" spans="2:18" s="1079" customFormat="1" ht="15.75" customHeight="1" thickTop="1" x14ac:dyDescent="0.35">
      <c r="B22" s="1077" t="s">
        <v>440</v>
      </c>
      <c r="C22" s="1078" t="str">
        <f ca="1">IFERROR((('Non-Elec PumpReplacement Inputs'!DN104+'Electric PumpReplacement Inputs'!BY104+'Solar PV Inputs'!C25+Energy_Efficiency_Calcs!S24+Delivery_Calcs!AP45)*(C15/(C18-C17))),"")</f>
        <v/>
      </c>
    </row>
    <row r="23" spans="2:18" s="1079" customFormat="1" ht="15.75" customHeight="1" thickBot="1" x14ac:dyDescent="0.4">
      <c r="B23" s="1080" t="s">
        <v>3642</v>
      </c>
      <c r="C23" s="1081" t="str">
        <f ca="1">IFERROR(IF(('Non-Elec PumpReplacement Inputs'!DN104+'Electric PumpReplacement Inputs'!BY104+'Solar PV Inputs'!C25+Energy_Efficiency_Calcs!S24+Delivery_Calcs!AP45)=0,"",('Non-Elec PumpReplacement Inputs'!DN104+'Electric PumpReplacement Inputs'!BY104+'Solar PV Inputs'!C25+Energy_Efficiency_Calcs!S24+Delivery_Calcs!AP45)),"")</f>
        <v/>
      </c>
    </row>
    <row r="24" spans="2:18" s="1079" customFormat="1" ht="31.5" customHeight="1" x14ac:dyDescent="0.35">
      <c r="B24" s="1082" t="s">
        <v>441</v>
      </c>
      <c r="C24" s="1083" t="str">
        <f ca="1">IFERROR(C22/C15,"")</f>
        <v/>
      </c>
    </row>
    <row r="25" spans="2:18" s="1079" customFormat="1" ht="31.5" customHeight="1" thickBot="1" x14ac:dyDescent="0.4">
      <c r="B25" s="1084" t="s">
        <v>3643</v>
      </c>
      <c r="C25" s="1085" t="str">
        <f ca="1">IFERROR(C23/C18,"")</f>
        <v/>
      </c>
    </row>
    <row r="26" spans="2:18" ht="15" customHeight="1" x14ac:dyDescent="0.35">
      <c r="B26" s="1086"/>
      <c r="C26" s="985"/>
    </row>
    <row r="27" spans="2:18" ht="15" customHeight="1" x14ac:dyDescent="0.35">
      <c r="B27" s="1086"/>
      <c r="C27" s="985"/>
    </row>
    <row r="28" spans="2:18" ht="15" customHeight="1" x14ac:dyDescent="0.35">
      <c r="B28" s="1086"/>
      <c r="C28" s="985"/>
    </row>
    <row r="29" spans="2:18" ht="15" customHeight="1" x14ac:dyDescent="0.35">
      <c r="B29" s="1086"/>
      <c r="C29" s="985"/>
    </row>
    <row r="30" spans="2:18" ht="15" customHeight="1" x14ac:dyDescent="0.35">
      <c r="B30" s="1086"/>
      <c r="C30" s="985"/>
    </row>
    <row r="31" spans="2:18" ht="15" customHeight="1" x14ac:dyDescent="0.35">
      <c r="B31" s="1086"/>
      <c r="C31" s="985"/>
    </row>
    <row r="32" spans="2:18" ht="15" customHeight="1" x14ac:dyDescent="0.35">
      <c r="B32" s="1087"/>
      <c r="C32" s="986"/>
    </row>
    <row r="33" spans="2:3" ht="15" customHeight="1" x14ac:dyDescent="0.35">
      <c r="B33" s="987"/>
      <c r="C33" s="987"/>
    </row>
    <row r="34" spans="2:3" ht="15" customHeight="1" x14ac:dyDescent="0.35">
      <c r="B34" s="1086"/>
      <c r="C34" s="985"/>
    </row>
    <row r="35" spans="2:3" ht="15" customHeight="1" x14ac:dyDescent="0.35">
      <c r="B35" s="1086"/>
      <c r="C35" s="985"/>
    </row>
    <row r="36" spans="2:3" ht="15" customHeight="1" x14ac:dyDescent="0.35">
      <c r="B36" s="1086"/>
      <c r="C36" s="985"/>
    </row>
    <row r="37" spans="2:3" ht="15" customHeight="1" x14ac:dyDescent="0.35">
      <c r="B37" s="1086"/>
      <c r="C37" s="985"/>
    </row>
    <row r="38" spans="2:3" ht="15" customHeight="1" x14ac:dyDescent="0.35">
      <c r="B38" s="1086"/>
      <c r="C38" s="985"/>
    </row>
    <row r="39" spans="2:3" ht="15" customHeight="1" x14ac:dyDescent="0.35">
      <c r="B39" s="1086"/>
      <c r="C39" s="985"/>
    </row>
    <row r="40" spans="2:3" ht="15" customHeight="1" x14ac:dyDescent="0.35">
      <c r="B40" s="1086"/>
      <c r="C40" s="985"/>
    </row>
    <row r="41" spans="2:3" ht="15" customHeight="1" x14ac:dyDescent="0.35">
      <c r="B41" s="1086"/>
      <c r="C41" s="985"/>
    </row>
    <row r="42" spans="2:3" ht="15" customHeight="1" x14ac:dyDescent="0.35">
      <c r="B42" s="966"/>
      <c r="C42" s="945"/>
    </row>
    <row r="43" spans="2:3" ht="15" customHeight="1" x14ac:dyDescent="0.35">
      <c r="B43" s="966"/>
      <c r="C43" s="945"/>
    </row>
    <row r="44" spans="2:3" ht="15" customHeight="1" x14ac:dyDescent="0.35">
      <c r="B44" s="1088"/>
      <c r="C44" s="988"/>
    </row>
    <row r="45" spans="2:3" ht="15" customHeight="1" x14ac:dyDescent="0.35"/>
    <row r="46" spans="2:3" ht="15" customHeight="1" x14ac:dyDescent="0.35"/>
    <row r="47" spans="2:3" ht="15" customHeight="1" x14ac:dyDescent="0.35"/>
    <row r="48" spans="2:3"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sheetData>
  <sheetProtection algorithmName="SHA-512" hashValue="+G6peduYqxpeResBfQpRb29R+7QIHUL04kl2uNSLRhN9Rnfl1k6RVAchL+mJJRKKIrS8aAA1rreE3ar/hVhkMw==" saltValue="AmdM1T1Ll61dEuVC7DRjhQ==" spinCount="100000" sheet="1"/>
  <dataValidations count="8">
    <dataValidation allowBlank="1" showInputMessage="1" showErrorMessage="1" prompt="Total project cost that is or will be paid for by the Greenhouse Gas Reduction Fund (GGRF) via the Safe and Affordable Drinking Water Fund (SADW Fund)." sqref="B15:C15" xr:uid="{BF9EFD16-0A23-4CA3-BF3F-F96C58D0B490}"/>
    <dataValidation allowBlank="1" showInputMessage="1" showErrorMessage="1" prompt="Total project cost that is or will be paid for by the GGRF that is paid from other GGRF sources." sqref="B16:C16" xr:uid="{61A2C3AE-5814-45CD-B3AA-069B867519A4}"/>
    <dataValidation allowBlank="1" showInputMessage="1" showErrorMessage="1" prompt="Total project cost that is paid for by non-GGRF monies." sqref="B17:C17" xr:uid="{80A21BBA-2546-4CA5-8D1F-F064E5CE45F9}"/>
    <dataValidation allowBlank="1" showInputMessage="1" showErrorMessage="1" prompt="Total project cost, including GGRF and non-GGRF monies." sqref="B18:C18" xr:uid="{9DB832F1-FF92-4397-A463-8AE63EF7429F}"/>
    <dataValidation allowBlank="1" showInputMessage="1" showErrorMessage="1" prompt="Apportioned total GHG emission reductions in metric tons of CO2e from the SADW Project (GGRF) dollars." sqref="B22:C22" xr:uid="{99AB471F-1568-4312-A939-122129FE0620}"/>
    <dataValidation allowBlank="1" showInputMessage="1" showErrorMessage="1" prompt="Total GHG emission reductions in metric tons of CO2e." sqref="B23:C23" xr:uid="{3181CEF2-106B-49B7-B1C8-5A2F477AF12F}"/>
    <dataValidation allowBlank="1" showInputMessage="1" showErrorMessage="1" prompt="Total GHG emission reductions in metric tons of CO2e per SADW Fund GGRF dollar invested." sqref="B24:C24" xr:uid="{3ACE81A3-CD1C-4413-8284-3C26A86F146F}"/>
    <dataValidation allowBlank="1" showInputMessage="1" showErrorMessage="1" prompt="Total GHG emission reductions in metric tons of CO2e per dollar invested." sqref="B25:C25" xr:uid="{D76A6D38-D7B2-4793-A501-4B00663CC305}"/>
  </dataValidations>
  <pageMargins left="0.7" right="0.7" top="0.98479166666666662" bottom="0.75" header="0.3" footer="0.3"/>
  <pageSetup scale="90" fitToHeight="0" orientation="landscape" r:id="rId1"/>
  <headerFooter>
    <oddFooter>&amp;L&amp;"Avenir LT Std 55 Roman,Regular"&amp;12&amp;K000000FINAL June 1, 2022&amp;C&amp;"Avenir LT Std 55 Roman,Regular"&amp;12Page &amp;P of &amp;N&amp;R&amp;"Avenir LT Std 55 Roman,Regular"&amp;12&amp;K000000&amp;A</oddFooter>
  </headerFooter>
  <drawing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2" tint="-9.9978637043366805E-2"/>
    <pageSetUpPr fitToPage="1"/>
  </sheetPr>
  <dimension ref="B1:D56"/>
  <sheetViews>
    <sheetView showGridLines="0" showWhiteSpace="0" zoomScaleNormal="100" workbookViewId="0">
      <selection activeCell="C36" sqref="C36"/>
    </sheetView>
  </sheetViews>
  <sheetFormatPr defaultColWidth="9.1796875" defaultRowHeight="15.5" x14ac:dyDescent="0.35"/>
  <cols>
    <col min="1" max="1" width="2.81640625" style="635" customWidth="1"/>
    <col min="2" max="2" width="62.26953125" style="621" customWidth="1"/>
    <col min="3" max="3" width="37" style="635" customWidth="1"/>
    <col min="4" max="4" width="35.7265625" style="635" customWidth="1"/>
    <col min="5" max="5" width="3.1796875" style="635" customWidth="1"/>
    <col min="6" max="16384" width="9.1796875" style="635"/>
  </cols>
  <sheetData>
    <row r="1" spans="2:4" ht="18" x14ac:dyDescent="0.35">
      <c r="B1" s="1089" t="str">
        <f>'Read Me'!B1</f>
        <v>California Air Resources Board</v>
      </c>
      <c r="C1" s="1089"/>
      <c r="D1" s="941"/>
    </row>
    <row r="2" spans="2:4" ht="18" x14ac:dyDescent="0.4">
      <c r="B2" s="638"/>
      <c r="C2" s="633"/>
      <c r="D2" s="632"/>
    </row>
    <row r="3" spans="2:4" ht="18" x14ac:dyDescent="0.4">
      <c r="B3" s="633" t="str">
        <f>'Read Me'!B3</f>
        <v>Benefits Calculator Tool</v>
      </c>
      <c r="C3" s="633"/>
      <c r="D3" s="632"/>
    </row>
    <row r="4" spans="2:4" ht="18" x14ac:dyDescent="0.4">
      <c r="B4" s="637" t="str">
        <f>'Read Me'!B4</f>
        <v>Safe and Affordable Drinking Water</v>
      </c>
      <c r="C4" s="1062"/>
      <c r="D4" s="632"/>
    </row>
    <row r="5" spans="2:4" ht="18" x14ac:dyDescent="0.4">
      <c r="B5" s="637" t="str">
        <f>'Read Me'!B5</f>
        <v>(SADW) Fund</v>
      </c>
      <c r="C5" s="1062"/>
      <c r="D5" s="632"/>
    </row>
    <row r="6" spans="2:4" ht="18" x14ac:dyDescent="0.4">
      <c r="B6" s="638"/>
      <c r="C6" s="633"/>
      <c r="D6" s="632"/>
    </row>
    <row r="7" spans="2:4" ht="18" x14ac:dyDescent="0.4">
      <c r="B7" s="637"/>
      <c r="C7" s="633"/>
      <c r="D7" s="632"/>
    </row>
    <row r="8" spans="2:4" ht="18" x14ac:dyDescent="0.4">
      <c r="B8" s="633" t="str">
        <f>'Read Me'!B8</f>
        <v xml:space="preserve">California Climate Investments </v>
      </c>
      <c r="C8" s="633"/>
      <c r="D8" s="632"/>
    </row>
    <row r="10" spans="2:4" ht="16" thickBot="1" x14ac:dyDescent="0.4"/>
    <row r="11" spans="2:4" ht="16" thickBot="1" x14ac:dyDescent="0.4">
      <c r="B11" s="1063" t="s">
        <v>22</v>
      </c>
      <c r="C11" s="1090" t="str">
        <f>IF('Project Info'!$C$28="","",'Project Info'!$C$28)</f>
        <v/>
      </c>
      <c r="D11" s="1091"/>
    </row>
    <row r="12" spans="2:4" ht="16" thickBot="1" x14ac:dyDescent="0.4"/>
    <row r="13" spans="2:4" ht="31.5" thickBot="1" x14ac:dyDescent="0.4">
      <c r="B13" s="1092" t="s">
        <v>24</v>
      </c>
      <c r="C13" s="1093" t="s">
        <v>280</v>
      </c>
      <c r="D13" s="1094" t="s">
        <v>42</v>
      </c>
    </row>
    <row r="14" spans="2:4" ht="31.5" hidden="1" thickTop="1" x14ac:dyDescent="0.35">
      <c r="B14" s="1095" t="s">
        <v>24</v>
      </c>
      <c r="C14" s="1096" t="s">
        <v>280</v>
      </c>
      <c r="D14" s="1097" t="s">
        <v>42</v>
      </c>
    </row>
    <row r="15" spans="2:4" ht="15" customHeight="1" thickTop="1" x14ac:dyDescent="0.35">
      <c r="B15" s="1098" t="s">
        <v>36</v>
      </c>
      <c r="C15" s="1099">
        <f>IFERROR(('Non-Elec PumpReplacement Inputs'!DP104+(Delivery_Calcs!AR45))*('Project Info'!C34/('Project Info'!C34+'Project Info'!C35)),0)</f>
        <v>0</v>
      </c>
      <c r="D15" s="1100">
        <f>IFERROR('Non-Elec PumpReplacement Inputs'!DP104+(Delivery_Calcs!AR45),"0")</f>
        <v>0</v>
      </c>
    </row>
    <row r="16" spans="2:4" ht="15" customHeight="1" x14ac:dyDescent="0.35">
      <c r="B16" s="1098" t="s">
        <v>37</v>
      </c>
      <c r="C16" s="1099">
        <f>IFERROR(('Non-Elec PumpReplacement Inputs'!DR104+(Delivery_Calcs!AQ45))*('Project Info'!C34/('Project Info'!C34+'Project Info'!C35)),0)</f>
        <v>0</v>
      </c>
      <c r="D16" s="1100">
        <f>IFERROR('Non-Elec PumpReplacement Inputs'!DR104+(Delivery_Calcs!AQ45),"0")</f>
        <v>0</v>
      </c>
    </row>
    <row r="17" spans="2:4" ht="15" customHeight="1" x14ac:dyDescent="0.35">
      <c r="B17" s="1098" t="s">
        <v>38</v>
      </c>
      <c r="C17" s="1099">
        <f>IFERROR(('Non-Elec PumpReplacement Inputs'!DQ104+(Delivery_Calcs!AS45))*('Project Info'!C34/('Project Info'!C34+'Project Info'!C35)),0)</f>
        <v>0</v>
      </c>
      <c r="D17" s="1100">
        <f>IFERROR('Non-Elec PumpReplacement Inputs'!DQ104+(Delivery_Calcs!AS45),"0")</f>
        <v>0</v>
      </c>
    </row>
    <row r="18" spans="2:4" ht="15" customHeight="1" thickBot="1" x14ac:dyDescent="0.4">
      <c r="B18" s="1101" t="s">
        <v>209</v>
      </c>
      <c r="C18" s="1102">
        <f>IFERROR(('Non-Elec PumpReplacement Inputs'!DO104+(Delivery_Calcs!AT45))*('Project Info'!C34/('Project Info'!C34+'Project Info'!C35)),0)</f>
        <v>0</v>
      </c>
      <c r="D18" s="1103">
        <f>IFERROR('Non-Elec PumpReplacement Inputs'!DO104+(Delivery_Calcs!AT45),"0")</f>
        <v>0</v>
      </c>
    </row>
    <row r="19" spans="2:4" ht="15" customHeight="1" x14ac:dyDescent="0.35">
      <c r="B19" s="1104" t="s">
        <v>39</v>
      </c>
      <c r="C19" s="1105">
        <f ca="1">IFERROR(('Solar PV Inputs'!C27+Energy_Efficiency_Calcs!U24+'Non-Elec PumpReplacement Inputs'!DS104+'Electric PumpReplacement Inputs'!CD104)*('Project Info'!C34/('Project Info'!C34+'Project Info'!C35)),0)</f>
        <v>0</v>
      </c>
      <c r="D19" s="1106">
        <f ca="1">IFERROR('Solar PV Inputs'!C27+Energy_Efficiency_Calcs!U24+'Non-Elec PumpReplacement Inputs'!DS104+'Electric PumpReplacement Inputs'!CD104,"0")</f>
        <v>0</v>
      </c>
    </row>
    <row r="20" spans="2:4" ht="15" customHeight="1" x14ac:dyDescent="0.35">
      <c r="B20" s="1098" t="s">
        <v>40</v>
      </c>
      <c r="C20" s="1099">
        <f ca="1">IFERROR(('Solar PV Inputs'!C26+Energy_Efficiency_Calcs!T24+'Non-Elec PumpReplacement Inputs'!DU104+'Electric PumpReplacement Inputs'!CF104)*('Project Info'!C34/('Project Info'!C34+'Project Info'!C35)),0)</f>
        <v>0</v>
      </c>
      <c r="D20" s="1100">
        <f ca="1">IFERROR('Solar PV Inputs'!C26+Energy_Efficiency_Calcs!T24+'Non-Elec PumpReplacement Inputs'!DU104+'Electric PumpReplacement Inputs'!CF104,"0")</f>
        <v>0</v>
      </c>
    </row>
    <row r="21" spans="2:4" ht="15" customHeight="1" thickBot="1" x14ac:dyDescent="0.4">
      <c r="B21" s="1107" t="s">
        <v>41</v>
      </c>
      <c r="C21" s="1108">
        <f ca="1">IFERROR(('Solar PV Inputs'!C28+Energy_Efficiency_Calcs!V24+'Non-Elec PumpReplacement Inputs'!DT104+'Electric PumpReplacement Inputs'!CE104)*('Project Info'!C34/('Project Info'!C34+'Project Info'!C35)),0)</f>
        <v>0</v>
      </c>
      <c r="D21" s="1109">
        <f ca="1">IFERROR('Solar PV Inputs'!C28+Energy_Efficiency_Calcs!V24+'Non-Elec PumpReplacement Inputs'!DT104+'Electric PumpReplacement Inputs'!CE104,"0")</f>
        <v>0</v>
      </c>
    </row>
    <row r="22" spans="2:4" ht="15" customHeight="1" x14ac:dyDescent="0.35">
      <c r="B22" s="1104" t="s">
        <v>229</v>
      </c>
      <c r="C22" s="1105">
        <f ca="1">IFERROR(('Non-Elec PumpReplacement Inputs'!DP104+'Electric PumpReplacement Inputs'!CA104+'Solar PV Inputs'!C27+Energy_Efficiency_Calcs!U24+Delivery_Calcs!AR45)*('Project Info'!C34/('Project Info'!C34+'Project Info'!C35)),0)</f>
        <v>0</v>
      </c>
      <c r="D22" s="1110">
        <f ca="1">IFERROR(('Non-Elec PumpReplacement Inputs'!DP104+'Electric PumpReplacement Inputs'!CA104+'Solar PV Inputs'!C27+Energy_Efficiency_Calcs!U24+Delivery_Calcs!AR45),"0")</f>
        <v>0</v>
      </c>
    </row>
    <row r="23" spans="2:4" ht="15" customHeight="1" x14ac:dyDescent="0.35">
      <c r="B23" s="1098" t="s">
        <v>230</v>
      </c>
      <c r="C23" s="1099">
        <f ca="1">IFERROR(('Non-Elec PumpReplacement Inputs'!DR104+'Electric PumpReplacement Inputs'!CC104+'Solar PV Inputs'!C26+Energy_Efficiency_Calcs!T24+Delivery_Calcs!AQ45)*('Project Info'!C34/('Project Info'!C34+'Project Info'!C35)),0)</f>
        <v>0</v>
      </c>
      <c r="D23" s="1111">
        <f ca="1">IFERROR(('Non-Elec PumpReplacement Inputs'!DR104+'Electric PumpReplacement Inputs'!CC104+'Solar PV Inputs'!C26+Energy_Efficiency_Calcs!T24+Delivery_Calcs!AQ45),"0")</f>
        <v>0</v>
      </c>
    </row>
    <row r="24" spans="2:4" ht="15" customHeight="1" x14ac:dyDescent="0.35">
      <c r="B24" s="1098" t="s">
        <v>231</v>
      </c>
      <c r="C24" s="1099">
        <f ca="1">IFERROR(('Non-Elec PumpReplacement Inputs'!DQ104+'Electric PumpReplacement Inputs'!CB104+'Solar PV Inputs'!C28+Energy_Efficiency_Calcs!V24+Delivery_Calcs!AS45)*('Project Info'!C34/('Project Info'!C34+'Project Info'!C35)),0)</f>
        <v>0</v>
      </c>
      <c r="D24" s="1111">
        <f ca="1">IFERROR(('Non-Elec PumpReplacement Inputs'!DQ104+'Electric PumpReplacement Inputs'!CB104+'Solar PV Inputs'!C28+Energy_Efficiency_Calcs!V24+Delivery_Calcs!AS45),"0")</f>
        <v>0</v>
      </c>
    </row>
    <row r="25" spans="2:4" ht="15" customHeight="1" thickBot="1" x14ac:dyDescent="0.4">
      <c r="B25" s="1107" t="s">
        <v>446</v>
      </c>
      <c r="C25" s="1108">
        <f>IFERROR((C18)*('Project Info'!C34/('Project Info'!C34+'Project Info'!C35)),0)</f>
        <v>0</v>
      </c>
      <c r="D25" s="1112">
        <f>IFERROR(D18,"0")</f>
        <v>0</v>
      </c>
    </row>
    <row r="26" spans="2:4" ht="15" customHeight="1" x14ac:dyDescent="0.35">
      <c r="B26" s="1113" t="s">
        <v>205</v>
      </c>
      <c r="C26" s="1114">
        <f ca="1">IFERROR(TotalkWh*('Project Info'!C34/('Project Info'!C34+'Project Info'!C35)),0)</f>
        <v>0</v>
      </c>
      <c r="D26" s="1115">
        <f ca="1">IF(Table8[[#This Row],[Value]]="","0",TotalkWh)</f>
        <v>0</v>
      </c>
    </row>
    <row r="27" spans="2:4" ht="15" customHeight="1" x14ac:dyDescent="0.35">
      <c r="B27" s="1113" t="s">
        <v>763</v>
      </c>
      <c r="C27" s="1099">
        <f>IFERROR((SUM('Electric PumpReplacement Inputs'!$BD$104,Energy_Efficiency_Calcs!R24))*('Project Info'!C34/('Project Info'!C34+'Project Info'!C35)),0)</f>
        <v>0</v>
      </c>
      <c r="D27" s="1116">
        <f>IF(SUM('Electric PumpReplacement Inputs'!$BD$104,Energy_Efficiency_Calcs!R24)="","0",SUM('Electric PumpReplacement Inputs'!$BD$104,Energy_Efficiency_Calcs!R24))</f>
        <v>0</v>
      </c>
    </row>
    <row r="28" spans="2:4" ht="15" customHeight="1" x14ac:dyDescent="0.35">
      <c r="B28" s="1117" t="s">
        <v>264</v>
      </c>
      <c r="C28" s="1118">
        <f>IFERROR(('Non-Elec PumpReplacement Inputs'!DW104+Delivery_Calcs!AU45)*('Project Info'!C34/('Project Info'!C34+'Project Info'!C35)),0)</f>
        <v>0</v>
      </c>
      <c r="D28" s="1116">
        <f>IFERROR(('Non-Elec PumpReplacement Inputs'!DW104+Delivery_Calcs!AU45),"0")</f>
        <v>0</v>
      </c>
    </row>
    <row r="29" spans="2:4" ht="15" customHeight="1" x14ac:dyDescent="0.35">
      <c r="B29" s="1113" t="s">
        <v>240</v>
      </c>
      <c r="C29" s="1119">
        <f ca="1">IFERROR((('Non-Elec PumpReplacement Inputs'!DV104+'Electric PumpReplacement Inputs'!CG104+TotalkWh*IF(ElectricityUse="Commercial",Defaults!G32,Defaults!G31))+((Energy_Efficiency_Calcs!M24-Energy_Efficiency_Calcs!D24)*-1*Defaults!G32)+Delivery_Calcs!AV45)*('Project Info'!C34/('Project Info'!C34+'Project Info'!C35)),0)</f>
        <v>0</v>
      </c>
      <c r="D29" s="1119">
        <f ca="1">IFERROR(('Non-Elec PumpReplacement Inputs'!DV104+'Electric PumpReplacement Inputs'!CG104+TotalkWh*IF(ElectricityUse="Commercial",Defaults!G32,Defaults!G31))+((Energy_Efficiency_Calcs!M24-Energy_Efficiency_Calcs!D24)*-1*Defaults!G32)+Delivery_Calcs!AV45,"")</f>
        <v>0</v>
      </c>
    </row>
    <row r="30" spans="2:4" ht="15" customHeight="1" x14ac:dyDescent="0.35">
      <c r="B30" s="1086"/>
      <c r="C30" s="985"/>
    </row>
    <row r="31" spans="2:4" ht="15" customHeight="1" x14ac:dyDescent="0.35">
      <c r="C31" s="985"/>
    </row>
    <row r="32" spans="2:4" ht="15" customHeight="1" x14ac:dyDescent="0.35">
      <c r="B32" s="1086"/>
      <c r="C32" s="985"/>
    </row>
    <row r="33" spans="2:3" ht="15" customHeight="1" x14ac:dyDescent="0.35">
      <c r="B33" s="1086"/>
      <c r="C33" s="985"/>
    </row>
    <row r="34" spans="2:3" ht="15" customHeight="1" x14ac:dyDescent="0.35">
      <c r="B34" s="966"/>
      <c r="C34" s="945"/>
    </row>
    <row r="35" spans="2:3" ht="15" customHeight="1" x14ac:dyDescent="0.35">
      <c r="B35" s="966"/>
      <c r="C35" s="945"/>
    </row>
    <row r="36" spans="2:3" ht="15" customHeight="1" x14ac:dyDescent="0.35">
      <c r="B36" s="1088"/>
      <c r="C36" s="988"/>
    </row>
    <row r="37" spans="2:3" ht="15" customHeight="1" x14ac:dyDescent="0.35"/>
    <row r="38" spans="2:3" ht="15" customHeight="1" x14ac:dyDescent="0.35"/>
    <row r="39" spans="2:3" ht="15" customHeight="1" x14ac:dyDescent="0.35"/>
    <row r="40" spans="2:3" ht="15" customHeight="1" x14ac:dyDescent="0.35"/>
    <row r="41" spans="2:3" ht="15" customHeight="1" x14ac:dyDescent="0.35"/>
    <row r="42" spans="2:3" ht="15" customHeight="1" x14ac:dyDescent="0.35"/>
    <row r="43" spans="2:3" ht="15" customHeight="1" x14ac:dyDescent="0.35"/>
    <row r="44" spans="2:3" ht="15" customHeight="1" x14ac:dyDescent="0.35"/>
    <row r="45" spans="2:3" ht="15" customHeight="1" x14ac:dyDescent="0.35"/>
    <row r="46" spans="2:3" ht="15" customHeight="1" x14ac:dyDescent="0.35"/>
    <row r="47" spans="2:3" ht="15" customHeight="1" x14ac:dyDescent="0.35"/>
    <row r="48" spans="2:3"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sheetData>
  <sheetProtection algorithmName="SHA-512" hashValue="SjHeA89vB+0wxiXrxVQ0zHXNmJvSv8/JpX4qr7hIuMwOMBjS10DoRfjIL1Mz9T4C64QMWSXCYIiqF8yU0t39AQ==" saltValue="9yyelo1D8GntbWtfpKZ/5Q==" spinCount="100000" sheet="1"/>
  <dataValidations count="17">
    <dataValidation allowBlank="1" showInputMessage="1" showErrorMessage="1" prompt="Apportioned co-benefits attributed to SADW Fund GGRF dollars invested." sqref="C13" xr:uid="{8265C5DB-546E-47FC-A62B-B6F9484E2EC3}"/>
    <dataValidation allowBlank="1" showInputMessage="1" showErrorMessage="1" prompt="Co-benefits per total dollars invested." sqref="D13" xr:uid="{C93EC4F0-61A4-4171-BC8E-C95FCB79BC50}"/>
    <dataValidation allowBlank="1" showInputMessage="1" showErrorMessage="1" prompt="Localized emission reductions of nitrogen oxides as a result of the project.  This is a SUBSET of the total NOx reductions from the project (emission reductions at the project location).  If there is an emission increase, this is a negative number." sqref="B15:D15" xr:uid="{66D03E50-9414-4729-9A9C-6391B862E979}"/>
    <dataValidation allowBlank="1" showInputMessage="1" showErrorMessage="1" prompt="Localized emission reductions of reactive organic gases as a result of the project.  This is a SUBSET of the total ROG reductions from the project (emission reductions at the project location).  If there is an emission increase, this is a negative number." sqref="B16:D16" xr:uid="{69267984-1FAF-4C5B-A5D4-5F9DB3FC3719}"/>
    <dataValidation allowBlank="1" showInputMessage="1" showErrorMessage="1" prompt="Localized emission reductions of PM2.5 as a result of the project.  This is a SUBSET of the total PM2.5 reductions from the project (emission reductions at the project location).  If there is an emissions increase, this is a negative number." sqref="B17:D17" xr:uid="{29670A10-D92F-4D79-8108-B8E43AF24C82}"/>
    <dataValidation allowBlank="1" showInputMessage="1" showErrorMessage="1" prompt="Localized emission reductions of diesel PM as a result of the project (emission reductions at the project location).  This is equal to the total diesel particulate matter emission reductions.  If there is an emission increase, this is a negative number." sqref="B18:D18" xr:uid="{5ED3D6ED-FA80-4080-8996-9454E0D28D72}"/>
    <dataValidation allowBlank="1" showInputMessage="1" showErrorMessage="1" prompt="Non-local emission reductions of nitrogen oxides as a result of the project.  This is a SUBSET of the total NOx reductions from the project (ex: grid electricity emission reductions).  If there is an emission increase, this is a negative number." sqref="B19:D19" xr:uid="{5B3AA02E-80F4-4457-AEA9-DA29C3E6ACC8}"/>
    <dataValidation allowBlank="1" showInputMessage="1" showErrorMessage="1" prompt="Non-local emission reductions of reactive organic gases as a result of the project.  This is a SUBSET of the total ROG reductions from the project (ex: grid electricity emission reductions).  If there is an emission increase, this is a negative number." sqref="B20:D20" xr:uid="{AB977C30-7E36-4120-BB7E-7C4B9BAE6E09}"/>
    <dataValidation allowBlank="1" showInputMessage="1" showErrorMessage="1" prompt="Non-local emission reductions of particulate matter 2.5 as a result of the project.  This is a SUBSET of the total PM2.5 reductions from the project (ex: grid electricity emission reductions).  If there is an emission increase, this is a negative number." sqref="B21:D21" xr:uid="{431F45B1-C261-496D-A3D0-6E2013E32C54}"/>
    <dataValidation allowBlank="1" showInputMessage="1" showErrorMessage="1" prompt="Reduction in emissions of nitrogen oxides (NOx) as a result of the project as estimated using the CARB Benefits Calculator Tool.  If there is an emission increase, this is a negative number.  This is the sum of local and remote emission reductions." sqref="B22:D22" xr:uid="{7E025404-757E-4F66-B7C7-95C7E7BAE585}"/>
    <dataValidation allowBlank="1" showInputMessage="1" showErrorMessage="1" prompt="Reduction in emissions of reactive organic gases as a result of the project as estimated using the CARB Benefits Calculator Tool.  If there is an emission increase, this is a negative number.  This is the sum of the local and remote emissions reductions." sqref="B23:D23" xr:uid="{CF4A7D67-9CCA-42D9-9BFC-142DCFD38857}"/>
    <dataValidation allowBlank="1" showInputMessage="1" showErrorMessage="1" prompt="Reduction in emissions particulate matter less than 2.5 microns in diameter as estimated using the CARB Benefits Calculator Tool.  If there is an emission increase, this is a negative number.   This is the sum of the local and remote emissions reductions." sqref="B24:D24" xr:uid="{74934E59-0A1E-40A3-B9F6-C0F109082D09}"/>
    <dataValidation allowBlank="1" showInputMessage="1" showErrorMessage="1" prompt="Reduction in emissions of diesel particulate matter as a result of the project as estimated using the CARB Benefits Calculator Tool.  If there is an emission increase, enter a negative number." sqref="B25:D25" xr:uid="{894B392B-44AC-4BC3-AA3F-BDF6D725D64E}"/>
    <dataValidation allowBlank="1" showInputMessage="1" showErrorMessage="1" prompt="Renewable energy generated as a result of this project, in kWh, as estimated using the CARB Benefits Calcualtor Tool. " sqref="B26:D26" xr:uid="{4A457F38-F643-4FCF-94AE-5DC6E7C7D6C3}"/>
    <dataValidation allowBlank="1" showInputMessage="1" showErrorMessage="1" prompt="Energy saved as a result of this project, in kWh, as estimated using the CARB Benefits Calculator Tool.  This includes only direct reductions, and does not include estimated fossil fuel based energy displaced by generation of renewable energy." sqref="B27:D27" xr:uid="{F3AD46B4-4855-4D44-82D5-65ABB0BB0542}"/>
    <dataValidation allowBlank="1" showInputMessage="1" showErrorMessage="1" prompt="Gallons of fossil fuel reductions as a result of this project.  If there is a fossil fuel use increase, this is a negative number." sqref="B28:D28" xr:uid="{2CE94B5B-4E6C-4FC3-92C1-C31044B890CA}"/>
    <dataValidation allowBlank="1" showInputMessage="1" showErrorMessage="1" prompt="Energy and fuel cost savings as a result of the project as estimated using the CARB Benefits Calculator Tool.  If there is a cost increase, this is a negative number." sqref="B29:D29" xr:uid="{C4C1E0F2-F99C-4049-B6BA-5FC35BB230FE}"/>
  </dataValidations>
  <pageMargins left="0.7" right="0.7" top="0.98479166666666662" bottom="0.75" header="0.3" footer="0.3"/>
  <pageSetup scale="86" fitToHeight="0" orientation="landscape" r:id="rId1"/>
  <headerFooter>
    <oddFooter>&amp;L&amp;"Avenir LT Std 55 Roman,Regular"&amp;12&amp;K000000FINAL June 1, 2022&amp;C&amp;"Avenir LT Std 55 Roman,Regular"&amp;12Page &amp;P of &amp;N&amp;R&amp;"Avenir LT Std 55 Roman,Regular"&amp;12&amp;K000000&amp;A</oddFooter>
  </headerFooter>
  <ignoredErrors>
    <ignoredError sqref="C19:C21 C25:C27" calculatedColumn="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4C9B93AEC8C84394C785EB28E8E1FA" ma:contentTypeVersion="17" ma:contentTypeDescription="Create a new document." ma:contentTypeScope="" ma:versionID="375d0aa9643788ec02d2ed1da0f2eff6">
  <xsd:schema xmlns:xsd="http://www.w3.org/2001/XMLSchema" xmlns:xs="http://www.w3.org/2001/XMLSchema" xmlns:p="http://schemas.microsoft.com/office/2006/metadata/properties" xmlns:ns1="http://schemas.microsoft.com/sharepoint/v3" xmlns:ns2="2ee7d741-2b1e-4e71-a67e-0a8ac7098c51" xmlns:ns3="916e2c6f-7716-484a-9f06-7a80088ea94f" targetNamespace="http://schemas.microsoft.com/office/2006/metadata/properties" ma:root="true" ma:fieldsID="baa3ace4647cb41d4c5b9fe34b9fa3cd" ns1:_="" ns2:_="" ns3:_="">
    <xsd:import namespace="http://schemas.microsoft.com/sharepoint/v3"/>
    <xsd:import namespace="2ee7d741-2b1e-4e71-a67e-0a8ac7098c51"/>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e7d741-2b1e-4e71-a67e-0a8ac7098c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916e2c6f-7716-484a-9f06-7a80088ea94f" xsi:nil="true"/>
    <lcf76f155ced4ddcb4097134ff3c332f xmlns="2ee7d741-2b1e-4e71-a67e-0a8ac7098c51">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FC743637-D2E6-46D0-BE9E-60553508197F}">
  <ds:schemaRefs>
    <ds:schemaRef ds:uri="http://schemas.microsoft.com/sharepoint/v3/contenttype/forms"/>
  </ds:schemaRefs>
</ds:datastoreItem>
</file>

<file path=customXml/itemProps2.xml><?xml version="1.0" encoding="utf-8"?>
<ds:datastoreItem xmlns:ds="http://schemas.openxmlformats.org/officeDocument/2006/customXml" ds:itemID="{4F9A6DCF-72C8-472F-9549-0F5A4B8A19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e7d741-2b1e-4e71-a67e-0a8ac7098c51"/>
    <ds:schemaRef ds:uri="916e2c6f-7716-484a-9f06-7a80088ea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FB0DB9-783F-4C94-9EEA-478D596B7974}">
  <ds:schemaRefs>
    <ds:schemaRef ds:uri="http://schemas.microsoft.com/office/infopath/2007/PartnerControls"/>
    <ds:schemaRef ds:uri="http://schemas.microsoft.com/office/2006/documentManagement/types"/>
    <ds:schemaRef ds:uri="916e2c6f-7716-484a-9f06-7a80088ea94f"/>
    <ds:schemaRef ds:uri="http://schemas.microsoft.com/sharepoint/v3"/>
    <ds:schemaRef ds:uri="http://purl.org/dc/dcmitype/"/>
    <ds:schemaRef ds:uri="http://purl.org/dc/terms/"/>
    <ds:schemaRef ds:uri="http://purl.org/dc/elements/1.1/"/>
    <ds:schemaRef ds:uri="2ee7d741-2b1e-4e71-a67e-0a8ac7098c51"/>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Read Me</vt:lpstr>
      <vt:lpstr>Project Info</vt:lpstr>
      <vt:lpstr>Non-Elec PumpReplacement Inputs</vt:lpstr>
      <vt:lpstr>Electric PumpReplacement Inputs</vt:lpstr>
      <vt:lpstr>Solar PV Inputs</vt:lpstr>
      <vt:lpstr>Energy Efficiency Inputs</vt:lpstr>
      <vt:lpstr>Interim Water Delivery Inputs</vt:lpstr>
      <vt:lpstr>GHG Summary</vt:lpstr>
      <vt:lpstr>Co-benefits Summary</vt:lpstr>
      <vt:lpstr>Data Dictionary</vt:lpstr>
      <vt:lpstr>Delivery_Calcs</vt:lpstr>
      <vt:lpstr>Energy_Efficiency_Calcs</vt:lpstr>
      <vt:lpstr>LCT - Heavy Duty</vt:lpstr>
      <vt:lpstr>LCT - Light &amp; Light-Heavy Duty</vt:lpstr>
      <vt:lpstr>Grid Electricity</vt:lpstr>
      <vt:lpstr>Fuel-Specific GHG</vt:lpstr>
      <vt:lpstr>Fuel Prices</vt:lpstr>
      <vt:lpstr>Fuel Density</vt:lpstr>
      <vt:lpstr>Pump Emission Factors</vt:lpstr>
      <vt:lpstr>Defaults</vt:lpstr>
      <vt:lpstr>Passenger Auto GHG</vt:lpstr>
      <vt:lpstr>Passenger Auto C&amp;T</vt:lpstr>
      <vt:lpstr>Lists</vt:lpstr>
      <vt:lpstr>AnnualkWh</vt:lpstr>
      <vt:lpstr>Box_Truck</vt:lpstr>
      <vt:lpstr>ElectricityUse</vt:lpstr>
      <vt:lpstr>Heavy_Duty_Truck</vt:lpstr>
      <vt:lpstr>'Co-benefits Summary'!Print_Area</vt:lpstr>
      <vt:lpstr>Defaults!Print_Area</vt:lpstr>
      <vt:lpstr>'Energy Efficiency Inputs'!Print_Area</vt:lpstr>
      <vt:lpstr>'Fuel Density'!Print_Area</vt:lpstr>
      <vt:lpstr>'Fuel Prices'!Print_Area</vt:lpstr>
      <vt:lpstr>'Fuel-Specific GHG'!Print_Area</vt:lpstr>
      <vt:lpstr>'GHG Summary'!Print_Area</vt:lpstr>
      <vt:lpstr>'Project Info'!Print_Area</vt:lpstr>
      <vt:lpstr>'Pump Emission Factors'!Print_Area</vt:lpstr>
      <vt:lpstr>'Read Me'!Print_Area</vt:lpstr>
      <vt:lpstr>'Solar PV Inputs'!Print_Area</vt:lpstr>
      <vt:lpstr>Sedan</vt:lpstr>
      <vt:lpstr>TotalkWh</vt:lpstr>
      <vt:lpstr>Van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2023-12-01T21:19:50Z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0x0101001A4C9B93AEC8C84394C785EB28E8E1FA</vt:lpwstr>
  </property>
  <property fmtid="{D5CDD505-2E9C-101B-9397-08002B2CF9AE}" pid="3" name="MediaServiceImageTags">
    <vt:lpwstr/>
  </property>
</Properties>
</file>